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indy Yojana Becerra\Desktop\tesis\objetivo 5\"/>
    </mc:Choice>
  </mc:AlternateContent>
  <xr:revisionPtr revIDLastSave="0" documentId="13_ncr:1_{5FCF3F96-9EDA-4E99-9467-8B5154F2487E}" xr6:coauthVersionLast="47" xr6:coauthVersionMax="47" xr10:uidLastSave="{00000000-0000-0000-0000-000000000000}"/>
  <bookViews>
    <workbookView xWindow="-120" yWindow="-120" windowWidth="20730" windowHeight="11040" firstSheet="2" activeTab="2" xr2:uid="{98240CF5-6EBA-4E2F-9B9D-0C58D716431E}"/>
  </bookViews>
  <sheets>
    <sheet name="Hoja2" sheetId="2" state="hidden" r:id="rId1"/>
    <sheet name="BASE" sheetId="1" state="hidden" r:id="rId2"/>
    <sheet name="TRAMOS" sheetId="10" r:id="rId3"/>
    <sheet name="Datos" sheetId="12" r:id="rId4"/>
    <sheet name="tabla dinamica para analisis" sheetId="13" state="hidden" r:id="rId5"/>
    <sheet name="Analisis de dist. de tub." sheetId="14" r:id="rId6"/>
    <sheet name="Grafico x dis. y clasificación" sheetId="15" r:id="rId7"/>
    <sheet name="Gráfico dis por material y diam" sheetId="16" r:id="rId8"/>
    <sheet name="Hoja7" sheetId="7" state="hidden" r:id="rId9"/>
    <sheet name="ANALISIS DE TUBERÍA DE RED" sheetId="8" state="hidden" r:id="rId10"/>
  </sheets>
  <externalReferences>
    <externalReference r:id="rId11"/>
    <externalReference r:id="rId12"/>
  </externalReferences>
  <definedNames>
    <definedName name="_xlnm._FilterDatabase" localSheetId="2" hidden="1">TRAMOS!$B$4:$AN$4</definedName>
  </definedNames>
  <calcPr calcId="191029"/>
  <pivotCaches>
    <pivotCache cacheId="0" r:id="rId13"/>
    <pivotCache cacheId="1" r:id="rId14"/>
    <pivotCache cacheId="2" r:id="rId1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1212" i="10" l="1"/>
  <c r="AO1210" i="10"/>
  <c r="G16" i="14"/>
  <c r="M16" i="14" s="1"/>
  <c r="F16" i="14"/>
  <c r="L16" i="14" s="1"/>
  <c r="E16" i="14"/>
  <c r="K16" i="14" s="1"/>
  <c r="D16" i="14"/>
  <c r="C16" i="14"/>
  <c r="I16" i="14" s="1"/>
  <c r="G15" i="14"/>
  <c r="M15" i="14" s="1"/>
  <c r="F15" i="14"/>
  <c r="L15" i="14" s="1"/>
  <c r="E15" i="14"/>
  <c r="D15" i="14"/>
  <c r="J15" i="14" s="1"/>
  <c r="C15" i="14"/>
  <c r="G14" i="14"/>
  <c r="F14" i="14"/>
  <c r="L14" i="14" s="1"/>
  <c r="E14" i="14"/>
  <c r="D14" i="14"/>
  <c r="J14" i="14" s="1"/>
  <c r="C14" i="14"/>
  <c r="I14" i="14" s="1"/>
  <c r="G13" i="14"/>
  <c r="F13" i="14"/>
  <c r="L13" i="14" s="1"/>
  <c r="E13" i="14"/>
  <c r="D13" i="14"/>
  <c r="J13" i="14" s="1"/>
  <c r="C13" i="14"/>
  <c r="G12" i="14"/>
  <c r="F12" i="14"/>
  <c r="E12" i="14"/>
  <c r="D12" i="14"/>
  <c r="J12" i="14" s="1"/>
  <c r="C12" i="14"/>
  <c r="G11" i="14"/>
  <c r="F11" i="14"/>
  <c r="E11" i="14"/>
  <c r="D11" i="14"/>
  <c r="J11" i="14" s="1"/>
  <c r="C11" i="14"/>
  <c r="G10" i="14"/>
  <c r="F10" i="14"/>
  <c r="E10" i="14"/>
  <c r="D10" i="14"/>
  <c r="J10" i="14" s="1"/>
  <c r="C10" i="14"/>
  <c r="I9" i="14"/>
  <c r="G9" i="14"/>
  <c r="F9" i="14"/>
  <c r="L9" i="14" s="1"/>
  <c r="E9" i="14"/>
  <c r="K9" i="14" s="1"/>
  <c r="D9" i="14"/>
  <c r="J9" i="14" s="1"/>
  <c r="C9" i="14"/>
  <c r="G8" i="14"/>
  <c r="F8" i="14"/>
  <c r="E8" i="14"/>
  <c r="D8" i="14"/>
  <c r="J8" i="14" s="1"/>
  <c r="C8" i="14"/>
  <c r="G7" i="14"/>
  <c r="F7" i="14"/>
  <c r="L7" i="14" s="1"/>
  <c r="E7" i="14"/>
  <c r="K7" i="14" s="1"/>
  <c r="D7" i="14"/>
  <c r="J7" i="14" s="1"/>
  <c r="C7" i="14"/>
  <c r="G6" i="14"/>
  <c r="F6" i="14"/>
  <c r="E6" i="14"/>
  <c r="K6" i="14" s="1"/>
  <c r="D6" i="14"/>
  <c r="J6" i="14" s="1"/>
  <c r="C6" i="14"/>
  <c r="I6" i="14" s="1"/>
  <c r="G5" i="14"/>
  <c r="F5" i="14"/>
  <c r="L5" i="14" s="1"/>
  <c r="E5" i="14"/>
  <c r="K5" i="14" s="1"/>
  <c r="D5" i="14"/>
  <c r="J5" i="14" s="1"/>
  <c r="C5" i="14"/>
  <c r="I5" i="14" s="1"/>
  <c r="G4" i="14"/>
  <c r="F4" i="14"/>
  <c r="E4" i="14"/>
  <c r="D4" i="14"/>
  <c r="C4" i="14"/>
  <c r="AN7" i="10"/>
  <c r="AN8" i="10"/>
  <c r="AN9" i="10"/>
  <c r="AN10" i="10"/>
  <c r="AN11" i="10"/>
  <c r="AN12" i="10"/>
  <c r="AN13" i="10"/>
  <c r="AN14" i="10"/>
  <c r="AN15" i="10"/>
  <c r="AN16" i="10"/>
  <c r="AN17" i="10"/>
  <c r="AN18" i="10"/>
  <c r="AN19" i="10"/>
  <c r="AN20" i="10"/>
  <c r="AN21" i="10"/>
  <c r="AN22" i="10"/>
  <c r="AN23" i="10"/>
  <c r="AN24" i="10"/>
  <c r="AN25" i="10"/>
  <c r="AN26" i="10"/>
  <c r="AN27" i="10"/>
  <c r="AN28" i="10"/>
  <c r="AN29" i="10"/>
  <c r="AN30" i="10"/>
  <c r="AN31" i="10"/>
  <c r="AN32" i="10"/>
  <c r="AN33" i="10"/>
  <c r="AN34" i="10"/>
  <c r="AN35" i="10"/>
  <c r="AN36" i="10"/>
  <c r="AN37" i="10"/>
  <c r="AN38" i="10"/>
  <c r="AN39" i="10"/>
  <c r="AN40" i="10"/>
  <c r="AN41" i="10"/>
  <c r="AN42" i="10"/>
  <c r="AN43" i="10"/>
  <c r="AN44" i="10"/>
  <c r="AN45" i="10"/>
  <c r="AN46" i="10"/>
  <c r="AN47" i="10"/>
  <c r="AN48" i="10"/>
  <c r="AN49" i="10"/>
  <c r="AN50" i="10"/>
  <c r="AN51" i="10"/>
  <c r="AN52" i="10"/>
  <c r="AN53" i="10"/>
  <c r="AN54" i="10"/>
  <c r="AN55" i="10"/>
  <c r="AN56" i="10"/>
  <c r="AN57" i="10"/>
  <c r="AN58" i="10"/>
  <c r="AN59" i="10"/>
  <c r="AN60" i="10"/>
  <c r="AN61" i="10"/>
  <c r="AN62" i="10"/>
  <c r="AN63" i="10"/>
  <c r="AN64" i="10"/>
  <c r="AN65" i="10"/>
  <c r="AN66" i="10"/>
  <c r="AN67" i="10"/>
  <c r="AN68" i="10"/>
  <c r="AN69" i="10"/>
  <c r="AN70" i="10"/>
  <c r="AN71" i="10"/>
  <c r="AN72" i="10"/>
  <c r="AN73" i="10"/>
  <c r="AN74" i="10"/>
  <c r="AN75" i="10"/>
  <c r="AN76" i="10"/>
  <c r="AN77" i="10"/>
  <c r="AN78" i="10"/>
  <c r="AN79" i="10"/>
  <c r="AN80" i="10"/>
  <c r="AN81" i="10"/>
  <c r="AN82" i="10"/>
  <c r="AN83" i="10"/>
  <c r="AN84" i="10"/>
  <c r="AN85" i="10"/>
  <c r="AN86" i="10"/>
  <c r="AN87" i="10"/>
  <c r="AN88" i="10"/>
  <c r="AN89" i="10"/>
  <c r="AN90" i="10"/>
  <c r="AN91" i="10"/>
  <c r="AN92" i="10"/>
  <c r="AN93" i="10"/>
  <c r="AN94" i="10"/>
  <c r="AN95" i="10"/>
  <c r="AN96" i="10"/>
  <c r="AN97" i="10"/>
  <c r="AN98" i="10"/>
  <c r="AN99" i="10"/>
  <c r="AN100" i="10"/>
  <c r="AN101" i="10"/>
  <c r="AN102" i="10"/>
  <c r="AN103" i="10"/>
  <c r="AN104" i="10"/>
  <c r="AN105" i="10"/>
  <c r="AN106" i="10"/>
  <c r="AN107" i="10"/>
  <c r="AN108" i="10"/>
  <c r="AN109" i="10"/>
  <c r="AN110" i="10"/>
  <c r="AN111" i="10"/>
  <c r="AN112" i="10"/>
  <c r="AN113" i="10"/>
  <c r="AN114" i="10"/>
  <c r="AN115" i="10"/>
  <c r="AN116" i="10"/>
  <c r="AN117" i="10"/>
  <c r="AN118" i="10"/>
  <c r="AN119" i="10"/>
  <c r="AN120" i="10"/>
  <c r="AN121" i="10"/>
  <c r="AN122" i="10"/>
  <c r="AN123" i="10"/>
  <c r="AN124" i="10"/>
  <c r="AN125" i="10"/>
  <c r="AN126" i="10"/>
  <c r="AN127" i="10"/>
  <c r="AN128" i="10"/>
  <c r="AN129" i="10"/>
  <c r="AN130" i="10"/>
  <c r="AN131" i="10"/>
  <c r="AN132" i="10"/>
  <c r="AN133" i="10"/>
  <c r="AN134" i="10"/>
  <c r="AN135" i="10"/>
  <c r="AN136" i="10"/>
  <c r="AN137" i="10"/>
  <c r="AN138" i="10"/>
  <c r="AN139" i="10"/>
  <c r="AN140" i="10"/>
  <c r="AN141" i="10"/>
  <c r="AN142" i="10"/>
  <c r="AN143" i="10"/>
  <c r="AN144" i="10"/>
  <c r="AN145" i="10"/>
  <c r="AN146" i="10"/>
  <c r="AN147" i="10"/>
  <c r="AN148" i="10"/>
  <c r="AN149" i="10"/>
  <c r="AN150" i="10"/>
  <c r="AN151" i="10"/>
  <c r="AN152" i="10"/>
  <c r="AN153" i="10"/>
  <c r="AN154" i="10"/>
  <c r="AN155" i="10"/>
  <c r="AN156" i="10"/>
  <c r="AN157" i="10"/>
  <c r="AN158" i="10"/>
  <c r="AN159" i="10"/>
  <c r="AN160" i="10"/>
  <c r="AN161" i="10"/>
  <c r="AN162" i="10"/>
  <c r="AN163" i="10"/>
  <c r="AN164" i="10"/>
  <c r="AN165" i="10"/>
  <c r="AN166" i="10"/>
  <c r="AN167" i="10"/>
  <c r="AN168" i="10"/>
  <c r="AN169" i="10"/>
  <c r="AN170" i="10"/>
  <c r="AN171" i="10"/>
  <c r="AN172" i="10"/>
  <c r="AN173" i="10"/>
  <c r="AN174" i="10"/>
  <c r="AN175" i="10"/>
  <c r="AN176" i="10"/>
  <c r="AN177" i="10"/>
  <c r="AN178" i="10"/>
  <c r="AN179" i="10"/>
  <c r="AN180" i="10"/>
  <c r="AN181" i="10"/>
  <c r="AN182" i="10"/>
  <c r="AN183" i="10"/>
  <c r="AN184" i="10"/>
  <c r="AN185" i="10"/>
  <c r="AN186" i="10"/>
  <c r="AN187" i="10"/>
  <c r="AN188" i="10"/>
  <c r="AN189" i="10"/>
  <c r="AN190" i="10"/>
  <c r="AN191" i="10"/>
  <c r="AN192" i="10"/>
  <c r="AN193" i="10"/>
  <c r="AN194" i="10"/>
  <c r="AN195" i="10"/>
  <c r="AN196" i="10"/>
  <c r="AN197" i="10"/>
  <c r="AN198" i="10"/>
  <c r="AN199" i="10"/>
  <c r="AN200" i="10"/>
  <c r="AN201" i="10"/>
  <c r="AN202" i="10"/>
  <c r="AN203" i="10"/>
  <c r="AN204" i="10"/>
  <c r="AN205" i="10"/>
  <c r="AN206" i="10"/>
  <c r="AN207" i="10"/>
  <c r="AN208" i="10"/>
  <c r="AN209" i="10"/>
  <c r="AN210" i="10"/>
  <c r="AN211" i="10"/>
  <c r="AN212" i="10"/>
  <c r="AN213" i="10"/>
  <c r="AN214" i="10"/>
  <c r="AN215" i="10"/>
  <c r="AN216" i="10"/>
  <c r="AN217" i="10"/>
  <c r="AN218" i="10"/>
  <c r="AN219" i="10"/>
  <c r="AN220" i="10"/>
  <c r="AN221" i="10"/>
  <c r="AN222" i="10"/>
  <c r="AN223" i="10"/>
  <c r="AN224" i="10"/>
  <c r="AN225" i="10"/>
  <c r="AN226" i="10"/>
  <c r="AN227" i="10"/>
  <c r="AN228" i="10"/>
  <c r="AN229" i="10"/>
  <c r="AN230" i="10"/>
  <c r="AN231" i="10"/>
  <c r="AN232" i="10"/>
  <c r="AN233" i="10"/>
  <c r="AN234" i="10"/>
  <c r="AN235" i="10"/>
  <c r="AN236" i="10"/>
  <c r="AN237" i="10"/>
  <c r="AN238" i="10"/>
  <c r="AN239" i="10"/>
  <c r="AN240" i="10"/>
  <c r="AN241" i="10"/>
  <c r="AN242" i="10"/>
  <c r="AN243" i="10"/>
  <c r="AN244" i="10"/>
  <c r="AN245" i="10"/>
  <c r="AN246" i="10"/>
  <c r="AN247" i="10"/>
  <c r="AN248" i="10"/>
  <c r="AN249" i="10"/>
  <c r="AN250" i="10"/>
  <c r="AN251" i="10"/>
  <c r="AN252" i="10"/>
  <c r="AN253" i="10"/>
  <c r="AN254" i="10"/>
  <c r="AN255" i="10"/>
  <c r="AN256" i="10"/>
  <c r="AN257" i="10"/>
  <c r="AN258" i="10"/>
  <c r="AN259" i="10"/>
  <c r="AN260" i="10"/>
  <c r="AN261" i="10"/>
  <c r="AN262" i="10"/>
  <c r="AN263" i="10"/>
  <c r="AN264" i="10"/>
  <c r="AN265" i="10"/>
  <c r="AN266" i="10"/>
  <c r="AN267" i="10"/>
  <c r="AN268" i="10"/>
  <c r="AN269" i="10"/>
  <c r="AN270" i="10"/>
  <c r="AN271" i="10"/>
  <c r="AN272" i="10"/>
  <c r="AN273" i="10"/>
  <c r="AN274" i="10"/>
  <c r="AN275" i="10"/>
  <c r="AN276" i="10"/>
  <c r="AN277" i="10"/>
  <c r="AN278" i="10"/>
  <c r="AN279" i="10"/>
  <c r="AN280" i="10"/>
  <c r="AN281" i="10"/>
  <c r="AN282" i="10"/>
  <c r="AN283" i="10"/>
  <c r="AN284" i="10"/>
  <c r="AN285" i="10"/>
  <c r="AN286" i="10"/>
  <c r="AN287" i="10"/>
  <c r="AN288" i="10"/>
  <c r="AN289" i="10"/>
  <c r="AN290" i="10"/>
  <c r="AN291" i="10"/>
  <c r="AN292" i="10"/>
  <c r="AN293" i="10"/>
  <c r="AN294" i="10"/>
  <c r="AN295" i="10"/>
  <c r="AN296" i="10"/>
  <c r="AN297" i="10"/>
  <c r="AN298" i="10"/>
  <c r="AN299" i="10"/>
  <c r="AN300" i="10"/>
  <c r="AN301" i="10"/>
  <c r="AN302" i="10"/>
  <c r="AN303" i="10"/>
  <c r="AN304" i="10"/>
  <c r="AN305" i="10"/>
  <c r="AN306" i="10"/>
  <c r="AN307" i="10"/>
  <c r="AN308" i="10"/>
  <c r="AN309" i="10"/>
  <c r="AN310" i="10"/>
  <c r="AN311" i="10"/>
  <c r="AN312" i="10"/>
  <c r="AN313" i="10"/>
  <c r="AN314" i="10"/>
  <c r="AN315" i="10"/>
  <c r="AN316" i="10"/>
  <c r="AN317" i="10"/>
  <c r="AN318" i="10"/>
  <c r="AN319" i="10"/>
  <c r="AN320" i="10"/>
  <c r="AN321" i="10"/>
  <c r="AN322" i="10"/>
  <c r="AN323" i="10"/>
  <c r="AN324" i="10"/>
  <c r="AN325" i="10"/>
  <c r="AN326" i="10"/>
  <c r="AN327" i="10"/>
  <c r="AN328" i="10"/>
  <c r="AN329" i="10"/>
  <c r="AN330" i="10"/>
  <c r="AN331" i="10"/>
  <c r="AN332" i="10"/>
  <c r="AN333" i="10"/>
  <c r="AN334" i="10"/>
  <c r="AN335" i="10"/>
  <c r="AN336" i="10"/>
  <c r="AN337" i="10"/>
  <c r="AN338" i="10"/>
  <c r="AN339" i="10"/>
  <c r="AN340" i="10"/>
  <c r="AN341" i="10"/>
  <c r="AN342" i="10"/>
  <c r="AN343" i="10"/>
  <c r="AN344" i="10"/>
  <c r="AN345" i="10"/>
  <c r="AN346" i="10"/>
  <c r="AN347" i="10"/>
  <c r="AN348" i="10"/>
  <c r="AN349" i="10"/>
  <c r="AN350" i="10"/>
  <c r="AN351" i="10"/>
  <c r="AN352" i="10"/>
  <c r="AN353" i="10"/>
  <c r="AN354" i="10"/>
  <c r="AN355" i="10"/>
  <c r="AN356" i="10"/>
  <c r="AN357" i="10"/>
  <c r="AN358" i="10"/>
  <c r="AN359" i="10"/>
  <c r="AN360" i="10"/>
  <c r="AN361" i="10"/>
  <c r="AN362" i="10"/>
  <c r="AN363" i="10"/>
  <c r="AN364" i="10"/>
  <c r="AN365" i="10"/>
  <c r="AN366" i="10"/>
  <c r="AN367" i="10"/>
  <c r="AN368" i="10"/>
  <c r="AN369" i="10"/>
  <c r="AN370" i="10"/>
  <c r="AN371" i="10"/>
  <c r="AN372" i="10"/>
  <c r="AN373" i="10"/>
  <c r="AN374" i="10"/>
  <c r="AN375" i="10"/>
  <c r="AN376" i="10"/>
  <c r="AN377" i="10"/>
  <c r="AN378" i="10"/>
  <c r="AN379" i="10"/>
  <c r="AN380" i="10"/>
  <c r="AN381" i="10"/>
  <c r="AN382" i="10"/>
  <c r="AN383" i="10"/>
  <c r="AN384" i="10"/>
  <c r="AN385" i="10"/>
  <c r="AN386" i="10"/>
  <c r="AN387" i="10"/>
  <c r="AN388" i="10"/>
  <c r="AN389" i="10"/>
  <c r="AN390" i="10"/>
  <c r="AN391" i="10"/>
  <c r="AN392" i="10"/>
  <c r="AN393" i="10"/>
  <c r="AN394" i="10"/>
  <c r="AN395" i="10"/>
  <c r="AN396" i="10"/>
  <c r="AN397" i="10"/>
  <c r="AN398" i="10"/>
  <c r="AN399" i="10"/>
  <c r="AN400" i="10"/>
  <c r="AN401" i="10"/>
  <c r="AN402" i="10"/>
  <c r="AN403" i="10"/>
  <c r="AN404" i="10"/>
  <c r="AN405" i="10"/>
  <c r="AN406" i="10"/>
  <c r="AN407" i="10"/>
  <c r="AN408" i="10"/>
  <c r="AN409" i="10"/>
  <c r="AN410" i="10"/>
  <c r="AN411" i="10"/>
  <c r="AN412" i="10"/>
  <c r="AN413" i="10"/>
  <c r="AN414" i="10"/>
  <c r="AN415" i="10"/>
  <c r="AN416" i="10"/>
  <c r="AN417" i="10"/>
  <c r="AN418" i="10"/>
  <c r="AN419" i="10"/>
  <c r="AN420" i="10"/>
  <c r="AN421" i="10"/>
  <c r="AN422" i="10"/>
  <c r="AN423" i="10"/>
  <c r="AN424" i="10"/>
  <c r="AN425" i="10"/>
  <c r="AN426" i="10"/>
  <c r="AN427" i="10"/>
  <c r="AN428" i="10"/>
  <c r="AN429" i="10"/>
  <c r="AN430" i="10"/>
  <c r="AN431" i="10"/>
  <c r="AN432" i="10"/>
  <c r="AN433" i="10"/>
  <c r="AN434" i="10"/>
  <c r="AN435" i="10"/>
  <c r="AN436" i="10"/>
  <c r="AN437" i="10"/>
  <c r="AN438" i="10"/>
  <c r="AN439" i="10"/>
  <c r="AN440" i="10"/>
  <c r="AN441" i="10"/>
  <c r="AN442" i="10"/>
  <c r="AN443" i="10"/>
  <c r="AN444" i="10"/>
  <c r="AN445" i="10"/>
  <c r="AN446" i="10"/>
  <c r="AN447" i="10"/>
  <c r="AN448" i="10"/>
  <c r="AN449" i="10"/>
  <c r="AN450" i="10"/>
  <c r="AN451" i="10"/>
  <c r="AN452" i="10"/>
  <c r="AN453" i="10"/>
  <c r="AN454" i="10"/>
  <c r="AN455" i="10"/>
  <c r="AN456" i="10"/>
  <c r="AN457" i="10"/>
  <c r="AN458" i="10"/>
  <c r="AN459" i="10"/>
  <c r="AN460" i="10"/>
  <c r="AN461" i="10"/>
  <c r="AN462" i="10"/>
  <c r="AN463" i="10"/>
  <c r="AN464" i="10"/>
  <c r="AN465" i="10"/>
  <c r="AN466" i="10"/>
  <c r="AN467" i="10"/>
  <c r="AN468" i="10"/>
  <c r="AN469" i="10"/>
  <c r="AN470" i="10"/>
  <c r="AN471" i="10"/>
  <c r="AN472" i="10"/>
  <c r="AN473" i="10"/>
  <c r="AN474" i="10"/>
  <c r="AN475" i="10"/>
  <c r="AN476" i="10"/>
  <c r="AN477" i="10"/>
  <c r="AN478" i="10"/>
  <c r="AN479" i="10"/>
  <c r="AN480" i="10"/>
  <c r="AN481" i="10"/>
  <c r="AN482" i="10"/>
  <c r="AN483" i="10"/>
  <c r="AN484" i="10"/>
  <c r="AN485" i="10"/>
  <c r="AN486" i="10"/>
  <c r="AN487" i="10"/>
  <c r="AN488" i="10"/>
  <c r="AN489" i="10"/>
  <c r="AN490" i="10"/>
  <c r="AN491" i="10"/>
  <c r="AN492" i="10"/>
  <c r="AN493" i="10"/>
  <c r="AN494" i="10"/>
  <c r="AN495" i="10"/>
  <c r="AN496" i="10"/>
  <c r="AN497" i="10"/>
  <c r="AN498" i="10"/>
  <c r="AN499" i="10"/>
  <c r="AN500" i="10"/>
  <c r="AN501" i="10"/>
  <c r="AN502" i="10"/>
  <c r="AN503" i="10"/>
  <c r="AN504" i="10"/>
  <c r="AN505" i="10"/>
  <c r="AN506" i="10"/>
  <c r="AN507" i="10"/>
  <c r="AN508" i="10"/>
  <c r="AN509" i="10"/>
  <c r="AN510" i="10"/>
  <c r="AN511" i="10"/>
  <c r="AN512" i="10"/>
  <c r="AN513" i="10"/>
  <c r="AN514" i="10"/>
  <c r="AN515" i="10"/>
  <c r="AN516" i="10"/>
  <c r="AN517" i="10"/>
  <c r="AN518" i="10"/>
  <c r="AN519" i="10"/>
  <c r="AN520" i="10"/>
  <c r="AN521" i="10"/>
  <c r="AN522" i="10"/>
  <c r="AN523" i="10"/>
  <c r="AN524" i="10"/>
  <c r="AN525" i="10"/>
  <c r="AN526" i="10"/>
  <c r="AN527" i="10"/>
  <c r="AN528" i="10"/>
  <c r="AN529" i="10"/>
  <c r="AN530" i="10"/>
  <c r="AN531" i="10"/>
  <c r="AN532" i="10"/>
  <c r="AN533" i="10"/>
  <c r="AN534" i="10"/>
  <c r="AN535" i="10"/>
  <c r="AN536" i="10"/>
  <c r="AN537" i="10"/>
  <c r="AN538" i="10"/>
  <c r="AN539" i="10"/>
  <c r="AN540" i="10"/>
  <c r="AN541" i="10"/>
  <c r="AN542" i="10"/>
  <c r="AN543" i="10"/>
  <c r="AN544" i="10"/>
  <c r="AN545" i="10"/>
  <c r="AN546" i="10"/>
  <c r="AN547" i="10"/>
  <c r="AN548" i="10"/>
  <c r="AN549" i="10"/>
  <c r="AN550" i="10"/>
  <c r="AN551" i="10"/>
  <c r="AN552" i="10"/>
  <c r="AN553" i="10"/>
  <c r="AN554" i="10"/>
  <c r="AN555" i="10"/>
  <c r="AN556" i="10"/>
  <c r="AN557" i="10"/>
  <c r="AN558" i="10"/>
  <c r="AN559" i="10"/>
  <c r="AN560" i="10"/>
  <c r="AN561" i="10"/>
  <c r="AN562" i="10"/>
  <c r="AN563" i="10"/>
  <c r="AN564" i="10"/>
  <c r="AN565" i="10"/>
  <c r="AN566" i="10"/>
  <c r="AN567" i="10"/>
  <c r="AN568" i="10"/>
  <c r="AN569" i="10"/>
  <c r="AN570" i="10"/>
  <c r="AN571" i="10"/>
  <c r="AN572" i="10"/>
  <c r="AN573" i="10"/>
  <c r="AN574" i="10"/>
  <c r="AN575" i="10"/>
  <c r="AN576" i="10"/>
  <c r="AN577" i="10"/>
  <c r="AN578" i="10"/>
  <c r="AN579" i="10"/>
  <c r="AN580" i="10"/>
  <c r="AN581" i="10"/>
  <c r="AN582" i="10"/>
  <c r="AN583" i="10"/>
  <c r="AN584" i="10"/>
  <c r="AN585" i="10"/>
  <c r="AN586" i="10"/>
  <c r="AN587" i="10"/>
  <c r="AN588" i="10"/>
  <c r="AN589" i="10"/>
  <c r="AN590" i="10"/>
  <c r="AN591" i="10"/>
  <c r="AN592" i="10"/>
  <c r="AN593" i="10"/>
  <c r="AN594" i="10"/>
  <c r="AN595" i="10"/>
  <c r="AN596" i="10"/>
  <c r="AN597" i="10"/>
  <c r="AN598" i="10"/>
  <c r="AN599" i="10"/>
  <c r="AN600" i="10"/>
  <c r="AN601" i="10"/>
  <c r="AN602" i="10"/>
  <c r="AN603" i="10"/>
  <c r="AN604" i="10"/>
  <c r="AN605" i="10"/>
  <c r="AN606" i="10"/>
  <c r="AN607" i="10"/>
  <c r="AN608" i="10"/>
  <c r="AN609" i="10"/>
  <c r="AN610" i="10"/>
  <c r="AN611" i="10"/>
  <c r="AN612" i="10"/>
  <c r="AN613" i="10"/>
  <c r="AN614" i="10"/>
  <c r="AN615" i="10"/>
  <c r="AN616" i="10"/>
  <c r="AN617" i="10"/>
  <c r="AN618" i="10"/>
  <c r="AN619" i="10"/>
  <c r="AN620" i="10"/>
  <c r="AN621" i="10"/>
  <c r="AN622" i="10"/>
  <c r="AN623" i="10"/>
  <c r="AN624" i="10"/>
  <c r="AN625" i="10"/>
  <c r="AN626" i="10"/>
  <c r="AN627" i="10"/>
  <c r="AN628" i="10"/>
  <c r="AN629" i="10"/>
  <c r="AN630" i="10"/>
  <c r="AN631" i="10"/>
  <c r="AN632" i="10"/>
  <c r="AN633" i="10"/>
  <c r="AN634" i="10"/>
  <c r="AN635" i="10"/>
  <c r="AN636" i="10"/>
  <c r="AN637" i="10"/>
  <c r="AN638" i="10"/>
  <c r="AN639" i="10"/>
  <c r="AN640" i="10"/>
  <c r="AN641" i="10"/>
  <c r="AN642" i="10"/>
  <c r="AN643" i="10"/>
  <c r="AN644" i="10"/>
  <c r="AN645" i="10"/>
  <c r="AN646" i="10"/>
  <c r="AN647" i="10"/>
  <c r="AN648" i="10"/>
  <c r="AN649" i="10"/>
  <c r="AN650" i="10"/>
  <c r="AN651" i="10"/>
  <c r="AN652" i="10"/>
  <c r="AN653" i="10"/>
  <c r="AN654" i="10"/>
  <c r="AN655" i="10"/>
  <c r="AN656" i="10"/>
  <c r="AN657" i="10"/>
  <c r="AN658" i="10"/>
  <c r="AN659" i="10"/>
  <c r="AN660" i="10"/>
  <c r="AN661" i="10"/>
  <c r="AN662" i="10"/>
  <c r="AN663" i="10"/>
  <c r="AN664" i="10"/>
  <c r="AN665" i="10"/>
  <c r="AN666" i="10"/>
  <c r="AN667" i="10"/>
  <c r="AN668" i="10"/>
  <c r="AN669" i="10"/>
  <c r="AN670" i="10"/>
  <c r="AN671" i="10"/>
  <c r="AN672" i="10"/>
  <c r="AN673" i="10"/>
  <c r="AN674" i="10"/>
  <c r="AN675" i="10"/>
  <c r="AN676" i="10"/>
  <c r="AN677" i="10"/>
  <c r="AN678" i="10"/>
  <c r="AN679" i="10"/>
  <c r="AN680" i="10"/>
  <c r="AN681" i="10"/>
  <c r="AN682" i="10"/>
  <c r="AN683" i="10"/>
  <c r="AN684" i="10"/>
  <c r="AN685" i="10"/>
  <c r="AN686" i="10"/>
  <c r="AN687" i="10"/>
  <c r="AN688" i="10"/>
  <c r="AN689" i="10"/>
  <c r="AN690" i="10"/>
  <c r="AN691" i="10"/>
  <c r="AN692" i="10"/>
  <c r="AN693" i="10"/>
  <c r="AN694" i="10"/>
  <c r="AN695" i="10"/>
  <c r="AN696" i="10"/>
  <c r="AN697" i="10"/>
  <c r="AN698" i="10"/>
  <c r="AN699" i="10"/>
  <c r="AN700" i="10"/>
  <c r="AN701" i="10"/>
  <c r="AN702" i="10"/>
  <c r="AN703" i="10"/>
  <c r="AN704" i="10"/>
  <c r="AN705" i="10"/>
  <c r="AN706" i="10"/>
  <c r="AN707" i="10"/>
  <c r="AN708" i="10"/>
  <c r="AN709" i="10"/>
  <c r="AN710" i="10"/>
  <c r="AN711" i="10"/>
  <c r="AN712" i="10"/>
  <c r="AN713" i="10"/>
  <c r="AN714" i="10"/>
  <c r="AN715" i="10"/>
  <c r="AN716" i="10"/>
  <c r="AN717" i="10"/>
  <c r="AN718" i="10"/>
  <c r="AN719" i="10"/>
  <c r="AN720" i="10"/>
  <c r="AN721" i="10"/>
  <c r="AN722" i="10"/>
  <c r="AN723" i="10"/>
  <c r="AN724" i="10"/>
  <c r="AN725" i="10"/>
  <c r="AN726" i="10"/>
  <c r="AN727" i="10"/>
  <c r="AN728" i="10"/>
  <c r="AN729" i="10"/>
  <c r="AN730" i="10"/>
  <c r="AN731" i="10"/>
  <c r="AN732" i="10"/>
  <c r="AN733" i="10"/>
  <c r="AN734" i="10"/>
  <c r="AN735" i="10"/>
  <c r="AN736" i="10"/>
  <c r="AN737" i="10"/>
  <c r="AN738" i="10"/>
  <c r="AN739" i="10"/>
  <c r="AN740" i="10"/>
  <c r="AN741" i="10"/>
  <c r="AN742" i="10"/>
  <c r="AN743" i="10"/>
  <c r="AN744" i="10"/>
  <c r="AN745" i="10"/>
  <c r="AN746" i="10"/>
  <c r="AN747" i="10"/>
  <c r="AN748" i="10"/>
  <c r="AN749" i="10"/>
  <c r="AN750" i="10"/>
  <c r="AN751" i="10"/>
  <c r="AN752" i="10"/>
  <c r="AN753" i="10"/>
  <c r="AN754" i="10"/>
  <c r="AN755" i="10"/>
  <c r="AN756" i="10"/>
  <c r="AN757" i="10"/>
  <c r="AN758" i="10"/>
  <c r="AN759" i="10"/>
  <c r="AN760" i="10"/>
  <c r="AN761" i="10"/>
  <c r="AN762" i="10"/>
  <c r="AN763" i="10"/>
  <c r="AN764" i="10"/>
  <c r="AN765" i="10"/>
  <c r="AN766" i="10"/>
  <c r="AN767" i="10"/>
  <c r="AN768" i="10"/>
  <c r="AN769" i="10"/>
  <c r="AN770" i="10"/>
  <c r="AN771" i="10"/>
  <c r="AN772" i="10"/>
  <c r="AN773" i="10"/>
  <c r="AN774" i="10"/>
  <c r="AN775" i="10"/>
  <c r="AN776" i="10"/>
  <c r="AN777" i="10"/>
  <c r="AN778" i="10"/>
  <c r="AN779" i="10"/>
  <c r="AN780" i="10"/>
  <c r="AN781" i="10"/>
  <c r="AN782" i="10"/>
  <c r="AN783" i="10"/>
  <c r="AN784" i="10"/>
  <c r="AN785" i="10"/>
  <c r="AN786" i="10"/>
  <c r="AN787" i="10"/>
  <c r="AN788" i="10"/>
  <c r="AN789" i="10"/>
  <c r="AN790" i="10"/>
  <c r="AN791" i="10"/>
  <c r="AN792" i="10"/>
  <c r="AN793" i="10"/>
  <c r="AN794" i="10"/>
  <c r="AN795" i="10"/>
  <c r="AN796" i="10"/>
  <c r="AN797" i="10"/>
  <c r="AN798" i="10"/>
  <c r="AN799" i="10"/>
  <c r="AN800" i="10"/>
  <c r="AN801" i="10"/>
  <c r="AN802" i="10"/>
  <c r="AN803" i="10"/>
  <c r="AN804" i="10"/>
  <c r="AN805" i="10"/>
  <c r="AN806" i="10"/>
  <c r="AN807" i="10"/>
  <c r="AN808" i="10"/>
  <c r="AN809" i="10"/>
  <c r="AN810" i="10"/>
  <c r="AN811" i="10"/>
  <c r="AN812" i="10"/>
  <c r="AN813" i="10"/>
  <c r="AN814" i="10"/>
  <c r="AN815" i="10"/>
  <c r="AN816" i="10"/>
  <c r="AN817" i="10"/>
  <c r="AN818" i="10"/>
  <c r="AN819" i="10"/>
  <c r="AN820" i="10"/>
  <c r="AN821" i="10"/>
  <c r="AN822" i="10"/>
  <c r="AN823" i="10"/>
  <c r="AN824" i="10"/>
  <c r="AN825" i="10"/>
  <c r="AN826" i="10"/>
  <c r="AN827" i="10"/>
  <c r="AN828" i="10"/>
  <c r="AN829" i="10"/>
  <c r="AN830" i="10"/>
  <c r="AN831" i="10"/>
  <c r="AN832" i="10"/>
  <c r="AN833" i="10"/>
  <c r="AN834" i="10"/>
  <c r="AN835" i="10"/>
  <c r="AN836" i="10"/>
  <c r="AN837" i="10"/>
  <c r="AN838" i="10"/>
  <c r="AN839" i="10"/>
  <c r="AN840" i="10"/>
  <c r="AN841" i="10"/>
  <c r="AN842" i="10"/>
  <c r="AN843" i="10"/>
  <c r="AN844" i="10"/>
  <c r="AN845" i="10"/>
  <c r="AN846" i="10"/>
  <c r="AN847" i="10"/>
  <c r="AN848" i="10"/>
  <c r="AN849" i="10"/>
  <c r="AN850" i="10"/>
  <c r="AN851" i="10"/>
  <c r="AN852" i="10"/>
  <c r="AN853" i="10"/>
  <c r="AN854" i="10"/>
  <c r="AN855" i="10"/>
  <c r="AN856" i="10"/>
  <c r="AN857" i="10"/>
  <c r="AN858" i="10"/>
  <c r="AN859" i="10"/>
  <c r="AN860" i="10"/>
  <c r="AN861" i="10"/>
  <c r="AN862" i="10"/>
  <c r="AN863" i="10"/>
  <c r="AN864" i="10"/>
  <c r="AN865" i="10"/>
  <c r="AN866" i="10"/>
  <c r="AN867" i="10"/>
  <c r="AN868" i="10"/>
  <c r="AN869" i="10"/>
  <c r="AN870" i="10"/>
  <c r="AN871" i="10"/>
  <c r="AN872" i="10"/>
  <c r="AN873" i="10"/>
  <c r="AN874" i="10"/>
  <c r="AN875" i="10"/>
  <c r="AN876" i="10"/>
  <c r="AN877" i="10"/>
  <c r="AN878" i="10"/>
  <c r="AN879" i="10"/>
  <c r="AN880" i="10"/>
  <c r="AN881" i="10"/>
  <c r="AN882" i="10"/>
  <c r="AN883" i="10"/>
  <c r="AN884" i="10"/>
  <c r="AN885" i="10"/>
  <c r="AN886" i="10"/>
  <c r="AN887" i="10"/>
  <c r="AN888" i="10"/>
  <c r="AN889" i="10"/>
  <c r="AN890" i="10"/>
  <c r="AN891" i="10"/>
  <c r="AN892" i="10"/>
  <c r="AN893" i="10"/>
  <c r="AN894" i="10"/>
  <c r="AN895" i="10"/>
  <c r="AN896" i="10"/>
  <c r="AN897" i="10"/>
  <c r="AN898" i="10"/>
  <c r="AN899" i="10"/>
  <c r="AN900" i="10"/>
  <c r="AN901" i="10"/>
  <c r="AN902" i="10"/>
  <c r="AN903" i="10"/>
  <c r="AN904" i="10"/>
  <c r="AN905" i="10"/>
  <c r="AN906" i="10"/>
  <c r="AN907" i="10"/>
  <c r="AN908" i="10"/>
  <c r="AN909" i="10"/>
  <c r="AN910" i="10"/>
  <c r="AN911" i="10"/>
  <c r="AN912" i="10"/>
  <c r="AN913" i="10"/>
  <c r="AN914" i="10"/>
  <c r="AN915" i="10"/>
  <c r="AN916" i="10"/>
  <c r="AN917" i="10"/>
  <c r="AN918" i="10"/>
  <c r="AN919" i="10"/>
  <c r="AN920" i="10"/>
  <c r="AN921" i="10"/>
  <c r="AN922" i="10"/>
  <c r="AN923" i="10"/>
  <c r="AN924" i="10"/>
  <c r="AN925" i="10"/>
  <c r="AN926" i="10"/>
  <c r="AN927" i="10"/>
  <c r="AN928" i="10"/>
  <c r="AN929" i="10"/>
  <c r="AN930" i="10"/>
  <c r="AN931" i="10"/>
  <c r="AN932" i="10"/>
  <c r="AN933" i="10"/>
  <c r="AN934" i="10"/>
  <c r="AN935" i="10"/>
  <c r="AN936" i="10"/>
  <c r="AN937" i="10"/>
  <c r="AN938" i="10"/>
  <c r="AN939" i="10"/>
  <c r="AN940" i="10"/>
  <c r="AN941" i="10"/>
  <c r="AN942" i="10"/>
  <c r="AN943" i="10"/>
  <c r="AN944" i="10"/>
  <c r="AN945" i="10"/>
  <c r="AN946" i="10"/>
  <c r="AN947" i="10"/>
  <c r="AN948" i="10"/>
  <c r="AN949" i="10"/>
  <c r="AN950" i="10"/>
  <c r="AN951" i="10"/>
  <c r="AN952" i="10"/>
  <c r="AN953" i="10"/>
  <c r="AN954" i="10"/>
  <c r="AN955" i="10"/>
  <c r="AN956" i="10"/>
  <c r="AN957" i="10"/>
  <c r="AN958" i="10"/>
  <c r="AN959" i="10"/>
  <c r="AN960" i="10"/>
  <c r="AN961" i="10"/>
  <c r="AN962" i="10"/>
  <c r="AN963" i="10"/>
  <c r="AN964" i="10"/>
  <c r="AN965" i="10"/>
  <c r="AN966" i="10"/>
  <c r="AN967" i="10"/>
  <c r="AN968" i="10"/>
  <c r="AN969" i="10"/>
  <c r="AN970" i="10"/>
  <c r="AN971" i="10"/>
  <c r="AN972" i="10"/>
  <c r="AN973" i="10"/>
  <c r="AN974" i="10"/>
  <c r="AN975" i="10"/>
  <c r="AN976" i="10"/>
  <c r="AN977" i="10"/>
  <c r="AN978" i="10"/>
  <c r="AN979" i="10"/>
  <c r="AN980" i="10"/>
  <c r="AN981" i="10"/>
  <c r="AN982" i="10"/>
  <c r="AN983" i="10"/>
  <c r="AN984" i="10"/>
  <c r="AN985" i="10"/>
  <c r="AN986" i="10"/>
  <c r="AN987" i="10"/>
  <c r="AN988" i="10"/>
  <c r="AN989" i="10"/>
  <c r="AN990" i="10"/>
  <c r="AN991" i="10"/>
  <c r="AN992" i="10"/>
  <c r="AN993" i="10"/>
  <c r="AN994" i="10"/>
  <c r="AN995" i="10"/>
  <c r="AN996" i="10"/>
  <c r="AN997" i="10"/>
  <c r="AN998" i="10"/>
  <c r="AN999" i="10"/>
  <c r="AN1000" i="10"/>
  <c r="AN1001" i="10"/>
  <c r="AN1002" i="10"/>
  <c r="AN1003" i="10"/>
  <c r="AN1004" i="10"/>
  <c r="AN1005" i="10"/>
  <c r="AN1006" i="10"/>
  <c r="AN1007" i="10"/>
  <c r="AN1008" i="10"/>
  <c r="AN1009" i="10"/>
  <c r="AN1010" i="10"/>
  <c r="AN1011" i="10"/>
  <c r="AN1012" i="10"/>
  <c r="AN1013" i="10"/>
  <c r="AN1014" i="10"/>
  <c r="AN1015" i="10"/>
  <c r="AN1016" i="10"/>
  <c r="AN1017" i="10"/>
  <c r="AN1018" i="10"/>
  <c r="AN1019" i="10"/>
  <c r="AN1020" i="10"/>
  <c r="AN1021" i="10"/>
  <c r="AN1022" i="10"/>
  <c r="AN1023" i="10"/>
  <c r="AN1024" i="10"/>
  <c r="AN1025" i="10"/>
  <c r="AN1026" i="10"/>
  <c r="AN1027" i="10"/>
  <c r="AN1028" i="10"/>
  <c r="AN1029" i="10"/>
  <c r="AN1030" i="10"/>
  <c r="AN1031" i="10"/>
  <c r="AN1032" i="10"/>
  <c r="AN1033" i="10"/>
  <c r="AN1034" i="10"/>
  <c r="AN1035" i="10"/>
  <c r="AN1036" i="10"/>
  <c r="AN1037" i="10"/>
  <c r="AN1038" i="10"/>
  <c r="AN1039" i="10"/>
  <c r="AN1040" i="10"/>
  <c r="AN1041" i="10"/>
  <c r="AN1042" i="10"/>
  <c r="AN1043" i="10"/>
  <c r="AN1044" i="10"/>
  <c r="AN1045" i="10"/>
  <c r="AN1046" i="10"/>
  <c r="AN1047" i="10"/>
  <c r="AN1048" i="10"/>
  <c r="AN1049" i="10"/>
  <c r="AN1050" i="10"/>
  <c r="AN1051" i="10"/>
  <c r="AN1052" i="10"/>
  <c r="AN1053" i="10"/>
  <c r="AN1054" i="10"/>
  <c r="AN1055" i="10"/>
  <c r="AN1056" i="10"/>
  <c r="AN1057" i="10"/>
  <c r="AN1058" i="10"/>
  <c r="AN1059" i="10"/>
  <c r="AN1060" i="10"/>
  <c r="AN1061" i="10"/>
  <c r="AN1062" i="10"/>
  <c r="AN1063" i="10"/>
  <c r="AN1064" i="10"/>
  <c r="AN1065" i="10"/>
  <c r="AN1066" i="10"/>
  <c r="AN1067" i="10"/>
  <c r="AN1068" i="10"/>
  <c r="AN1069" i="10"/>
  <c r="AN1070" i="10"/>
  <c r="AN1071" i="10"/>
  <c r="AN1072" i="10"/>
  <c r="AN1073" i="10"/>
  <c r="AN1074" i="10"/>
  <c r="AN1075" i="10"/>
  <c r="AN1076" i="10"/>
  <c r="AN1077" i="10"/>
  <c r="AN1078" i="10"/>
  <c r="AN1079" i="10"/>
  <c r="AN1080" i="10"/>
  <c r="AN1081" i="10"/>
  <c r="AN1082" i="10"/>
  <c r="AN1083" i="10"/>
  <c r="AN1084" i="10"/>
  <c r="AN1085" i="10"/>
  <c r="AN1086" i="10"/>
  <c r="AN1087" i="10"/>
  <c r="AN1088" i="10"/>
  <c r="AN1089" i="10"/>
  <c r="AN1090" i="10"/>
  <c r="AN1091" i="10"/>
  <c r="AN1092" i="10"/>
  <c r="AN1093" i="10"/>
  <c r="AN1094" i="10"/>
  <c r="AN1095" i="10"/>
  <c r="AN1096" i="10"/>
  <c r="AN1097" i="10"/>
  <c r="AN1098" i="10"/>
  <c r="AN1099" i="10"/>
  <c r="AN1100" i="10"/>
  <c r="AN1101" i="10"/>
  <c r="AN1102" i="10"/>
  <c r="AN1103" i="10"/>
  <c r="AN1104" i="10"/>
  <c r="AN1105" i="10"/>
  <c r="AN1106" i="10"/>
  <c r="AN1107" i="10"/>
  <c r="AN1108" i="10"/>
  <c r="AN1109" i="10"/>
  <c r="AN1110" i="10"/>
  <c r="AN1111" i="10"/>
  <c r="AN1112" i="10"/>
  <c r="AN1113" i="10"/>
  <c r="AN1114" i="10"/>
  <c r="AN1115" i="10"/>
  <c r="AN1116" i="10"/>
  <c r="AN1117" i="10"/>
  <c r="AN1118" i="10"/>
  <c r="AN1119" i="10"/>
  <c r="AN1120" i="10"/>
  <c r="AN1121" i="10"/>
  <c r="AN1122" i="10"/>
  <c r="AN1123" i="10"/>
  <c r="AN1124" i="10"/>
  <c r="AN1125" i="10"/>
  <c r="AN1126" i="10"/>
  <c r="AN1127" i="10"/>
  <c r="AN1128" i="10"/>
  <c r="AN1129" i="10"/>
  <c r="AN1130" i="10"/>
  <c r="AN1131" i="10"/>
  <c r="AN1132" i="10"/>
  <c r="AN1133" i="10"/>
  <c r="AN1134" i="10"/>
  <c r="AN1135" i="10"/>
  <c r="AN1136" i="10"/>
  <c r="AN1137" i="10"/>
  <c r="AN1138" i="10"/>
  <c r="AN1139" i="10"/>
  <c r="AN1140" i="10"/>
  <c r="AN1141" i="10"/>
  <c r="AN1142" i="10"/>
  <c r="AN1143" i="10"/>
  <c r="AN1144" i="10"/>
  <c r="AN1145" i="10"/>
  <c r="AN1146" i="10"/>
  <c r="AN1147" i="10"/>
  <c r="AN1148" i="10"/>
  <c r="AN1149" i="10"/>
  <c r="AN1150" i="10"/>
  <c r="AN1151" i="10"/>
  <c r="AN1152" i="10"/>
  <c r="AN1153" i="10"/>
  <c r="AN1154" i="10"/>
  <c r="AN1155" i="10"/>
  <c r="AN1156" i="10"/>
  <c r="AN1157" i="10"/>
  <c r="AN1158" i="10"/>
  <c r="AN1159" i="10"/>
  <c r="AN1160" i="10"/>
  <c r="AN1161" i="10"/>
  <c r="AN1162" i="10"/>
  <c r="AN1163" i="10"/>
  <c r="AN1164" i="10"/>
  <c r="AN1165" i="10"/>
  <c r="AN1166" i="10"/>
  <c r="AN1167" i="10"/>
  <c r="AN1168" i="10"/>
  <c r="AN1169" i="10"/>
  <c r="AN1170" i="10"/>
  <c r="AN1171" i="10"/>
  <c r="AN1172" i="10"/>
  <c r="AN1173" i="10"/>
  <c r="AN1174" i="10"/>
  <c r="AN1175" i="10"/>
  <c r="AN1176" i="10"/>
  <c r="AN1177" i="10"/>
  <c r="AN1178" i="10"/>
  <c r="AN1179" i="10"/>
  <c r="AN1180" i="10"/>
  <c r="AN1181" i="10"/>
  <c r="AN1182" i="10"/>
  <c r="AN1183" i="10"/>
  <c r="AN1184" i="10"/>
  <c r="AN1185" i="10"/>
  <c r="AN1186" i="10"/>
  <c r="AN1187" i="10"/>
  <c r="AN1188" i="10"/>
  <c r="AN1189" i="10"/>
  <c r="AN1190" i="10"/>
  <c r="AN1191" i="10"/>
  <c r="AN1192" i="10"/>
  <c r="AN1193" i="10"/>
  <c r="AN1194" i="10"/>
  <c r="AN1195" i="10"/>
  <c r="AN1196" i="10"/>
  <c r="AN1197" i="10"/>
  <c r="AN1198" i="10"/>
  <c r="AN1199" i="10"/>
  <c r="AN1200" i="10"/>
  <c r="AN1201" i="10"/>
  <c r="AN1202" i="10"/>
  <c r="AN1203" i="10"/>
  <c r="AN1204" i="10"/>
  <c r="AN1205" i="10"/>
  <c r="AN1206" i="10"/>
  <c r="AN1207" i="10"/>
  <c r="AN1208" i="10"/>
  <c r="AN6" i="10"/>
  <c r="AM7" i="10"/>
  <c r="AM8" i="10"/>
  <c r="AM9" i="10"/>
  <c r="AM10" i="10"/>
  <c r="AM11" i="10"/>
  <c r="AM12" i="10"/>
  <c r="AM13" i="10"/>
  <c r="AM14" i="10"/>
  <c r="AM15" i="10"/>
  <c r="AM16" i="10"/>
  <c r="AM17" i="10"/>
  <c r="AM18" i="10"/>
  <c r="AM19" i="10"/>
  <c r="AM20" i="10"/>
  <c r="AM21" i="10"/>
  <c r="AM22" i="10"/>
  <c r="AM23" i="10"/>
  <c r="AM24" i="10"/>
  <c r="AM25" i="10"/>
  <c r="AM26" i="10"/>
  <c r="AM27" i="10"/>
  <c r="AM28" i="10"/>
  <c r="AM29" i="10"/>
  <c r="AM30" i="10"/>
  <c r="AM31" i="10"/>
  <c r="AM32" i="10"/>
  <c r="AM33" i="10"/>
  <c r="AM34" i="10"/>
  <c r="AM35" i="10"/>
  <c r="AM36" i="10"/>
  <c r="AM37" i="10"/>
  <c r="AM38" i="10"/>
  <c r="AM39" i="10"/>
  <c r="AM40" i="10"/>
  <c r="AM41" i="10"/>
  <c r="AM42" i="10"/>
  <c r="AM43" i="10"/>
  <c r="AM44" i="10"/>
  <c r="AM45" i="10"/>
  <c r="AM46" i="10"/>
  <c r="AM47" i="10"/>
  <c r="AM48" i="10"/>
  <c r="AM49" i="10"/>
  <c r="AM50" i="10"/>
  <c r="AM51" i="10"/>
  <c r="AM52" i="10"/>
  <c r="AM53" i="10"/>
  <c r="AM54" i="10"/>
  <c r="AM55" i="10"/>
  <c r="AM56" i="10"/>
  <c r="AM57" i="10"/>
  <c r="AM58" i="10"/>
  <c r="AM59" i="10"/>
  <c r="AM60" i="10"/>
  <c r="AM61" i="10"/>
  <c r="AM62" i="10"/>
  <c r="AM63" i="10"/>
  <c r="AM64" i="10"/>
  <c r="AM65" i="10"/>
  <c r="AM66" i="10"/>
  <c r="AM67" i="10"/>
  <c r="AM68" i="10"/>
  <c r="AM69" i="10"/>
  <c r="AM70" i="10"/>
  <c r="AM71" i="10"/>
  <c r="AM72" i="10"/>
  <c r="AM73" i="10"/>
  <c r="AM74" i="10"/>
  <c r="AM75" i="10"/>
  <c r="AM76" i="10"/>
  <c r="AM77" i="10"/>
  <c r="AM78" i="10"/>
  <c r="AM79" i="10"/>
  <c r="AM80" i="10"/>
  <c r="AM81" i="10"/>
  <c r="AM82" i="10"/>
  <c r="AM83" i="10"/>
  <c r="AM84" i="10"/>
  <c r="AM85" i="10"/>
  <c r="AM86" i="10"/>
  <c r="AM87" i="10"/>
  <c r="AM88" i="10"/>
  <c r="AM89" i="10"/>
  <c r="AM90" i="10"/>
  <c r="AM91" i="10"/>
  <c r="AM92" i="10"/>
  <c r="AM93" i="10"/>
  <c r="AM94" i="10"/>
  <c r="AM95" i="10"/>
  <c r="AM96" i="10"/>
  <c r="AM97" i="10"/>
  <c r="AM98" i="10"/>
  <c r="AM99" i="10"/>
  <c r="AM100" i="10"/>
  <c r="AM101" i="10"/>
  <c r="AM102" i="10"/>
  <c r="AM103" i="10"/>
  <c r="AM104" i="10"/>
  <c r="AM105" i="10"/>
  <c r="AM106" i="10"/>
  <c r="AM107" i="10"/>
  <c r="AM108" i="10"/>
  <c r="AM109" i="10"/>
  <c r="AM110" i="10"/>
  <c r="AM111" i="10"/>
  <c r="AM112" i="10"/>
  <c r="AM113" i="10"/>
  <c r="AM114" i="10"/>
  <c r="AM115" i="10"/>
  <c r="AM116" i="10"/>
  <c r="AM117" i="10"/>
  <c r="AM118" i="10"/>
  <c r="AM119" i="10"/>
  <c r="AM120" i="10"/>
  <c r="AM121" i="10"/>
  <c r="AM122" i="10"/>
  <c r="AM123" i="10"/>
  <c r="AM124" i="10"/>
  <c r="AM125" i="10"/>
  <c r="AM126" i="10"/>
  <c r="AM127" i="10"/>
  <c r="AM128" i="10"/>
  <c r="AM129" i="10"/>
  <c r="AM130" i="10"/>
  <c r="AM131" i="10"/>
  <c r="AM132" i="10"/>
  <c r="AM133" i="10"/>
  <c r="AM134" i="10"/>
  <c r="AM135" i="10"/>
  <c r="AM136" i="10"/>
  <c r="AM137" i="10"/>
  <c r="AM138" i="10"/>
  <c r="AM139" i="10"/>
  <c r="AM140" i="10"/>
  <c r="AM141" i="10"/>
  <c r="AM142" i="10"/>
  <c r="AM143" i="10"/>
  <c r="AM144" i="10"/>
  <c r="AM145" i="10"/>
  <c r="AM146" i="10"/>
  <c r="AM147" i="10"/>
  <c r="AM148" i="10"/>
  <c r="AM149" i="10"/>
  <c r="AM150" i="10"/>
  <c r="AM151" i="10"/>
  <c r="AM152" i="10"/>
  <c r="AM153" i="10"/>
  <c r="AM154" i="10"/>
  <c r="AM155" i="10"/>
  <c r="AM156" i="10"/>
  <c r="AM157" i="10"/>
  <c r="AM158" i="10"/>
  <c r="AM159" i="10"/>
  <c r="AM160" i="10"/>
  <c r="AM161" i="10"/>
  <c r="AM162" i="10"/>
  <c r="AM163" i="10"/>
  <c r="AM164" i="10"/>
  <c r="AM165" i="10"/>
  <c r="AM166" i="10"/>
  <c r="AM167" i="10"/>
  <c r="AM168" i="10"/>
  <c r="AM169" i="10"/>
  <c r="AM170" i="10"/>
  <c r="AM171" i="10"/>
  <c r="AM172" i="10"/>
  <c r="AM173" i="10"/>
  <c r="AM174" i="10"/>
  <c r="AM175" i="10"/>
  <c r="AM176" i="10"/>
  <c r="AM177" i="10"/>
  <c r="AM178" i="10"/>
  <c r="AM179" i="10"/>
  <c r="AM180" i="10"/>
  <c r="AM181" i="10"/>
  <c r="AM182" i="10"/>
  <c r="AM183" i="10"/>
  <c r="AM184" i="10"/>
  <c r="AM185" i="10"/>
  <c r="AM186" i="10"/>
  <c r="AM187" i="10"/>
  <c r="AM188" i="10"/>
  <c r="AM189" i="10"/>
  <c r="AM190" i="10"/>
  <c r="AM191" i="10"/>
  <c r="AM192" i="10"/>
  <c r="AM193" i="10"/>
  <c r="AM194" i="10"/>
  <c r="AM195" i="10"/>
  <c r="AM196" i="10"/>
  <c r="AM197" i="10"/>
  <c r="AM198" i="10"/>
  <c r="AM199" i="10"/>
  <c r="AM200" i="10"/>
  <c r="AM201" i="10"/>
  <c r="AM202" i="10"/>
  <c r="AM203" i="10"/>
  <c r="AM204" i="10"/>
  <c r="AM205" i="10"/>
  <c r="AM206" i="10"/>
  <c r="AM207" i="10"/>
  <c r="AM208" i="10"/>
  <c r="AM209" i="10"/>
  <c r="AM210" i="10"/>
  <c r="AM211" i="10"/>
  <c r="AM212" i="10"/>
  <c r="AM213" i="10"/>
  <c r="AM214" i="10"/>
  <c r="AM215" i="10"/>
  <c r="AM216" i="10"/>
  <c r="AM217" i="10"/>
  <c r="AM218" i="10"/>
  <c r="AM219" i="10"/>
  <c r="AM220" i="10"/>
  <c r="AM221" i="10"/>
  <c r="AM222" i="10"/>
  <c r="AM223" i="10"/>
  <c r="AM224" i="10"/>
  <c r="AM225" i="10"/>
  <c r="AM226" i="10"/>
  <c r="AM227" i="10"/>
  <c r="AM228" i="10"/>
  <c r="AM229" i="10"/>
  <c r="AM230" i="10"/>
  <c r="AM231" i="10"/>
  <c r="AM232" i="10"/>
  <c r="AM233" i="10"/>
  <c r="AM234" i="10"/>
  <c r="AM235" i="10"/>
  <c r="AM236" i="10"/>
  <c r="AM237" i="10"/>
  <c r="AM238" i="10"/>
  <c r="AM239" i="10"/>
  <c r="AM240" i="10"/>
  <c r="AM241" i="10"/>
  <c r="AM242" i="10"/>
  <c r="AM243" i="10"/>
  <c r="AM244" i="10"/>
  <c r="AM245" i="10"/>
  <c r="AM246" i="10"/>
  <c r="AM247" i="10"/>
  <c r="AM248" i="10"/>
  <c r="AM249" i="10"/>
  <c r="AM250" i="10"/>
  <c r="AM251" i="10"/>
  <c r="AM252" i="10"/>
  <c r="AM253" i="10"/>
  <c r="AM254" i="10"/>
  <c r="AM255" i="10"/>
  <c r="AM256" i="10"/>
  <c r="AM257" i="10"/>
  <c r="AM258" i="10"/>
  <c r="AM259" i="10"/>
  <c r="AM260" i="10"/>
  <c r="AM261" i="10"/>
  <c r="AM262" i="10"/>
  <c r="AM263" i="10"/>
  <c r="AM264" i="10"/>
  <c r="AM265" i="10"/>
  <c r="AM266" i="10"/>
  <c r="AM267" i="10"/>
  <c r="AM268" i="10"/>
  <c r="AM269" i="10"/>
  <c r="AM270" i="10"/>
  <c r="AM271" i="10"/>
  <c r="AM272" i="10"/>
  <c r="AM273" i="10"/>
  <c r="AM274" i="10"/>
  <c r="AM275" i="10"/>
  <c r="AM276" i="10"/>
  <c r="AM277" i="10"/>
  <c r="AM278" i="10"/>
  <c r="AM279" i="10"/>
  <c r="AM280" i="10"/>
  <c r="AM281" i="10"/>
  <c r="AM282" i="10"/>
  <c r="AM283" i="10"/>
  <c r="AM284" i="10"/>
  <c r="AM285" i="10"/>
  <c r="AM286" i="10"/>
  <c r="AM287" i="10"/>
  <c r="AM288" i="10"/>
  <c r="AM289" i="10"/>
  <c r="AM290" i="10"/>
  <c r="AM291" i="10"/>
  <c r="AM292" i="10"/>
  <c r="AM293" i="10"/>
  <c r="AM294" i="10"/>
  <c r="AM295" i="10"/>
  <c r="AM296" i="10"/>
  <c r="AM297" i="10"/>
  <c r="AM298" i="10"/>
  <c r="AM299" i="10"/>
  <c r="AM300" i="10"/>
  <c r="AM301" i="10"/>
  <c r="AM302" i="10"/>
  <c r="AM303" i="10"/>
  <c r="AM304" i="10"/>
  <c r="AM305" i="10"/>
  <c r="AM306" i="10"/>
  <c r="AM307" i="10"/>
  <c r="AM308" i="10"/>
  <c r="AM309" i="10"/>
  <c r="AM310" i="10"/>
  <c r="AM311" i="10"/>
  <c r="AM312" i="10"/>
  <c r="AM313" i="10"/>
  <c r="AM314" i="10"/>
  <c r="AM315" i="10"/>
  <c r="AM316" i="10"/>
  <c r="AM317" i="10"/>
  <c r="AM318" i="10"/>
  <c r="AM319" i="10"/>
  <c r="AM320" i="10"/>
  <c r="AM321" i="10"/>
  <c r="AM322" i="10"/>
  <c r="AM323" i="10"/>
  <c r="AM324" i="10"/>
  <c r="AM325" i="10"/>
  <c r="AM326" i="10"/>
  <c r="AM327" i="10"/>
  <c r="AM328" i="10"/>
  <c r="AM329" i="10"/>
  <c r="AM330" i="10"/>
  <c r="AM331" i="10"/>
  <c r="AM332" i="10"/>
  <c r="AM333" i="10"/>
  <c r="AM334" i="10"/>
  <c r="AM335" i="10"/>
  <c r="AM336" i="10"/>
  <c r="AM337" i="10"/>
  <c r="AM338" i="10"/>
  <c r="AM339" i="10"/>
  <c r="AM340" i="10"/>
  <c r="AM341" i="10"/>
  <c r="AM342" i="10"/>
  <c r="AM343" i="10"/>
  <c r="AM344" i="10"/>
  <c r="AM345" i="10"/>
  <c r="AM346" i="10"/>
  <c r="AM347" i="10"/>
  <c r="AM348" i="10"/>
  <c r="AM349" i="10"/>
  <c r="AM350" i="10"/>
  <c r="AM351" i="10"/>
  <c r="AM352" i="10"/>
  <c r="AM353" i="10"/>
  <c r="AM354" i="10"/>
  <c r="AM355" i="10"/>
  <c r="AM356" i="10"/>
  <c r="AM357" i="10"/>
  <c r="AM358" i="10"/>
  <c r="AM359" i="10"/>
  <c r="AM360" i="10"/>
  <c r="AM361" i="10"/>
  <c r="AM362" i="10"/>
  <c r="AM363" i="10"/>
  <c r="AM364" i="10"/>
  <c r="AM365" i="10"/>
  <c r="AM366" i="10"/>
  <c r="AM367" i="10"/>
  <c r="AM368" i="10"/>
  <c r="AM369" i="10"/>
  <c r="AM370" i="10"/>
  <c r="AM371" i="10"/>
  <c r="AM372" i="10"/>
  <c r="AM373" i="10"/>
  <c r="AM374" i="10"/>
  <c r="AM375" i="10"/>
  <c r="AM376" i="10"/>
  <c r="AM377" i="10"/>
  <c r="AM378" i="10"/>
  <c r="AM379" i="10"/>
  <c r="AM380" i="10"/>
  <c r="AM381" i="10"/>
  <c r="AM382" i="10"/>
  <c r="AM383" i="10"/>
  <c r="AM384" i="10"/>
  <c r="AM385" i="10"/>
  <c r="AM386" i="10"/>
  <c r="AM387" i="10"/>
  <c r="AM388" i="10"/>
  <c r="AM389" i="10"/>
  <c r="AM390" i="10"/>
  <c r="AM391" i="10"/>
  <c r="AM392" i="10"/>
  <c r="AM393" i="10"/>
  <c r="AM394" i="10"/>
  <c r="AM395" i="10"/>
  <c r="AM396" i="10"/>
  <c r="AM397" i="10"/>
  <c r="AM398" i="10"/>
  <c r="AM399" i="10"/>
  <c r="AM400" i="10"/>
  <c r="AM401" i="10"/>
  <c r="AM402" i="10"/>
  <c r="AM403" i="10"/>
  <c r="AM404" i="10"/>
  <c r="AM405" i="10"/>
  <c r="AM406" i="10"/>
  <c r="AM407" i="10"/>
  <c r="AM408" i="10"/>
  <c r="AM409" i="10"/>
  <c r="AM410" i="10"/>
  <c r="AM411" i="10"/>
  <c r="AM412" i="10"/>
  <c r="AM413" i="10"/>
  <c r="AM414" i="10"/>
  <c r="AM415" i="10"/>
  <c r="AM416" i="10"/>
  <c r="AM417" i="10"/>
  <c r="AM418" i="10"/>
  <c r="AM419" i="10"/>
  <c r="AM420" i="10"/>
  <c r="AM421" i="10"/>
  <c r="AM422" i="10"/>
  <c r="AM423" i="10"/>
  <c r="AM424" i="10"/>
  <c r="AM425" i="10"/>
  <c r="AM426" i="10"/>
  <c r="AM427" i="10"/>
  <c r="AM428" i="10"/>
  <c r="AM429" i="10"/>
  <c r="AM430" i="10"/>
  <c r="AM431" i="10"/>
  <c r="AM432" i="10"/>
  <c r="AM433" i="10"/>
  <c r="AM434" i="10"/>
  <c r="AM435" i="10"/>
  <c r="AM436" i="10"/>
  <c r="AM437" i="10"/>
  <c r="AM438" i="10"/>
  <c r="AM439" i="10"/>
  <c r="AM440" i="10"/>
  <c r="AM441" i="10"/>
  <c r="AM442" i="10"/>
  <c r="AM443" i="10"/>
  <c r="AM444" i="10"/>
  <c r="AM445" i="10"/>
  <c r="AM446" i="10"/>
  <c r="AM447" i="10"/>
  <c r="AM448" i="10"/>
  <c r="AM449" i="10"/>
  <c r="AM450" i="10"/>
  <c r="AM451" i="10"/>
  <c r="AM452" i="10"/>
  <c r="AM453" i="10"/>
  <c r="AM454" i="10"/>
  <c r="AM455" i="10"/>
  <c r="AM456" i="10"/>
  <c r="AM457" i="10"/>
  <c r="AM458" i="10"/>
  <c r="AM459" i="10"/>
  <c r="AM460" i="10"/>
  <c r="AM461" i="10"/>
  <c r="AM462" i="10"/>
  <c r="AM463" i="10"/>
  <c r="AM464" i="10"/>
  <c r="AM465" i="10"/>
  <c r="AM466" i="10"/>
  <c r="AM467" i="10"/>
  <c r="AM468" i="10"/>
  <c r="AM469" i="10"/>
  <c r="AM470" i="10"/>
  <c r="AM471" i="10"/>
  <c r="AM472" i="10"/>
  <c r="AM473" i="10"/>
  <c r="AM474" i="10"/>
  <c r="AM475" i="10"/>
  <c r="AM476" i="10"/>
  <c r="AM477" i="10"/>
  <c r="AM478" i="10"/>
  <c r="AM479" i="10"/>
  <c r="AM480" i="10"/>
  <c r="AM481" i="10"/>
  <c r="AM482" i="10"/>
  <c r="AM483" i="10"/>
  <c r="AM484" i="10"/>
  <c r="AM485" i="10"/>
  <c r="AM486" i="10"/>
  <c r="AM487" i="10"/>
  <c r="AM488" i="10"/>
  <c r="AM489" i="10"/>
  <c r="AM490" i="10"/>
  <c r="AM491" i="10"/>
  <c r="AM492" i="10"/>
  <c r="AM493" i="10"/>
  <c r="AM494" i="10"/>
  <c r="AM495" i="10"/>
  <c r="AM496" i="10"/>
  <c r="AM497" i="10"/>
  <c r="AM498" i="10"/>
  <c r="AM499" i="10"/>
  <c r="AM500" i="10"/>
  <c r="AM501" i="10"/>
  <c r="AM502" i="10"/>
  <c r="AM503" i="10"/>
  <c r="AM504" i="10"/>
  <c r="AM505" i="10"/>
  <c r="AM506" i="10"/>
  <c r="AM507" i="10"/>
  <c r="AM508" i="10"/>
  <c r="AM509" i="10"/>
  <c r="AM510" i="10"/>
  <c r="AM511" i="10"/>
  <c r="AM512" i="10"/>
  <c r="AM513" i="10"/>
  <c r="AM514" i="10"/>
  <c r="AM515" i="10"/>
  <c r="AM516" i="10"/>
  <c r="AM517" i="10"/>
  <c r="AM518" i="10"/>
  <c r="AM519" i="10"/>
  <c r="AM520" i="10"/>
  <c r="AM521" i="10"/>
  <c r="AM522" i="10"/>
  <c r="AM523" i="10"/>
  <c r="AM524" i="10"/>
  <c r="AM525" i="10"/>
  <c r="AM526" i="10"/>
  <c r="AM527" i="10"/>
  <c r="AM528" i="10"/>
  <c r="AM529" i="10"/>
  <c r="AM530" i="10"/>
  <c r="AM531" i="10"/>
  <c r="AM532" i="10"/>
  <c r="AM533" i="10"/>
  <c r="AM534" i="10"/>
  <c r="AM535" i="10"/>
  <c r="AM536" i="10"/>
  <c r="AM537" i="10"/>
  <c r="AM538" i="10"/>
  <c r="AM539" i="10"/>
  <c r="AM540" i="10"/>
  <c r="AM541" i="10"/>
  <c r="AM542" i="10"/>
  <c r="AM543" i="10"/>
  <c r="AM544" i="10"/>
  <c r="AM545" i="10"/>
  <c r="AM546" i="10"/>
  <c r="AM547" i="10"/>
  <c r="AM548" i="10"/>
  <c r="AM549" i="10"/>
  <c r="AM550" i="10"/>
  <c r="AM551" i="10"/>
  <c r="AM552" i="10"/>
  <c r="AM553" i="10"/>
  <c r="AM554" i="10"/>
  <c r="AM555" i="10"/>
  <c r="AM556" i="10"/>
  <c r="AM557" i="10"/>
  <c r="AM558" i="10"/>
  <c r="AM559" i="10"/>
  <c r="AM560" i="10"/>
  <c r="AM561" i="10"/>
  <c r="AM562" i="10"/>
  <c r="AM563" i="10"/>
  <c r="AM564" i="10"/>
  <c r="AM565" i="10"/>
  <c r="AM566" i="10"/>
  <c r="AM567" i="10"/>
  <c r="AM568" i="10"/>
  <c r="AM569" i="10"/>
  <c r="AM570" i="10"/>
  <c r="AM571" i="10"/>
  <c r="AM572" i="10"/>
  <c r="AM573" i="10"/>
  <c r="AM574" i="10"/>
  <c r="AM575" i="10"/>
  <c r="AM576" i="10"/>
  <c r="AM577" i="10"/>
  <c r="AM578" i="10"/>
  <c r="AM579" i="10"/>
  <c r="AM580" i="10"/>
  <c r="AM581" i="10"/>
  <c r="AM582" i="10"/>
  <c r="AM583" i="10"/>
  <c r="AM584" i="10"/>
  <c r="AM585" i="10"/>
  <c r="AM586" i="10"/>
  <c r="AM587" i="10"/>
  <c r="AM588" i="10"/>
  <c r="AM589" i="10"/>
  <c r="AM590" i="10"/>
  <c r="AM591" i="10"/>
  <c r="AM592" i="10"/>
  <c r="AM593" i="10"/>
  <c r="AM594" i="10"/>
  <c r="AM595" i="10"/>
  <c r="AM596" i="10"/>
  <c r="AM597" i="10"/>
  <c r="AM598" i="10"/>
  <c r="AM599" i="10"/>
  <c r="AM600" i="10"/>
  <c r="AM601" i="10"/>
  <c r="AM602" i="10"/>
  <c r="AM603" i="10"/>
  <c r="AM604" i="10"/>
  <c r="AM605" i="10"/>
  <c r="AM606" i="10"/>
  <c r="AM607" i="10"/>
  <c r="AM608" i="10"/>
  <c r="AM609" i="10"/>
  <c r="AM610" i="10"/>
  <c r="AM611" i="10"/>
  <c r="AM612" i="10"/>
  <c r="AM613" i="10"/>
  <c r="AM614" i="10"/>
  <c r="AM615" i="10"/>
  <c r="AM616" i="10"/>
  <c r="AM617" i="10"/>
  <c r="AM618" i="10"/>
  <c r="AM619" i="10"/>
  <c r="AM620" i="10"/>
  <c r="AM621" i="10"/>
  <c r="AM622" i="10"/>
  <c r="AM623" i="10"/>
  <c r="AM624" i="10"/>
  <c r="AM625" i="10"/>
  <c r="AM626" i="10"/>
  <c r="AM627" i="10"/>
  <c r="AM628" i="10"/>
  <c r="AM629" i="10"/>
  <c r="AM630" i="10"/>
  <c r="AM631" i="10"/>
  <c r="AM632" i="10"/>
  <c r="AM633" i="10"/>
  <c r="AM634" i="10"/>
  <c r="AM635" i="10"/>
  <c r="AM636" i="10"/>
  <c r="AM637" i="10"/>
  <c r="AM638" i="10"/>
  <c r="AM639" i="10"/>
  <c r="AM640" i="10"/>
  <c r="AM641" i="10"/>
  <c r="AM642" i="10"/>
  <c r="AM643" i="10"/>
  <c r="AM644" i="10"/>
  <c r="AM645" i="10"/>
  <c r="AM646" i="10"/>
  <c r="AM647" i="10"/>
  <c r="AM648" i="10"/>
  <c r="AM649" i="10"/>
  <c r="AM650" i="10"/>
  <c r="AM651" i="10"/>
  <c r="AM652" i="10"/>
  <c r="AM653" i="10"/>
  <c r="AM654" i="10"/>
  <c r="AM655" i="10"/>
  <c r="AM656" i="10"/>
  <c r="AM657" i="10"/>
  <c r="AM658" i="10"/>
  <c r="AM659" i="10"/>
  <c r="AM660" i="10"/>
  <c r="AM661" i="10"/>
  <c r="AM662" i="10"/>
  <c r="AM663" i="10"/>
  <c r="AM664" i="10"/>
  <c r="AM665" i="10"/>
  <c r="AM666" i="10"/>
  <c r="AM667" i="10"/>
  <c r="AM668" i="10"/>
  <c r="AM669" i="10"/>
  <c r="AM670" i="10"/>
  <c r="AM671" i="10"/>
  <c r="AM672" i="10"/>
  <c r="AM673" i="10"/>
  <c r="AM674" i="10"/>
  <c r="AM675" i="10"/>
  <c r="AM676" i="10"/>
  <c r="AM677" i="10"/>
  <c r="AM678" i="10"/>
  <c r="AM679" i="10"/>
  <c r="AM680" i="10"/>
  <c r="AM681" i="10"/>
  <c r="AM682" i="10"/>
  <c r="AM683" i="10"/>
  <c r="AM684" i="10"/>
  <c r="AM685" i="10"/>
  <c r="AM686" i="10"/>
  <c r="AM687" i="10"/>
  <c r="AM688" i="10"/>
  <c r="AM689" i="10"/>
  <c r="AM690" i="10"/>
  <c r="AM691" i="10"/>
  <c r="AM692" i="10"/>
  <c r="AM693" i="10"/>
  <c r="AM694" i="10"/>
  <c r="AM695" i="10"/>
  <c r="AM696" i="10"/>
  <c r="AM697" i="10"/>
  <c r="AM698" i="10"/>
  <c r="AM699" i="10"/>
  <c r="AM700" i="10"/>
  <c r="AM701" i="10"/>
  <c r="AM702" i="10"/>
  <c r="AM703" i="10"/>
  <c r="AM704" i="10"/>
  <c r="AM705" i="10"/>
  <c r="AM706" i="10"/>
  <c r="AM707" i="10"/>
  <c r="AM708" i="10"/>
  <c r="AM709" i="10"/>
  <c r="AM710" i="10"/>
  <c r="AM711" i="10"/>
  <c r="AM712" i="10"/>
  <c r="AM713" i="10"/>
  <c r="AM714" i="10"/>
  <c r="AM715" i="10"/>
  <c r="AM716" i="10"/>
  <c r="AM717" i="10"/>
  <c r="AM718" i="10"/>
  <c r="AM719" i="10"/>
  <c r="AM720" i="10"/>
  <c r="AM721" i="10"/>
  <c r="AM722" i="10"/>
  <c r="AM723" i="10"/>
  <c r="AM724" i="10"/>
  <c r="AM725" i="10"/>
  <c r="AM726" i="10"/>
  <c r="AM727" i="10"/>
  <c r="AM728" i="10"/>
  <c r="AM729" i="10"/>
  <c r="AM730" i="10"/>
  <c r="AM731" i="10"/>
  <c r="AM732" i="10"/>
  <c r="AM733" i="10"/>
  <c r="AM734" i="10"/>
  <c r="AM735" i="10"/>
  <c r="AM736" i="10"/>
  <c r="AM737" i="10"/>
  <c r="AM738" i="10"/>
  <c r="AM739" i="10"/>
  <c r="AM740" i="10"/>
  <c r="AM741" i="10"/>
  <c r="AM742" i="10"/>
  <c r="AM743" i="10"/>
  <c r="AM744" i="10"/>
  <c r="AM745" i="10"/>
  <c r="AM746" i="10"/>
  <c r="AM747" i="10"/>
  <c r="AM748" i="10"/>
  <c r="AM749" i="10"/>
  <c r="AM750" i="10"/>
  <c r="AM751" i="10"/>
  <c r="AM752" i="10"/>
  <c r="AM753" i="10"/>
  <c r="AM754" i="10"/>
  <c r="AM755" i="10"/>
  <c r="AM756" i="10"/>
  <c r="AM757" i="10"/>
  <c r="AM758" i="10"/>
  <c r="AM759" i="10"/>
  <c r="AM760" i="10"/>
  <c r="AM761" i="10"/>
  <c r="AM762" i="10"/>
  <c r="AM763" i="10"/>
  <c r="AM764" i="10"/>
  <c r="AM765" i="10"/>
  <c r="AM766" i="10"/>
  <c r="AM767" i="10"/>
  <c r="AM768" i="10"/>
  <c r="AM769" i="10"/>
  <c r="AM770" i="10"/>
  <c r="AM771" i="10"/>
  <c r="AM772" i="10"/>
  <c r="AM773" i="10"/>
  <c r="AM774" i="10"/>
  <c r="AM775" i="10"/>
  <c r="AM776" i="10"/>
  <c r="AM777" i="10"/>
  <c r="AM778" i="10"/>
  <c r="AM779" i="10"/>
  <c r="AM780" i="10"/>
  <c r="AM781" i="10"/>
  <c r="AM782" i="10"/>
  <c r="AM783" i="10"/>
  <c r="AM784" i="10"/>
  <c r="AM785" i="10"/>
  <c r="AM786" i="10"/>
  <c r="AM787" i="10"/>
  <c r="AM788" i="10"/>
  <c r="AM789" i="10"/>
  <c r="AM790" i="10"/>
  <c r="AM791" i="10"/>
  <c r="AM792" i="10"/>
  <c r="AM793" i="10"/>
  <c r="AM794" i="10"/>
  <c r="AM795" i="10"/>
  <c r="AM796" i="10"/>
  <c r="AM797" i="10"/>
  <c r="AM798" i="10"/>
  <c r="AM799" i="10"/>
  <c r="AM800" i="10"/>
  <c r="AM801" i="10"/>
  <c r="AM802" i="10"/>
  <c r="AM803" i="10"/>
  <c r="AM804" i="10"/>
  <c r="AM805" i="10"/>
  <c r="AM806" i="10"/>
  <c r="AM807" i="10"/>
  <c r="AM808" i="10"/>
  <c r="AM809" i="10"/>
  <c r="AM810" i="10"/>
  <c r="AM811" i="10"/>
  <c r="AM812" i="10"/>
  <c r="AM813" i="10"/>
  <c r="AM814" i="10"/>
  <c r="AM815" i="10"/>
  <c r="AM816" i="10"/>
  <c r="AM817" i="10"/>
  <c r="AM818" i="10"/>
  <c r="AM819" i="10"/>
  <c r="AM820" i="10"/>
  <c r="AM821" i="10"/>
  <c r="AM822" i="10"/>
  <c r="AM823" i="10"/>
  <c r="AM824" i="10"/>
  <c r="AM825" i="10"/>
  <c r="AM826" i="10"/>
  <c r="AM827" i="10"/>
  <c r="AM828" i="10"/>
  <c r="AM829" i="10"/>
  <c r="AM830" i="10"/>
  <c r="AM831" i="10"/>
  <c r="AM832" i="10"/>
  <c r="AM833" i="10"/>
  <c r="AM834" i="10"/>
  <c r="AM835" i="10"/>
  <c r="AM836" i="10"/>
  <c r="AM837" i="10"/>
  <c r="AM838" i="10"/>
  <c r="AM839" i="10"/>
  <c r="AM840" i="10"/>
  <c r="AM841" i="10"/>
  <c r="AM842" i="10"/>
  <c r="AM843" i="10"/>
  <c r="AM844" i="10"/>
  <c r="AM845" i="10"/>
  <c r="AM846" i="10"/>
  <c r="AM847" i="10"/>
  <c r="AM848" i="10"/>
  <c r="AM849" i="10"/>
  <c r="AM850" i="10"/>
  <c r="AM851" i="10"/>
  <c r="AM852" i="10"/>
  <c r="AM853" i="10"/>
  <c r="AM854" i="10"/>
  <c r="AM855" i="10"/>
  <c r="AM856" i="10"/>
  <c r="AM857" i="10"/>
  <c r="AM858" i="10"/>
  <c r="AM859" i="10"/>
  <c r="AM860" i="10"/>
  <c r="AM861" i="10"/>
  <c r="AM862" i="10"/>
  <c r="AM863" i="10"/>
  <c r="AM864" i="10"/>
  <c r="AM865" i="10"/>
  <c r="AM866" i="10"/>
  <c r="AM867" i="10"/>
  <c r="AM868" i="10"/>
  <c r="AM869" i="10"/>
  <c r="AM870" i="10"/>
  <c r="AM871" i="10"/>
  <c r="AM872" i="10"/>
  <c r="AM873" i="10"/>
  <c r="AM874" i="10"/>
  <c r="AM875" i="10"/>
  <c r="AM876" i="10"/>
  <c r="AM877" i="10"/>
  <c r="AM878" i="10"/>
  <c r="AM879" i="10"/>
  <c r="AM880" i="10"/>
  <c r="AM881" i="10"/>
  <c r="AM882" i="10"/>
  <c r="AM883" i="10"/>
  <c r="AM884" i="10"/>
  <c r="AM885" i="10"/>
  <c r="AM886" i="10"/>
  <c r="AM887" i="10"/>
  <c r="AM888" i="10"/>
  <c r="AM889" i="10"/>
  <c r="AM890" i="10"/>
  <c r="AM891" i="10"/>
  <c r="AM892" i="10"/>
  <c r="AM893" i="10"/>
  <c r="AM894" i="10"/>
  <c r="AM895" i="10"/>
  <c r="AM896" i="10"/>
  <c r="AM897" i="10"/>
  <c r="AM898" i="10"/>
  <c r="AM899" i="10"/>
  <c r="AM900" i="10"/>
  <c r="AM901" i="10"/>
  <c r="AM902" i="10"/>
  <c r="AM903" i="10"/>
  <c r="AM904" i="10"/>
  <c r="AM905" i="10"/>
  <c r="AM906" i="10"/>
  <c r="AM907" i="10"/>
  <c r="AM908" i="10"/>
  <c r="AM909" i="10"/>
  <c r="AM910" i="10"/>
  <c r="AM911" i="10"/>
  <c r="AM912" i="10"/>
  <c r="AM913" i="10"/>
  <c r="AM914" i="10"/>
  <c r="AM915" i="10"/>
  <c r="AM916" i="10"/>
  <c r="AM917" i="10"/>
  <c r="AM918" i="10"/>
  <c r="AM919" i="10"/>
  <c r="AM920" i="10"/>
  <c r="AM921" i="10"/>
  <c r="AM922" i="10"/>
  <c r="AM923" i="10"/>
  <c r="AM924" i="10"/>
  <c r="AM925" i="10"/>
  <c r="AM926" i="10"/>
  <c r="AM927" i="10"/>
  <c r="AM928" i="10"/>
  <c r="AM929" i="10"/>
  <c r="AM930" i="10"/>
  <c r="AM931" i="10"/>
  <c r="AM932" i="10"/>
  <c r="AM933" i="10"/>
  <c r="AM934" i="10"/>
  <c r="AM935" i="10"/>
  <c r="AM936" i="10"/>
  <c r="AM937" i="10"/>
  <c r="AM938" i="10"/>
  <c r="AM939" i="10"/>
  <c r="AM940" i="10"/>
  <c r="AM941" i="10"/>
  <c r="AM942" i="10"/>
  <c r="AM943" i="10"/>
  <c r="AM944" i="10"/>
  <c r="AM945" i="10"/>
  <c r="AM946" i="10"/>
  <c r="AM947" i="10"/>
  <c r="AM948" i="10"/>
  <c r="AM949" i="10"/>
  <c r="AM950" i="10"/>
  <c r="AM951" i="10"/>
  <c r="AM952" i="10"/>
  <c r="AM953" i="10"/>
  <c r="AM954" i="10"/>
  <c r="AM955" i="10"/>
  <c r="AM956" i="10"/>
  <c r="AM957" i="10"/>
  <c r="AM958" i="10"/>
  <c r="AM959" i="10"/>
  <c r="AM960" i="10"/>
  <c r="AM961" i="10"/>
  <c r="AM962" i="10"/>
  <c r="AM963" i="10"/>
  <c r="AM964" i="10"/>
  <c r="AM965" i="10"/>
  <c r="AM966" i="10"/>
  <c r="AM967" i="10"/>
  <c r="AM968" i="10"/>
  <c r="AM969" i="10"/>
  <c r="AM970" i="10"/>
  <c r="AM971" i="10"/>
  <c r="AM972" i="10"/>
  <c r="AM973" i="10"/>
  <c r="AM974" i="10"/>
  <c r="AM975" i="10"/>
  <c r="AM976" i="10"/>
  <c r="AM977" i="10"/>
  <c r="AM978" i="10"/>
  <c r="AM979" i="10"/>
  <c r="AM980" i="10"/>
  <c r="AM981" i="10"/>
  <c r="AM982" i="10"/>
  <c r="AM983" i="10"/>
  <c r="AM984" i="10"/>
  <c r="AM985" i="10"/>
  <c r="AM986" i="10"/>
  <c r="AM987" i="10"/>
  <c r="AM988" i="10"/>
  <c r="AM989" i="10"/>
  <c r="AM990" i="10"/>
  <c r="AM991" i="10"/>
  <c r="AM992" i="10"/>
  <c r="AM993" i="10"/>
  <c r="AM994" i="10"/>
  <c r="AM995" i="10"/>
  <c r="AM996" i="10"/>
  <c r="AM997" i="10"/>
  <c r="AM998" i="10"/>
  <c r="AM999" i="10"/>
  <c r="AM1000" i="10"/>
  <c r="AM1001" i="10"/>
  <c r="AM1002" i="10"/>
  <c r="AM1003" i="10"/>
  <c r="AM1004" i="10"/>
  <c r="AM1005" i="10"/>
  <c r="AM1006" i="10"/>
  <c r="AM1007" i="10"/>
  <c r="AM1008" i="10"/>
  <c r="AM1009" i="10"/>
  <c r="AM1010" i="10"/>
  <c r="AM1011" i="10"/>
  <c r="AM1012" i="10"/>
  <c r="AM1013" i="10"/>
  <c r="AM1014" i="10"/>
  <c r="AM1015" i="10"/>
  <c r="AM1016" i="10"/>
  <c r="AM1017" i="10"/>
  <c r="AM1018" i="10"/>
  <c r="AM1019" i="10"/>
  <c r="AM1020" i="10"/>
  <c r="AM1021" i="10"/>
  <c r="AM1022" i="10"/>
  <c r="AM1023" i="10"/>
  <c r="AM1024" i="10"/>
  <c r="AM1025" i="10"/>
  <c r="AM1026" i="10"/>
  <c r="AM1027" i="10"/>
  <c r="AM1028" i="10"/>
  <c r="AM1029" i="10"/>
  <c r="AM1030" i="10"/>
  <c r="AM1031" i="10"/>
  <c r="AM1032" i="10"/>
  <c r="AM1033" i="10"/>
  <c r="AM1034" i="10"/>
  <c r="AM1035" i="10"/>
  <c r="AM1036" i="10"/>
  <c r="AM1037" i="10"/>
  <c r="AM1038" i="10"/>
  <c r="AM1039" i="10"/>
  <c r="AM1040" i="10"/>
  <c r="AM1041" i="10"/>
  <c r="AM1042" i="10"/>
  <c r="AM1043" i="10"/>
  <c r="AM1044" i="10"/>
  <c r="AM1045" i="10"/>
  <c r="AM1046" i="10"/>
  <c r="AM1047" i="10"/>
  <c r="AM1048" i="10"/>
  <c r="AM1049" i="10"/>
  <c r="AM1050" i="10"/>
  <c r="AM1051" i="10"/>
  <c r="AM1052" i="10"/>
  <c r="AM1053" i="10"/>
  <c r="AM1054" i="10"/>
  <c r="AM1055" i="10"/>
  <c r="AM1056" i="10"/>
  <c r="AM1057" i="10"/>
  <c r="AM1058" i="10"/>
  <c r="AM1059" i="10"/>
  <c r="AM1060" i="10"/>
  <c r="AM1061" i="10"/>
  <c r="AM1062" i="10"/>
  <c r="AM1063" i="10"/>
  <c r="AM1064" i="10"/>
  <c r="AM1065" i="10"/>
  <c r="AM1066" i="10"/>
  <c r="AM1067" i="10"/>
  <c r="AM1068" i="10"/>
  <c r="AM1069" i="10"/>
  <c r="AM1070" i="10"/>
  <c r="AM1071" i="10"/>
  <c r="AM1072" i="10"/>
  <c r="AM1073" i="10"/>
  <c r="AM1074" i="10"/>
  <c r="AM1075" i="10"/>
  <c r="AM1076" i="10"/>
  <c r="AM1077" i="10"/>
  <c r="AM1078" i="10"/>
  <c r="AM1079" i="10"/>
  <c r="AM1080" i="10"/>
  <c r="AM1081" i="10"/>
  <c r="AM1082" i="10"/>
  <c r="AM1083" i="10"/>
  <c r="AM1084" i="10"/>
  <c r="AM1085" i="10"/>
  <c r="AM1086" i="10"/>
  <c r="AM1087" i="10"/>
  <c r="AM1088" i="10"/>
  <c r="AM1089" i="10"/>
  <c r="AM1090" i="10"/>
  <c r="AM1091" i="10"/>
  <c r="AM1092" i="10"/>
  <c r="AM1093" i="10"/>
  <c r="AM1094" i="10"/>
  <c r="AM1095" i="10"/>
  <c r="AM1096" i="10"/>
  <c r="AM1097" i="10"/>
  <c r="AM1098" i="10"/>
  <c r="AM1099" i="10"/>
  <c r="AM1100" i="10"/>
  <c r="AM1101" i="10"/>
  <c r="AM1102" i="10"/>
  <c r="AM1103" i="10"/>
  <c r="AM1104" i="10"/>
  <c r="AM1105" i="10"/>
  <c r="AM1106" i="10"/>
  <c r="AM1107" i="10"/>
  <c r="AM1108" i="10"/>
  <c r="AM1109" i="10"/>
  <c r="AM1110" i="10"/>
  <c r="AM1111" i="10"/>
  <c r="AM1112" i="10"/>
  <c r="AM1113" i="10"/>
  <c r="AM1114" i="10"/>
  <c r="AM1115" i="10"/>
  <c r="AM1116" i="10"/>
  <c r="AM1117" i="10"/>
  <c r="AM1118" i="10"/>
  <c r="AM1119" i="10"/>
  <c r="AM1120" i="10"/>
  <c r="AM1121" i="10"/>
  <c r="AM1122" i="10"/>
  <c r="AM1123" i="10"/>
  <c r="AM1124" i="10"/>
  <c r="AM1125" i="10"/>
  <c r="AM1126" i="10"/>
  <c r="AM1127" i="10"/>
  <c r="AM1128" i="10"/>
  <c r="AM1129" i="10"/>
  <c r="AM1130" i="10"/>
  <c r="AM1131" i="10"/>
  <c r="AM1132" i="10"/>
  <c r="AM1133" i="10"/>
  <c r="AM1134" i="10"/>
  <c r="AM1135" i="10"/>
  <c r="AM1136" i="10"/>
  <c r="AM1137" i="10"/>
  <c r="AM1138" i="10"/>
  <c r="AM1139" i="10"/>
  <c r="AM1140" i="10"/>
  <c r="AM1141" i="10"/>
  <c r="AM1142" i="10"/>
  <c r="AM1143" i="10"/>
  <c r="AM1144" i="10"/>
  <c r="AM1145" i="10"/>
  <c r="AM1146" i="10"/>
  <c r="AM1147" i="10"/>
  <c r="AM1148" i="10"/>
  <c r="AM1149" i="10"/>
  <c r="AM1150" i="10"/>
  <c r="AM1151" i="10"/>
  <c r="AM1152" i="10"/>
  <c r="AM1153" i="10"/>
  <c r="AM1154" i="10"/>
  <c r="AM1155" i="10"/>
  <c r="AM1156" i="10"/>
  <c r="AM1157" i="10"/>
  <c r="AM1158" i="10"/>
  <c r="AM1159" i="10"/>
  <c r="AM1160" i="10"/>
  <c r="AM1161" i="10"/>
  <c r="AM1162" i="10"/>
  <c r="AM1163" i="10"/>
  <c r="AM1164" i="10"/>
  <c r="AM1165" i="10"/>
  <c r="AM1166" i="10"/>
  <c r="AM1167" i="10"/>
  <c r="AM1168" i="10"/>
  <c r="AM1169" i="10"/>
  <c r="AM1170" i="10"/>
  <c r="AM1171" i="10"/>
  <c r="AM1172" i="10"/>
  <c r="AM1173" i="10"/>
  <c r="AM1174" i="10"/>
  <c r="AM1175" i="10"/>
  <c r="AM1176" i="10"/>
  <c r="AM1177" i="10"/>
  <c r="AM1178" i="10"/>
  <c r="AM1179" i="10"/>
  <c r="AM1180" i="10"/>
  <c r="AM1181" i="10"/>
  <c r="AM1182" i="10"/>
  <c r="AM1183" i="10"/>
  <c r="AM1184" i="10"/>
  <c r="AM1185" i="10"/>
  <c r="AM1186" i="10"/>
  <c r="AM1187" i="10"/>
  <c r="AM1188" i="10"/>
  <c r="AM1189" i="10"/>
  <c r="AM1190" i="10"/>
  <c r="AM1191" i="10"/>
  <c r="AM1192" i="10"/>
  <c r="AM1193" i="10"/>
  <c r="AM1194" i="10"/>
  <c r="AM1195" i="10"/>
  <c r="AM1196" i="10"/>
  <c r="AM1197" i="10"/>
  <c r="AM1198" i="10"/>
  <c r="AM1199" i="10"/>
  <c r="AM1200" i="10"/>
  <c r="AM1201" i="10"/>
  <c r="AM1202" i="10"/>
  <c r="AM1203" i="10"/>
  <c r="AM1204" i="10"/>
  <c r="AM1205" i="10"/>
  <c r="AM1206" i="10"/>
  <c r="AM1207" i="10"/>
  <c r="AM1208" i="10"/>
  <c r="AM6" i="10"/>
  <c r="AL7" i="10"/>
  <c r="AL8" i="10"/>
  <c r="AL9" i="10"/>
  <c r="AL10" i="10"/>
  <c r="AL11" i="10"/>
  <c r="AL12" i="10"/>
  <c r="AL13" i="10"/>
  <c r="AL14" i="10"/>
  <c r="AL15" i="10"/>
  <c r="AL16" i="10"/>
  <c r="AL17" i="10"/>
  <c r="AL18" i="10"/>
  <c r="AL19" i="10"/>
  <c r="AL20" i="10"/>
  <c r="AL21" i="10"/>
  <c r="AL22" i="10"/>
  <c r="AL23" i="10"/>
  <c r="AL24" i="10"/>
  <c r="AL25" i="10"/>
  <c r="AL26" i="10"/>
  <c r="AL27" i="10"/>
  <c r="AL28" i="10"/>
  <c r="AL29" i="10"/>
  <c r="AL30" i="10"/>
  <c r="AL31" i="10"/>
  <c r="AL32" i="10"/>
  <c r="AL33" i="10"/>
  <c r="AL34" i="10"/>
  <c r="AL35" i="10"/>
  <c r="AL36" i="10"/>
  <c r="AL37" i="10"/>
  <c r="AL38" i="10"/>
  <c r="AL39" i="10"/>
  <c r="AL40" i="10"/>
  <c r="AL41" i="10"/>
  <c r="AL42" i="10"/>
  <c r="AL43" i="10"/>
  <c r="AL44" i="10"/>
  <c r="AL45" i="10"/>
  <c r="AL46" i="10"/>
  <c r="AL47" i="10"/>
  <c r="AL48" i="10"/>
  <c r="AL49" i="10"/>
  <c r="AL50" i="10"/>
  <c r="AL51" i="10"/>
  <c r="AL52" i="10"/>
  <c r="AL53" i="10"/>
  <c r="AL54" i="10"/>
  <c r="AL55" i="10"/>
  <c r="AL56" i="10"/>
  <c r="AL57" i="10"/>
  <c r="AL58" i="10"/>
  <c r="AL59" i="10"/>
  <c r="AL60" i="10"/>
  <c r="AL61" i="10"/>
  <c r="AL62" i="10"/>
  <c r="AL63" i="10"/>
  <c r="AL64" i="10"/>
  <c r="AL65" i="10"/>
  <c r="AL66" i="10"/>
  <c r="AL67" i="10"/>
  <c r="AL68" i="10"/>
  <c r="AL69" i="10"/>
  <c r="AL70" i="10"/>
  <c r="AL71" i="10"/>
  <c r="AL72" i="10"/>
  <c r="AL73" i="10"/>
  <c r="AL74" i="10"/>
  <c r="AL75" i="10"/>
  <c r="AL76" i="10"/>
  <c r="AL77" i="10"/>
  <c r="AL78" i="10"/>
  <c r="AL79" i="10"/>
  <c r="AL80" i="10"/>
  <c r="AL81" i="10"/>
  <c r="AL82" i="10"/>
  <c r="AL83" i="10"/>
  <c r="AL84" i="10"/>
  <c r="AL85" i="10"/>
  <c r="AL86" i="10"/>
  <c r="AL87" i="10"/>
  <c r="AL88" i="10"/>
  <c r="AL89" i="10"/>
  <c r="AL90" i="10"/>
  <c r="AL91" i="10"/>
  <c r="AL92" i="10"/>
  <c r="AL93" i="10"/>
  <c r="AL94" i="10"/>
  <c r="AL95" i="10"/>
  <c r="AL96" i="10"/>
  <c r="AL97" i="10"/>
  <c r="AL98" i="10"/>
  <c r="AL99" i="10"/>
  <c r="AL100" i="10"/>
  <c r="AL101" i="10"/>
  <c r="AL102" i="10"/>
  <c r="AL103" i="10"/>
  <c r="AL104" i="10"/>
  <c r="AL105" i="10"/>
  <c r="AL106" i="10"/>
  <c r="AL107" i="10"/>
  <c r="AL108" i="10"/>
  <c r="AL109" i="10"/>
  <c r="AL110" i="10"/>
  <c r="AL111" i="10"/>
  <c r="AL112" i="10"/>
  <c r="AL113" i="10"/>
  <c r="AL114" i="10"/>
  <c r="AL115" i="10"/>
  <c r="AL116" i="10"/>
  <c r="AL117" i="10"/>
  <c r="AL118" i="10"/>
  <c r="AL119" i="10"/>
  <c r="AL120" i="10"/>
  <c r="AL121" i="10"/>
  <c r="AL122" i="10"/>
  <c r="AL123" i="10"/>
  <c r="AL124" i="10"/>
  <c r="AL125" i="10"/>
  <c r="AL126" i="10"/>
  <c r="AL127" i="10"/>
  <c r="AL128" i="10"/>
  <c r="AL129" i="10"/>
  <c r="AL130" i="10"/>
  <c r="AL131" i="10"/>
  <c r="AL132" i="10"/>
  <c r="AL133" i="10"/>
  <c r="AL134" i="10"/>
  <c r="AL135" i="10"/>
  <c r="AL136" i="10"/>
  <c r="AL137" i="10"/>
  <c r="AL138" i="10"/>
  <c r="AL139" i="10"/>
  <c r="AL140" i="10"/>
  <c r="AL141" i="10"/>
  <c r="AL142" i="10"/>
  <c r="AL143" i="10"/>
  <c r="AL144" i="10"/>
  <c r="AL145" i="10"/>
  <c r="AL146" i="10"/>
  <c r="AL147" i="10"/>
  <c r="AL148" i="10"/>
  <c r="AL149" i="10"/>
  <c r="AL150" i="10"/>
  <c r="AL151" i="10"/>
  <c r="AL152" i="10"/>
  <c r="AL153" i="10"/>
  <c r="AL154" i="10"/>
  <c r="AL155" i="10"/>
  <c r="AL156" i="10"/>
  <c r="AL157" i="10"/>
  <c r="AL158" i="10"/>
  <c r="AL159" i="10"/>
  <c r="AL160" i="10"/>
  <c r="AL161" i="10"/>
  <c r="AL162" i="10"/>
  <c r="AL163" i="10"/>
  <c r="AL164" i="10"/>
  <c r="AL165" i="10"/>
  <c r="AL166" i="10"/>
  <c r="AL167" i="10"/>
  <c r="AL168" i="10"/>
  <c r="AL169" i="10"/>
  <c r="AL170" i="10"/>
  <c r="AL171" i="10"/>
  <c r="AL172" i="10"/>
  <c r="AL173" i="10"/>
  <c r="AL174" i="10"/>
  <c r="AL175" i="10"/>
  <c r="AL176" i="10"/>
  <c r="AL177" i="10"/>
  <c r="AL178" i="10"/>
  <c r="AL179" i="10"/>
  <c r="AL180" i="10"/>
  <c r="AL181" i="10"/>
  <c r="AL182" i="10"/>
  <c r="AL183" i="10"/>
  <c r="AL184" i="10"/>
  <c r="AL185" i="10"/>
  <c r="AL186" i="10"/>
  <c r="AL187" i="10"/>
  <c r="AL188" i="10"/>
  <c r="AL189" i="10"/>
  <c r="AL190" i="10"/>
  <c r="AL191" i="10"/>
  <c r="AL192" i="10"/>
  <c r="AL193" i="10"/>
  <c r="AL194" i="10"/>
  <c r="AL195" i="10"/>
  <c r="AL196" i="10"/>
  <c r="AL197" i="10"/>
  <c r="AL198" i="10"/>
  <c r="AL199" i="10"/>
  <c r="AL200" i="10"/>
  <c r="AL201" i="10"/>
  <c r="AL202" i="10"/>
  <c r="AL203" i="10"/>
  <c r="AL204" i="10"/>
  <c r="AL205" i="10"/>
  <c r="AL206" i="10"/>
  <c r="AL207" i="10"/>
  <c r="AL208" i="10"/>
  <c r="AL209" i="10"/>
  <c r="AL210" i="10"/>
  <c r="AL211" i="10"/>
  <c r="AL212" i="10"/>
  <c r="AL213" i="10"/>
  <c r="AL214" i="10"/>
  <c r="AL215" i="10"/>
  <c r="AL216" i="10"/>
  <c r="AL217" i="10"/>
  <c r="AL218" i="10"/>
  <c r="AL219" i="10"/>
  <c r="AL220" i="10"/>
  <c r="AL221" i="10"/>
  <c r="AL222" i="10"/>
  <c r="AL223" i="10"/>
  <c r="AL224" i="10"/>
  <c r="AL225" i="10"/>
  <c r="AL226" i="10"/>
  <c r="AL227" i="10"/>
  <c r="AL228" i="10"/>
  <c r="AL229" i="10"/>
  <c r="AL230" i="10"/>
  <c r="AL231" i="10"/>
  <c r="AL232" i="10"/>
  <c r="AL233" i="10"/>
  <c r="AL234" i="10"/>
  <c r="AL235" i="10"/>
  <c r="AL236" i="10"/>
  <c r="AL237" i="10"/>
  <c r="AL238" i="10"/>
  <c r="AL239" i="10"/>
  <c r="AL240" i="10"/>
  <c r="AL241" i="10"/>
  <c r="AL242" i="10"/>
  <c r="AL243" i="10"/>
  <c r="AL244" i="10"/>
  <c r="AL245" i="10"/>
  <c r="AL246" i="10"/>
  <c r="AL247" i="10"/>
  <c r="AL248" i="10"/>
  <c r="AL249" i="10"/>
  <c r="AL250" i="10"/>
  <c r="AL251" i="10"/>
  <c r="AL252" i="10"/>
  <c r="AL253" i="10"/>
  <c r="AL254" i="10"/>
  <c r="AL255" i="10"/>
  <c r="AL256" i="10"/>
  <c r="AL257" i="10"/>
  <c r="AL258" i="10"/>
  <c r="AL259" i="10"/>
  <c r="AL260" i="10"/>
  <c r="AL261" i="10"/>
  <c r="AL262" i="10"/>
  <c r="AL263" i="10"/>
  <c r="AL264" i="10"/>
  <c r="AL265" i="10"/>
  <c r="AL266" i="10"/>
  <c r="AL267" i="10"/>
  <c r="AL268" i="10"/>
  <c r="AL269" i="10"/>
  <c r="AL270" i="10"/>
  <c r="AL271" i="10"/>
  <c r="AL272" i="10"/>
  <c r="AL273" i="10"/>
  <c r="AL274" i="10"/>
  <c r="AL275" i="10"/>
  <c r="AL276" i="10"/>
  <c r="AL277" i="10"/>
  <c r="AL278" i="10"/>
  <c r="AL279" i="10"/>
  <c r="AL280" i="10"/>
  <c r="AL281" i="10"/>
  <c r="AL282" i="10"/>
  <c r="AL283" i="10"/>
  <c r="AL284" i="10"/>
  <c r="AL285" i="10"/>
  <c r="AL286" i="10"/>
  <c r="AL287" i="10"/>
  <c r="AL288" i="10"/>
  <c r="AL289" i="10"/>
  <c r="AL290" i="10"/>
  <c r="AL291" i="10"/>
  <c r="AL292" i="10"/>
  <c r="AL293" i="10"/>
  <c r="AL294" i="10"/>
  <c r="AL295" i="10"/>
  <c r="AL296" i="10"/>
  <c r="AL297" i="10"/>
  <c r="AL298" i="10"/>
  <c r="AL299" i="10"/>
  <c r="AL300" i="10"/>
  <c r="AL301" i="10"/>
  <c r="AL302" i="10"/>
  <c r="AL303" i="10"/>
  <c r="AL304" i="10"/>
  <c r="AL305" i="10"/>
  <c r="AL306" i="10"/>
  <c r="AL307" i="10"/>
  <c r="AL308" i="10"/>
  <c r="AL309" i="10"/>
  <c r="AL310" i="10"/>
  <c r="AL311" i="10"/>
  <c r="AL312" i="10"/>
  <c r="AL313" i="10"/>
  <c r="AL314" i="10"/>
  <c r="AL315" i="10"/>
  <c r="AL316" i="10"/>
  <c r="AL317" i="10"/>
  <c r="AL318" i="10"/>
  <c r="AL319" i="10"/>
  <c r="AL320" i="10"/>
  <c r="AL321" i="10"/>
  <c r="AL322" i="10"/>
  <c r="AL323" i="10"/>
  <c r="AL324" i="10"/>
  <c r="AL325" i="10"/>
  <c r="AL326" i="10"/>
  <c r="AL327" i="10"/>
  <c r="AL328" i="10"/>
  <c r="AL329" i="10"/>
  <c r="AL330" i="10"/>
  <c r="AL331" i="10"/>
  <c r="AL332" i="10"/>
  <c r="AL333" i="10"/>
  <c r="AL334" i="10"/>
  <c r="AL335" i="10"/>
  <c r="AL336" i="10"/>
  <c r="AL337" i="10"/>
  <c r="AL338" i="10"/>
  <c r="AL339" i="10"/>
  <c r="AL340" i="10"/>
  <c r="AL341" i="10"/>
  <c r="AL342" i="10"/>
  <c r="AL343" i="10"/>
  <c r="AL344" i="10"/>
  <c r="AL345" i="10"/>
  <c r="AL346" i="10"/>
  <c r="AL347" i="10"/>
  <c r="AL348" i="10"/>
  <c r="AL349" i="10"/>
  <c r="AL350" i="10"/>
  <c r="AL351" i="10"/>
  <c r="AL352" i="10"/>
  <c r="AL353" i="10"/>
  <c r="AL354" i="10"/>
  <c r="AL355" i="10"/>
  <c r="AL356" i="10"/>
  <c r="AL357" i="10"/>
  <c r="AL358" i="10"/>
  <c r="AL359" i="10"/>
  <c r="AL360" i="10"/>
  <c r="AL361" i="10"/>
  <c r="AL362" i="10"/>
  <c r="AL363" i="10"/>
  <c r="AL364" i="10"/>
  <c r="AL365" i="10"/>
  <c r="AL366" i="10"/>
  <c r="AL367" i="10"/>
  <c r="AL368" i="10"/>
  <c r="AL369" i="10"/>
  <c r="AL370" i="10"/>
  <c r="AL371" i="10"/>
  <c r="AL372" i="10"/>
  <c r="AL373" i="10"/>
  <c r="AL374" i="10"/>
  <c r="AL375" i="10"/>
  <c r="AL376" i="10"/>
  <c r="AL377" i="10"/>
  <c r="AL378" i="10"/>
  <c r="AL379" i="10"/>
  <c r="AL380" i="10"/>
  <c r="AL381" i="10"/>
  <c r="AL382" i="10"/>
  <c r="AL383" i="10"/>
  <c r="AL384" i="10"/>
  <c r="AL385" i="10"/>
  <c r="AL386" i="10"/>
  <c r="AL387" i="10"/>
  <c r="AL388" i="10"/>
  <c r="AL389" i="10"/>
  <c r="AL390" i="10"/>
  <c r="AL391" i="10"/>
  <c r="AL392" i="10"/>
  <c r="AL393" i="10"/>
  <c r="AL394" i="10"/>
  <c r="AL395" i="10"/>
  <c r="AL396" i="10"/>
  <c r="AL397" i="10"/>
  <c r="AL398" i="10"/>
  <c r="AL399" i="10"/>
  <c r="AL400" i="10"/>
  <c r="AL401" i="10"/>
  <c r="AL402" i="10"/>
  <c r="AL403" i="10"/>
  <c r="AL404" i="10"/>
  <c r="AL405" i="10"/>
  <c r="AL406" i="10"/>
  <c r="AL407" i="10"/>
  <c r="AL408" i="10"/>
  <c r="AL409" i="10"/>
  <c r="AL410" i="10"/>
  <c r="AL411" i="10"/>
  <c r="AL412" i="10"/>
  <c r="AL413" i="10"/>
  <c r="AL414" i="10"/>
  <c r="AL415" i="10"/>
  <c r="AL416" i="10"/>
  <c r="AL417" i="10"/>
  <c r="AL418" i="10"/>
  <c r="AL419" i="10"/>
  <c r="AL420" i="10"/>
  <c r="AL421" i="10"/>
  <c r="AL422" i="10"/>
  <c r="AL423" i="10"/>
  <c r="AL424" i="10"/>
  <c r="AL425" i="10"/>
  <c r="AL426" i="10"/>
  <c r="AL427" i="10"/>
  <c r="AL428" i="10"/>
  <c r="AL429" i="10"/>
  <c r="AL430" i="10"/>
  <c r="AL431" i="10"/>
  <c r="AL432" i="10"/>
  <c r="AL433" i="10"/>
  <c r="AL434" i="10"/>
  <c r="AL435" i="10"/>
  <c r="AL436" i="10"/>
  <c r="AL437" i="10"/>
  <c r="AL438" i="10"/>
  <c r="AL439" i="10"/>
  <c r="AL440" i="10"/>
  <c r="AL441" i="10"/>
  <c r="AL442" i="10"/>
  <c r="AL443" i="10"/>
  <c r="AL444" i="10"/>
  <c r="AL445" i="10"/>
  <c r="AL446" i="10"/>
  <c r="AL447" i="10"/>
  <c r="AL448" i="10"/>
  <c r="AL449" i="10"/>
  <c r="AL450" i="10"/>
  <c r="AL451" i="10"/>
  <c r="AL452" i="10"/>
  <c r="AL453" i="10"/>
  <c r="AL454" i="10"/>
  <c r="AL455" i="10"/>
  <c r="AL456" i="10"/>
  <c r="AL457" i="10"/>
  <c r="AL458" i="10"/>
  <c r="AL459" i="10"/>
  <c r="AL460" i="10"/>
  <c r="AL461" i="10"/>
  <c r="AL462" i="10"/>
  <c r="AL463" i="10"/>
  <c r="AL464" i="10"/>
  <c r="AL465" i="10"/>
  <c r="AL466" i="10"/>
  <c r="AL467" i="10"/>
  <c r="AL468" i="10"/>
  <c r="AL469" i="10"/>
  <c r="AL470" i="10"/>
  <c r="AL471" i="10"/>
  <c r="AL472" i="10"/>
  <c r="AL473" i="10"/>
  <c r="AL474" i="10"/>
  <c r="AL475" i="10"/>
  <c r="AL476" i="10"/>
  <c r="AL477" i="10"/>
  <c r="AL478" i="10"/>
  <c r="AL479" i="10"/>
  <c r="AL480" i="10"/>
  <c r="AL481" i="10"/>
  <c r="AL482" i="10"/>
  <c r="AL483" i="10"/>
  <c r="AL484" i="10"/>
  <c r="AL485" i="10"/>
  <c r="AL486" i="10"/>
  <c r="AL487" i="10"/>
  <c r="AL488" i="10"/>
  <c r="AL489" i="10"/>
  <c r="AL490" i="10"/>
  <c r="AL491" i="10"/>
  <c r="AL492" i="10"/>
  <c r="AL493" i="10"/>
  <c r="AL494" i="10"/>
  <c r="AL495" i="10"/>
  <c r="AL496" i="10"/>
  <c r="AL497" i="10"/>
  <c r="AL498" i="10"/>
  <c r="AL499" i="10"/>
  <c r="AL500" i="10"/>
  <c r="AL501" i="10"/>
  <c r="AL502" i="10"/>
  <c r="AL503" i="10"/>
  <c r="AL504" i="10"/>
  <c r="AL505" i="10"/>
  <c r="AL506" i="10"/>
  <c r="AL507" i="10"/>
  <c r="AL508" i="10"/>
  <c r="AL509" i="10"/>
  <c r="AL510" i="10"/>
  <c r="AL511" i="10"/>
  <c r="AL512" i="10"/>
  <c r="AL513" i="10"/>
  <c r="AL514" i="10"/>
  <c r="AL515" i="10"/>
  <c r="AL516" i="10"/>
  <c r="AL517" i="10"/>
  <c r="AL518" i="10"/>
  <c r="AL519" i="10"/>
  <c r="AL520" i="10"/>
  <c r="AL521" i="10"/>
  <c r="AL522" i="10"/>
  <c r="AL523" i="10"/>
  <c r="AL524" i="10"/>
  <c r="AL525" i="10"/>
  <c r="AL526" i="10"/>
  <c r="AL527" i="10"/>
  <c r="AL528" i="10"/>
  <c r="AL529" i="10"/>
  <c r="AL530" i="10"/>
  <c r="AL531" i="10"/>
  <c r="AL532" i="10"/>
  <c r="AL533" i="10"/>
  <c r="AL534" i="10"/>
  <c r="AL535" i="10"/>
  <c r="AL536" i="10"/>
  <c r="AL537" i="10"/>
  <c r="AL538" i="10"/>
  <c r="AL539" i="10"/>
  <c r="AL540" i="10"/>
  <c r="AL541" i="10"/>
  <c r="AL542" i="10"/>
  <c r="AL543" i="10"/>
  <c r="AL544" i="10"/>
  <c r="AL545" i="10"/>
  <c r="AL546" i="10"/>
  <c r="AL547" i="10"/>
  <c r="AL548" i="10"/>
  <c r="AL549" i="10"/>
  <c r="AL550" i="10"/>
  <c r="AL551" i="10"/>
  <c r="AL552" i="10"/>
  <c r="AL553" i="10"/>
  <c r="AL554" i="10"/>
  <c r="AL555" i="10"/>
  <c r="AL556" i="10"/>
  <c r="AL557" i="10"/>
  <c r="AL558" i="10"/>
  <c r="AL559" i="10"/>
  <c r="AL560" i="10"/>
  <c r="AL561" i="10"/>
  <c r="AL562" i="10"/>
  <c r="AL563" i="10"/>
  <c r="AL564" i="10"/>
  <c r="AL565" i="10"/>
  <c r="AL566" i="10"/>
  <c r="AL567" i="10"/>
  <c r="AL568" i="10"/>
  <c r="AL569" i="10"/>
  <c r="AL570" i="10"/>
  <c r="AL571" i="10"/>
  <c r="AL572" i="10"/>
  <c r="AL573" i="10"/>
  <c r="AL574" i="10"/>
  <c r="AL575" i="10"/>
  <c r="AL576" i="10"/>
  <c r="AL577" i="10"/>
  <c r="AL578" i="10"/>
  <c r="AL579" i="10"/>
  <c r="AL580" i="10"/>
  <c r="AL581" i="10"/>
  <c r="AL582" i="10"/>
  <c r="AL583" i="10"/>
  <c r="AL584" i="10"/>
  <c r="AL585" i="10"/>
  <c r="AL586" i="10"/>
  <c r="AL587" i="10"/>
  <c r="AL588" i="10"/>
  <c r="AL589" i="10"/>
  <c r="AL590" i="10"/>
  <c r="AL591" i="10"/>
  <c r="AL592" i="10"/>
  <c r="AL593" i="10"/>
  <c r="AL594" i="10"/>
  <c r="AL595" i="10"/>
  <c r="AL596" i="10"/>
  <c r="AL597" i="10"/>
  <c r="AL598" i="10"/>
  <c r="AL599" i="10"/>
  <c r="AL600" i="10"/>
  <c r="AL601" i="10"/>
  <c r="AL602" i="10"/>
  <c r="AL603" i="10"/>
  <c r="AL604" i="10"/>
  <c r="AL605" i="10"/>
  <c r="AL606" i="10"/>
  <c r="AL607" i="10"/>
  <c r="AL608" i="10"/>
  <c r="AL609" i="10"/>
  <c r="AL610" i="10"/>
  <c r="AL611" i="10"/>
  <c r="AL612" i="10"/>
  <c r="AL613" i="10"/>
  <c r="AL614" i="10"/>
  <c r="AL615" i="10"/>
  <c r="AL616" i="10"/>
  <c r="AL617" i="10"/>
  <c r="AL618" i="10"/>
  <c r="AL619" i="10"/>
  <c r="AL620" i="10"/>
  <c r="AL621" i="10"/>
  <c r="AL622" i="10"/>
  <c r="AL623" i="10"/>
  <c r="AL624" i="10"/>
  <c r="AL625" i="10"/>
  <c r="AL626" i="10"/>
  <c r="AL627" i="10"/>
  <c r="AL628" i="10"/>
  <c r="AL629" i="10"/>
  <c r="AL630" i="10"/>
  <c r="AL631" i="10"/>
  <c r="AL632" i="10"/>
  <c r="AL633" i="10"/>
  <c r="AL634" i="10"/>
  <c r="AL635" i="10"/>
  <c r="AL636" i="10"/>
  <c r="AL637" i="10"/>
  <c r="AL638" i="10"/>
  <c r="AL639" i="10"/>
  <c r="AL640" i="10"/>
  <c r="AL641" i="10"/>
  <c r="AL642" i="10"/>
  <c r="AL643" i="10"/>
  <c r="AL644" i="10"/>
  <c r="AL645" i="10"/>
  <c r="AL646" i="10"/>
  <c r="AL647" i="10"/>
  <c r="AL648" i="10"/>
  <c r="AL649" i="10"/>
  <c r="AL650" i="10"/>
  <c r="AL651" i="10"/>
  <c r="AL652" i="10"/>
  <c r="AL653" i="10"/>
  <c r="AL654" i="10"/>
  <c r="AL655" i="10"/>
  <c r="AL656" i="10"/>
  <c r="AL657" i="10"/>
  <c r="AL658" i="10"/>
  <c r="AL659" i="10"/>
  <c r="AL660" i="10"/>
  <c r="AL661" i="10"/>
  <c r="AL662" i="10"/>
  <c r="AL663" i="10"/>
  <c r="AL664" i="10"/>
  <c r="AL665" i="10"/>
  <c r="AL666" i="10"/>
  <c r="AL667" i="10"/>
  <c r="AL668" i="10"/>
  <c r="AL669" i="10"/>
  <c r="AL670" i="10"/>
  <c r="AL671" i="10"/>
  <c r="AL672" i="10"/>
  <c r="AL673" i="10"/>
  <c r="AL674" i="10"/>
  <c r="AL675" i="10"/>
  <c r="AL676" i="10"/>
  <c r="AL677" i="10"/>
  <c r="AL678" i="10"/>
  <c r="AL679" i="10"/>
  <c r="AL680" i="10"/>
  <c r="AL681" i="10"/>
  <c r="AL682" i="10"/>
  <c r="AL683" i="10"/>
  <c r="AL684" i="10"/>
  <c r="AL685" i="10"/>
  <c r="AL686" i="10"/>
  <c r="AL687" i="10"/>
  <c r="AL688" i="10"/>
  <c r="AL689" i="10"/>
  <c r="AL690" i="10"/>
  <c r="AL691" i="10"/>
  <c r="AL692" i="10"/>
  <c r="AL693" i="10"/>
  <c r="AL694" i="10"/>
  <c r="AL695" i="10"/>
  <c r="AL696" i="10"/>
  <c r="AL697" i="10"/>
  <c r="AL698" i="10"/>
  <c r="AL699" i="10"/>
  <c r="AL700" i="10"/>
  <c r="AL701" i="10"/>
  <c r="AL702" i="10"/>
  <c r="AL703" i="10"/>
  <c r="AL704" i="10"/>
  <c r="AL705" i="10"/>
  <c r="AL706" i="10"/>
  <c r="AL707" i="10"/>
  <c r="AL708" i="10"/>
  <c r="AL709" i="10"/>
  <c r="AL710" i="10"/>
  <c r="AL711" i="10"/>
  <c r="AL712" i="10"/>
  <c r="AL713" i="10"/>
  <c r="AL714" i="10"/>
  <c r="AL715" i="10"/>
  <c r="AL716" i="10"/>
  <c r="AL717" i="10"/>
  <c r="AL718" i="10"/>
  <c r="AL719" i="10"/>
  <c r="AL720" i="10"/>
  <c r="AL721" i="10"/>
  <c r="AL722" i="10"/>
  <c r="AL723" i="10"/>
  <c r="AL724" i="10"/>
  <c r="AL725" i="10"/>
  <c r="AL726" i="10"/>
  <c r="AL727" i="10"/>
  <c r="AL728" i="10"/>
  <c r="AL729" i="10"/>
  <c r="AL730" i="10"/>
  <c r="AL731" i="10"/>
  <c r="AL732" i="10"/>
  <c r="AL733" i="10"/>
  <c r="AL734" i="10"/>
  <c r="AL735" i="10"/>
  <c r="AL736" i="10"/>
  <c r="AL737" i="10"/>
  <c r="AL738" i="10"/>
  <c r="AL739" i="10"/>
  <c r="AL740" i="10"/>
  <c r="AL741" i="10"/>
  <c r="AL742" i="10"/>
  <c r="AL743" i="10"/>
  <c r="AL744" i="10"/>
  <c r="AL745" i="10"/>
  <c r="AL746" i="10"/>
  <c r="AL747" i="10"/>
  <c r="AL748" i="10"/>
  <c r="AL749" i="10"/>
  <c r="AL750" i="10"/>
  <c r="AL751" i="10"/>
  <c r="AL752" i="10"/>
  <c r="AL753" i="10"/>
  <c r="AL754" i="10"/>
  <c r="AL755" i="10"/>
  <c r="AL756" i="10"/>
  <c r="AL757" i="10"/>
  <c r="AL758" i="10"/>
  <c r="AL759" i="10"/>
  <c r="AL760" i="10"/>
  <c r="AL761" i="10"/>
  <c r="AL762" i="10"/>
  <c r="AL763" i="10"/>
  <c r="AL764" i="10"/>
  <c r="AL765" i="10"/>
  <c r="AL766" i="10"/>
  <c r="AL767" i="10"/>
  <c r="AL768" i="10"/>
  <c r="AL769" i="10"/>
  <c r="AL770" i="10"/>
  <c r="AL771" i="10"/>
  <c r="AL772" i="10"/>
  <c r="AL773" i="10"/>
  <c r="AL774" i="10"/>
  <c r="AL775" i="10"/>
  <c r="AL776" i="10"/>
  <c r="AL777" i="10"/>
  <c r="AL778" i="10"/>
  <c r="AL779" i="10"/>
  <c r="AL780" i="10"/>
  <c r="AL781" i="10"/>
  <c r="AL782" i="10"/>
  <c r="AL783" i="10"/>
  <c r="AL784" i="10"/>
  <c r="AL785" i="10"/>
  <c r="AL786" i="10"/>
  <c r="AL787" i="10"/>
  <c r="AL788" i="10"/>
  <c r="AL789" i="10"/>
  <c r="AL790" i="10"/>
  <c r="AL791" i="10"/>
  <c r="AL792" i="10"/>
  <c r="AL793" i="10"/>
  <c r="AL794" i="10"/>
  <c r="AL795" i="10"/>
  <c r="AL796" i="10"/>
  <c r="AL797" i="10"/>
  <c r="AL798" i="10"/>
  <c r="AL799" i="10"/>
  <c r="AL800" i="10"/>
  <c r="AL801" i="10"/>
  <c r="AL802" i="10"/>
  <c r="AL803" i="10"/>
  <c r="AL804" i="10"/>
  <c r="AL805" i="10"/>
  <c r="AL806" i="10"/>
  <c r="AL807" i="10"/>
  <c r="AL808" i="10"/>
  <c r="AL809" i="10"/>
  <c r="AL810" i="10"/>
  <c r="AL811" i="10"/>
  <c r="AL812" i="10"/>
  <c r="AL813" i="10"/>
  <c r="AL814" i="10"/>
  <c r="AL815" i="10"/>
  <c r="AL816" i="10"/>
  <c r="AL817" i="10"/>
  <c r="AL818" i="10"/>
  <c r="AL819" i="10"/>
  <c r="AL820" i="10"/>
  <c r="AL821" i="10"/>
  <c r="AL822" i="10"/>
  <c r="AL823" i="10"/>
  <c r="AL824" i="10"/>
  <c r="AL825" i="10"/>
  <c r="AL826" i="10"/>
  <c r="AL827" i="10"/>
  <c r="AL828" i="10"/>
  <c r="AL829" i="10"/>
  <c r="AL830" i="10"/>
  <c r="AL831" i="10"/>
  <c r="AL832" i="10"/>
  <c r="AL833" i="10"/>
  <c r="AL834" i="10"/>
  <c r="AL835" i="10"/>
  <c r="AL836" i="10"/>
  <c r="AL837" i="10"/>
  <c r="AL838" i="10"/>
  <c r="AL839" i="10"/>
  <c r="AL840" i="10"/>
  <c r="AL841" i="10"/>
  <c r="AL842" i="10"/>
  <c r="AL843" i="10"/>
  <c r="AL844" i="10"/>
  <c r="AL845" i="10"/>
  <c r="AL846" i="10"/>
  <c r="AL847" i="10"/>
  <c r="AL848" i="10"/>
  <c r="AL849" i="10"/>
  <c r="AL850" i="10"/>
  <c r="AL851" i="10"/>
  <c r="AL852" i="10"/>
  <c r="AL853" i="10"/>
  <c r="AL854" i="10"/>
  <c r="AL855" i="10"/>
  <c r="AL856" i="10"/>
  <c r="AL857" i="10"/>
  <c r="AL858" i="10"/>
  <c r="AL859" i="10"/>
  <c r="AL860" i="10"/>
  <c r="AL861" i="10"/>
  <c r="AL862" i="10"/>
  <c r="AL863" i="10"/>
  <c r="AL864" i="10"/>
  <c r="AL865" i="10"/>
  <c r="AL866" i="10"/>
  <c r="AL867" i="10"/>
  <c r="AL868" i="10"/>
  <c r="AL869" i="10"/>
  <c r="AL870" i="10"/>
  <c r="AL871" i="10"/>
  <c r="AL872" i="10"/>
  <c r="AL873" i="10"/>
  <c r="AL874" i="10"/>
  <c r="AL875" i="10"/>
  <c r="AL876" i="10"/>
  <c r="AL877" i="10"/>
  <c r="AL878" i="10"/>
  <c r="AL879" i="10"/>
  <c r="AL880" i="10"/>
  <c r="AL881" i="10"/>
  <c r="AL882" i="10"/>
  <c r="AL883" i="10"/>
  <c r="AL884" i="10"/>
  <c r="AL885" i="10"/>
  <c r="AL886" i="10"/>
  <c r="AL887" i="10"/>
  <c r="AL888" i="10"/>
  <c r="AL889" i="10"/>
  <c r="AL890" i="10"/>
  <c r="AL891" i="10"/>
  <c r="AL892" i="10"/>
  <c r="AL893" i="10"/>
  <c r="AL894" i="10"/>
  <c r="AL895" i="10"/>
  <c r="AL896" i="10"/>
  <c r="AL897" i="10"/>
  <c r="AL898" i="10"/>
  <c r="AL899" i="10"/>
  <c r="AL900" i="10"/>
  <c r="AL901" i="10"/>
  <c r="AL902" i="10"/>
  <c r="AL903" i="10"/>
  <c r="AL904" i="10"/>
  <c r="AL905" i="10"/>
  <c r="AL906" i="10"/>
  <c r="AL907" i="10"/>
  <c r="AL908" i="10"/>
  <c r="AL909" i="10"/>
  <c r="AL910" i="10"/>
  <c r="AL911" i="10"/>
  <c r="AL912" i="10"/>
  <c r="AL913" i="10"/>
  <c r="AL914" i="10"/>
  <c r="AL915" i="10"/>
  <c r="AL916" i="10"/>
  <c r="AL917" i="10"/>
  <c r="AL918" i="10"/>
  <c r="AL919" i="10"/>
  <c r="AL920" i="10"/>
  <c r="AL921" i="10"/>
  <c r="AL922" i="10"/>
  <c r="AL923" i="10"/>
  <c r="AL924" i="10"/>
  <c r="AL925" i="10"/>
  <c r="AL926" i="10"/>
  <c r="AL927" i="10"/>
  <c r="AL928" i="10"/>
  <c r="AL929" i="10"/>
  <c r="AL930" i="10"/>
  <c r="AL931" i="10"/>
  <c r="AL932" i="10"/>
  <c r="AL933" i="10"/>
  <c r="AL934" i="10"/>
  <c r="AL935" i="10"/>
  <c r="AL936" i="10"/>
  <c r="AL937" i="10"/>
  <c r="AL938" i="10"/>
  <c r="AL939" i="10"/>
  <c r="AL940" i="10"/>
  <c r="AL941" i="10"/>
  <c r="AL942" i="10"/>
  <c r="AL943" i="10"/>
  <c r="AL944" i="10"/>
  <c r="AL945" i="10"/>
  <c r="AL946" i="10"/>
  <c r="AL947" i="10"/>
  <c r="AL948" i="10"/>
  <c r="AL949" i="10"/>
  <c r="AL950" i="10"/>
  <c r="AL951" i="10"/>
  <c r="AL952" i="10"/>
  <c r="AL953" i="10"/>
  <c r="AL954" i="10"/>
  <c r="AL955" i="10"/>
  <c r="AL956" i="10"/>
  <c r="AL957" i="10"/>
  <c r="AL958" i="10"/>
  <c r="AL959" i="10"/>
  <c r="AL960" i="10"/>
  <c r="AL961" i="10"/>
  <c r="AL962" i="10"/>
  <c r="AL963" i="10"/>
  <c r="AL964" i="10"/>
  <c r="AL965" i="10"/>
  <c r="AL966" i="10"/>
  <c r="AL967" i="10"/>
  <c r="AL968" i="10"/>
  <c r="AL969" i="10"/>
  <c r="AL970" i="10"/>
  <c r="AL971" i="10"/>
  <c r="AL972" i="10"/>
  <c r="AL973" i="10"/>
  <c r="AL974" i="10"/>
  <c r="AL975" i="10"/>
  <c r="AL976" i="10"/>
  <c r="AL977" i="10"/>
  <c r="AL978" i="10"/>
  <c r="AL979" i="10"/>
  <c r="AL980" i="10"/>
  <c r="AL981" i="10"/>
  <c r="AL982" i="10"/>
  <c r="AL983" i="10"/>
  <c r="AL984" i="10"/>
  <c r="AL985" i="10"/>
  <c r="AL986" i="10"/>
  <c r="AL987" i="10"/>
  <c r="AL988" i="10"/>
  <c r="AL989" i="10"/>
  <c r="AL990" i="10"/>
  <c r="AL991" i="10"/>
  <c r="AL992" i="10"/>
  <c r="AL993" i="10"/>
  <c r="AL994" i="10"/>
  <c r="AL995" i="10"/>
  <c r="AL996" i="10"/>
  <c r="AL997" i="10"/>
  <c r="AL998" i="10"/>
  <c r="AL999" i="10"/>
  <c r="AL1000" i="10"/>
  <c r="AL1001" i="10"/>
  <c r="AL1002" i="10"/>
  <c r="AL1003" i="10"/>
  <c r="AL1004" i="10"/>
  <c r="AL1005" i="10"/>
  <c r="AL1006" i="10"/>
  <c r="AL1007" i="10"/>
  <c r="AL1008" i="10"/>
  <c r="AL1009" i="10"/>
  <c r="AL1010" i="10"/>
  <c r="AL1011" i="10"/>
  <c r="AL1012" i="10"/>
  <c r="AL1013" i="10"/>
  <c r="AL1014" i="10"/>
  <c r="AL1015" i="10"/>
  <c r="AL1016" i="10"/>
  <c r="AL1017" i="10"/>
  <c r="AL1018" i="10"/>
  <c r="AL1019" i="10"/>
  <c r="AL1020" i="10"/>
  <c r="AL1021" i="10"/>
  <c r="AL1022" i="10"/>
  <c r="AL1023" i="10"/>
  <c r="AL1024" i="10"/>
  <c r="AL1025" i="10"/>
  <c r="AL1026" i="10"/>
  <c r="AL1027" i="10"/>
  <c r="AL1028" i="10"/>
  <c r="AL1029" i="10"/>
  <c r="AL1030" i="10"/>
  <c r="AL1031" i="10"/>
  <c r="AL1032" i="10"/>
  <c r="AL1033" i="10"/>
  <c r="AL1034" i="10"/>
  <c r="AL1035" i="10"/>
  <c r="AL1036" i="10"/>
  <c r="AL1037" i="10"/>
  <c r="AL1038" i="10"/>
  <c r="AL1039" i="10"/>
  <c r="AL1040" i="10"/>
  <c r="AL1041" i="10"/>
  <c r="AL1042" i="10"/>
  <c r="AL1043" i="10"/>
  <c r="AL1044" i="10"/>
  <c r="AL1045" i="10"/>
  <c r="AL1046" i="10"/>
  <c r="AL1047" i="10"/>
  <c r="AL1048" i="10"/>
  <c r="AL1049" i="10"/>
  <c r="AL1050" i="10"/>
  <c r="AL1051" i="10"/>
  <c r="AL1052" i="10"/>
  <c r="AL1053" i="10"/>
  <c r="AL1054" i="10"/>
  <c r="AL1055" i="10"/>
  <c r="AL1056" i="10"/>
  <c r="AL1057" i="10"/>
  <c r="AL1058" i="10"/>
  <c r="AL1059" i="10"/>
  <c r="AL1060" i="10"/>
  <c r="AL1061" i="10"/>
  <c r="AL1062" i="10"/>
  <c r="AL1063" i="10"/>
  <c r="AL1064" i="10"/>
  <c r="AL1065" i="10"/>
  <c r="AL1066" i="10"/>
  <c r="AL1067" i="10"/>
  <c r="AL1068" i="10"/>
  <c r="AL1069" i="10"/>
  <c r="AL1070" i="10"/>
  <c r="AL1071" i="10"/>
  <c r="AL1072" i="10"/>
  <c r="AL1073" i="10"/>
  <c r="AL1074" i="10"/>
  <c r="AL1075" i="10"/>
  <c r="AL1076" i="10"/>
  <c r="AL1077" i="10"/>
  <c r="AL1078" i="10"/>
  <c r="AL1079" i="10"/>
  <c r="AL1080" i="10"/>
  <c r="AL1081" i="10"/>
  <c r="AL1082" i="10"/>
  <c r="AL1083" i="10"/>
  <c r="AL1084" i="10"/>
  <c r="AL1085" i="10"/>
  <c r="AL1086" i="10"/>
  <c r="AL1087" i="10"/>
  <c r="AL1088" i="10"/>
  <c r="AL1089" i="10"/>
  <c r="AL1090" i="10"/>
  <c r="AL1091" i="10"/>
  <c r="AL1092" i="10"/>
  <c r="AL1093" i="10"/>
  <c r="AL1094" i="10"/>
  <c r="AL1095" i="10"/>
  <c r="AL1096" i="10"/>
  <c r="AL1097" i="10"/>
  <c r="AL1098" i="10"/>
  <c r="AL1099" i="10"/>
  <c r="AL1100" i="10"/>
  <c r="AL1101" i="10"/>
  <c r="AL1102" i="10"/>
  <c r="AL1103" i="10"/>
  <c r="AL1104" i="10"/>
  <c r="AL1105" i="10"/>
  <c r="AL1106" i="10"/>
  <c r="AL1107" i="10"/>
  <c r="AL1108" i="10"/>
  <c r="AL1109" i="10"/>
  <c r="AL1110" i="10"/>
  <c r="AL1111" i="10"/>
  <c r="AL1112" i="10"/>
  <c r="AL1113" i="10"/>
  <c r="AL1114" i="10"/>
  <c r="AL1115" i="10"/>
  <c r="AL1116" i="10"/>
  <c r="AL1117" i="10"/>
  <c r="AL1118" i="10"/>
  <c r="AL1119" i="10"/>
  <c r="AL1120" i="10"/>
  <c r="AL1121" i="10"/>
  <c r="AL1122" i="10"/>
  <c r="AL1123" i="10"/>
  <c r="AL1124" i="10"/>
  <c r="AL1125" i="10"/>
  <c r="AL1126" i="10"/>
  <c r="AL1127" i="10"/>
  <c r="AL1128" i="10"/>
  <c r="AL1129" i="10"/>
  <c r="AL1130" i="10"/>
  <c r="AL1131" i="10"/>
  <c r="AL1132" i="10"/>
  <c r="AL1133" i="10"/>
  <c r="AL1134" i="10"/>
  <c r="AL1135" i="10"/>
  <c r="AL1136" i="10"/>
  <c r="AL1137" i="10"/>
  <c r="AL1138" i="10"/>
  <c r="AL1139" i="10"/>
  <c r="AL1140" i="10"/>
  <c r="AL1141" i="10"/>
  <c r="AL1142" i="10"/>
  <c r="AL1143" i="10"/>
  <c r="AL1144" i="10"/>
  <c r="AL1145" i="10"/>
  <c r="AL1146" i="10"/>
  <c r="AL1147" i="10"/>
  <c r="AL1148" i="10"/>
  <c r="AL1149" i="10"/>
  <c r="AL1150" i="10"/>
  <c r="AL1151" i="10"/>
  <c r="AL1152" i="10"/>
  <c r="AL1153" i="10"/>
  <c r="AL1154" i="10"/>
  <c r="AL1155" i="10"/>
  <c r="AL1156" i="10"/>
  <c r="AL1157" i="10"/>
  <c r="AL1158" i="10"/>
  <c r="AL1159" i="10"/>
  <c r="AL1160" i="10"/>
  <c r="AL1161" i="10"/>
  <c r="AL1162" i="10"/>
  <c r="AL1163" i="10"/>
  <c r="AL1164" i="10"/>
  <c r="AL1165" i="10"/>
  <c r="AL1166" i="10"/>
  <c r="AL1167" i="10"/>
  <c r="AL1168" i="10"/>
  <c r="AL1169" i="10"/>
  <c r="AL1170" i="10"/>
  <c r="AL1171" i="10"/>
  <c r="AL1172" i="10"/>
  <c r="AL1173" i="10"/>
  <c r="AL1174" i="10"/>
  <c r="AL1175" i="10"/>
  <c r="AL1176" i="10"/>
  <c r="AL1177" i="10"/>
  <c r="AL1178" i="10"/>
  <c r="AL1179" i="10"/>
  <c r="AL1180" i="10"/>
  <c r="AL1181" i="10"/>
  <c r="AL1182" i="10"/>
  <c r="AL1183" i="10"/>
  <c r="AL1184" i="10"/>
  <c r="AL1185" i="10"/>
  <c r="AL1186" i="10"/>
  <c r="AL1187" i="10"/>
  <c r="AL1188" i="10"/>
  <c r="AL1189" i="10"/>
  <c r="AL1190" i="10"/>
  <c r="AL1191" i="10"/>
  <c r="AL1192" i="10"/>
  <c r="AL1193" i="10"/>
  <c r="AL1194" i="10"/>
  <c r="AL1195" i="10"/>
  <c r="AL1196" i="10"/>
  <c r="AL1197" i="10"/>
  <c r="AL1198" i="10"/>
  <c r="AL1199" i="10"/>
  <c r="AL1200" i="10"/>
  <c r="AL1201" i="10"/>
  <c r="AL1202" i="10"/>
  <c r="AL1203" i="10"/>
  <c r="AL1204" i="10"/>
  <c r="AL1205" i="10"/>
  <c r="AL1206" i="10"/>
  <c r="AL1207" i="10"/>
  <c r="AL1208" i="10"/>
  <c r="AL6" i="10"/>
  <c r="AK7" i="10"/>
  <c r="AK8" i="10"/>
  <c r="AK9" i="10"/>
  <c r="AK10" i="10"/>
  <c r="AK11" i="10"/>
  <c r="AK12" i="10"/>
  <c r="AK13" i="10"/>
  <c r="AK14" i="10"/>
  <c r="AK15" i="10"/>
  <c r="AK16" i="10"/>
  <c r="AK17" i="10"/>
  <c r="AK18" i="10"/>
  <c r="AK19" i="10"/>
  <c r="AK20" i="10"/>
  <c r="AK21" i="10"/>
  <c r="AK22" i="10"/>
  <c r="AK23" i="10"/>
  <c r="AK24" i="10"/>
  <c r="AK25" i="10"/>
  <c r="AK26" i="10"/>
  <c r="AK27" i="10"/>
  <c r="AK28" i="10"/>
  <c r="AK29" i="10"/>
  <c r="AK30" i="10"/>
  <c r="AK31" i="10"/>
  <c r="AK32" i="10"/>
  <c r="AK33" i="10"/>
  <c r="AK34" i="10"/>
  <c r="AK35" i="10"/>
  <c r="AK36" i="10"/>
  <c r="AK37" i="10"/>
  <c r="AK38" i="10"/>
  <c r="AK39" i="10"/>
  <c r="AK40" i="10"/>
  <c r="AK41" i="10"/>
  <c r="AK42" i="10"/>
  <c r="AK43" i="10"/>
  <c r="AK44" i="10"/>
  <c r="AK45" i="10"/>
  <c r="AK46" i="10"/>
  <c r="AK47" i="10"/>
  <c r="AK48" i="10"/>
  <c r="AK49" i="10"/>
  <c r="AK50" i="10"/>
  <c r="AK51" i="10"/>
  <c r="AK52" i="10"/>
  <c r="AK53" i="10"/>
  <c r="AK54" i="10"/>
  <c r="AK55" i="10"/>
  <c r="AK56" i="10"/>
  <c r="AK57" i="10"/>
  <c r="AK58" i="10"/>
  <c r="AK59" i="10"/>
  <c r="AK60" i="10"/>
  <c r="AK61" i="10"/>
  <c r="AK62" i="10"/>
  <c r="AK63" i="10"/>
  <c r="AK64" i="10"/>
  <c r="AK65" i="10"/>
  <c r="AK66" i="10"/>
  <c r="AK67" i="10"/>
  <c r="AK68" i="10"/>
  <c r="AK69" i="10"/>
  <c r="AK70" i="10"/>
  <c r="AK71" i="10"/>
  <c r="AK72" i="10"/>
  <c r="AK73" i="10"/>
  <c r="AK74" i="10"/>
  <c r="AK75" i="10"/>
  <c r="AK76" i="10"/>
  <c r="AK77" i="10"/>
  <c r="AK78" i="10"/>
  <c r="AK79" i="10"/>
  <c r="AK80" i="10"/>
  <c r="AK81" i="10"/>
  <c r="AK82" i="10"/>
  <c r="AK83" i="10"/>
  <c r="AK84" i="10"/>
  <c r="AK85" i="10"/>
  <c r="AK86" i="10"/>
  <c r="AK87" i="10"/>
  <c r="AK88" i="10"/>
  <c r="AK89" i="10"/>
  <c r="AK90" i="10"/>
  <c r="AK91" i="10"/>
  <c r="AK92" i="10"/>
  <c r="AK93" i="10"/>
  <c r="AK94" i="10"/>
  <c r="AK95" i="10"/>
  <c r="AK96" i="10"/>
  <c r="AK97" i="10"/>
  <c r="AK98" i="10"/>
  <c r="AK99" i="10"/>
  <c r="AK100" i="10"/>
  <c r="AK101" i="10"/>
  <c r="AK102" i="10"/>
  <c r="AK103" i="10"/>
  <c r="AK104" i="10"/>
  <c r="AK105" i="10"/>
  <c r="AK106" i="10"/>
  <c r="AK107" i="10"/>
  <c r="AK108" i="10"/>
  <c r="AK109" i="10"/>
  <c r="AK110" i="10"/>
  <c r="AK111" i="10"/>
  <c r="AK112" i="10"/>
  <c r="AK113" i="10"/>
  <c r="AK114" i="10"/>
  <c r="AK115" i="10"/>
  <c r="AK116" i="10"/>
  <c r="AK117" i="10"/>
  <c r="AK118" i="10"/>
  <c r="AK119" i="10"/>
  <c r="AK120" i="10"/>
  <c r="AK121" i="10"/>
  <c r="AK122" i="10"/>
  <c r="AK123" i="10"/>
  <c r="AK124" i="10"/>
  <c r="AK125" i="10"/>
  <c r="AK126" i="10"/>
  <c r="AK127" i="10"/>
  <c r="AK128" i="10"/>
  <c r="AK129" i="10"/>
  <c r="AK130" i="10"/>
  <c r="AK131" i="10"/>
  <c r="AK132" i="10"/>
  <c r="AK133" i="10"/>
  <c r="AK134" i="10"/>
  <c r="AK135" i="10"/>
  <c r="AK136" i="10"/>
  <c r="AK137" i="10"/>
  <c r="AK138" i="10"/>
  <c r="AK139" i="10"/>
  <c r="AK140" i="10"/>
  <c r="AK141" i="10"/>
  <c r="AK142" i="10"/>
  <c r="AK143" i="10"/>
  <c r="AK144" i="10"/>
  <c r="AK145" i="10"/>
  <c r="AK146" i="10"/>
  <c r="AK147" i="10"/>
  <c r="AK148" i="10"/>
  <c r="AK149" i="10"/>
  <c r="AK150" i="10"/>
  <c r="AK151" i="10"/>
  <c r="AK152" i="10"/>
  <c r="AK153" i="10"/>
  <c r="AK154" i="10"/>
  <c r="AK155" i="10"/>
  <c r="AK156" i="10"/>
  <c r="AK157" i="10"/>
  <c r="AK158" i="10"/>
  <c r="AK159" i="10"/>
  <c r="AK160" i="10"/>
  <c r="AK161" i="10"/>
  <c r="AK162" i="10"/>
  <c r="AK163" i="10"/>
  <c r="AK164" i="10"/>
  <c r="AK165" i="10"/>
  <c r="AK166" i="10"/>
  <c r="AK167" i="10"/>
  <c r="AK168" i="10"/>
  <c r="AK169" i="10"/>
  <c r="AK170" i="10"/>
  <c r="AK171" i="10"/>
  <c r="AK172" i="10"/>
  <c r="AK173" i="10"/>
  <c r="AK174" i="10"/>
  <c r="AK175" i="10"/>
  <c r="AK176" i="10"/>
  <c r="AK177" i="10"/>
  <c r="AK178" i="10"/>
  <c r="AK179" i="10"/>
  <c r="AK180" i="10"/>
  <c r="AK181" i="10"/>
  <c r="AK182" i="10"/>
  <c r="AK183" i="10"/>
  <c r="AK184" i="10"/>
  <c r="AK185" i="10"/>
  <c r="AK186" i="10"/>
  <c r="AK187" i="10"/>
  <c r="AK188" i="10"/>
  <c r="AK189" i="10"/>
  <c r="AK190" i="10"/>
  <c r="AK191" i="10"/>
  <c r="AK192" i="10"/>
  <c r="AK193" i="10"/>
  <c r="AK194" i="10"/>
  <c r="AK195" i="10"/>
  <c r="AK196" i="10"/>
  <c r="AK197" i="10"/>
  <c r="AK198" i="10"/>
  <c r="AK199" i="10"/>
  <c r="AK200" i="10"/>
  <c r="AK201" i="10"/>
  <c r="AK202" i="10"/>
  <c r="AK203" i="10"/>
  <c r="AK204" i="10"/>
  <c r="AK205" i="10"/>
  <c r="AK206" i="10"/>
  <c r="AK207" i="10"/>
  <c r="AK208" i="10"/>
  <c r="AK209" i="10"/>
  <c r="AK210" i="10"/>
  <c r="AK211" i="10"/>
  <c r="AK212" i="10"/>
  <c r="AK213" i="10"/>
  <c r="AK214" i="10"/>
  <c r="AK215" i="10"/>
  <c r="AK216" i="10"/>
  <c r="AK217" i="10"/>
  <c r="AK218" i="10"/>
  <c r="AK219" i="10"/>
  <c r="AK220" i="10"/>
  <c r="AK221" i="10"/>
  <c r="AK222" i="10"/>
  <c r="AK223" i="10"/>
  <c r="AK224" i="10"/>
  <c r="AK225" i="10"/>
  <c r="AK226" i="10"/>
  <c r="AK227" i="10"/>
  <c r="AK228" i="10"/>
  <c r="AK229" i="10"/>
  <c r="AK230" i="10"/>
  <c r="AK231" i="10"/>
  <c r="AK232" i="10"/>
  <c r="AK233" i="10"/>
  <c r="AK234" i="10"/>
  <c r="AK235" i="10"/>
  <c r="AK236" i="10"/>
  <c r="AK237" i="10"/>
  <c r="AK238" i="10"/>
  <c r="AK239" i="10"/>
  <c r="AK240" i="10"/>
  <c r="AK241" i="10"/>
  <c r="AK242" i="10"/>
  <c r="AK243" i="10"/>
  <c r="AK244" i="10"/>
  <c r="AK245" i="10"/>
  <c r="AK246" i="10"/>
  <c r="AK247" i="10"/>
  <c r="AK248" i="10"/>
  <c r="AK249" i="10"/>
  <c r="AK250" i="10"/>
  <c r="AK251" i="10"/>
  <c r="AK252" i="10"/>
  <c r="AK253" i="10"/>
  <c r="AK254" i="10"/>
  <c r="AK255" i="10"/>
  <c r="AK256" i="10"/>
  <c r="AK257" i="10"/>
  <c r="AK258" i="10"/>
  <c r="AK259" i="10"/>
  <c r="AK260" i="10"/>
  <c r="AK261" i="10"/>
  <c r="AK262" i="10"/>
  <c r="AK263" i="10"/>
  <c r="AK264" i="10"/>
  <c r="AK265" i="10"/>
  <c r="AK266" i="10"/>
  <c r="AK267" i="10"/>
  <c r="AK268" i="10"/>
  <c r="AK269" i="10"/>
  <c r="AK270" i="10"/>
  <c r="AK271" i="10"/>
  <c r="AK272" i="10"/>
  <c r="AK273" i="10"/>
  <c r="AK274" i="10"/>
  <c r="AK275" i="10"/>
  <c r="AK276" i="10"/>
  <c r="AK277" i="10"/>
  <c r="AK278" i="10"/>
  <c r="AK279" i="10"/>
  <c r="AK280" i="10"/>
  <c r="AK281" i="10"/>
  <c r="AK282" i="10"/>
  <c r="AK283" i="10"/>
  <c r="AK284" i="10"/>
  <c r="AK285" i="10"/>
  <c r="AK286" i="10"/>
  <c r="AK287" i="10"/>
  <c r="AK288" i="10"/>
  <c r="AK289" i="10"/>
  <c r="AK290" i="10"/>
  <c r="AK291" i="10"/>
  <c r="AK292" i="10"/>
  <c r="AK293" i="10"/>
  <c r="AK294" i="10"/>
  <c r="AK295" i="10"/>
  <c r="AK296" i="10"/>
  <c r="AK297" i="10"/>
  <c r="AK298" i="10"/>
  <c r="AK299" i="10"/>
  <c r="AK300" i="10"/>
  <c r="AK301" i="10"/>
  <c r="AK302" i="10"/>
  <c r="AK303" i="10"/>
  <c r="AK304" i="10"/>
  <c r="AK305" i="10"/>
  <c r="AK306" i="10"/>
  <c r="AK307" i="10"/>
  <c r="AK308" i="10"/>
  <c r="AK309" i="10"/>
  <c r="AK310" i="10"/>
  <c r="AK311" i="10"/>
  <c r="AK312" i="10"/>
  <c r="AK313" i="10"/>
  <c r="AK314" i="10"/>
  <c r="AK315" i="10"/>
  <c r="AK316" i="10"/>
  <c r="AK317" i="10"/>
  <c r="AK318" i="10"/>
  <c r="AK319" i="10"/>
  <c r="AK320" i="10"/>
  <c r="AK321" i="10"/>
  <c r="AK322" i="10"/>
  <c r="AK323" i="10"/>
  <c r="AK324" i="10"/>
  <c r="AK325" i="10"/>
  <c r="AK326" i="10"/>
  <c r="AK327" i="10"/>
  <c r="AK328" i="10"/>
  <c r="AK329" i="10"/>
  <c r="AK330" i="10"/>
  <c r="AK331" i="10"/>
  <c r="AK332" i="10"/>
  <c r="AK333" i="10"/>
  <c r="AK334" i="10"/>
  <c r="AK335" i="10"/>
  <c r="AK336" i="10"/>
  <c r="AK337" i="10"/>
  <c r="AK338" i="10"/>
  <c r="AK339" i="10"/>
  <c r="AK340" i="10"/>
  <c r="AK341" i="10"/>
  <c r="AK342" i="10"/>
  <c r="AK343" i="10"/>
  <c r="AK344" i="10"/>
  <c r="AK345" i="10"/>
  <c r="AK346" i="10"/>
  <c r="AK347" i="10"/>
  <c r="AK348" i="10"/>
  <c r="AK349" i="10"/>
  <c r="AK350" i="10"/>
  <c r="AK351" i="10"/>
  <c r="AK352" i="10"/>
  <c r="AK353" i="10"/>
  <c r="AK354" i="10"/>
  <c r="AK355" i="10"/>
  <c r="AK356" i="10"/>
  <c r="AK357" i="10"/>
  <c r="AK358" i="10"/>
  <c r="AK359" i="10"/>
  <c r="AK360" i="10"/>
  <c r="AK361" i="10"/>
  <c r="AK362" i="10"/>
  <c r="AK363" i="10"/>
  <c r="AK364" i="10"/>
  <c r="AK365" i="10"/>
  <c r="AK366" i="10"/>
  <c r="AK367" i="10"/>
  <c r="AK368" i="10"/>
  <c r="AK369" i="10"/>
  <c r="AK370" i="10"/>
  <c r="AK371" i="10"/>
  <c r="AK372" i="10"/>
  <c r="AK373" i="10"/>
  <c r="AK374" i="10"/>
  <c r="AK375" i="10"/>
  <c r="AK376" i="10"/>
  <c r="AK377" i="10"/>
  <c r="AK378" i="10"/>
  <c r="AK379" i="10"/>
  <c r="AK380" i="10"/>
  <c r="AK381" i="10"/>
  <c r="AK382" i="10"/>
  <c r="AK383" i="10"/>
  <c r="AK384" i="10"/>
  <c r="AK385" i="10"/>
  <c r="AK386" i="10"/>
  <c r="AK387" i="10"/>
  <c r="AK388" i="10"/>
  <c r="AK389" i="10"/>
  <c r="AK390" i="10"/>
  <c r="AK391" i="10"/>
  <c r="AK392" i="10"/>
  <c r="AK393" i="10"/>
  <c r="AK394" i="10"/>
  <c r="AK395" i="10"/>
  <c r="AK396" i="10"/>
  <c r="AK397" i="10"/>
  <c r="AK398" i="10"/>
  <c r="AK399" i="10"/>
  <c r="AK400" i="10"/>
  <c r="AK401" i="10"/>
  <c r="AK402" i="10"/>
  <c r="AK403" i="10"/>
  <c r="AK404" i="10"/>
  <c r="AK405" i="10"/>
  <c r="AK406" i="10"/>
  <c r="AK407" i="10"/>
  <c r="AK408" i="10"/>
  <c r="AK409" i="10"/>
  <c r="AK410" i="10"/>
  <c r="AK411" i="10"/>
  <c r="AK412" i="10"/>
  <c r="AK413" i="10"/>
  <c r="AK414" i="10"/>
  <c r="AK415" i="10"/>
  <c r="AK416" i="10"/>
  <c r="AK417" i="10"/>
  <c r="AK418" i="10"/>
  <c r="AK419" i="10"/>
  <c r="AK420" i="10"/>
  <c r="AK421" i="10"/>
  <c r="AK422" i="10"/>
  <c r="AK423" i="10"/>
  <c r="AK424" i="10"/>
  <c r="AK425" i="10"/>
  <c r="AK426" i="10"/>
  <c r="AK427" i="10"/>
  <c r="AK428" i="10"/>
  <c r="AK429" i="10"/>
  <c r="AK430" i="10"/>
  <c r="AK431" i="10"/>
  <c r="AK432" i="10"/>
  <c r="AK433" i="10"/>
  <c r="AK434" i="10"/>
  <c r="AK435" i="10"/>
  <c r="AK436" i="10"/>
  <c r="AK437" i="10"/>
  <c r="AK438" i="10"/>
  <c r="AK439" i="10"/>
  <c r="AK440" i="10"/>
  <c r="AK441" i="10"/>
  <c r="AK442" i="10"/>
  <c r="AK443" i="10"/>
  <c r="AK444" i="10"/>
  <c r="AK445" i="10"/>
  <c r="AK446" i="10"/>
  <c r="AK447" i="10"/>
  <c r="AK448" i="10"/>
  <c r="AK449" i="10"/>
  <c r="AK450" i="10"/>
  <c r="AK451" i="10"/>
  <c r="AK452" i="10"/>
  <c r="AK453" i="10"/>
  <c r="AK454" i="10"/>
  <c r="AK455" i="10"/>
  <c r="AK456" i="10"/>
  <c r="AK457" i="10"/>
  <c r="AK458" i="10"/>
  <c r="AK459" i="10"/>
  <c r="AK460" i="10"/>
  <c r="AK461" i="10"/>
  <c r="AK462" i="10"/>
  <c r="AK463" i="10"/>
  <c r="AK464" i="10"/>
  <c r="AK465" i="10"/>
  <c r="AK466" i="10"/>
  <c r="AK467" i="10"/>
  <c r="AK468" i="10"/>
  <c r="AK469" i="10"/>
  <c r="AK470" i="10"/>
  <c r="AK471" i="10"/>
  <c r="AK472" i="10"/>
  <c r="AK473" i="10"/>
  <c r="AK474" i="10"/>
  <c r="AK475" i="10"/>
  <c r="AK476" i="10"/>
  <c r="AK477" i="10"/>
  <c r="AK478" i="10"/>
  <c r="AK479" i="10"/>
  <c r="AK480" i="10"/>
  <c r="AK481" i="10"/>
  <c r="AK482" i="10"/>
  <c r="AK483" i="10"/>
  <c r="AK484" i="10"/>
  <c r="AK485" i="10"/>
  <c r="AK486" i="10"/>
  <c r="AK487" i="10"/>
  <c r="AK488" i="10"/>
  <c r="AK489" i="10"/>
  <c r="AK490" i="10"/>
  <c r="AK491" i="10"/>
  <c r="AK492" i="10"/>
  <c r="AK493" i="10"/>
  <c r="AK494" i="10"/>
  <c r="AK495" i="10"/>
  <c r="AK496" i="10"/>
  <c r="AK497" i="10"/>
  <c r="AK498" i="10"/>
  <c r="AK499" i="10"/>
  <c r="AK500" i="10"/>
  <c r="AK501" i="10"/>
  <c r="AK502" i="10"/>
  <c r="AK503" i="10"/>
  <c r="AK504" i="10"/>
  <c r="AK505" i="10"/>
  <c r="AK506" i="10"/>
  <c r="AK507" i="10"/>
  <c r="AK508" i="10"/>
  <c r="AK509" i="10"/>
  <c r="AK510" i="10"/>
  <c r="AK511" i="10"/>
  <c r="AK512" i="10"/>
  <c r="AK513" i="10"/>
  <c r="AK514" i="10"/>
  <c r="AK515" i="10"/>
  <c r="AK516" i="10"/>
  <c r="AK517" i="10"/>
  <c r="AK518" i="10"/>
  <c r="AK519" i="10"/>
  <c r="AK520" i="10"/>
  <c r="AK521" i="10"/>
  <c r="AK522" i="10"/>
  <c r="AK523" i="10"/>
  <c r="AK524" i="10"/>
  <c r="AK525" i="10"/>
  <c r="AK526" i="10"/>
  <c r="AK527" i="10"/>
  <c r="AK528" i="10"/>
  <c r="AK529" i="10"/>
  <c r="AK530" i="10"/>
  <c r="AK531" i="10"/>
  <c r="AK532" i="10"/>
  <c r="AK533" i="10"/>
  <c r="AK534" i="10"/>
  <c r="AK535" i="10"/>
  <c r="AK536" i="10"/>
  <c r="AK537" i="10"/>
  <c r="AK538" i="10"/>
  <c r="AK539" i="10"/>
  <c r="AK540" i="10"/>
  <c r="AK541" i="10"/>
  <c r="AK542" i="10"/>
  <c r="AK543" i="10"/>
  <c r="AK544" i="10"/>
  <c r="AK545" i="10"/>
  <c r="AK546" i="10"/>
  <c r="AK547" i="10"/>
  <c r="AK548" i="10"/>
  <c r="AK549" i="10"/>
  <c r="AK550" i="10"/>
  <c r="AK551" i="10"/>
  <c r="AK552" i="10"/>
  <c r="AK553" i="10"/>
  <c r="AK554" i="10"/>
  <c r="AK555" i="10"/>
  <c r="AK556" i="10"/>
  <c r="AK557" i="10"/>
  <c r="AK558" i="10"/>
  <c r="AK559" i="10"/>
  <c r="AK560" i="10"/>
  <c r="AK561" i="10"/>
  <c r="AK562" i="10"/>
  <c r="AK563" i="10"/>
  <c r="AK564" i="10"/>
  <c r="AK565" i="10"/>
  <c r="AK566" i="10"/>
  <c r="AK567" i="10"/>
  <c r="AK568" i="10"/>
  <c r="AK569" i="10"/>
  <c r="AK570" i="10"/>
  <c r="AK571" i="10"/>
  <c r="AK572" i="10"/>
  <c r="AK573" i="10"/>
  <c r="AK574" i="10"/>
  <c r="AK575" i="10"/>
  <c r="AK576" i="10"/>
  <c r="AK577" i="10"/>
  <c r="AK578" i="10"/>
  <c r="AK579" i="10"/>
  <c r="AK580" i="10"/>
  <c r="AK581" i="10"/>
  <c r="AK582" i="10"/>
  <c r="AK583" i="10"/>
  <c r="AK584" i="10"/>
  <c r="AK585" i="10"/>
  <c r="AK586" i="10"/>
  <c r="AK587" i="10"/>
  <c r="AK588" i="10"/>
  <c r="AK589" i="10"/>
  <c r="AK590" i="10"/>
  <c r="AK591" i="10"/>
  <c r="AK592" i="10"/>
  <c r="AK593" i="10"/>
  <c r="AK594" i="10"/>
  <c r="AK595" i="10"/>
  <c r="AK596" i="10"/>
  <c r="AK597" i="10"/>
  <c r="AK598" i="10"/>
  <c r="AK599" i="10"/>
  <c r="AK600" i="10"/>
  <c r="AK601" i="10"/>
  <c r="AK602" i="10"/>
  <c r="AK603" i="10"/>
  <c r="AK604" i="10"/>
  <c r="AK605" i="10"/>
  <c r="AK606" i="10"/>
  <c r="AK607" i="10"/>
  <c r="AK608" i="10"/>
  <c r="AK609" i="10"/>
  <c r="AK610" i="10"/>
  <c r="AK611" i="10"/>
  <c r="AK612" i="10"/>
  <c r="AK613" i="10"/>
  <c r="AK614" i="10"/>
  <c r="AK615" i="10"/>
  <c r="AK616" i="10"/>
  <c r="AK617" i="10"/>
  <c r="AK618" i="10"/>
  <c r="AK619" i="10"/>
  <c r="AK620" i="10"/>
  <c r="AK621" i="10"/>
  <c r="AK622" i="10"/>
  <c r="AK623" i="10"/>
  <c r="AK624" i="10"/>
  <c r="AK625" i="10"/>
  <c r="AK626" i="10"/>
  <c r="AK627" i="10"/>
  <c r="AK628" i="10"/>
  <c r="AK629" i="10"/>
  <c r="AK630" i="10"/>
  <c r="AK631" i="10"/>
  <c r="AK632" i="10"/>
  <c r="AK633" i="10"/>
  <c r="AK634" i="10"/>
  <c r="AK635" i="10"/>
  <c r="AK636" i="10"/>
  <c r="AK637" i="10"/>
  <c r="AK638" i="10"/>
  <c r="AK639" i="10"/>
  <c r="AK640" i="10"/>
  <c r="AK641" i="10"/>
  <c r="AK642" i="10"/>
  <c r="AK643" i="10"/>
  <c r="AK644" i="10"/>
  <c r="AK645" i="10"/>
  <c r="AK646" i="10"/>
  <c r="AK647" i="10"/>
  <c r="AK648" i="10"/>
  <c r="AK649" i="10"/>
  <c r="AK650" i="10"/>
  <c r="AK651" i="10"/>
  <c r="AK652" i="10"/>
  <c r="AK653" i="10"/>
  <c r="AK654" i="10"/>
  <c r="AK655" i="10"/>
  <c r="AK656" i="10"/>
  <c r="AK657" i="10"/>
  <c r="AK658" i="10"/>
  <c r="AK659" i="10"/>
  <c r="AK660" i="10"/>
  <c r="AK661" i="10"/>
  <c r="AK662" i="10"/>
  <c r="AK663" i="10"/>
  <c r="AK664" i="10"/>
  <c r="AK665" i="10"/>
  <c r="AK666" i="10"/>
  <c r="AK667" i="10"/>
  <c r="AK668" i="10"/>
  <c r="AK669" i="10"/>
  <c r="AK670" i="10"/>
  <c r="AK671" i="10"/>
  <c r="AK672" i="10"/>
  <c r="AK673" i="10"/>
  <c r="AK674" i="10"/>
  <c r="AK675" i="10"/>
  <c r="AK676" i="10"/>
  <c r="AK677" i="10"/>
  <c r="AK678" i="10"/>
  <c r="AK679" i="10"/>
  <c r="AK680" i="10"/>
  <c r="AK681" i="10"/>
  <c r="AK682" i="10"/>
  <c r="AK683" i="10"/>
  <c r="AK684" i="10"/>
  <c r="AK685" i="10"/>
  <c r="AK686" i="10"/>
  <c r="AK687" i="10"/>
  <c r="AK688" i="10"/>
  <c r="AK689" i="10"/>
  <c r="AK690" i="10"/>
  <c r="AK691" i="10"/>
  <c r="AK692" i="10"/>
  <c r="AK693" i="10"/>
  <c r="AK694" i="10"/>
  <c r="AK695" i="10"/>
  <c r="AK696" i="10"/>
  <c r="AK697" i="10"/>
  <c r="AK698" i="10"/>
  <c r="AK699" i="10"/>
  <c r="AK700" i="10"/>
  <c r="AK701" i="10"/>
  <c r="AK702" i="10"/>
  <c r="AK703" i="10"/>
  <c r="AK704" i="10"/>
  <c r="AK705" i="10"/>
  <c r="AK706" i="10"/>
  <c r="AK707" i="10"/>
  <c r="AK708" i="10"/>
  <c r="AK709" i="10"/>
  <c r="AK710" i="10"/>
  <c r="AK711" i="10"/>
  <c r="AK712" i="10"/>
  <c r="AK713" i="10"/>
  <c r="AK714" i="10"/>
  <c r="AK715" i="10"/>
  <c r="AK716" i="10"/>
  <c r="AK717" i="10"/>
  <c r="AK718" i="10"/>
  <c r="AK719" i="10"/>
  <c r="AK720" i="10"/>
  <c r="AK721" i="10"/>
  <c r="AK722" i="10"/>
  <c r="AK723" i="10"/>
  <c r="AK724" i="10"/>
  <c r="AK725" i="10"/>
  <c r="AK726" i="10"/>
  <c r="AK727" i="10"/>
  <c r="AK728" i="10"/>
  <c r="AK729" i="10"/>
  <c r="AK730" i="10"/>
  <c r="AK731" i="10"/>
  <c r="AK732" i="10"/>
  <c r="AK733" i="10"/>
  <c r="AK734" i="10"/>
  <c r="AK735" i="10"/>
  <c r="AK736" i="10"/>
  <c r="AK737" i="10"/>
  <c r="AK738" i="10"/>
  <c r="AK739" i="10"/>
  <c r="AK740" i="10"/>
  <c r="AK741" i="10"/>
  <c r="AK742" i="10"/>
  <c r="AK743" i="10"/>
  <c r="AK744" i="10"/>
  <c r="AK745" i="10"/>
  <c r="AK746" i="10"/>
  <c r="AK747" i="10"/>
  <c r="AK748" i="10"/>
  <c r="AK749" i="10"/>
  <c r="AK750" i="10"/>
  <c r="AK751" i="10"/>
  <c r="AK752" i="10"/>
  <c r="AK753" i="10"/>
  <c r="AK754" i="10"/>
  <c r="AK755" i="10"/>
  <c r="AK756" i="10"/>
  <c r="AK757" i="10"/>
  <c r="AK758" i="10"/>
  <c r="AK759" i="10"/>
  <c r="AK760" i="10"/>
  <c r="AK761" i="10"/>
  <c r="AK762" i="10"/>
  <c r="AK763" i="10"/>
  <c r="AK764" i="10"/>
  <c r="AK765" i="10"/>
  <c r="AK766" i="10"/>
  <c r="AK767" i="10"/>
  <c r="AK768" i="10"/>
  <c r="AK769" i="10"/>
  <c r="AK770" i="10"/>
  <c r="AK771" i="10"/>
  <c r="AK772" i="10"/>
  <c r="AK773" i="10"/>
  <c r="AK774" i="10"/>
  <c r="AK775" i="10"/>
  <c r="AK776" i="10"/>
  <c r="AK777" i="10"/>
  <c r="AK778" i="10"/>
  <c r="AK779" i="10"/>
  <c r="AK780" i="10"/>
  <c r="AK781" i="10"/>
  <c r="AK782" i="10"/>
  <c r="AK783" i="10"/>
  <c r="AK784" i="10"/>
  <c r="AK785" i="10"/>
  <c r="AK786" i="10"/>
  <c r="AK787" i="10"/>
  <c r="AK788" i="10"/>
  <c r="AK789" i="10"/>
  <c r="AK790" i="10"/>
  <c r="AK791" i="10"/>
  <c r="AK792" i="10"/>
  <c r="AK793" i="10"/>
  <c r="AK794" i="10"/>
  <c r="AK795" i="10"/>
  <c r="AK796" i="10"/>
  <c r="AK797" i="10"/>
  <c r="AK798" i="10"/>
  <c r="AK799" i="10"/>
  <c r="AK800" i="10"/>
  <c r="AK801" i="10"/>
  <c r="AK802" i="10"/>
  <c r="AK803" i="10"/>
  <c r="AK804" i="10"/>
  <c r="AK805" i="10"/>
  <c r="AK806" i="10"/>
  <c r="AK807" i="10"/>
  <c r="AK808" i="10"/>
  <c r="AK809" i="10"/>
  <c r="AK810" i="10"/>
  <c r="AK811" i="10"/>
  <c r="AK812" i="10"/>
  <c r="AK813" i="10"/>
  <c r="AK814" i="10"/>
  <c r="AK815" i="10"/>
  <c r="AK816" i="10"/>
  <c r="AK817" i="10"/>
  <c r="AK818" i="10"/>
  <c r="AK819" i="10"/>
  <c r="AK820" i="10"/>
  <c r="AK821" i="10"/>
  <c r="AK822" i="10"/>
  <c r="AK823" i="10"/>
  <c r="AK824" i="10"/>
  <c r="AK825" i="10"/>
  <c r="AK826" i="10"/>
  <c r="AK827" i="10"/>
  <c r="AK828" i="10"/>
  <c r="AK829" i="10"/>
  <c r="AK830" i="10"/>
  <c r="AK831" i="10"/>
  <c r="AK832" i="10"/>
  <c r="AK833" i="10"/>
  <c r="AK834" i="10"/>
  <c r="AK835" i="10"/>
  <c r="AK836" i="10"/>
  <c r="AK837" i="10"/>
  <c r="AK838" i="10"/>
  <c r="AK839" i="10"/>
  <c r="AK840" i="10"/>
  <c r="AK841" i="10"/>
  <c r="AK842" i="10"/>
  <c r="AK843" i="10"/>
  <c r="AK844" i="10"/>
  <c r="AK845" i="10"/>
  <c r="AK846" i="10"/>
  <c r="AK847" i="10"/>
  <c r="AK848" i="10"/>
  <c r="AK849" i="10"/>
  <c r="AK850" i="10"/>
  <c r="AK851" i="10"/>
  <c r="AK852" i="10"/>
  <c r="AK853" i="10"/>
  <c r="AK854" i="10"/>
  <c r="AK855" i="10"/>
  <c r="AK856" i="10"/>
  <c r="AK857" i="10"/>
  <c r="AK858" i="10"/>
  <c r="AK859" i="10"/>
  <c r="AK860" i="10"/>
  <c r="AK861" i="10"/>
  <c r="AK862" i="10"/>
  <c r="AK863" i="10"/>
  <c r="AK864" i="10"/>
  <c r="AK865" i="10"/>
  <c r="AK866" i="10"/>
  <c r="AK867" i="10"/>
  <c r="AK868" i="10"/>
  <c r="AK869" i="10"/>
  <c r="AK870" i="10"/>
  <c r="AK871" i="10"/>
  <c r="AK872" i="10"/>
  <c r="AK873" i="10"/>
  <c r="AK874" i="10"/>
  <c r="AK875" i="10"/>
  <c r="AK876" i="10"/>
  <c r="AK877" i="10"/>
  <c r="AK878" i="10"/>
  <c r="AK879" i="10"/>
  <c r="AK880" i="10"/>
  <c r="AK881" i="10"/>
  <c r="AK882" i="10"/>
  <c r="AK883" i="10"/>
  <c r="AK884" i="10"/>
  <c r="AK885" i="10"/>
  <c r="AK886" i="10"/>
  <c r="AK887" i="10"/>
  <c r="AK888" i="10"/>
  <c r="AK889" i="10"/>
  <c r="AK890" i="10"/>
  <c r="AK891" i="10"/>
  <c r="AK892" i="10"/>
  <c r="AK893" i="10"/>
  <c r="AK894" i="10"/>
  <c r="AK895" i="10"/>
  <c r="AK896" i="10"/>
  <c r="AK897" i="10"/>
  <c r="AK898" i="10"/>
  <c r="AK899" i="10"/>
  <c r="AK900" i="10"/>
  <c r="AK901" i="10"/>
  <c r="AK902" i="10"/>
  <c r="AK903" i="10"/>
  <c r="AK904" i="10"/>
  <c r="AK905" i="10"/>
  <c r="AK906" i="10"/>
  <c r="AK907" i="10"/>
  <c r="AK908" i="10"/>
  <c r="AK909" i="10"/>
  <c r="AK910" i="10"/>
  <c r="AK911" i="10"/>
  <c r="AK912" i="10"/>
  <c r="AK913" i="10"/>
  <c r="AK914" i="10"/>
  <c r="AK915" i="10"/>
  <c r="AK916" i="10"/>
  <c r="AK917" i="10"/>
  <c r="AK918" i="10"/>
  <c r="AK919" i="10"/>
  <c r="AK920" i="10"/>
  <c r="AK921" i="10"/>
  <c r="AK922" i="10"/>
  <c r="AK923" i="10"/>
  <c r="AK924" i="10"/>
  <c r="AK925" i="10"/>
  <c r="AK926" i="10"/>
  <c r="AK927" i="10"/>
  <c r="AK928" i="10"/>
  <c r="AK929" i="10"/>
  <c r="AK930" i="10"/>
  <c r="AK931" i="10"/>
  <c r="AK932" i="10"/>
  <c r="AK933" i="10"/>
  <c r="AK934" i="10"/>
  <c r="AK935" i="10"/>
  <c r="AK936" i="10"/>
  <c r="AK937" i="10"/>
  <c r="AK938" i="10"/>
  <c r="AK939" i="10"/>
  <c r="AK940" i="10"/>
  <c r="AK941" i="10"/>
  <c r="AK942" i="10"/>
  <c r="AK943" i="10"/>
  <c r="AK944" i="10"/>
  <c r="AK945" i="10"/>
  <c r="AK946" i="10"/>
  <c r="AK947" i="10"/>
  <c r="AK948" i="10"/>
  <c r="AK949" i="10"/>
  <c r="AK950" i="10"/>
  <c r="AK951" i="10"/>
  <c r="AK952" i="10"/>
  <c r="AK953" i="10"/>
  <c r="AK954" i="10"/>
  <c r="AK955" i="10"/>
  <c r="AK956" i="10"/>
  <c r="AK957" i="10"/>
  <c r="AK958" i="10"/>
  <c r="AK959" i="10"/>
  <c r="AK960" i="10"/>
  <c r="AK961" i="10"/>
  <c r="AK962" i="10"/>
  <c r="AK963" i="10"/>
  <c r="AK964" i="10"/>
  <c r="AK965" i="10"/>
  <c r="AK966" i="10"/>
  <c r="AK967" i="10"/>
  <c r="AK968" i="10"/>
  <c r="AK969" i="10"/>
  <c r="AK970" i="10"/>
  <c r="AK971" i="10"/>
  <c r="AK972" i="10"/>
  <c r="AK973" i="10"/>
  <c r="AK974" i="10"/>
  <c r="AK975" i="10"/>
  <c r="AK976" i="10"/>
  <c r="AK977" i="10"/>
  <c r="AK978" i="10"/>
  <c r="AK979" i="10"/>
  <c r="AK980" i="10"/>
  <c r="AK981" i="10"/>
  <c r="AK982" i="10"/>
  <c r="AK983" i="10"/>
  <c r="AK984" i="10"/>
  <c r="AK985" i="10"/>
  <c r="AK986" i="10"/>
  <c r="AK987" i="10"/>
  <c r="AK988" i="10"/>
  <c r="AK989" i="10"/>
  <c r="AK990" i="10"/>
  <c r="AK991" i="10"/>
  <c r="AK992" i="10"/>
  <c r="AK993" i="10"/>
  <c r="AK994" i="10"/>
  <c r="AK995" i="10"/>
  <c r="AK996" i="10"/>
  <c r="AK997" i="10"/>
  <c r="AK998" i="10"/>
  <c r="AK999" i="10"/>
  <c r="AK1000" i="10"/>
  <c r="AK1001" i="10"/>
  <c r="AK1002" i="10"/>
  <c r="AK1003" i="10"/>
  <c r="AK1004" i="10"/>
  <c r="AK1005" i="10"/>
  <c r="AK1006" i="10"/>
  <c r="AK1007" i="10"/>
  <c r="AK1008" i="10"/>
  <c r="AK1009" i="10"/>
  <c r="AK1010" i="10"/>
  <c r="AK1011" i="10"/>
  <c r="AK1012" i="10"/>
  <c r="AK1013" i="10"/>
  <c r="AK1014" i="10"/>
  <c r="AK1015" i="10"/>
  <c r="AK1016" i="10"/>
  <c r="AK1017" i="10"/>
  <c r="AK1018" i="10"/>
  <c r="AK1019" i="10"/>
  <c r="AK1020" i="10"/>
  <c r="AK1021" i="10"/>
  <c r="AK1022" i="10"/>
  <c r="AK1023" i="10"/>
  <c r="AK1024" i="10"/>
  <c r="AK1025" i="10"/>
  <c r="AK1026" i="10"/>
  <c r="AK1027" i="10"/>
  <c r="AK1028" i="10"/>
  <c r="AK1029" i="10"/>
  <c r="AK1030" i="10"/>
  <c r="AK1031" i="10"/>
  <c r="AK1032" i="10"/>
  <c r="AK1033" i="10"/>
  <c r="AK1034" i="10"/>
  <c r="AK1035" i="10"/>
  <c r="AK1036" i="10"/>
  <c r="AK1037" i="10"/>
  <c r="AK1038" i="10"/>
  <c r="AK1039" i="10"/>
  <c r="AK1040" i="10"/>
  <c r="AK1041" i="10"/>
  <c r="AK1042" i="10"/>
  <c r="AK1043" i="10"/>
  <c r="AK1044" i="10"/>
  <c r="AK1045" i="10"/>
  <c r="AK1046" i="10"/>
  <c r="AK1047" i="10"/>
  <c r="AK1048" i="10"/>
  <c r="AK1049" i="10"/>
  <c r="AK1050" i="10"/>
  <c r="AK1051" i="10"/>
  <c r="AK1052" i="10"/>
  <c r="AK1053" i="10"/>
  <c r="AK1054" i="10"/>
  <c r="AK1055" i="10"/>
  <c r="AK1056" i="10"/>
  <c r="AK1057" i="10"/>
  <c r="AK1058" i="10"/>
  <c r="AK1059" i="10"/>
  <c r="AK1060" i="10"/>
  <c r="AK1061" i="10"/>
  <c r="AK1062" i="10"/>
  <c r="AK1063" i="10"/>
  <c r="AK1064" i="10"/>
  <c r="AK1065" i="10"/>
  <c r="AK1066" i="10"/>
  <c r="AK1067" i="10"/>
  <c r="AK1068" i="10"/>
  <c r="AK1069" i="10"/>
  <c r="AK1070" i="10"/>
  <c r="AK1071" i="10"/>
  <c r="AK1072" i="10"/>
  <c r="AK1073" i="10"/>
  <c r="AK1074" i="10"/>
  <c r="AK1075" i="10"/>
  <c r="AK1076" i="10"/>
  <c r="AK1077" i="10"/>
  <c r="AK1078" i="10"/>
  <c r="AK1079" i="10"/>
  <c r="AK1080" i="10"/>
  <c r="AK1081" i="10"/>
  <c r="AK1082" i="10"/>
  <c r="AK1083" i="10"/>
  <c r="AK1084" i="10"/>
  <c r="AK1085" i="10"/>
  <c r="AK1086" i="10"/>
  <c r="AK1087" i="10"/>
  <c r="AK1088" i="10"/>
  <c r="AK1089" i="10"/>
  <c r="AK1090" i="10"/>
  <c r="AK1091" i="10"/>
  <c r="AK1092" i="10"/>
  <c r="AK1093" i="10"/>
  <c r="AK1094" i="10"/>
  <c r="AK1095" i="10"/>
  <c r="AK1096" i="10"/>
  <c r="AK1097" i="10"/>
  <c r="AK1098" i="10"/>
  <c r="AK1099" i="10"/>
  <c r="AK1100" i="10"/>
  <c r="AK1101" i="10"/>
  <c r="AK1102" i="10"/>
  <c r="AK1103" i="10"/>
  <c r="AK1104" i="10"/>
  <c r="AK1105" i="10"/>
  <c r="AK1106" i="10"/>
  <c r="AK1107" i="10"/>
  <c r="AK1108" i="10"/>
  <c r="AK1109" i="10"/>
  <c r="AK1110" i="10"/>
  <c r="AK1111" i="10"/>
  <c r="AK1112" i="10"/>
  <c r="AK1113" i="10"/>
  <c r="AK1114" i="10"/>
  <c r="AK1115" i="10"/>
  <c r="AK1116" i="10"/>
  <c r="AK1117" i="10"/>
  <c r="AK1118" i="10"/>
  <c r="AK1119" i="10"/>
  <c r="AK1120" i="10"/>
  <c r="AK1121" i="10"/>
  <c r="AK1122" i="10"/>
  <c r="AK1123" i="10"/>
  <c r="AK1124" i="10"/>
  <c r="AK1125" i="10"/>
  <c r="AK1126" i="10"/>
  <c r="AK1127" i="10"/>
  <c r="AK1128" i="10"/>
  <c r="AK1129" i="10"/>
  <c r="AK1130" i="10"/>
  <c r="AK1131" i="10"/>
  <c r="AK1132" i="10"/>
  <c r="AK1133" i="10"/>
  <c r="AK1134" i="10"/>
  <c r="AK1135" i="10"/>
  <c r="AK1136" i="10"/>
  <c r="AK1137" i="10"/>
  <c r="AK1138" i="10"/>
  <c r="AK1139" i="10"/>
  <c r="AK1140" i="10"/>
  <c r="AK1141" i="10"/>
  <c r="AK1142" i="10"/>
  <c r="AK1143" i="10"/>
  <c r="AK1144" i="10"/>
  <c r="AK1145" i="10"/>
  <c r="AK1146" i="10"/>
  <c r="AK1147" i="10"/>
  <c r="AK1148" i="10"/>
  <c r="AK1149" i="10"/>
  <c r="AK1150" i="10"/>
  <c r="AK1151" i="10"/>
  <c r="AK1152" i="10"/>
  <c r="AK1153" i="10"/>
  <c r="AK1154" i="10"/>
  <c r="AK1155" i="10"/>
  <c r="AK1156" i="10"/>
  <c r="AK1157" i="10"/>
  <c r="AK1158" i="10"/>
  <c r="AK1159" i="10"/>
  <c r="AK1160" i="10"/>
  <c r="AK1161" i="10"/>
  <c r="AK1162" i="10"/>
  <c r="AK1163" i="10"/>
  <c r="AK1164" i="10"/>
  <c r="AK1165" i="10"/>
  <c r="AK1166" i="10"/>
  <c r="AK1167" i="10"/>
  <c r="AK1168" i="10"/>
  <c r="AK1169" i="10"/>
  <c r="AK1170" i="10"/>
  <c r="AK1171" i="10"/>
  <c r="AK1172" i="10"/>
  <c r="AK1173" i="10"/>
  <c r="AK1174" i="10"/>
  <c r="AK1175" i="10"/>
  <c r="AK1176" i="10"/>
  <c r="AK1177" i="10"/>
  <c r="AK1178" i="10"/>
  <c r="AK1179" i="10"/>
  <c r="AK1180" i="10"/>
  <c r="AK1181" i="10"/>
  <c r="AK1182" i="10"/>
  <c r="AK1183" i="10"/>
  <c r="AK1184" i="10"/>
  <c r="AK1185" i="10"/>
  <c r="AK1186" i="10"/>
  <c r="AK1187" i="10"/>
  <c r="AK1188" i="10"/>
  <c r="AK1189" i="10"/>
  <c r="AK1190" i="10"/>
  <c r="AK1191" i="10"/>
  <c r="AK1192" i="10"/>
  <c r="AK1193" i="10"/>
  <c r="AK1194" i="10"/>
  <c r="AK1195" i="10"/>
  <c r="AK1196" i="10"/>
  <c r="AK1197" i="10"/>
  <c r="AK1198" i="10"/>
  <c r="AK1199" i="10"/>
  <c r="AK1200" i="10"/>
  <c r="AK1201" i="10"/>
  <c r="AK1202" i="10"/>
  <c r="AK1203" i="10"/>
  <c r="AK1204" i="10"/>
  <c r="AK1205" i="10"/>
  <c r="AK1206" i="10"/>
  <c r="AK1207" i="10"/>
  <c r="AK1208" i="10"/>
  <c r="AK6" i="10"/>
  <c r="AJ7" i="10"/>
  <c r="AJ8" i="10"/>
  <c r="AJ9" i="10"/>
  <c r="AJ10" i="10"/>
  <c r="AJ11" i="10"/>
  <c r="AJ12" i="10"/>
  <c r="AJ13" i="10"/>
  <c r="AJ14" i="10"/>
  <c r="AJ15" i="10"/>
  <c r="AJ16" i="10"/>
  <c r="AJ17" i="10"/>
  <c r="AJ18" i="10"/>
  <c r="AJ19" i="10"/>
  <c r="AJ20" i="10"/>
  <c r="AJ21" i="10"/>
  <c r="AJ22" i="10"/>
  <c r="AJ23" i="10"/>
  <c r="AJ24" i="10"/>
  <c r="AJ25" i="10"/>
  <c r="AJ26" i="10"/>
  <c r="AJ27" i="10"/>
  <c r="AJ28" i="10"/>
  <c r="AJ29" i="10"/>
  <c r="AJ30" i="10"/>
  <c r="AJ31" i="10"/>
  <c r="AJ32" i="10"/>
  <c r="AJ33" i="10"/>
  <c r="AJ34" i="10"/>
  <c r="AJ35" i="10"/>
  <c r="AJ36" i="10"/>
  <c r="AJ37" i="10"/>
  <c r="AJ38" i="10"/>
  <c r="AJ39" i="10"/>
  <c r="AJ40" i="10"/>
  <c r="AJ41" i="10"/>
  <c r="AJ42" i="10"/>
  <c r="AJ43" i="10"/>
  <c r="AJ44" i="10"/>
  <c r="AJ45" i="10"/>
  <c r="AJ46" i="10"/>
  <c r="AJ47" i="10"/>
  <c r="AJ48" i="10"/>
  <c r="AJ49" i="10"/>
  <c r="AJ50" i="10"/>
  <c r="AJ51" i="10"/>
  <c r="AJ52" i="10"/>
  <c r="AJ53" i="10"/>
  <c r="AJ54" i="10"/>
  <c r="AJ55" i="10"/>
  <c r="AJ56" i="10"/>
  <c r="AJ57" i="10"/>
  <c r="AJ58" i="10"/>
  <c r="AJ59" i="10"/>
  <c r="AJ60" i="10"/>
  <c r="AJ61" i="10"/>
  <c r="AJ62" i="10"/>
  <c r="AJ63" i="10"/>
  <c r="AJ64" i="10"/>
  <c r="AJ65" i="10"/>
  <c r="AJ66" i="10"/>
  <c r="AJ67" i="10"/>
  <c r="AJ68" i="10"/>
  <c r="AJ69" i="10"/>
  <c r="AJ70" i="10"/>
  <c r="AJ71" i="10"/>
  <c r="AJ72" i="10"/>
  <c r="AJ73" i="10"/>
  <c r="AJ74" i="10"/>
  <c r="AJ75" i="10"/>
  <c r="AJ76" i="10"/>
  <c r="AJ77" i="10"/>
  <c r="AJ78" i="10"/>
  <c r="AJ79" i="10"/>
  <c r="AJ80" i="10"/>
  <c r="AJ81" i="10"/>
  <c r="AJ82" i="10"/>
  <c r="AJ83" i="10"/>
  <c r="AJ84" i="10"/>
  <c r="AJ85" i="10"/>
  <c r="AJ86" i="10"/>
  <c r="AJ87" i="10"/>
  <c r="AJ88" i="10"/>
  <c r="AJ89" i="10"/>
  <c r="AJ90" i="10"/>
  <c r="AJ91" i="10"/>
  <c r="AJ92" i="10"/>
  <c r="AJ93" i="10"/>
  <c r="AJ94" i="10"/>
  <c r="AJ95" i="10"/>
  <c r="AJ96" i="10"/>
  <c r="AJ97" i="10"/>
  <c r="AJ98" i="10"/>
  <c r="AJ99" i="10"/>
  <c r="AJ100" i="10"/>
  <c r="AJ101" i="10"/>
  <c r="AJ102" i="10"/>
  <c r="AJ103" i="10"/>
  <c r="AJ104" i="10"/>
  <c r="AJ105" i="10"/>
  <c r="AJ106" i="10"/>
  <c r="AJ107" i="10"/>
  <c r="AJ108" i="10"/>
  <c r="AJ109" i="10"/>
  <c r="AJ110" i="10"/>
  <c r="AJ111" i="10"/>
  <c r="AJ112" i="10"/>
  <c r="AJ113" i="10"/>
  <c r="AJ114" i="10"/>
  <c r="AJ115" i="10"/>
  <c r="AJ116" i="10"/>
  <c r="AJ117" i="10"/>
  <c r="AJ118" i="10"/>
  <c r="AJ119" i="10"/>
  <c r="AJ120" i="10"/>
  <c r="AJ121" i="10"/>
  <c r="AJ122" i="10"/>
  <c r="AJ123" i="10"/>
  <c r="AJ124" i="10"/>
  <c r="AJ125" i="10"/>
  <c r="AJ126" i="10"/>
  <c r="AJ127" i="10"/>
  <c r="AJ128" i="10"/>
  <c r="AJ129" i="10"/>
  <c r="AJ130" i="10"/>
  <c r="AJ131" i="10"/>
  <c r="AJ132" i="10"/>
  <c r="AJ133" i="10"/>
  <c r="AJ134" i="10"/>
  <c r="AJ135" i="10"/>
  <c r="AJ136" i="10"/>
  <c r="AJ137" i="10"/>
  <c r="AJ138" i="10"/>
  <c r="AJ139" i="10"/>
  <c r="AJ140" i="10"/>
  <c r="AJ141" i="10"/>
  <c r="AJ142" i="10"/>
  <c r="AJ143" i="10"/>
  <c r="AJ144" i="10"/>
  <c r="AJ145" i="10"/>
  <c r="AJ146" i="10"/>
  <c r="AJ147" i="10"/>
  <c r="AJ148" i="10"/>
  <c r="AJ149" i="10"/>
  <c r="AJ150" i="10"/>
  <c r="AJ151" i="10"/>
  <c r="AJ152" i="10"/>
  <c r="AJ153" i="10"/>
  <c r="AJ154" i="10"/>
  <c r="AJ155" i="10"/>
  <c r="AJ156" i="10"/>
  <c r="AJ157" i="10"/>
  <c r="AJ158" i="10"/>
  <c r="AJ159" i="10"/>
  <c r="AJ160" i="10"/>
  <c r="AJ161" i="10"/>
  <c r="AJ162" i="10"/>
  <c r="AJ163" i="10"/>
  <c r="AJ164" i="10"/>
  <c r="AJ165" i="10"/>
  <c r="AJ166" i="10"/>
  <c r="AJ167" i="10"/>
  <c r="AJ168" i="10"/>
  <c r="AJ169" i="10"/>
  <c r="AJ170" i="10"/>
  <c r="AJ171" i="10"/>
  <c r="AJ172" i="10"/>
  <c r="AJ173" i="10"/>
  <c r="AJ174" i="10"/>
  <c r="AJ175" i="10"/>
  <c r="AJ176" i="10"/>
  <c r="AJ177" i="10"/>
  <c r="AJ178" i="10"/>
  <c r="AJ179" i="10"/>
  <c r="AJ180" i="10"/>
  <c r="AJ181" i="10"/>
  <c r="AJ182" i="10"/>
  <c r="AJ183" i="10"/>
  <c r="AJ184" i="10"/>
  <c r="AJ185" i="10"/>
  <c r="AJ186" i="10"/>
  <c r="AJ187" i="10"/>
  <c r="AJ188" i="10"/>
  <c r="AJ189" i="10"/>
  <c r="AJ190" i="10"/>
  <c r="AJ191" i="10"/>
  <c r="AJ192" i="10"/>
  <c r="AJ193" i="10"/>
  <c r="AJ194" i="10"/>
  <c r="AJ195" i="10"/>
  <c r="AJ196" i="10"/>
  <c r="AJ197" i="10"/>
  <c r="AJ198" i="10"/>
  <c r="AJ199" i="10"/>
  <c r="AJ200" i="10"/>
  <c r="AJ201" i="10"/>
  <c r="AJ202" i="10"/>
  <c r="AJ203" i="10"/>
  <c r="AJ204" i="10"/>
  <c r="AJ205" i="10"/>
  <c r="AJ206" i="10"/>
  <c r="AJ207" i="10"/>
  <c r="AJ208" i="10"/>
  <c r="AJ209" i="10"/>
  <c r="AJ210" i="10"/>
  <c r="AJ211" i="10"/>
  <c r="AJ212" i="10"/>
  <c r="AJ213" i="10"/>
  <c r="AJ214" i="10"/>
  <c r="AJ215" i="10"/>
  <c r="AJ216" i="10"/>
  <c r="AJ217" i="10"/>
  <c r="AJ218" i="10"/>
  <c r="AJ219" i="10"/>
  <c r="AJ220" i="10"/>
  <c r="AJ221" i="10"/>
  <c r="AJ222" i="10"/>
  <c r="AJ223" i="10"/>
  <c r="AJ224" i="10"/>
  <c r="AJ225" i="10"/>
  <c r="AJ226" i="10"/>
  <c r="AJ227" i="10"/>
  <c r="AJ228" i="10"/>
  <c r="AJ229" i="10"/>
  <c r="AJ230" i="10"/>
  <c r="AJ231" i="10"/>
  <c r="AJ232" i="10"/>
  <c r="AJ233" i="10"/>
  <c r="AJ234" i="10"/>
  <c r="AJ235" i="10"/>
  <c r="AJ236" i="10"/>
  <c r="AJ237" i="10"/>
  <c r="AJ238" i="10"/>
  <c r="AJ239" i="10"/>
  <c r="AJ240" i="10"/>
  <c r="AJ241" i="10"/>
  <c r="AJ242" i="10"/>
  <c r="AJ243" i="10"/>
  <c r="AJ244" i="10"/>
  <c r="AJ245" i="10"/>
  <c r="AJ246" i="10"/>
  <c r="AJ247" i="10"/>
  <c r="AJ248" i="10"/>
  <c r="AJ249" i="10"/>
  <c r="AJ250" i="10"/>
  <c r="AJ251" i="10"/>
  <c r="AJ252" i="10"/>
  <c r="AJ253" i="10"/>
  <c r="AJ254" i="10"/>
  <c r="AJ255" i="10"/>
  <c r="AJ256" i="10"/>
  <c r="AJ257" i="10"/>
  <c r="AJ258" i="10"/>
  <c r="AJ259" i="10"/>
  <c r="AJ260" i="10"/>
  <c r="AJ261" i="10"/>
  <c r="AJ262" i="10"/>
  <c r="AJ263" i="10"/>
  <c r="AJ264" i="10"/>
  <c r="AJ265" i="10"/>
  <c r="AJ266" i="10"/>
  <c r="AJ267" i="10"/>
  <c r="AJ268" i="10"/>
  <c r="AJ269" i="10"/>
  <c r="AJ270" i="10"/>
  <c r="AJ271" i="10"/>
  <c r="AJ272" i="10"/>
  <c r="AJ273" i="10"/>
  <c r="AJ274" i="10"/>
  <c r="AJ275" i="10"/>
  <c r="AJ276" i="10"/>
  <c r="AJ277" i="10"/>
  <c r="AJ278" i="10"/>
  <c r="AJ279" i="10"/>
  <c r="AJ280" i="10"/>
  <c r="AJ281" i="10"/>
  <c r="AJ282" i="10"/>
  <c r="AJ283" i="10"/>
  <c r="AJ284" i="10"/>
  <c r="AJ285" i="10"/>
  <c r="AJ286" i="10"/>
  <c r="AJ287" i="10"/>
  <c r="AJ288" i="10"/>
  <c r="AJ289" i="10"/>
  <c r="AJ290" i="10"/>
  <c r="AJ291" i="10"/>
  <c r="AJ292" i="10"/>
  <c r="AJ293" i="10"/>
  <c r="AJ294" i="10"/>
  <c r="AJ295" i="10"/>
  <c r="AJ296" i="10"/>
  <c r="AJ297" i="10"/>
  <c r="AJ298" i="10"/>
  <c r="AJ299" i="10"/>
  <c r="AJ300" i="10"/>
  <c r="AJ301" i="10"/>
  <c r="AJ302" i="10"/>
  <c r="AJ303" i="10"/>
  <c r="AJ304" i="10"/>
  <c r="AJ305" i="10"/>
  <c r="AJ306" i="10"/>
  <c r="AJ307" i="10"/>
  <c r="AJ308" i="10"/>
  <c r="AJ309" i="10"/>
  <c r="AJ310" i="10"/>
  <c r="AJ311" i="10"/>
  <c r="AJ312" i="10"/>
  <c r="AJ313" i="10"/>
  <c r="AJ314" i="10"/>
  <c r="AJ315" i="10"/>
  <c r="AJ316" i="10"/>
  <c r="AJ317" i="10"/>
  <c r="AJ318" i="10"/>
  <c r="AJ319" i="10"/>
  <c r="AJ320" i="10"/>
  <c r="AJ321" i="10"/>
  <c r="AJ322" i="10"/>
  <c r="AJ323" i="10"/>
  <c r="AJ324" i="10"/>
  <c r="AJ325" i="10"/>
  <c r="AJ326" i="10"/>
  <c r="AJ327" i="10"/>
  <c r="AJ328" i="10"/>
  <c r="AJ329" i="10"/>
  <c r="AJ330" i="10"/>
  <c r="AJ331" i="10"/>
  <c r="AJ332" i="10"/>
  <c r="AJ333" i="10"/>
  <c r="AJ334" i="10"/>
  <c r="AJ335" i="10"/>
  <c r="AJ336" i="10"/>
  <c r="AJ337" i="10"/>
  <c r="AJ338" i="10"/>
  <c r="AJ339" i="10"/>
  <c r="AJ340" i="10"/>
  <c r="AJ341" i="10"/>
  <c r="AJ342" i="10"/>
  <c r="AJ343" i="10"/>
  <c r="AJ344" i="10"/>
  <c r="AJ345" i="10"/>
  <c r="AJ346" i="10"/>
  <c r="AJ347" i="10"/>
  <c r="AJ348" i="10"/>
  <c r="AJ349" i="10"/>
  <c r="AJ350" i="10"/>
  <c r="AJ351" i="10"/>
  <c r="AJ352" i="10"/>
  <c r="AJ353" i="10"/>
  <c r="AJ354" i="10"/>
  <c r="AJ355" i="10"/>
  <c r="AJ356" i="10"/>
  <c r="AJ357" i="10"/>
  <c r="AJ358" i="10"/>
  <c r="AJ359" i="10"/>
  <c r="AJ360" i="10"/>
  <c r="AJ361" i="10"/>
  <c r="AJ362" i="10"/>
  <c r="AJ363" i="10"/>
  <c r="AJ364" i="10"/>
  <c r="AJ365" i="10"/>
  <c r="AJ366" i="10"/>
  <c r="AJ367" i="10"/>
  <c r="AJ368" i="10"/>
  <c r="AJ369" i="10"/>
  <c r="AJ370" i="10"/>
  <c r="AJ371" i="10"/>
  <c r="AJ372" i="10"/>
  <c r="AJ373" i="10"/>
  <c r="AJ374" i="10"/>
  <c r="AJ375" i="10"/>
  <c r="AJ376" i="10"/>
  <c r="AJ377" i="10"/>
  <c r="AJ378" i="10"/>
  <c r="AJ379" i="10"/>
  <c r="AJ380" i="10"/>
  <c r="AJ381" i="10"/>
  <c r="AJ382" i="10"/>
  <c r="AJ383" i="10"/>
  <c r="AJ384" i="10"/>
  <c r="AJ385" i="10"/>
  <c r="AJ386" i="10"/>
  <c r="AJ387" i="10"/>
  <c r="AJ388" i="10"/>
  <c r="AJ389" i="10"/>
  <c r="AJ390" i="10"/>
  <c r="AJ391" i="10"/>
  <c r="AJ392" i="10"/>
  <c r="AJ393" i="10"/>
  <c r="AJ394" i="10"/>
  <c r="AJ395" i="10"/>
  <c r="AJ396" i="10"/>
  <c r="AJ397" i="10"/>
  <c r="AJ398" i="10"/>
  <c r="AJ399" i="10"/>
  <c r="AJ400" i="10"/>
  <c r="AJ401" i="10"/>
  <c r="AJ402" i="10"/>
  <c r="AJ403" i="10"/>
  <c r="AJ404" i="10"/>
  <c r="AJ405" i="10"/>
  <c r="AJ406" i="10"/>
  <c r="AJ407" i="10"/>
  <c r="AJ408" i="10"/>
  <c r="AJ409" i="10"/>
  <c r="AJ410" i="10"/>
  <c r="AJ411" i="10"/>
  <c r="AJ412" i="10"/>
  <c r="AJ413" i="10"/>
  <c r="AJ414" i="10"/>
  <c r="AJ415" i="10"/>
  <c r="AJ416" i="10"/>
  <c r="AJ417" i="10"/>
  <c r="AJ418" i="10"/>
  <c r="AJ419" i="10"/>
  <c r="AJ420" i="10"/>
  <c r="AJ421" i="10"/>
  <c r="AJ422" i="10"/>
  <c r="AJ423" i="10"/>
  <c r="AJ424" i="10"/>
  <c r="AJ425" i="10"/>
  <c r="AJ426" i="10"/>
  <c r="AJ427" i="10"/>
  <c r="AJ428" i="10"/>
  <c r="AJ429" i="10"/>
  <c r="AJ430" i="10"/>
  <c r="AJ431" i="10"/>
  <c r="AJ432" i="10"/>
  <c r="AJ433" i="10"/>
  <c r="AJ434" i="10"/>
  <c r="AJ435" i="10"/>
  <c r="AJ436" i="10"/>
  <c r="AJ437" i="10"/>
  <c r="AJ438" i="10"/>
  <c r="AJ439" i="10"/>
  <c r="AJ440" i="10"/>
  <c r="AJ441" i="10"/>
  <c r="AJ442" i="10"/>
  <c r="AJ443" i="10"/>
  <c r="AJ444" i="10"/>
  <c r="AJ445" i="10"/>
  <c r="AJ446" i="10"/>
  <c r="AJ447" i="10"/>
  <c r="AJ448" i="10"/>
  <c r="AJ449" i="10"/>
  <c r="AJ450" i="10"/>
  <c r="AJ451" i="10"/>
  <c r="AJ452" i="10"/>
  <c r="AJ453" i="10"/>
  <c r="AJ454" i="10"/>
  <c r="AJ455" i="10"/>
  <c r="AJ456" i="10"/>
  <c r="AJ457" i="10"/>
  <c r="AJ458" i="10"/>
  <c r="AJ459" i="10"/>
  <c r="AJ460" i="10"/>
  <c r="AJ461" i="10"/>
  <c r="AJ462" i="10"/>
  <c r="AJ463" i="10"/>
  <c r="AJ464" i="10"/>
  <c r="AJ465" i="10"/>
  <c r="AJ466" i="10"/>
  <c r="AJ467" i="10"/>
  <c r="AJ468" i="10"/>
  <c r="AJ469" i="10"/>
  <c r="AJ470" i="10"/>
  <c r="AJ471" i="10"/>
  <c r="AJ472" i="10"/>
  <c r="AJ473" i="10"/>
  <c r="AJ474" i="10"/>
  <c r="AJ475" i="10"/>
  <c r="AJ476" i="10"/>
  <c r="AJ477" i="10"/>
  <c r="AJ478" i="10"/>
  <c r="AJ479" i="10"/>
  <c r="AJ480" i="10"/>
  <c r="AJ481" i="10"/>
  <c r="AJ482" i="10"/>
  <c r="AJ483" i="10"/>
  <c r="AJ484" i="10"/>
  <c r="AJ485" i="10"/>
  <c r="AJ486" i="10"/>
  <c r="AJ487" i="10"/>
  <c r="AJ488" i="10"/>
  <c r="AJ489" i="10"/>
  <c r="AJ490" i="10"/>
  <c r="AJ491" i="10"/>
  <c r="AJ492" i="10"/>
  <c r="AJ493" i="10"/>
  <c r="AJ494" i="10"/>
  <c r="AJ495" i="10"/>
  <c r="AJ496" i="10"/>
  <c r="AJ497" i="10"/>
  <c r="AJ498" i="10"/>
  <c r="AJ499" i="10"/>
  <c r="AJ500" i="10"/>
  <c r="AJ501" i="10"/>
  <c r="AJ502" i="10"/>
  <c r="AJ503" i="10"/>
  <c r="AJ504" i="10"/>
  <c r="AJ505" i="10"/>
  <c r="AJ506" i="10"/>
  <c r="AJ507" i="10"/>
  <c r="AJ508" i="10"/>
  <c r="AJ509" i="10"/>
  <c r="AJ510" i="10"/>
  <c r="AJ511" i="10"/>
  <c r="AJ512" i="10"/>
  <c r="AJ513" i="10"/>
  <c r="AJ514" i="10"/>
  <c r="AJ515" i="10"/>
  <c r="AJ516" i="10"/>
  <c r="AJ517" i="10"/>
  <c r="AJ518" i="10"/>
  <c r="AJ519" i="10"/>
  <c r="AJ520" i="10"/>
  <c r="AJ521" i="10"/>
  <c r="AJ522" i="10"/>
  <c r="AJ523" i="10"/>
  <c r="AJ524" i="10"/>
  <c r="AJ525" i="10"/>
  <c r="AJ526" i="10"/>
  <c r="AJ527" i="10"/>
  <c r="AJ528" i="10"/>
  <c r="AJ529" i="10"/>
  <c r="AJ530" i="10"/>
  <c r="AJ531" i="10"/>
  <c r="AJ532" i="10"/>
  <c r="AJ533" i="10"/>
  <c r="AJ534" i="10"/>
  <c r="AJ535" i="10"/>
  <c r="AJ536" i="10"/>
  <c r="AJ537" i="10"/>
  <c r="AJ538" i="10"/>
  <c r="AJ539" i="10"/>
  <c r="AJ540" i="10"/>
  <c r="AJ541" i="10"/>
  <c r="AJ542" i="10"/>
  <c r="AJ543" i="10"/>
  <c r="AJ544" i="10"/>
  <c r="AJ545" i="10"/>
  <c r="AJ546" i="10"/>
  <c r="AJ547" i="10"/>
  <c r="AJ548" i="10"/>
  <c r="AJ549" i="10"/>
  <c r="AJ550" i="10"/>
  <c r="AJ551" i="10"/>
  <c r="AJ552" i="10"/>
  <c r="AJ553" i="10"/>
  <c r="AJ554" i="10"/>
  <c r="AJ555" i="10"/>
  <c r="AJ556" i="10"/>
  <c r="AJ557" i="10"/>
  <c r="AJ558" i="10"/>
  <c r="AJ559" i="10"/>
  <c r="AJ560" i="10"/>
  <c r="AJ561" i="10"/>
  <c r="AJ562" i="10"/>
  <c r="AJ563" i="10"/>
  <c r="AJ564" i="10"/>
  <c r="AJ565" i="10"/>
  <c r="AJ566" i="10"/>
  <c r="AJ567" i="10"/>
  <c r="AJ568" i="10"/>
  <c r="AJ569" i="10"/>
  <c r="AJ570" i="10"/>
  <c r="AJ571" i="10"/>
  <c r="AJ572" i="10"/>
  <c r="AJ573" i="10"/>
  <c r="AJ574" i="10"/>
  <c r="AJ575" i="10"/>
  <c r="AJ576" i="10"/>
  <c r="AJ577" i="10"/>
  <c r="AJ578" i="10"/>
  <c r="AJ579" i="10"/>
  <c r="AJ580" i="10"/>
  <c r="AJ581" i="10"/>
  <c r="AJ582" i="10"/>
  <c r="AJ583" i="10"/>
  <c r="AJ584" i="10"/>
  <c r="AJ585" i="10"/>
  <c r="AJ586" i="10"/>
  <c r="AJ587" i="10"/>
  <c r="AJ588" i="10"/>
  <c r="AJ589" i="10"/>
  <c r="AJ590" i="10"/>
  <c r="AJ591" i="10"/>
  <c r="AJ592" i="10"/>
  <c r="AJ593" i="10"/>
  <c r="AJ594" i="10"/>
  <c r="AJ595" i="10"/>
  <c r="AJ596" i="10"/>
  <c r="AJ597" i="10"/>
  <c r="AJ598" i="10"/>
  <c r="AJ599" i="10"/>
  <c r="AJ600" i="10"/>
  <c r="AJ601" i="10"/>
  <c r="AJ602" i="10"/>
  <c r="AJ603" i="10"/>
  <c r="AJ604" i="10"/>
  <c r="AJ605" i="10"/>
  <c r="AJ606" i="10"/>
  <c r="AJ607" i="10"/>
  <c r="AJ608" i="10"/>
  <c r="AJ609" i="10"/>
  <c r="AJ610" i="10"/>
  <c r="AJ611" i="10"/>
  <c r="AJ612" i="10"/>
  <c r="AJ613" i="10"/>
  <c r="AJ614" i="10"/>
  <c r="AJ615" i="10"/>
  <c r="AJ616" i="10"/>
  <c r="AJ617" i="10"/>
  <c r="AJ618" i="10"/>
  <c r="AJ619" i="10"/>
  <c r="AJ620" i="10"/>
  <c r="AJ621" i="10"/>
  <c r="AJ622" i="10"/>
  <c r="AJ623" i="10"/>
  <c r="AJ624" i="10"/>
  <c r="AJ625" i="10"/>
  <c r="AJ626" i="10"/>
  <c r="AJ627" i="10"/>
  <c r="AJ628" i="10"/>
  <c r="AJ629" i="10"/>
  <c r="AJ630" i="10"/>
  <c r="AJ631" i="10"/>
  <c r="AJ632" i="10"/>
  <c r="AJ633" i="10"/>
  <c r="AJ634" i="10"/>
  <c r="AJ635" i="10"/>
  <c r="AJ636" i="10"/>
  <c r="AJ637" i="10"/>
  <c r="AJ638" i="10"/>
  <c r="AJ639" i="10"/>
  <c r="AJ640" i="10"/>
  <c r="AJ641" i="10"/>
  <c r="AJ642" i="10"/>
  <c r="AJ643" i="10"/>
  <c r="AJ644" i="10"/>
  <c r="AJ645" i="10"/>
  <c r="AJ646" i="10"/>
  <c r="AJ647" i="10"/>
  <c r="AJ648" i="10"/>
  <c r="AJ649" i="10"/>
  <c r="AJ650" i="10"/>
  <c r="AJ651" i="10"/>
  <c r="AJ652" i="10"/>
  <c r="AJ653" i="10"/>
  <c r="AJ654" i="10"/>
  <c r="AJ655" i="10"/>
  <c r="AJ656" i="10"/>
  <c r="AJ657" i="10"/>
  <c r="AJ658" i="10"/>
  <c r="AJ659" i="10"/>
  <c r="AJ660" i="10"/>
  <c r="AJ661" i="10"/>
  <c r="AJ662" i="10"/>
  <c r="AJ663" i="10"/>
  <c r="AJ664" i="10"/>
  <c r="AJ665" i="10"/>
  <c r="AJ666" i="10"/>
  <c r="AJ667" i="10"/>
  <c r="AJ668" i="10"/>
  <c r="AJ669" i="10"/>
  <c r="AJ670" i="10"/>
  <c r="AJ671" i="10"/>
  <c r="AJ672" i="10"/>
  <c r="AJ673" i="10"/>
  <c r="AJ674" i="10"/>
  <c r="AJ675" i="10"/>
  <c r="AJ676" i="10"/>
  <c r="AJ677" i="10"/>
  <c r="AJ678" i="10"/>
  <c r="AJ679" i="10"/>
  <c r="AJ680" i="10"/>
  <c r="AJ681" i="10"/>
  <c r="AJ682" i="10"/>
  <c r="AJ683" i="10"/>
  <c r="AJ684" i="10"/>
  <c r="AJ685" i="10"/>
  <c r="AJ686" i="10"/>
  <c r="AJ687" i="10"/>
  <c r="AJ688" i="10"/>
  <c r="AJ689" i="10"/>
  <c r="AJ690" i="10"/>
  <c r="AJ691" i="10"/>
  <c r="AJ692" i="10"/>
  <c r="AJ693" i="10"/>
  <c r="AJ694" i="10"/>
  <c r="AJ695" i="10"/>
  <c r="AJ696" i="10"/>
  <c r="AJ697" i="10"/>
  <c r="AJ698" i="10"/>
  <c r="AJ699" i="10"/>
  <c r="AJ700" i="10"/>
  <c r="AJ701" i="10"/>
  <c r="AJ702" i="10"/>
  <c r="AJ703" i="10"/>
  <c r="AJ704" i="10"/>
  <c r="AJ705" i="10"/>
  <c r="AJ706" i="10"/>
  <c r="AJ707" i="10"/>
  <c r="AJ708" i="10"/>
  <c r="AJ709" i="10"/>
  <c r="AJ710" i="10"/>
  <c r="AJ711" i="10"/>
  <c r="AJ712" i="10"/>
  <c r="AJ713" i="10"/>
  <c r="AJ714" i="10"/>
  <c r="AJ715" i="10"/>
  <c r="AJ716" i="10"/>
  <c r="AJ717" i="10"/>
  <c r="AJ718" i="10"/>
  <c r="AJ719" i="10"/>
  <c r="AJ720" i="10"/>
  <c r="AJ721" i="10"/>
  <c r="AJ722" i="10"/>
  <c r="AJ723" i="10"/>
  <c r="AJ724" i="10"/>
  <c r="AJ725" i="10"/>
  <c r="AJ726" i="10"/>
  <c r="AJ727" i="10"/>
  <c r="AJ728" i="10"/>
  <c r="AJ729" i="10"/>
  <c r="AJ730" i="10"/>
  <c r="AJ731" i="10"/>
  <c r="AJ732" i="10"/>
  <c r="AJ733" i="10"/>
  <c r="AJ734" i="10"/>
  <c r="AJ735" i="10"/>
  <c r="AJ736" i="10"/>
  <c r="AJ737" i="10"/>
  <c r="AJ738" i="10"/>
  <c r="AJ739" i="10"/>
  <c r="AJ740" i="10"/>
  <c r="AJ741" i="10"/>
  <c r="AJ742" i="10"/>
  <c r="AJ743" i="10"/>
  <c r="AJ744" i="10"/>
  <c r="AJ745" i="10"/>
  <c r="AJ746" i="10"/>
  <c r="AJ747" i="10"/>
  <c r="AJ748" i="10"/>
  <c r="AJ749" i="10"/>
  <c r="AJ750" i="10"/>
  <c r="AJ751" i="10"/>
  <c r="AJ752" i="10"/>
  <c r="AJ753" i="10"/>
  <c r="AJ754" i="10"/>
  <c r="AJ755" i="10"/>
  <c r="AJ756" i="10"/>
  <c r="AJ757" i="10"/>
  <c r="AJ758" i="10"/>
  <c r="AJ759" i="10"/>
  <c r="AJ760" i="10"/>
  <c r="AJ761" i="10"/>
  <c r="AJ762" i="10"/>
  <c r="AJ763" i="10"/>
  <c r="AJ764" i="10"/>
  <c r="AJ765" i="10"/>
  <c r="AJ766" i="10"/>
  <c r="AJ767" i="10"/>
  <c r="AJ768" i="10"/>
  <c r="AJ769" i="10"/>
  <c r="AJ770" i="10"/>
  <c r="AJ771" i="10"/>
  <c r="AJ772" i="10"/>
  <c r="AJ773" i="10"/>
  <c r="AJ774" i="10"/>
  <c r="AJ775" i="10"/>
  <c r="AJ776" i="10"/>
  <c r="AJ777" i="10"/>
  <c r="AJ778" i="10"/>
  <c r="AJ779" i="10"/>
  <c r="AJ780" i="10"/>
  <c r="AJ781" i="10"/>
  <c r="AJ782" i="10"/>
  <c r="AJ783" i="10"/>
  <c r="AJ784" i="10"/>
  <c r="AJ785" i="10"/>
  <c r="AJ786" i="10"/>
  <c r="AJ787" i="10"/>
  <c r="AJ788" i="10"/>
  <c r="AJ789" i="10"/>
  <c r="AJ790" i="10"/>
  <c r="AJ791" i="10"/>
  <c r="AJ792" i="10"/>
  <c r="AJ793" i="10"/>
  <c r="AJ794" i="10"/>
  <c r="AJ795" i="10"/>
  <c r="AJ796" i="10"/>
  <c r="AJ797" i="10"/>
  <c r="AJ798" i="10"/>
  <c r="AJ799" i="10"/>
  <c r="AJ800" i="10"/>
  <c r="AJ801" i="10"/>
  <c r="AJ802" i="10"/>
  <c r="AJ803" i="10"/>
  <c r="AJ804" i="10"/>
  <c r="AJ805" i="10"/>
  <c r="AJ806" i="10"/>
  <c r="AJ807" i="10"/>
  <c r="AJ808" i="10"/>
  <c r="AJ809" i="10"/>
  <c r="AJ810" i="10"/>
  <c r="AJ811" i="10"/>
  <c r="AJ812" i="10"/>
  <c r="AJ813" i="10"/>
  <c r="AJ814" i="10"/>
  <c r="AJ815" i="10"/>
  <c r="AJ816" i="10"/>
  <c r="AJ817" i="10"/>
  <c r="AJ818" i="10"/>
  <c r="AJ819" i="10"/>
  <c r="AJ820" i="10"/>
  <c r="AJ821" i="10"/>
  <c r="AJ822" i="10"/>
  <c r="AJ823" i="10"/>
  <c r="AJ824" i="10"/>
  <c r="AJ825" i="10"/>
  <c r="AJ826" i="10"/>
  <c r="AJ827" i="10"/>
  <c r="AJ828" i="10"/>
  <c r="AJ829" i="10"/>
  <c r="AJ830" i="10"/>
  <c r="AJ831" i="10"/>
  <c r="AJ832" i="10"/>
  <c r="AJ833" i="10"/>
  <c r="AJ834" i="10"/>
  <c r="AJ835" i="10"/>
  <c r="AJ836" i="10"/>
  <c r="AJ837" i="10"/>
  <c r="AJ838" i="10"/>
  <c r="AJ839" i="10"/>
  <c r="AJ840" i="10"/>
  <c r="AJ841" i="10"/>
  <c r="AJ842" i="10"/>
  <c r="AJ843" i="10"/>
  <c r="AJ844" i="10"/>
  <c r="AJ845" i="10"/>
  <c r="AJ846" i="10"/>
  <c r="AJ847" i="10"/>
  <c r="AJ848" i="10"/>
  <c r="AJ849" i="10"/>
  <c r="AJ850" i="10"/>
  <c r="AJ851" i="10"/>
  <c r="AJ852" i="10"/>
  <c r="AJ853" i="10"/>
  <c r="AJ854" i="10"/>
  <c r="AJ855" i="10"/>
  <c r="AJ856" i="10"/>
  <c r="AJ857" i="10"/>
  <c r="AJ858" i="10"/>
  <c r="AJ859" i="10"/>
  <c r="AJ860" i="10"/>
  <c r="AJ861" i="10"/>
  <c r="AJ862" i="10"/>
  <c r="AJ863" i="10"/>
  <c r="AJ864" i="10"/>
  <c r="AJ865" i="10"/>
  <c r="AJ866" i="10"/>
  <c r="AJ867" i="10"/>
  <c r="AJ868" i="10"/>
  <c r="AJ869" i="10"/>
  <c r="AJ870" i="10"/>
  <c r="AJ871" i="10"/>
  <c r="AJ872" i="10"/>
  <c r="AJ873" i="10"/>
  <c r="AJ874" i="10"/>
  <c r="AJ875" i="10"/>
  <c r="AJ876" i="10"/>
  <c r="AJ877" i="10"/>
  <c r="AJ878" i="10"/>
  <c r="AJ879" i="10"/>
  <c r="AJ880" i="10"/>
  <c r="AJ881" i="10"/>
  <c r="AJ882" i="10"/>
  <c r="AJ883" i="10"/>
  <c r="AJ884" i="10"/>
  <c r="AJ885" i="10"/>
  <c r="AJ886" i="10"/>
  <c r="AJ887" i="10"/>
  <c r="AJ888" i="10"/>
  <c r="AJ889" i="10"/>
  <c r="AJ890" i="10"/>
  <c r="AJ891" i="10"/>
  <c r="AJ892" i="10"/>
  <c r="AJ893" i="10"/>
  <c r="AJ894" i="10"/>
  <c r="AJ895" i="10"/>
  <c r="AJ896" i="10"/>
  <c r="AJ897" i="10"/>
  <c r="AJ898" i="10"/>
  <c r="AJ899" i="10"/>
  <c r="AJ900" i="10"/>
  <c r="AJ901" i="10"/>
  <c r="AJ902" i="10"/>
  <c r="AJ903" i="10"/>
  <c r="AJ904" i="10"/>
  <c r="AJ905" i="10"/>
  <c r="AJ906" i="10"/>
  <c r="AJ907" i="10"/>
  <c r="AJ908" i="10"/>
  <c r="AJ909" i="10"/>
  <c r="AJ910" i="10"/>
  <c r="AJ911" i="10"/>
  <c r="AJ912" i="10"/>
  <c r="AJ913" i="10"/>
  <c r="AJ914" i="10"/>
  <c r="AJ915" i="10"/>
  <c r="AJ916" i="10"/>
  <c r="AJ917" i="10"/>
  <c r="AJ918" i="10"/>
  <c r="AJ919" i="10"/>
  <c r="AJ920" i="10"/>
  <c r="AJ921" i="10"/>
  <c r="AJ922" i="10"/>
  <c r="AJ923" i="10"/>
  <c r="AJ924" i="10"/>
  <c r="AJ925" i="10"/>
  <c r="AJ926" i="10"/>
  <c r="AJ927" i="10"/>
  <c r="AJ928" i="10"/>
  <c r="AJ929" i="10"/>
  <c r="AJ930" i="10"/>
  <c r="AJ931" i="10"/>
  <c r="AJ932" i="10"/>
  <c r="AJ933" i="10"/>
  <c r="AJ934" i="10"/>
  <c r="AJ935" i="10"/>
  <c r="AJ936" i="10"/>
  <c r="AJ937" i="10"/>
  <c r="AJ938" i="10"/>
  <c r="AJ939" i="10"/>
  <c r="AJ940" i="10"/>
  <c r="AJ941" i="10"/>
  <c r="AJ942" i="10"/>
  <c r="AJ943" i="10"/>
  <c r="AJ944" i="10"/>
  <c r="AJ945" i="10"/>
  <c r="AJ946" i="10"/>
  <c r="AJ947" i="10"/>
  <c r="AJ948" i="10"/>
  <c r="AJ949" i="10"/>
  <c r="AJ950" i="10"/>
  <c r="AJ951" i="10"/>
  <c r="AJ952" i="10"/>
  <c r="AJ953" i="10"/>
  <c r="AJ954" i="10"/>
  <c r="AJ955" i="10"/>
  <c r="AJ956" i="10"/>
  <c r="AJ957" i="10"/>
  <c r="AJ958" i="10"/>
  <c r="AJ959" i="10"/>
  <c r="AJ960" i="10"/>
  <c r="AJ961" i="10"/>
  <c r="AJ962" i="10"/>
  <c r="AJ963" i="10"/>
  <c r="AJ964" i="10"/>
  <c r="AJ965" i="10"/>
  <c r="AJ966" i="10"/>
  <c r="AJ967" i="10"/>
  <c r="AJ968" i="10"/>
  <c r="AJ969" i="10"/>
  <c r="AJ970" i="10"/>
  <c r="AJ971" i="10"/>
  <c r="AJ972" i="10"/>
  <c r="AJ973" i="10"/>
  <c r="AJ974" i="10"/>
  <c r="AJ975" i="10"/>
  <c r="AJ976" i="10"/>
  <c r="AJ977" i="10"/>
  <c r="AJ978" i="10"/>
  <c r="AJ979" i="10"/>
  <c r="AJ980" i="10"/>
  <c r="AJ981" i="10"/>
  <c r="AJ982" i="10"/>
  <c r="AJ983" i="10"/>
  <c r="AJ984" i="10"/>
  <c r="AJ985" i="10"/>
  <c r="AJ986" i="10"/>
  <c r="AJ987" i="10"/>
  <c r="AJ988" i="10"/>
  <c r="AJ989" i="10"/>
  <c r="AJ990" i="10"/>
  <c r="AJ991" i="10"/>
  <c r="AJ992" i="10"/>
  <c r="AJ993" i="10"/>
  <c r="AJ994" i="10"/>
  <c r="AJ995" i="10"/>
  <c r="AJ996" i="10"/>
  <c r="AJ997" i="10"/>
  <c r="AJ998" i="10"/>
  <c r="AJ999" i="10"/>
  <c r="AJ1000" i="10"/>
  <c r="AJ1001" i="10"/>
  <c r="AJ1002" i="10"/>
  <c r="AJ1003" i="10"/>
  <c r="AJ1004" i="10"/>
  <c r="AJ1005" i="10"/>
  <c r="AJ1006" i="10"/>
  <c r="AJ1007" i="10"/>
  <c r="AJ1008" i="10"/>
  <c r="AJ1009" i="10"/>
  <c r="AJ1010" i="10"/>
  <c r="AJ1011" i="10"/>
  <c r="AJ1012" i="10"/>
  <c r="AJ1013" i="10"/>
  <c r="AJ1014" i="10"/>
  <c r="AJ1015" i="10"/>
  <c r="AJ1016" i="10"/>
  <c r="AJ1017" i="10"/>
  <c r="AJ1018" i="10"/>
  <c r="AJ1019" i="10"/>
  <c r="AJ1020" i="10"/>
  <c r="AJ1021" i="10"/>
  <c r="AJ1022" i="10"/>
  <c r="AJ1023" i="10"/>
  <c r="AJ1024" i="10"/>
  <c r="AJ1025" i="10"/>
  <c r="AJ1026" i="10"/>
  <c r="AJ1027" i="10"/>
  <c r="AJ1028" i="10"/>
  <c r="AJ1029" i="10"/>
  <c r="AJ1030" i="10"/>
  <c r="AJ1031" i="10"/>
  <c r="AJ1032" i="10"/>
  <c r="AJ1033" i="10"/>
  <c r="AJ1034" i="10"/>
  <c r="AJ1035" i="10"/>
  <c r="AJ1036" i="10"/>
  <c r="AJ1037" i="10"/>
  <c r="AJ1038" i="10"/>
  <c r="AJ1039" i="10"/>
  <c r="AJ1040" i="10"/>
  <c r="AJ1041" i="10"/>
  <c r="AJ1042" i="10"/>
  <c r="AJ1043" i="10"/>
  <c r="AJ1044" i="10"/>
  <c r="AJ1045" i="10"/>
  <c r="AJ1046" i="10"/>
  <c r="AJ1047" i="10"/>
  <c r="AJ1048" i="10"/>
  <c r="AJ1049" i="10"/>
  <c r="AJ1050" i="10"/>
  <c r="AJ1051" i="10"/>
  <c r="AJ1052" i="10"/>
  <c r="AJ1053" i="10"/>
  <c r="AJ1054" i="10"/>
  <c r="AJ1055" i="10"/>
  <c r="AJ1056" i="10"/>
  <c r="AJ1057" i="10"/>
  <c r="AJ1058" i="10"/>
  <c r="AJ1059" i="10"/>
  <c r="AJ1060" i="10"/>
  <c r="AJ1061" i="10"/>
  <c r="AJ1062" i="10"/>
  <c r="AJ1063" i="10"/>
  <c r="AJ1064" i="10"/>
  <c r="AJ1065" i="10"/>
  <c r="AJ1066" i="10"/>
  <c r="AJ1067" i="10"/>
  <c r="AJ1068" i="10"/>
  <c r="AJ1069" i="10"/>
  <c r="AJ1070" i="10"/>
  <c r="AJ1071" i="10"/>
  <c r="AJ1072" i="10"/>
  <c r="AJ1073" i="10"/>
  <c r="AJ1074" i="10"/>
  <c r="AJ1075" i="10"/>
  <c r="AJ1076" i="10"/>
  <c r="AJ1077" i="10"/>
  <c r="AJ1078" i="10"/>
  <c r="AJ1079" i="10"/>
  <c r="AJ1080" i="10"/>
  <c r="AJ1081" i="10"/>
  <c r="AJ1082" i="10"/>
  <c r="AJ1083" i="10"/>
  <c r="AJ1084" i="10"/>
  <c r="AJ1085" i="10"/>
  <c r="AJ1086" i="10"/>
  <c r="AJ1087" i="10"/>
  <c r="AJ1088" i="10"/>
  <c r="AJ1089" i="10"/>
  <c r="AJ1090" i="10"/>
  <c r="AJ1091" i="10"/>
  <c r="AJ1092" i="10"/>
  <c r="AJ1093" i="10"/>
  <c r="AJ1094" i="10"/>
  <c r="AJ1095" i="10"/>
  <c r="AJ1096" i="10"/>
  <c r="AJ1097" i="10"/>
  <c r="AJ1098" i="10"/>
  <c r="AJ1099" i="10"/>
  <c r="AJ1100" i="10"/>
  <c r="AJ1101" i="10"/>
  <c r="AJ1102" i="10"/>
  <c r="AJ1103" i="10"/>
  <c r="AJ1104" i="10"/>
  <c r="AJ1105" i="10"/>
  <c r="AJ1106" i="10"/>
  <c r="AJ1107" i="10"/>
  <c r="AJ1108" i="10"/>
  <c r="AJ1109" i="10"/>
  <c r="AJ1110" i="10"/>
  <c r="AJ1111" i="10"/>
  <c r="AJ1112" i="10"/>
  <c r="AJ1113" i="10"/>
  <c r="AJ1114" i="10"/>
  <c r="AJ1115" i="10"/>
  <c r="AJ1116" i="10"/>
  <c r="AJ1117" i="10"/>
  <c r="AJ1118" i="10"/>
  <c r="AJ1119" i="10"/>
  <c r="AJ1120" i="10"/>
  <c r="AJ1121" i="10"/>
  <c r="AJ1122" i="10"/>
  <c r="AJ1123" i="10"/>
  <c r="AJ1124" i="10"/>
  <c r="AJ1125" i="10"/>
  <c r="AJ1126" i="10"/>
  <c r="AJ1127" i="10"/>
  <c r="AJ1128" i="10"/>
  <c r="AJ1129" i="10"/>
  <c r="AJ1130" i="10"/>
  <c r="AJ1131" i="10"/>
  <c r="AJ1132" i="10"/>
  <c r="AJ1133" i="10"/>
  <c r="AJ1134" i="10"/>
  <c r="AJ1135" i="10"/>
  <c r="AJ1136" i="10"/>
  <c r="AJ1137" i="10"/>
  <c r="AJ1138" i="10"/>
  <c r="AJ1139" i="10"/>
  <c r="AJ1140" i="10"/>
  <c r="AJ1141" i="10"/>
  <c r="AJ1142" i="10"/>
  <c r="AJ1143" i="10"/>
  <c r="AJ1144" i="10"/>
  <c r="AJ1145" i="10"/>
  <c r="AJ1146" i="10"/>
  <c r="AJ1147" i="10"/>
  <c r="AJ1148" i="10"/>
  <c r="AJ1149" i="10"/>
  <c r="AJ1150" i="10"/>
  <c r="AJ1151" i="10"/>
  <c r="AJ1152" i="10"/>
  <c r="AJ1153" i="10"/>
  <c r="AJ1154" i="10"/>
  <c r="AJ1155" i="10"/>
  <c r="AJ1156" i="10"/>
  <c r="AJ1157" i="10"/>
  <c r="AJ1158" i="10"/>
  <c r="AJ1159" i="10"/>
  <c r="AJ1160" i="10"/>
  <c r="AJ1161" i="10"/>
  <c r="AJ1162" i="10"/>
  <c r="AJ1163" i="10"/>
  <c r="AJ1164" i="10"/>
  <c r="AJ1165" i="10"/>
  <c r="AJ1166" i="10"/>
  <c r="AJ1167" i="10"/>
  <c r="AJ1168" i="10"/>
  <c r="AJ1169" i="10"/>
  <c r="AJ1170" i="10"/>
  <c r="AJ1171" i="10"/>
  <c r="AJ1172" i="10"/>
  <c r="AJ1173" i="10"/>
  <c r="AJ1174" i="10"/>
  <c r="AJ1175" i="10"/>
  <c r="AJ1176" i="10"/>
  <c r="AJ1177" i="10"/>
  <c r="AJ1178" i="10"/>
  <c r="AJ1179" i="10"/>
  <c r="AJ1180" i="10"/>
  <c r="AJ1181" i="10"/>
  <c r="AJ1182" i="10"/>
  <c r="AJ1183" i="10"/>
  <c r="AJ1184" i="10"/>
  <c r="AJ1185" i="10"/>
  <c r="AJ1186" i="10"/>
  <c r="AJ1187" i="10"/>
  <c r="AJ1188" i="10"/>
  <c r="AJ1189" i="10"/>
  <c r="AJ1190" i="10"/>
  <c r="AJ1191" i="10"/>
  <c r="AJ1192" i="10"/>
  <c r="AJ1193" i="10"/>
  <c r="AJ1194" i="10"/>
  <c r="AJ1195" i="10"/>
  <c r="AJ1196" i="10"/>
  <c r="AJ1197" i="10"/>
  <c r="AJ1198" i="10"/>
  <c r="AJ1199" i="10"/>
  <c r="AJ1200" i="10"/>
  <c r="AJ1201" i="10"/>
  <c r="AJ1202" i="10"/>
  <c r="AJ1203" i="10"/>
  <c r="AJ1204" i="10"/>
  <c r="AJ1205" i="10"/>
  <c r="AJ1206" i="10"/>
  <c r="AJ1207" i="10"/>
  <c r="AJ1208" i="10"/>
  <c r="AJ6" i="10"/>
  <c r="AI7" i="10"/>
  <c r="AI8" i="10"/>
  <c r="AI9" i="10"/>
  <c r="AI10" i="10"/>
  <c r="AI11" i="10"/>
  <c r="AI12" i="10"/>
  <c r="AI13" i="10"/>
  <c r="AI14" i="10"/>
  <c r="AI15" i="10"/>
  <c r="AI16" i="10"/>
  <c r="AI17" i="10"/>
  <c r="AI18" i="10"/>
  <c r="AI19" i="10"/>
  <c r="AI20" i="10"/>
  <c r="AI21" i="10"/>
  <c r="AI22" i="10"/>
  <c r="AI23" i="10"/>
  <c r="AI24" i="10"/>
  <c r="AI25" i="10"/>
  <c r="AI26" i="10"/>
  <c r="AI27" i="10"/>
  <c r="AI28" i="10"/>
  <c r="AI29" i="10"/>
  <c r="AI30" i="10"/>
  <c r="AI31" i="10"/>
  <c r="AI32" i="10"/>
  <c r="AI33" i="10"/>
  <c r="AI34" i="10"/>
  <c r="AI35" i="10"/>
  <c r="AI36" i="10"/>
  <c r="AI37" i="10"/>
  <c r="AI38" i="10"/>
  <c r="AI39" i="10"/>
  <c r="AI40" i="10"/>
  <c r="AI41" i="10"/>
  <c r="AI42" i="10"/>
  <c r="AI43" i="10"/>
  <c r="AI44" i="10"/>
  <c r="AI45" i="10"/>
  <c r="AI46" i="10"/>
  <c r="AI47" i="10"/>
  <c r="AI48" i="10"/>
  <c r="AI49" i="10"/>
  <c r="AI50" i="10"/>
  <c r="AI51" i="10"/>
  <c r="AI52" i="10"/>
  <c r="AI53" i="10"/>
  <c r="AI54" i="10"/>
  <c r="AI55" i="10"/>
  <c r="AI56" i="10"/>
  <c r="AI57" i="10"/>
  <c r="AI58" i="10"/>
  <c r="AI59" i="10"/>
  <c r="AI60" i="10"/>
  <c r="AI61" i="10"/>
  <c r="AI62" i="10"/>
  <c r="AI63" i="10"/>
  <c r="AI64" i="10"/>
  <c r="AI65" i="10"/>
  <c r="AI66" i="10"/>
  <c r="AI67" i="10"/>
  <c r="AI68" i="10"/>
  <c r="AI69" i="10"/>
  <c r="AI70" i="10"/>
  <c r="AI71" i="10"/>
  <c r="AI72" i="10"/>
  <c r="AI73" i="10"/>
  <c r="AI74" i="10"/>
  <c r="AI75" i="10"/>
  <c r="AI76" i="10"/>
  <c r="AI77" i="10"/>
  <c r="AI78" i="10"/>
  <c r="AI79" i="10"/>
  <c r="AI80" i="10"/>
  <c r="AI81" i="10"/>
  <c r="AI82" i="10"/>
  <c r="AI83" i="10"/>
  <c r="AI84" i="10"/>
  <c r="AI85" i="10"/>
  <c r="AI86" i="10"/>
  <c r="AI87" i="10"/>
  <c r="AI88" i="10"/>
  <c r="AI89" i="10"/>
  <c r="AI90" i="10"/>
  <c r="AI91" i="10"/>
  <c r="AI92" i="10"/>
  <c r="AI93" i="10"/>
  <c r="AI94" i="10"/>
  <c r="AI95" i="10"/>
  <c r="AI96" i="10"/>
  <c r="AI97" i="10"/>
  <c r="AI98" i="10"/>
  <c r="AI99" i="10"/>
  <c r="AI100" i="10"/>
  <c r="AI101" i="10"/>
  <c r="AI102" i="10"/>
  <c r="AI103" i="10"/>
  <c r="AI104" i="10"/>
  <c r="AI105" i="10"/>
  <c r="AI106" i="10"/>
  <c r="AI107" i="10"/>
  <c r="AI108" i="10"/>
  <c r="AI109" i="10"/>
  <c r="AI110" i="10"/>
  <c r="AI111" i="10"/>
  <c r="AI112" i="10"/>
  <c r="AI113" i="10"/>
  <c r="AI114" i="10"/>
  <c r="AI115" i="10"/>
  <c r="AI116" i="10"/>
  <c r="AI117" i="10"/>
  <c r="AI118" i="10"/>
  <c r="AI119" i="10"/>
  <c r="AI120" i="10"/>
  <c r="AI121" i="10"/>
  <c r="AI122" i="10"/>
  <c r="AI123" i="10"/>
  <c r="AI124" i="10"/>
  <c r="AI125" i="10"/>
  <c r="AI126" i="10"/>
  <c r="AI127" i="10"/>
  <c r="AI128" i="10"/>
  <c r="AI129" i="10"/>
  <c r="AI130" i="10"/>
  <c r="AI131" i="10"/>
  <c r="AI132" i="10"/>
  <c r="AI133" i="10"/>
  <c r="AI134" i="10"/>
  <c r="AI135" i="10"/>
  <c r="AI136" i="10"/>
  <c r="AI137" i="10"/>
  <c r="AI138" i="10"/>
  <c r="AI139" i="10"/>
  <c r="AI140" i="10"/>
  <c r="AI141" i="10"/>
  <c r="AI142" i="10"/>
  <c r="AI143" i="10"/>
  <c r="AI144" i="10"/>
  <c r="AI145" i="10"/>
  <c r="AI146" i="10"/>
  <c r="AI147" i="10"/>
  <c r="AI148" i="10"/>
  <c r="AI149" i="10"/>
  <c r="AI150" i="10"/>
  <c r="AI151" i="10"/>
  <c r="AI152" i="10"/>
  <c r="AI153" i="10"/>
  <c r="AI154" i="10"/>
  <c r="AI155" i="10"/>
  <c r="AI156" i="10"/>
  <c r="AI157" i="10"/>
  <c r="AI158" i="10"/>
  <c r="AI159" i="10"/>
  <c r="AI160" i="10"/>
  <c r="AI161" i="10"/>
  <c r="AI162" i="10"/>
  <c r="AI163" i="10"/>
  <c r="AI164" i="10"/>
  <c r="AI165" i="10"/>
  <c r="AI166" i="10"/>
  <c r="AI167" i="10"/>
  <c r="AI168" i="10"/>
  <c r="AI169" i="10"/>
  <c r="AI170" i="10"/>
  <c r="AI171" i="10"/>
  <c r="AI172" i="10"/>
  <c r="AI173" i="10"/>
  <c r="AI174" i="10"/>
  <c r="AI175" i="10"/>
  <c r="AI176" i="10"/>
  <c r="AI177" i="10"/>
  <c r="AI178" i="10"/>
  <c r="AI179" i="10"/>
  <c r="AI180" i="10"/>
  <c r="AI181" i="10"/>
  <c r="AI182" i="10"/>
  <c r="AI183" i="10"/>
  <c r="AI184" i="10"/>
  <c r="AI185" i="10"/>
  <c r="AI186" i="10"/>
  <c r="AI187" i="10"/>
  <c r="AI188" i="10"/>
  <c r="AI189" i="10"/>
  <c r="AI190" i="10"/>
  <c r="AI191" i="10"/>
  <c r="AI192" i="10"/>
  <c r="AI193" i="10"/>
  <c r="AI194" i="10"/>
  <c r="AI195" i="10"/>
  <c r="AI196" i="10"/>
  <c r="AI197" i="10"/>
  <c r="AI198" i="10"/>
  <c r="AI199" i="10"/>
  <c r="AI200" i="10"/>
  <c r="AI201" i="10"/>
  <c r="AI202" i="10"/>
  <c r="AI203" i="10"/>
  <c r="AI204" i="10"/>
  <c r="AI205" i="10"/>
  <c r="AI206" i="10"/>
  <c r="AI207" i="10"/>
  <c r="AI208" i="10"/>
  <c r="AI209" i="10"/>
  <c r="AI210" i="10"/>
  <c r="AI211" i="10"/>
  <c r="AI212" i="10"/>
  <c r="AI213" i="10"/>
  <c r="AI214" i="10"/>
  <c r="AI215" i="10"/>
  <c r="AI216" i="10"/>
  <c r="AI217" i="10"/>
  <c r="AI218" i="10"/>
  <c r="AI219" i="10"/>
  <c r="AI220" i="10"/>
  <c r="AI221" i="10"/>
  <c r="AI222" i="10"/>
  <c r="AI223" i="10"/>
  <c r="AI224" i="10"/>
  <c r="AI225" i="10"/>
  <c r="AI226" i="10"/>
  <c r="AI227" i="10"/>
  <c r="AI228" i="10"/>
  <c r="AI229" i="10"/>
  <c r="AI230" i="10"/>
  <c r="AI231" i="10"/>
  <c r="AI232" i="10"/>
  <c r="AI233" i="10"/>
  <c r="AI234" i="10"/>
  <c r="AI235" i="10"/>
  <c r="AI236" i="10"/>
  <c r="AI237" i="10"/>
  <c r="AI238" i="10"/>
  <c r="AI239" i="10"/>
  <c r="AI240" i="10"/>
  <c r="AI241" i="10"/>
  <c r="AI242" i="10"/>
  <c r="AI243" i="10"/>
  <c r="AI244" i="10"/>
  <c r="AI245" i="10"/>
  <c r="AI246" i="10"/>
  <c r="AI247" i="10"/>
  <c r="AI248" i="10"/>
  <c r="AI249" i="10"/>
  <c r="AI250" i="10"/>
  <c r="AI251" i="10"/>
  <c r="AI252" i="10"/>
  <c r="AI253" i="10"/>
  <c r="AI254" i="10"/>
  <c r="AI255" i="10"/>
  <c r="AI256" i="10"/>
  <c r="AI257" i="10"/>
  <c r="AI258" i="10"/>
  <c r="AI259" i="10"/>
  <c r="AI260" i="10"/>
  <c r="AI261" i="10"/>
  <c r="AI262" i="10"/>
  <c r="AI263" i="10"/>
  <c r="AI264" i="10"/>
  <c r="AI265" i="10"/>
  <c r="AI266" i="10"/>
  <c r="AI267" i="10"/>
  <c r="AI268" i="10"/>
  <c r="AI269" i="10"/>
  <c r="AI270" i="10"/>
  <c r="AI271" i="10"/>
  <c r="AI272" i="10"/>
  <c r="AI273" i="10"/>
  <c r="AI274" i="10"/>
  <c r="AI275" i="10"/>
  <c r="AI276" i="10"/>
  <c r="AI277" i="10"/>
  <c r="AI278" i="10"/>
  <c r="AI279" i="10"/>
  <c r="AI280" i="10"/>
  <c r="AI281" i="10"/>
  <c r="AI282" i="10"/>
  <c r="AI283" i="10"/>
  <c r="AI284" i="10"/>
  <c r="AI285" i="10"/>
  <c r="AI286" i="10"/>
  <c r="AI287" i="10"/>
  <c r="AI288" i="10"/>
  <c r="AI289" i="10"/>
  <c r="AI290" i="10"/>
  <c r="AI291" i="10"/>
  <c r="AI292" i="10"/>
  <c r="AI293" i="10"/>
  <c r="AI294" i="10"/>
  <c r="AI295" i="10"/>
  <c r="AI296" i="10"/>
  <c r="AI297" i="10"/>
  <c r="AI298" i="10"/>
  <c r="AI299" i="10"/>
  <c r="AI300" i="10"/>
  <c r="AI301" i="10"/>
  <c r="AI302" i="10"/>
  <c r="AI303" i="10"/>
  <c r="AI304" i="10"/>
  <c r="AI305" i="10"/>
  <c r="AI306" i="10"/>
  <c r="AI307" i="10"/>
  <c r="AI308" i="10"/>
  <c r="AI309" i="10"/>
  <c r="AI310" i="10"/>
  <c r="AI311" i="10"/>
  <c r="AI312" i="10"/>
  <c r="AI313" i="10"/>
  <c r="AI314" i="10"/>
  <c r="AI315" i="10"/>
  <c r="AI316" i="10"/>
  <c r="AI317" i="10"/>
  <c r="AI318" i="10"/>
  <c r="AI319" i="10"/>
  <c r="AI320" i="10"/>
  <c r="AI321" i="10"/>
  <c r="AI322" i="10"/>
  <c r="AI323" i="10"/>
  <c r="AI324" i="10"/>
  <c r="AI325" i="10"/>
  <c r="AI326" i="10"/>
  <c r="AI327" i="10"/>
  <c r="AI328" i="10"/>
  <c r="AI329" i="10"/>
  <c r="AI330" i="10"/>
  <c r="AI331" i="10"/>
  <c r="AI332" i="10"/>
  <c r="AI333" i="10"/>
  <c r="AI334" i="10"/>
  <c r="AI335" i="10"/>
  <c r="AI336" i="10"/>
  <c r="AI337" i="10"/>
  <c r="AI338" i="10"/>
  <c r="AI339" i="10"/>
  <c r="AI340" i="10"/>
  <c r="AI341" i="10"/>
  <c r="AI342" i="10"/>
  <c r="AI343" i="10"/>
  <c r="AI344" i="10"/>
  <c r="AI345" i="10"/>
  <c r="AI346" i="10"/>
  <c r="AI347" i="10"/>
  <c r="AI348" i="10"/>
  <c r="AI349" i="10"/>
  <c r="AI350" i="10"/>
  <c r="AI351" i="10"/>
  <c r="AI352" i="10"/>
  <c r="AI353" i="10"/>
  <c r="AI354" i="10"/>
  <c r="AI355" i="10"/>
  <c r="AI356" i="10"/>
  <c r="AI357" i="10"/>
  <c r="AI358" i="10"/>
  <c r="AI359" i="10"/>
  <c r="AI360" i="10"/>
  <c r="AI361" i="10"/>
  <c r="AI362" i="10"/>
  <c r="AI363" i="10"/>
  <c r="AI364" i="10"/>
  <c r="AI365" i="10"/>
  <c r="AI366" i="10"/>
  <c r="AI367" i="10"/>
  <c r="AI368" i="10"/>
  <c r="AI369" i="10"/>
  <c r="AI370" i="10"/>
  <c r="AI371" i="10"/>
  <c r="AI372" i="10"/>
  <c r="AI373" i="10"/>
  <c r="AI374" i="10"/>
  <c r="AI375" i="10"/>
  <c r="AI376" i="10"/>
  <c r="AI377" i="10"/>
  <c r="AI378" i="10"/>
  <c r="AI379" i="10"/>
  <c r="AI380" i="10"/>
  <c r="AI381" i="10"/>
  <c r="AI382" i="10"/>
  <c r="AI383" i="10"/>
  <c r="AI384" i="10"/>
  <c r="AI385" i="10"/>
  <c r="AI386" i="10"/>
  <c r="AI387" i="10"/>
  <c r="AI388" i="10"/>
  <c r="AI389" i="10"/>
  <c r="AI390" i="10"/>
  <c r="AI391" i="10"/>
  <c r="AI392" i="10"/>
  <c r="AI393" i="10"/>
  <c r="AI394" i="10"/>
  <c r="AI395" i="10"/>
  <c r="AI396" i="10"/>
  <c r="AI397" i="10"/>
  <c r="AI398" i="10"/>
  <c r="AI399" i="10"/>
  <c r="AI400" i="10"/>
  <c r="AI401" i="10"/>
  <c r="AI402" i="10"/>
  <c r="AI403" i="10"/>
  <c r="AI404" i="10"/>
  <c r="AI405" i="10"/>
  <c r="AI406" i="10"/>
  <c r="AI407" i="10"/>
  <c r="AI408" i="10"/>
  <c r="AI409" i="10"/>
  <c r="AI410" i="10"/>
  <c r="AI411" i="10"/>
  <c r="AI412" i="10"/>
  <c r="AI413" i="10"/>
  <c r="AI414" i="10"/>
  <c r="AI415" i="10"/>
  <c r="AI416" i="10"/>
  <c r="AI417" i="10"/>
  <c r="AI418" i="10"/>
  <c r="AI419" i="10"/>
  <c r="AI420" i="10"/>
  <c r="AI421" i="10"/>
  <c r="AI422" i="10"/>
  <c r="AI423" i="10"/>
  <c r="AI424" i="10"/>
  <c r="AI425" i="10"/>
  <c r="AI426" i="10"/>
  <c r="AI427" i="10"/>
  <c r="AI428" i="10"/>
  <c r="AI429" i="10"/>
  <c r="AI430" i="10"/>
  <c r="AI431" i="10"/>
  <c r="AI432" i="10"/>
  <c r="AI433" i="10"/>
  <c r="AI434" i="10"/>
  <c r="AI435" i="10"/>
  <c r="AI436" i="10"/>
  <c r="AI437" i="10"/>
  <c r="AI438" i="10"/>
  <c r="AI439" i="10"/>
  <c r="AI440" i="10"/>
  <c r="AI441" i="10"/>
  <c r="AI442" i="10"/>
  <c r="AI443" i="10"/>
  <c r="AI444" i="10"/>
  <c r="AI445" i="10"/>
  <c r="AI446" i="10"/>
  <c r="AI447" i="10"/>
  <c r="AI448" i="10"/>
  <c r="AI449" i="10"/>
  <c r="AI450" i="10"/>
  <c r="AI451" i="10"/>
  <c r="AI452" i="10"/>
  <c r="AI453" i="10"/>
  <c r="AI454" i="10"/>
  <c r="AI455" i="10"/>
  <c r="AI456" i="10"/>
  <c r="AI457" i="10"/>
  <c r="AI458" i="10"/>
  <c r="AI459" i="10"/>
  <c r="AI460" i="10"/>
  <c r="AI461" i="10"/>
  <c r="AI462" i="10"/>
  <c r="AI463" i="10"/>
  <c r="AI464" i="10"/>
  <c r="AI465" i="10"/>
  <c r="AI466" i="10"/>
  <c r="AI467" i="10"/>
  <c r="AI468" i="10"/>
  <c r="AI469" i="10"/>
  <c r="AI470" i="10"/>
  <c r="AI471" i="10"/>
  <c r="AI472" i="10"/>
  <c r="AI473" i="10"/>
  <c r="AI474" i="10"/>
  <c r="AI475" i="10"/>
  <c r="AI476" i="10"/>
  <c r="AI477" i="10"/>
  <c r="AI478" i="10"/>
  <c r="AI479" i="10"/>
  <c r="AI480" i="10"/>
  <c r="AI481" i="10"/>
  <c r="AI482" i="10"/>
  <c r="AI483" i="10"/>
  <c r="AI484" i="10"/>
  <c r="AI485" i="10"/>
  <c r="AI486" i="10"/>
  <c r="AI487" i="10"/>
  <c r="AI488" i="10"/>
  <c r="AI489" i="10"/>
  <c r="AI490" i="10"/>
  <c r="AI491" i="10"/>
  <c r="AI492" i="10"/>
  <c r="AI493" i="10"/>
  <c r="AI494" i="10"/>
  <c r="AI495" i="10"/>
  <c r="AI496" i="10"/>
  <c r="AI497" i="10"/>
  <c r="AI498" i="10"/>
  <c r="AI499" i="10"/>
  <c r="AI500" i="10"/>
  <c r="AI501" i="10"/>
  <c r="AI502" i="10"/>
  <c r="AI503" i="10"/>
  <c r="AI504" i="10"/>
  <c r="AI505" i="10"/>
  <c r="AI506" i="10"/>
  <c r="AI507" i="10"/>
  <c r="AI508" i="10"/>
  <c r="AI509" i="10"/>
  <c r="AI510" i="10"/>
  <c r="AI511" i="10"/>
  <c r="AI512" i="10"/>
  <c r="AI513" i="10"/>
  <c r="AI514" i="10"/>
  <c r="AI515" i="10"/>
  <c r="AI516" i="10"/>
  <c r="AI517" i="10"/>
  <c r="AI518" i="10"/>
  <c r="AI519" i="10"/>
  <c r="AI520" i="10"/>
  <c r="AI521" i="10"/>
  <c r="AI522" i="10"/>
  <c r="AI523" i="10"/>
  <c r="AI524" i="10"/>
  <c r="AI525" i="10"/>
  <c r="AI526" i="10"/>
  <c r="AI527" i="10"/>
  <c r="AI528" i="10"/>
  <c r="AI529" i="10"/>
  <c r="AI530" i="10"/>
  <c r="AI531" i="10"/>
  <c r="AI532" i="10"/>
  <c r="AI533" i="10"/>
  <c r="AI534" i="10"/>
  <c r="AI535" i="10"/>
  <c r="AI536" i="10"/>
  <c r="AI537" i="10"/>
  <c r="AI538" i="10"/>
  <c r="AI539" i="10"/>
  <c r="AI540" i="10"/>
  <c r="AI541" i="10"/>
  <c r="AI542" i="10"/>
  <c r="AI543" i="10"/>
  <c r="AI544" i="10"/>
  <c r="AI545" i="10"/>
  <c r="AI546" i="10"/>
  <c r="AI547" i="10"/>
  <c r="AI548" i="10"/>
  <c r="AI549" i="10"/>
  <c r="AI550" i="10"/>
  <c r="AI551" i="10"/>
  <c r="AI552" i="10"/>
  <c r="AI553" i="10"/>
  <c r="AI554" i="10"/>
  <c r="AI555" i="10"/>
  <c r="AI556" i="10"/>
  <c r="AI557" i="10"/>
  <c r="AI558" i="10"/>
  <c r="AI559" i="10"/>
  <c r="AI560" i="10"/>
  <c r="AI561" i="10"/>
  <c r="AI562" i="10"/>
  <c r="AI563" i="10"/>
  <c r="AI564" i="10"/>
  <c r="AI565" i="10"/>
  <c r="AI566" i="10"/>
  <c r="AI567" i="10"/>
  <c r="AI568" i="10"/>
  <c r="AI569" i="10"/>
  <c r="AI570" i="10"/>
  <c r="AI571" i="10"/>
  <c r="AI572" i="10"/>
  <c r="AI573" i="10"/>
  <c r="AI574" i="10"/>
  <c r="AI575" i="10"/>
  <c r="AI576" i="10"/>
  <c r="AI577" i="10"/>
  <c r="AI578" i="10"/>
  <c r="AI579" i="10"/>
  <c r="AI580" i="10"/>
  <c r="AI581" i="10"/>
  <c r="AI582" i="10"/>
  <c r="AI583" i="10"/>
  <c r="AI584" i="10"/>
  <c r="AI585" i="10"/>
  <c r="AI586" i="10"/>
  <c r="AI587" i="10"/>
  <c r="AI588" i="10"/>
  <c r="AI589" i="10"/>
  <c r="AI590" i="10"/>
  <c r="AI591" i="10"/>
  <c r="AI592" i="10"/>
  <c r="AI593" i="10"/>
  <c r="AI594" i="10"/>
  <c r="AI595" i="10"/>
  <c r="AI596" i="10"/>
  <c r="AI597" i="10"/>
  <c r="AI598" i="10"/>
  <c r="AI599" i="10"/>
  <c r="AI600" i="10"/>
  <c r="AI601" i="10"/>
  <c r="AI602" i="10"/>
  <c r="AI603" i="10"/>
  <c r="AI604" i="10"/>
  <c r="AI605" i="10"/>
  <c r="AI606" i="10"/>
  <c r="AI607" i="10"/>
  <c r="AI608" i="10"/>
  <c r="AI609" i="10"/>
  <c r="AI610" i="10"/>
  <c r="AI611" i="10"/>
  <c r="AI612" i="10"/>
  <c r="AI613" i="10"/>
  <c r="AI614" i="10"/>
  <c r="AI615" i="10"/>
  <c r="AI616" i="10"/>
  <c r="AI617" i="10"/>
  <c r="AI618" i="10"/>
  <c r="AI619" i="10"/>
  <c r="AI620" i="10"/>
  <c r="AI621" i="10"/>
  <c r="AI622" i="10"/>
  <c r="AI623" i="10"/>
  <c r="AI624" i="10"/>
  <c r="AI625" i="10"/>
  <c r="AI626" i="10"/>
  <c r="AI627" i="10"/>
  <c r="AI628" i="10"/>
  <c r="AI629" i="10"/>
  <c r="AI630" i="10"/>
  <c r="AI631" i="10"/>
  <c r="AI632" i="10"/>
  <c r="AI633" i="10"/>
  <c r="AI634" i="10"/>
  <c r="AI635" i="10"/>
  <c r="AI636" i="10"/>
  <c r="AI637" i="10"/>
  <c r="AI638" i="10"/>
  <c r="AI639" i="10"/>
  <c r="AI640" i="10"/>
  <c r="AI641" i="10"/>
  <c r="AI642" i="10"/>
  <c r="AI643" i="10"/>
  <c r="AI644" i="10"/>
  <c r="AI645" i="10"/>
  <c r="AI646" i="10"/>
  <c r="AI647" i="10"/>
  <c r="AI648" i="10"/>
  <c r="AI649" i="10"/>
  <c r="AI650" i="10"/>
  <c r="AI651" i="10"/>
  <c r="AI652" i="10"/>
  <c r="AI653" i="10"/>
  <c r="AI654" i="10"/>
  <c r="AI655" i="10"/>
  <c r="AI656" i="10"/>
  <c r="AI657" i="10"/>
  <c r="AI658" i="10"/>
  <c r="AI659" i="10"/>
  <c r="AI660" i="10"/>
  <c r="AI661" i="10"/>
  <c r="AI662" i="10"/>
  <c r="AI663" i="10"/>
  <c r="AI664" i="10"/>
  <c r="AI665" i="10"/>
  <c r="AI666" i="10"/>
  <c r="AI667" i="10"/>
  <c r="AI668" i="10"/>
  <c r="AI669" i="10"/>
  <c r="AI670" i="10"/>
  <c r="AI671" i="10"/>
  <c r="AI672" i="10"/>
  <c r="AI673" i="10"/>
  <c r="AI674" i="10"/>
  <c r="AI675" i="10"/>
  <c r="AI676" i="10"/>
  <c r="AI677" i="10"/>
  <c r="AI678" i="10"/>
  <c r="AI679" i="10"/>
  <c r="AI680" i="10"/>
  <c r="AI681" i="10"/>
  <c r="AI682" i="10"/>
  <c r="AI683" i="10"/>
  <c r="AI684" i="10"/>
  <c r="AI685" i="10"/>
  <c r="AI686" i="10"/>
  <c r="AI687" i="10"/>
  <c r="AI688" i="10"/>
  <c r="AI689" i="10"/>
  <c r="AI690" i="10"/>
  <c r="AI691" i="10"/>
  <c r="AI692" i="10"/>
  <c r="AI693" i="10"/>
  <c r="AI694" i="10"/>
  <c r="AI695" i="10"/>
  <c r="AI696" i="10"/>
  <c r="AI697" i="10"/>
  <c r="AI698" i="10"/>
  <c r="AI699" i="10"/>
  <c r="AI700" i="10"/>
  <c r="AI701" i="10"/>
  <c r="AI702" i="10"/>
  <c r="AI703" i="10"/>
  <c r="AI704" i="10"/>
  <c r="AI705" i="10"/>
  <c r="AI706" i="10"/>
  <c r="AI707" i="10"/>
  <c r="AI708" i="10"/>
  <c r="AI709" i="10"/>
  <c r="AI710" i="10"/>
  <c r="AI711" i="10"/>
  <c r="AI712" i="10"/>
  <c r="AI713" i="10"/>
  <c r="AI714" i="10"/>
  <c r="AI715" i="10"/>
  <c r="AI716" i="10"/>
  <c r="AI717" i="10"/>
  <c r="AI718" i="10"/>
  <c r="AI719" i="10"/>
  <c r="AI720" i="10"/>
  <c r="AI721" i="10"/>
  <c r="AI722" i="10"/>
  <c r="AI723" i="10"/>
  <c r="AI724" i="10"/>
  <c r="AI725" i="10"/>
  <c r="AI726" i="10"/>
  <c r="AI727" i="10"/>
  <c r="AI728" i="10"/>
  <c r="AI729" i="10"/>
  <c r="AI730" i="10"/>
  <c r="AI731" i="10"/>
  <c r="AI732" i="10"/>
  <c r="AI733" i="10"/>
  <c r="AI734" i="10"/>
  <c r="AI735" i="10"/>
  <c r="AI736" i="10"/>
  <c r="AI737" i="10"/>
  <c r="AI738" i="10"/>
  <c r="AI739" i="10"/>
  <c r="AI740" i="10"/>
  <c r="AI741" i="10"/>
  <c r="AI742" i="10"/>
  <c r="AI743" i="10"/>
  <c r="AI744" i="10"/>
  <c r="AI745" i="10"/>
  <c r="AI746" i="10"/>
  <c r="AI747" i="10"/>
  <c r="AI748" i="10"/>
  <c r="AI749" i="10"/>
  <c r="AI750" i="10"/>
  <c r="AI751" i="10"/>
  <c r="AI752" i="10"/>
  <c r="AI753" i="10"/>
  <c r="AI754" i="10"/>
  <c r="AI755" i="10"/>
  <c r="AI756" i="10"/>
  <c r="AI757" i="10"/>
  <c r="AI758" i="10"/>
  <c r="AI759" i="10"/>
  <c r="AI760" i="10"/>
  <c r="AI761" i="10"/>
  <c r="AI762" i="10"/>
  <c r="AI763" i="10"/>
  <c r="AI764" i="10"/>
  <c r="AI765" i="10"/>
  <c r="AI766" i="10"/>
  <c r="AI767" i="10"/>
  <c r="AI768" i="10"/>
  <c r="AI769" i="10"/>
  <c r="AI770" i="10"/>
  <c r="AI771" i="10"/>
  <c r="AI772" i="10"/>
  <c r="AI773" i="10"/>
  <c r="AI774" i="10"/>
  <c r="AI775" i="10"/>
  <c r="AI776" i="10"/>
  <c r="AI777" i="10"/>
  <c r="AI778" i="10"/>
  <c r="AI779" i="10"/>
  <c r="AI780" i="10"/>
  <c r="AI781" i="10"/>
  <c r="AI782" i="10"/>
  <c r="AI783" i="10"/>
  <c r="AI784" i="10"/>
  <c r="AI785" i="10"/>
  <c r="AI786" i="10"/>
  <c r="AI787" i="10"/>
  <c r="AI788" i="10"/>
  <c r="AI789" i="10"/>
  <c r="AI790" i="10"/>
  <c r="AI791" i="10"/>
  <c r="AI792" i="10"/>
  <c r="AI793" i="10"/>
  <c r="AI794" i="10"/>
  <c r="AI795" i="10"/>
  <c r="AI796" i="10"/>
  <c r="AI797" i="10"/>
  <c r="AI798" i="10"/>
  <c r="AI799" i="10"/>
  <c r="AI800" i="10"/>
  <c r="AI801" i="10"/>
  <c r="AI802" i="10"/>
  <c r="AI803" i="10"/>
  <c r="AI804" i="10"/>
  <c r="AI805" i="10"/>
  <c r="AI806" i="10"/>
  <c r="AI807" i="10"/>
  <c r="AI808" i="10"/>
  <c r="AI809" i="10"/>
  <c r="AI810" i="10"/>
  <c r="AI811" i="10"/>
  <c r="AI812" i="10"/>
  <c r="AI813" i="10"/>
  <c r="AI814" i="10"/>
  <c r="AI815" i="10"/>
  <c r="AI816" i="10"/>
  <c r="AI817" i="10"/>
  <c r="AI818" i="10"/>
  <c r="AI819" i="10"/>
  <c r="AI820" i="10"/>
  <c r="AI821" i="10"/>
  <c r="AI822" i="10"/>
  <c r="AI823" i="10"/>
  <c r="AI824" i="10"/>
  <c r="AI825" i="10"/>
  <c r="AI826" i="10"/>
  <c r="AI827" i="10"/>
  <c r="AI828" i="10"/>
  <c r="AI829" i="10"/>
  <c r="AI830" i="10"/>
  <c r="AI831" i="10"/>
  <c r="AI832" i="10"/>
  <c r="AI833" i="10"/>
  <c r="AI834" i="10"/>
  <c r="AI835" i="10"/>
  <c r="AI836" i="10"/>
  <c r="AI837" i="10"/>
  <c r="AI838" i="10"/>
  <c r="AI839" i="10"/>
  <c r="AI840" i="10"/>
  <c r="AI841" i="10"/>
  <c r="AI842" i="10"/>
  <c r="AI843" i="10"/>
  <c r="AI844" i="10"/>
  <c r="AI845" i="10"/>
  <c r="AI846" i="10"/>
  <c r="AI847" i="10"/>
  <c r="AI848" i="10"/>
  <c r="AI849" i="10"/>
  <c r="AI850" i="10"/>
  <c r="AI851" i="10"/>
  <c r="AI852" i="10"/>
  <c r="AI853" i="10"/>
  <c r="AI854" i="10"/>
  <c r="AI855" i="10"/>
  <c r="AI856" i="10"/>
  <c r="AI857" i="10"/>
  <c r="AI858" i="10"/>
  <c r="AI859" i="10"/>
  <c r="AI860" i="10"/>
  <c r="AI861" i="10"/>
  <c r="AI862" i="10"/>
  <c r="AI863" i="10"/>
  <c r="AI864" i="10"/>
  <c r="AI865" i="10"/>
  <c r="AI866" i="10"/>
  <c r="AI867" i="10"/>
  <c r="AI868" i="10"/>
  <c r="AI869" i="10"/>
  <c r="AI870" i="10"/>
  <c r="AI871" i="10"/>
  <c r="AI872" i="10"/>
  <c r="AI873" i="10"/>
  <c r="AI874" i="10"/>
  <c r="AI875" i="10"/>
  <c r="AI876" i="10"/>
  <c r="AI877" i="10"/>
  <c r="AI878" i="10"/>
  <c r="AI879" i="10"/>
  <c r="AI880" i="10"/>
  <c r="AI881" i="10"/>
  <c r="AI882" i="10"/>
  <c r="AI883" i="10"/>
  <c r="AI884" i="10"/>
  <c r="AI885" i="10"/>
  <c r="AI886" i="10"/>
  <c r="AI887" i="10"/>
  <c r="AI888" i="10"/>
  <c r="AI889" i="10"/>
  <c r="AI890" i="10"/>
  <c r="AI891" i="10"/>
  <c r="AI892" i="10"/>
  <c r="AI893" i="10"/>
  <c r="AI894" i="10"/>
  <c r="AI895" i="10"/>
  <c r="AI896" i="10"/>
  <c r="AI897" i="10"/>
  <c r="AI898" i="10"/>
  <c r="AI899" i="10"/>
  <c r="AI900" i="10"/>
  <c r="AI901" i="10"/>
  <c r="AI902" i="10"/>
  <c r="AI903" i="10"/>
  <c r="AI904" i="10"/>
  <c r="AI905" i="10"/>
  <c r="AI906" i="10"/>
  <c r="AI907" i="10"/>
  <c r="AI908" i="10"/>
  <c r="AI909" i="10"/>
  <c r="AI910" i="10"/>
  <c r="AI911" i="10"/>
  <c r="AI912" i="10"/>
  <c r="AI913" i="10"/>
  <c r="AI914" i="10"/>
  <c r="AI915" i="10"/>
  <c r="AI916" i="10"/>
  <c r="AI917" i="10"/>
  <c r="AI918" i="10"/>
  <c r="AI919" i="10"/>
  <c r="AI920" i="10"/>
  <c r="AI921" i="10"/>
  <c r="AI922" i="10"/>
  <c r="AI923" i="10"/>
  <c r="AI924" i="10"/>
  <c r="AI925" i="10"/>
  <c r="AI926" i="10"/>
  <c r="AI927" i="10"/>
  <c r="AI928" i="10"/>
  <c r="AI929" i="10"/>
  <c r="AI930" i="10"/>
  <c r="AI931" i="10"/>
  <c r="AI932" i="10"/>
  <c r="AI933" i="10"/>
  <c r="AI934" i="10"/>
  <c r="AI935" i="10"/>
  <c r="AI936" i="10"/>
  <c r="AI937" i="10"/>
  <c r="AI938" i="10"/>
  <c r="AI939" i="10"/>
  <c r="AI940" i="10"/>
  <c r="AI941" i="10"/>
  <c r="AI942" i="10"/>
  <c r="AI943" i="10"/>
  <c r="AI944" i="10"/>
  <c r="AI945" i="10"/>
  <c r="AI946" i="10"/>
  <c r="AI947" i="10"/>
  <c r="AI948" i="10"/>
  <c r="AI949" i="10"/>
  <c r="AI950" i="10"/>
  <c r="AI951" i="10"/>
  <c r="AI952" i="10"/>
  <c r="AI953" i="10"/>
  <c r="AI954" i="10"/>
  <c r="AI955" i="10"/>
  <c r="AI956" i="10"/>
  <c r="AI957" i="10"/>
  <c r="AI958" i="10"/>
  <c r="AI959" i="10"/>
  <c r="AI960" i="10"/>
  <c r="AI961" i="10"/>
  <c r="AI962" i="10"/>
  <c r="AI963" i="10"/>
  <c r="AI964" i="10"/>
  <c r="AI965" i="10"/>
  <c r="AI966" i="10"/>
  <c r="AI967" i="10"/>
  <c r="AI968" i="10"/>
  <c r="AI969" i="10"/>
  <c r="AI970" i="10"/>
  <c r="AI971" i="10"/>
  <c r="AI972" i="10"/>
  <c r="AI973" i="10"/>
  <c r="AI974" i="10"/>
  <c r="AI975" i="10"/>
  <c r="AI976" i="10"/>
  <c r="AI977" i="10"/>
  <c r="AI978" i="10"/>
  <c r="AI979" i="10"/>
  <c r="AI980" i="10"/>
  <c r="AI981" i="10"/>
  <c r="AI982" i="10"/>
  <c r="AI983" i="10"/>
  <c r="AI984" i="10"/>
  <c r="AI985" i="10"/>
  <c r="AI986" i="10"/>
  <c r="AI987" i="10"/>
  <c r="AI988" i="10"/>
  <c r="AI989" i="10"/>
  <c r="AI990" i="10"/>
  <c r="AI991" i="10"/>
  <c r="AI992" i="10"/>
  <c r="AI993" i="10"/>
  <c r="AI994" i="10"/>
  <c r="AI995" i="10"/>
  <c r="AI996" i="10"/>
  <c r="AI997" i="10"/>
  <c r="AI998" i="10"/>
  <c r="AI999" i="10"/>
  <c r="AI1000" i="10"/>
  <c r="AI1001" i="10"/>
  <c r="AI1002" i="10"/>
  <c r="AI1003" i="10"/>
  <c r="AI1004" i="10"/>
  <c r="AI1005" i="10"/>
  <c r="AI1006" i="10"/>
  <c r="AI1007" i="10"/>
  <c r="AI1008" i="10"/>
  <c r="AI1009" i="10"/>
  <c r="AI1010" i="10"/>
  <c r="AI1011" i="10"/>
  <c r="AI1012" i="10"/>
  <c r="AI1013" i="10"/>
  <c r="AI1014" i="10"/>
  <c r="AI1015" i="10"/>
  <c r="AI1016" i="10"/>
  <c r="AI1017" i="10"/>
  <c r="AI1018" i="10"/>
  <c r="AI1019" i="10"/>
  <c r="AI1020" i="10"/>
  <c r="AI1021" i="10"/>
  <c r="AI1022" i="10"/>
  <c r="AI1023" i="10"/>
  <c r="AI1024" i="10"/>
  <c r="AI1025" i="10"/>
  <c r="AI1026" i="10"/>
  <c r="AI1027" i="10"/>
  <c r="AI1028" i="10"/>
  <c r="AI1029" i="10"/>
  <c r="AI1030" i="10"/>
  <c r="AI1031" i="10"/>
  <c r="AI1032" i="10"/>
  <c r="AI1033" i="10"/>
  <c r="AI1034" i="10"/>
  <c r="AI1035" i="10"/>
  <c r="AI1036" i="10"/>
  <c r="AI1037" i="10"/>
  <c r="AI1038" i="10"/>
  <c r="AI1039" i="10"/>
  <c r="AI1040" i="10"/>
  <c r="AI1041" i="10"/>
  <c r="AI1042" i="10"/>
  <c r="AI1043" i="10"/>
  <c r="AI1044" i="10"/>
  <c r="AI1045" i="10"/>
  <c r="AI1046" i="10"/>
  <c r="AI1047" i="10"/>
  <c r="AI1048" i="10"/>
  <c r="AI1049" i="10"/>
  <c r="AI1050" i="10"/>
  <c r="AI1051" i="10"/>
  <c r="AI1052" i="10"/>
  <c r="AI1053" i="10"/>
  <c r="AI1054" i="10"/>
  <c r="AI1055" i="10"/>
  <c r="AI1056" i="10"/>
  <c r="AI1057" i="10"/>
  <c r="AI1058" i="10"/>
  <c r="AI1059" i="10"/>
  <c r="AI1060" i="10"/>
  <c r="AI1061" i="10"/>
  <c r="AI1062" i="10"/>
  <c r="AI1063" i="10"/>
  <c r="AI1064" i="10"/>
  <c r="AI1065" i="10"/>
  <c r="AI1066" i="10"/>
  <c r="AI1067" i="10"/>
  <c r="AI1068" i="10"/>
  <c r="AI1069" i="10"/>
  <c r="AI1070" i="10"/>
  <c r="AI1071" i="10"/>
  <c r="AI1072" i="10"/>
  <c r="AI1073" i="10"/>
  <c r="AI1074" i="10"/>
  <c r="AI1075" i="10"/>
  <c r="AI1076" i="10"/>
  <c r="AI1077" i="10"/>
  <c r="AI1078" i="10"/>
  <c r="AI1079" i="10"/>
  <c r="AI1080" i="10"/>
  <c r="AI1081" i="10"/>
  <c r="AI1082" i="10"/>
  <c r="AI1083" i="10"/>
  <c r="AI1084" i="10"/>
  <c r="AI1085" i="10"/>
  <c r="AI1086" i="10"/>
  <c r="AI1087" i="10"/>
  <c r="AI1088" i="10"/>
  <c r="AI1089" i="10"/>
  <c r="AI1090" i="10"/>
  <c r="AI1091" i="10"/>
  <c r="AI1092" i="10"/>
  <c r="AI1093" i="10"/>
  <c r="AI1094" i="10"/>
  <c r="AI1095" i="10"/>
  <c r="AI1096" i="10"/>
  <c r="AI1097" i="10"/>
  <c r="AI1098" i="10"/>
  <c r="AI1099" i="10"/>
  <c r="AI1100" i="10"/>
  <c r="AI1101" i="10"/>
  <c r="AI1102" i="10"/>
  <c r="AI1103" i="10"/>
  <c r="AI1104" i="10"/>
  <c r="AI1105" i="10"/>
  <c r="AI1106" i="10"/>
  <c r="AI1107" i="10"/>
  <c r="AI1108" i="10"/>
  <c r="AI1109" i="10"/>
  <c r="AI1110" i="10"/>
  <c r="AI1111" i="10"/>
  <c r="AI1112" i="10"/>
  <c r="AI1113" i="10"/>
  <c r="AI1114" i="10"/>
  <c r="AI1115" i="10"/>
  <c r="AI1116" i="10"/>
  <c r="AI1117" i="10"/>
  <c r="AI1118" i="10"/>
  <c r="AI1119" i="10"/>
  <c r="AI1120" i="10"/>
  <c r="AI1121" i="10"/>
  <c r="AI1122" i="10"/>
  <c r="AI1123" i="10"/>
  <c r="AI1124" i="10"/>
  <c r="AI1125" i="10"/>
  <c r="AI1126" i="10"/>
  <c r="AI1127" i="10"/>
  <c r="AI1128" i="10"/>
  <c r="AI1129" i="10"/>
  <c r="AI1130" i="10"/>
  <c r="AI1131" i="10"/>
  <c r="AI1132" i="10"/>
  <c r="AI1133" i="10"/>
  <c r="AI1134" i="10"/>
  <c r="AI1135" i="10"/>
  <c r="AI1136" i="10"/>
  <c r="AI1137" i="10"/>
  <c r="AI1138" i="10"/>
  <c r="AI1139" i="10"/>
  <c r="AI1140" i="10"/>
  <c r="AI1141" i="10"/>
  <c r="AI1142" i="10"/>
  <c r="AI1143" i="10"/>
  <c r="AI1144" i="10"/>
  <c r="AI1145" i="10"/>
  <c r="AI1146" i="10"/>
  <c r="AI1147" i="10"/>
  <c r="AI1148" i="10"/>
  <c r="AI1149" i="10"/>
  <c r="AI1150" i="10"/>
  <c r="AI1151" i="10"/>
  <c r="AI1152" i="10"/>
  <c r="AI1153" i="10"/>
  <c r="AI1154" i="10"/>
  <c r="AI1155" i="10"/>
  <c r="AI1156" i="10"/>
  <c r="AI1157" i="10"/>
  <c r="AI1158" i="10"/>
  <c r="AI1159" i="10"/>
  <c r="AI1160" i="10"/>
  <c r="AI1161" i="10"/>
  <c r="AI1162" i="10"/>
  <c r="AI1163" i="10"/>
  <c r="AI1164" i="10"/>
  <c r="AI1165" i="10"/>
  <c r="AI1166" i="10"/>
  <c r="AI1167" i="10"/>
  <c r="AI1168" i="10"/>
  <c r="AI1169" i="10"/>
  <c r="AI1170" i="10"/>
  <c r="AI1171" i="10"/>
  <c r="AI1172" i="10"/>
  <c r="AI1173" i="10"/>
  <c r="AI1174" i="10"/>
  <c r="AI1175" i="10"/>
  <c r="AI1176" i="10"/>
  <c r="AI1177" i="10"/>
  <c r="AI1178" i="10"/>
  <c r="AI1179" i="10"/>
  <c r="AI1180" i="10"/>
  <c r="AI1181" i="10"/>
  <c r="AI1182" i="10"/>
  <c r="AI1183" i="10"/>
  <c r="AI1184" i="10"/>
  <c r="AI1185" i="10"/>
  <c r="AI1186" i="10"/>
  <c r="AI1187" i="10"/>
  <c r="AI1188" i="10"/>
  <c r="AI1189" i="10"/>
  <c r="AI1190" i="10"/>
  <c r="AI1191" i="10"/>
  <c r="AI1192" i="10"/>
  <c r="AI1193" i="10"/>
  <c r="AI1194" i="10"/>
  <c r="AI1195" i="10"/>
  <c r="AI1196" i="10"/>
  <c r="AI1197" i="10"/>
  <c r="AI1198" i="10"/>
  <c r="AI1199" i="10"/>
  <c r="AI1200" i="10"/>
  <c r="AI1201" i="10"/>
  <c r="AI1202" i="10"/>
  <c r="AI1203" i="10"/>
  <c r="AI1204" i="10"/>
  <c r="AI1205" i="10"/>
  <c r="AI1206" i="10"/>
  <c r="AI1207" i="10"/>
  <c r="AI1208" i="10"/>
  <c r="AI6" i="10"/>
  <c r="AG7" i="10"/>
  <c r="AG8" i="10"/>
  <c r="AG9" i="10"/>
  <c r="AG10" i="10"/>
  <c r="AG11" i="10"/>
  <c r="AG12" i="10"/>
  <c r="AG13" i="10"/>
  <c r="AG14" i="10"/>
  <c r="AG15" i="10"/>
  <c r="AG16" i="10"/>
  <c r="AG17" i="10"/>
  <c r="AG18" i="10"/>
  <c r="AG19" i="10"/>
  <c r="AG20" i="10"/>
  <c r="AG21" i="10"/>
  <c r="AG22" i="10"/>
  <c r="AG23" i="10"/>
  <c r="AG24" i="10"/>
  <c r="AG25" i="10"/>
  <c r="AG26" i="10"/>
  <c r="AG27" i="10"/>
  <c r="AG28" i="10"/>
  <c r="AG29" i="10"/>
  <c r="AG30" i="10"/>
  <c r="AG31" i="10"/>
  <c r="AG32" i="10"/>
  <c r="AG33" i="10"/>
  <c r="AG34" i="10"/>
  <c r="AG35" i="10"/>
  <c r="AG36" i="10"/>
  <c r="AG37" i="10"/>
  <c r="AG38" i="10"/>
  <c r="AG39" i="10"/>
  <c r="AG40" i="10"/>
  <c r="AG41" i="10"/>
  <c r="AG42" i="10"/>
  <c r="AG43" i="10"/>
  <c r="AG44" i="10"/>
  <c r="AG45" i="10"/>
  <c r="AG46" i="10"/>
  <c r="AG47" i="10"/>
  <c r="AG48" i="10"/>
  <c r="AG49" i="10"/>
  <c r="AG50" i="10"/>
  <c r="AG51" i="10"/>
  <c r="AG52" i="10"/>
  <c r="AG53" i="10"/>
  <c r="AG54" i="10"/>
  <c r="AG55" i="10"/>
  <c r="AG56" i="10"/>
  <c r="AG57" i="10"/>
  <c r="AG58" i="10"/>
  <c r="AG59" i="10"/>
  <c r="AG60" i="10"/>
  <c r="AG61" i="10"/>
  <c r="AG62" i="10"/>
  <c r="AG63" i="10"/>
  <c r="AG64" i="10"/>
  <c r="AG65" i="10"/>
  <c r="AG66" i="10"/>
  <c r="AG67" i="10"/>
  <c r="AG68" i="10"/>
  <c r="AG69" i="10"/>
  <c r="AG70" i="10"/>
  <c r="AG71" i="10"/>
  <c r="AG72" i="10"/>
  <c r="AG73" i="10"/>
  <c r="AG74" i="10"/>
  <c r="AG75" i="10"/>
  <c r="AG76" i="10"/>
  <c r="AG77" i="10"/>
  <c r="AG78" i="10"/>
  <c r="AG79" i="10"/>
  <c r="AG80" i="10"/>
  <c r="AG81" i="10"/>
  <c r="AG82" i="10"/>
  <c r="AG83" i="10"/>
  <c r="AG84" i="10"/>
  <c r="AG85" i="10"/>
  <c r="AG86" i="10"/>
  <c r="AG87" i="10"/>
  <c r="AG88" i="10"/>
  <c r="AG89" i="10"/>
  <c r="AG90" i="10"/>
  <c r="AG91" i="10"/>
  <c r="AG92" i="10"/>
  <c r="AG93" i="10"/>
  <c r="AG94" i="10"/>
  <c r="AG95" i="10"/>
  <c r="AG96" i="10"/>
  <c r="AG97" i="10"/>
  <c r="AG98" i="10"/>
  <c r="AG99" i="10"/>
  <c r="AG100" i="10"/>
  <c r="AG101" i="10"/>
  <c r="AG102" i="10"/>
  <c r="AG103" i="10"/>
  <c r="AG104" i="10"/>
  <c r="AG105" i="10"/>
  <c r="AG106" i="10"/>
  <c r="AG107" i="10"/>
  <c r="AG108" i="10"/>
  <c r="AG109" i="10"/>
  <c r="AG110" i="10"/>
  <c r="AG111" i="10"/>
  <c r="AG112" i="10"/>
  <c r="AG113" i="10"/>
  <c r="AG114" i="10"/>
  <c r="AG115" i="10"/>
  <c r="AG116" i="10"/>
  <c r="AG117" i="10"/>
  <c r="AG118" i="10"/>
  <c r="AG119" i="10"/>
  <c r="AG120" i="10"/>
  <c r="AG121" i="10"/>
  <c r="AG122" i="10"/>
  <c r="AG123" i="10"/>
  <c r="AG124" i="10"/>
  <c r="AG125" i="10"/>
  <c r="AG126" i="10"/>
  <c r="AG127" i="10"/>
  <c r="AG128" i="10"/>
  <c r="AG129" i="10"/>
  <c r="AG130" i="10"/>
  <c r="AG131" i="10"/>
  <c r="AG132" i="10"/>
  <c r="AG133" i="10"/>
  <c r="AG134" i="10"/>
  <c r="AG135" i="10"/>
  <c r="AG136" i="10"/>
  <c r="AG137" i="10"/>
  <c r="AG138" i="10"/>
  <c r="AG139" i="10"/>
  <c r="AG140" i="10"/>
  <c r="AG141" i="10"/>
  <c r="AG142" i="10"/>
  <c r="AG143" i="10"/>
  <c r="AG144" i="10"/>
  <c r="AG145" i="10"/>
  <c r="AG146" i="10"/>
  <c r="AG147" i="10"/>
  <c r="AG148" i="10"/>
  <c r="AG149" i="10"/>
  <c r="AG150" i="10"/>
  <c r="AG151" i="10"/>
  <c r="AG152" i="10"/>
  <c r="AG153" i="10"/>
  <c r="AG154" i="10"/>
  <c r="AG155" i="10"/>
  <c r="AG156" i="10"/>
  <c r="AG157" i="10"/>
  <c r="AG158" i="10"/>
  <c r="AG159" i="10"/>
  <c r="AG160" i="10"/>
  <c r="AG161" i="10"/>
  <c r="AG162" i="10"/>
  <c r="AG163" i="10"/>
  <c r="AG164" i="10"/>
  <c r="AG165" i="10"/>
  <c r="AG166" i="10"/>
  <c r="AG167" i="10"/>
  <c r="AG168" i="10"/>
  <c r="AG169" i="10"/>
  <c r="AG170" i="10"/>
  <c r="AG171" i="10"/>
  <c r="AG172" i="10"/>
  <c r="AG173" i="10"/>
  <c r="AG174" i="10"/>
  <c r="AG175" i="10"/>
  <c r="AG176" i="10"/>
  <c r="AG177" i="10"/>
  <c r="AG178" i="10"/>
  <c r="AG179" i="10"/>
  <c r="AG180" i="10"/>
  <c r="AG181" i="10"/>
  <c r="AG182" i="10"/>
  <c r="AG183" i="10"/>
  <c r="AG184" i="10"/>
  <c r="AG185" i="10"/>
  <c r="AG186" i="10"/>
  <c r="AG187" i="10"/>
  <c r="AG188" i="10"/>
  <c r="AG189" i="10"/>
  <c r="AG190" i="10"/>
  <c r="AG191" i="10"/>
  <c r="AG192" i="10"/>
  <c r="AG193" i="10"/>
  <c r="AG194" i="10"/>
  <c r="AG195" i="10"/>
  <c r="AG196" i="10"/>
  <c r="AG197" i="10"/>
  <c r="AG198" i="10"/>
  <c r="AG199" i="10"/>
  <c r="AG200" i="10"/>
  <c r="AG201" i="10"/>
  <c r="AG202" i="10"/>
  <c r="AG203" i="10"/>
  <c r="AG204" i="10"/>
  <c r="AG205" i="10"/>
  <c r="AG206" i="10"/>
  <c r="AG207" i="10"/>
  <c r="AG208" i="10"/>
  <c r="AG209" i="10"/>
  <c r="AG210" i="10"/>
  <c r="AG211" i="10"/>
  <c r="AG212" i="10"/>
  <c r="AG213" i="10"/>
  <c r="AG214" i="10"/>
  <c r="AG215" i="10"/>
  <c r="AG216" i="10"/>
  <c r="AG217" i="10"/>
  <c r="AG218" i="10"/>
  <c r="AG219" i="10"/>
  <c r="AG220" i="10"/>
  <c r="AG221" i="10"/>
  <c r="AG222" i="10"/>
  <c r="AG223" i="10"/>
  <c r="AG224" i="10"/>
  <c r="AG225" i="10"/>
  <c r="AG226" i="10"/>
  <c r="AG227" i="10"/>
  <c r="AG228" i="10"/>
  <c r="AG229" i="10"/>
  <c r="AG230" i="10"/>
  <c r="AG231" i="10"/>
  <c r="AG232" i="10"/>
  <c r="AG233" i="10"/>
  <c r="AG234" i="10"/>
  <c r="AG235" i="10"/>
  <c r="AG236" i="10"/>
  <c r="AG237" i="10"/>
  <c r="AG238" i="10"/>
  <c r="AG239" i="10"/>
  <c r="AG240" i="10"/>
  <c r="AG241" i="10"/>
  <c r="AG242" i="10"/>
  <c r="AG243" i="10"/>
  <c r="AG244" i="10"/>
  <c r="AG245" i="10"/>
  <c r="AG246" i="10"/>
  <c r="AG247" i="10"/>
  <c r="AG248" i="10"/>
  <c r="AG249" i="10"/>
  <c r="AG250" i="10"/>
  <c r="AG251" i="10"/>
  <c r="AG252" i="10"/>
  <c r="AG253" i="10"/>
  <c r="AG254" i="10"/>
  <c r="AG255" i="10"/>
  <c r="AG256" i="10"/>
  <c r="AG257" i="10"/>
  <c r="AG258" i="10"/>
  <c r="AG259" i="10"/>
  <c r="AG260" i="10"/>
  <c r="AG261" i="10"/>
  <c r="AG262" i="10"/>
  <c r="AG263" i="10"/>
  <c r="AG264" i="10"/>
  <c r="AG265" i="10"/>
  <c r="AG266" i="10"/>
  <c r="AG267" i="10"/>
  <c r="AG268" i="10"/>
  <c r="AG269" i="10"/>
  <c r="AG270" i="10"/>
  <c r="AG271" i="10"/>
  <c r="AG272" i="10"/>
  <c r="AG273" i="10"/>
  <c r="AG274" i="10"/>
  <c r="AG275" i="10"/>
  <c r="AG276" i="10"/>
  <c r="AG277" i="10"/>
  <c r="AG278" i="10"/>
  <c r="AG279" i="10"/>
  <c r="AG280" i="10"/>
  <c r="AG281" i="10"/>
  <c r="AG282" i="10"/>
  <c r="AG283" i="10"/>
  <c r="AG284" i="10"/>
  <c r="AG285" i="10"/>
  <c r="AG286" i="10"/>
  <c r="AG287" i="10"/>
  <c r="AG288" i="10"/>
  <c r="AG289" i="10"/>
  <c r="AG290" i="10"/>
  <c r="AG291" i="10"/>
  <c r="AG292" i="10"/>
  <c r="AG293" i="10"/>
  <c r="AG294" i="10"/>
  <c r="AG295" i="10"/>
  <c r="AG296" i="10"/>
  <c r="AG297" i="10"/>
  <c r="AG298" i="10"/>
  <c r="AG299" i="10"/>
  <c r="AG300" i="10"/>
  <c r="AG301" i="10"/>
  <c r="AG302" i="10"/>
  <c r="AG303" i="10"/>
  <c r="AG304" i="10"/>
  <c r="AG305" i="10"/>
  <c r="AG306" i="10"/>
  <c r="AG307" i="10"/>
  <c r="AG308" i="10"/>
  <c r="AG309" i="10"/>
  <c r="AG310" i="10"/>
  <c r="AG311" i="10"/>
  <c r="AG312" i="10"/>
  <c r="AG313" i="10"/>
  <c r="AG314" i="10"/>
  <c r="AG315" i="10"/>
  <c r="AG316" i="10"/>
  <c r="AG317" i="10"/>
  <c r="AG318" i="10"/>
  <c r="AG319" i="10"/>
  <c r="AG320" i="10"/>
  <c r="AG321" i="10"/>
  <c r="AG322" i="10"/>
  <c r="AG323" i="10"/>
  <c r="AG324" i="10"/>
  <c r="AG325" i="10"/>
  <c r="AG326" i="10"/>
  <c r="AG327" i="10"/>
  <c r="AG328" i="10"/>
  <c r="AG329" i="10"/>
  <c r="AG330" i="10"/>
  <c r="AG331" i="10"/>
  <c r="AG332" i="10"/>
  <c r="AG333" i="10"/>
  <c r="AG334" i="10"/>
  <c r="AG335" i="10"/>
  <c r="AG336" i="10"/>
  <c r="AG337" i="10"/>
  <c r="AG338" i="10"/>
  <c r="AG339" i="10"/>
  <c r="AG340" i="10"/>
  <c r="AG341" i="10"/>
  <c r="AG342" i="10"/>
  <c r="AG343" i="10"/>
  <c r="AG344" i="10"/>
  <c r="AG345" i="10"/>
  <c r="AG346" i="10"/>
  <c r="AG347" i="10"/>
  <c r="AG348" i="10"/>
  <c r="AG349" i="10"/>
  <c r="AG350" i="10"/>
  <c r="AG351" i="10"/>
  <c r="AG352" i="10"/>
  <c r="AG353" i="10"/>
  <c r="AG354" i="10"/>
  <c r="AG355" i="10"/>
  <c r="AG356" i="10"/>
  <c r="AG357" i="10"/>
  <c r="AG358" i="10"/>
  <c r="AG359" i="10"/>
  <c r="AG360" i="10"/>
  <c r="AG361" i="10"/>
  <c r="AG362" i="10"/>
  <c r="AG363" i="10"/>
  <c r="AG364" i="10"/>
  <c r="AG365" i="10"/>
  <c r="AG366" i="10"/>
  <c r="AG367" i="10"/>
  <c r="AG368" i="10"/>
  <c r="AG369" i="10"/>
  <c r="AG370" i="10"/>
  <c r="AG371" i="10"/>
  <c r="AG372" i="10"/>
  <c r="AG373" i="10"/>
  <c r="AG374" i="10"/>
  <c r="AG375" i="10"/>
  <c r="AG376" i="10"/>
  <c r="AG377" i="10"/>
  <c r="AG378" i="10"/>
  <c r="AG379" i="10"/>
  <c r="AG380" i="10"/>
  <c r="AG381" i="10"/>
  <c r="AG382" i="10"/>
  <c r="AG383" i="10"/>
  <c r="AG384" i="10"/>
  <c r="AG385" i="10"/>
  <c r="AG386" i="10"/>
  <c r="AG387" i="10"/>
  <c r="AG388" i="10"/>
  <c r="AG389" i="10"/>
  <c r="AG390" i="10"/>
  <c r="AG391" i="10"/>
  <c r="AG392" i="10"/>
  <c r="AG393" i="10"/>
  <c r="AG394" i="10"/>
  <c r="AG395" i="10"/>
  <c r="AG396" i="10"/>
  <c r="AG397" i="10"/>
  <c r="AG398" i="10"/>
  <c r="AG399" i="10"/>
  <c r="AG400" i="10"/>
  <c r="AG401" i="10"/>
  <c r="AG402" i="10"/>
  <c r="AG403" i="10"/>
  <c r="AG404" i="10"/>
  <c r="AG405" i="10"/>
  <c r="AG406" i="10"/>
  <c r="AG407" i="10"/>
  <c r="AG408" i="10"/>
  <c r="AG409" i="10"/>
  <c r="AG410" i="10"/>
  <c r="AG411" i="10"/>
  <c r="AG412" i="10"/>
  <c r="AG413" i="10"/>
  <c r="AG414" i="10"/>
  <c r="AG415" i="10"/>
  <c r="AG416" i="10"/>
  <c r="AG417" i="10"/>
  <c r="AG418" i="10"/>
  <c r="AG419" i="10"/>
  <c r="AG420" i="10"/>
  <c r="AG421" i="10"/>
  <c r="AG422" i="10"/>
  <c r="AG423" i="10"/>
  <c r="AG424" i="10"/>
  <c r="AG425" i="10"/>
  <c r="AG426" i="10"/>
  <c r="AG427" i="10"/>
  <c r="AG428" i="10"/>
  <c r="AG429" i="10"/>
  <c r="AG430" i="10"/>
  <c r="AG431" i="10"/>
  <c r="AG432" i="10"/>
  <c r="AG433" i="10"/>
  <c r="AG434" i="10"/>
  <c r="AG435" i="10"/>
  <c r="AG436" i="10"/>
  <c r="AG437" i="10"/>
  <c r="AG438" i="10"/>
  <c r="AG439" i="10"/>
  <c r="AG440" i="10"/>
  <c r="AG441" i="10"/>
  <c r="AG442" i="10"/>
  <c r="AG443" i="10"/>
  <c r="AG444" i="10"/>
  <c r="AG445" i="10"/>
  <c r="AG446" i="10"/>
  <c r="AG447" i="10"/>
  <c r="AG448" i="10"/>
  <c r="AG449" i="10"/>
  <c r="AG450" i="10"/>
  <c r="AG451" i="10"/>
  <c r="AG452" i="10"/>
  <c r="AG453" i="10"/>
  <c r="AG454" i="10"/>
  <c r="AG455" i="10"/>
  <c r="AG456" i="10"/>
  <c r="AG457" i="10"/>
  <c r="AG458" i="10"/>
  <c r="AG459" i="10"/>
  <c r="AG460" i="10"/>
  <c r="AG461" i="10"/>
  <c r="AG462" i="10"/>
  <c r="AG463" i="10"/>
  <c r="AG464" i="10"/>
  <c r="AG465" i="10"/>
  <c r="AG466" i="10"/>
  <c r="AG467" i="10"/>
  <c r="AG468" i="10"/>
  <c r="AG469" i="10"/>
  <c r="AG470" i="10"/>
  <c r="AG471" i="10"/>
  <c r="AG472" i="10"/>
  <c r="AG473" i="10"/>
  <c r="AG474" i="10"/>
  <c r="AG475" i="10"/>
  <c r="AG476" i="10"/>
  <c r="AG477" i="10"/>
  <c r="AG478" i="10"/>
  <c r="AG479" i="10"/>
  <c r="AG480" i="10"/>
  <c r="AG481" i="10"/>
  <c r="AG482" i="10"/>
  <c r="AG483" i="10"/>
  <c r="AG484" i="10"/>
  <c r="AG485" i="10"/>
  <c r="AG486" i="10"/>
  <c r="AG487" i="10"/>
  <c r="AG488" i="10"/>
  <c r="AG489" i="10"/>
  <c r="AG490" i="10"/>
  <c r="AG491" i="10"/>
  <c r="AG492" i="10"/>
  <c r="AG493" i="10"/>
  <c r="AG494" i="10"/>
  <c r="AG495" i="10"/>
  <c r="AG496" i="10"/>
  <c r="AG497" i="10"/>
  <c r="AG498" i="10"/>
  <c r="AG499" i="10"/>
  <c r="AG500" i="10"/>
  <c r="AG501" i="10"/>
  <c r="AG502" i="10"/>
  <c r="AG503" i="10"/>
  <c r="AG504" i="10"/>
  <c r="AG505" i="10"/>
  <c r="AG506" i="10"/>
  <c r="AG507" i="10"/>
  <c r="AG508" i="10"/>
  <c r="AG509" i="10"/>
  <c r="AG510" i="10"/>
  <c r="AG511" i="10"/>
  <c r="AG512" i="10"/>
  <c r="AG513" i="10"/>
  <c r="AG514" i="10"/>
  <c r="AG515" i="10"/>
  <c r="AG516" i="10"/>
  <c r="AG517" i="10"/>
  <c r="AG518" i="10"/>
  <c r="AG519" i="10"/>
  <c r="AG520" i="10"/>
  <c r="AG521" i="10"/>
  <c r="AG522" i="10"/>
  <c r="AG523" i="10"/>
  <c r="AG524" i="10"/>
  <c r="AG525" i="10"/>
  <c r="AG526" i="10"/>
  <c r="AG527" i="10"/>
  <c r="AG528" i="10"/>
  <c r="AG529" i="10"/>
  <c r="AG530" i="10"/>
  <c r="AG531" i="10"/>
  <c r="AG532" i="10"/>
  <c r="AG533" i="10"/>
  <c r="AG534" i="10"/>
  <c r="AG535" i="10"/>
  <c r="AG536" i="10"/>
  <c r="AG537" i="10"/>
  <c r="AG538" i="10"/>
  <c r="AG539" i="10"/>
  <c r="AG540" i="10"/>
  <c r="AG541" i="10"/>
  <c r="AG542" i="10"/>
  <c r="AG543" i="10"/>
  <c r="AG544" i="10"/>
  <c r="AG545" i="10"/>
  <c r="AG546" i="10"/>
  <c r="AG547" i="10"/>
  <c r="AG548" i="10"/>
  <c r="AG549" i="10"/>
  <c r="AG550" i="10"/>
  <c r="AG551" i="10"/>
  <c r="AG552" i="10"/>
  <c r="AG553" i="10"/>
  <c r="AG554" i="10"/>
  <c r="AG555" i="10"/>
  <c r="AG556" i="10"/>
  <c r="AG557" i="10"/>
  <c r="AG558" i="10"/>
  <c r="AG559" i="10"/>
  <c r="AG560" i="10"/>
  <c r="AG561" i="10"/>
  <c r="AG562" i="10"/>
  <c r="AG563" i="10"/>
  <c r="AG564" i="10"/>
  <c r="AG565" i="10"/>
  <c r="AG566" i="10"/>
  <c r="AG567" i="10"/>
  <c r="AG568" i="10"/>
  <c r="AG569" i="10"/>
  <c r="AG570" i="10"/>
  <c r="AG571" i="10"/>
  <c r="AG572" i="10"/>
  <c r="AG573" i="10"/>
  <c r="AG574" i="10"/>
  <c r="AG575" i="10"/>
  <c r="AG576" i="10"/>
  <c r="AG577" i="10"/>
  <c r="AG578" i="10"/>
  <c r="AG579" i="10"/>
  <c r="AG580" i="10"/>
  <c r="AG581" i="10"/>
  <c r="AG582" i="10"/>
  <c r="AG583" i="10"/>
  <c r="AG584" i="10"/>
  <c r="AG585" i="10"/>
  <c r="AG586" i="10"/>
  <c r="AG587" i="10"/>
  <c r="AG588" i="10"/>
  <c r="AG589" i="10"/>
  <c r="AG590" i="10"/>
  <c r="AG591" i="10"/>
  <c r="AG592" i="10"/>
  <c r="AG593" i="10"/>
  <c r="AG594" i="10"/>
  <c r="AG595" i="10"/>
  <c r="AG596" i="10"/>
  <c r="AG597" i="10"/>
  <c r="AG598" i="10"/>
  <c r="AG599" i="10"/>
  <c r="AG600" i="10"/>
  <c r="AG601" i="10"/>
  <c r="AG602" i="10"/>
  <c r="AG603" i="10"/>
  <c r="AG604" i="10"/>
  <c r="AG605" i="10"/>
  <c r="AG606" i="10"/>
  <c r="AG607" i="10"/>
  <c r="AG608" i="10"/>
  <c r="AG609" i="10"/>
  <c r="AG610" i="10"/>
  <c r="AG611" i="10"/>
  <c r="AG612" i="10"/>
  <c r="AG613" i="10"/>
  <c r="AG614" i="10"/>
  <c r="AG615" i="10"/>
  <c r="AG616" i="10"/>
  <c r="AG617" i="10"/>
  <c r="AG618" i="10"/>
  <c r="AG619" i="10"/>
  <c r="AG620" i="10"/>
  <c r="AG621" i="10"/>
  <c r="AG622" i="10"/>
  <c r="AG623" i="10"/>
  <c r="AG624" i="10"/>
  <c r="AG625" i="10"/>
  <c r="AG626" i="10"/>
  <c r="AG627" i="10"/>
  <c r="AG628" i="10"/>
  <c r="AG629" i="10"/>
  <c r="AG630" i="10"/>
  <c r="AG631" i="10"/>
  <c r="AG632" i="10"/>
  <c r="AG633" i="10"/>
  <c r="AG634" i="10"/>
  <c r="AG635" i="10"/>
  <c r="AG636" i="10"/>
  <c r="AG637" i="10"/>
  <c r="AG638" i="10"/>
  <c r="AG639" i="10"/>
  <c r="AG640" i="10"/>
  <c r="AG641" i="10"/>
  <c r="AG642" i="10"/>
  <c r="AG643" i="10"/>
  <c r="AG644" i="10"/>
  <c r="AG645" i="10"/>
  <c r="AG646" i="10"/>
  <c r="AG647" i="10"/>
  <c r="AG648" i="10"/>
  <c r="AG649" i="10"/>
  <c r="AG650" i="10"/>
  <c r="AG651" i="10"/>
  <c r="AG652" i="10"/>
  <c r="AG653" i="10"/>
  <c r="AG654" i="10"/>
  <c r="AG655" i="10"/>
  <c r="AG656" i="10"/>
  <c r="AG657" i="10"/>
  <c r="AG658" i="10"/>
  <c r="AG659" i="10"/>
  <c r="AG660" i="10"/>
  <c r="AG661" i="10"/>
  <c r="AG662" i="10"/>
  <c r="AG663" i="10"/>
  <c r="AG664" i="10"/>
  <c r="AG665" i="10"/>
  <c r="AG666" i="10"/>
  <c r="AG667" i="10"/>
  <c r="AG668" i="10"/>
  <c r="AG669" i="10"/>
  <c r="AG670" i="10"/>
  <c r="AG671" i="10"/>
  <c r="AG672" i="10"/>
  <c r="AG673" i="10"/>
  <c r="AG674" i="10"/>
  <c r="AG675" i="10"/>
  <c r="AG676" i="10"/>
  <c r="AG677" i="10"/>
  <c r="AG678" i="10"/>
  <c r="AG679" i="10"/>
  <c r="AG680" i="10"/>
  <c r="AG681" i="10"/>
  <c r="AG682" i="10"/>
  <c r="AG683" i="10"/>
  <c r="AG684" i="10"/>
  <c r="AG685" i="10"/>
  <c r="AG686" i="10"/>
  <c r="AG687" i="10"/>
  <c r="AG688" i="10"/>
  <c r="AG689" i="10"/>
  <c r="AG690" i="10"/>
  <c r="AG691" i="10"/>
  <c r="AG692" i="10"/>
  <c r="AG693" i="10"/>
  <c r="AG694" i="10"/>
  <c r="AG695" i="10"/>
  <c r="AG696" i="10"/>
  <c r="AG697" i="10"/>
  <c r="AG698" i="10"/>
  <c r="AG699" i="10"/>
  <c r="AG700" i="10"/>
  <c r="AG701" i="10"/>
  <c r="AG702" i="10"/>
  <c r="AG703" i="10"/>
  <c r="AG704" i="10"/>
  <c r="AG705" i="10"/>
  <c r="AG706" i="10"/>
  <c r="AG707" i="10"/>
  <c r="AG708" i="10"/>
  <c r="AG709" i="10"/>
  <c r="AG710" i="10"/>
  <c r="AG711" i="10"/>
  <c r="AG712" i="10"/>
  <c r="AG713" i="10"/>
  <c r="AG714" i="10"/>
  <c r="AG715" i="10"/>
  <c r="AG716" i="10"/>
  <c r="AG717" i="10"/>
  <c r="AG718" i="10"/>
  <c r="AG719" i="10"/>
  <c r="AG720" i="10"/>
  <c r="AG721" i="10"/>
  <c r="AG722" i="10"/>
  <c r="AG723" i="10"/>
  <c r="AG724" i="10"/>
  <c r="AG725" i="10"/>
  <c r="AG726" i="10"/>
  <c r="AG727" i="10"/>
  <c r="AG728" i="10"/>
  <c r="AG729" i="10"/>
  <c r="AG730" i="10"/>
  <c r="AG731" i="10"/>
  <c r="AG732" i="10"/>
  <c r="AG733" i="10"/>
  <c r="AG734" i="10"/>
  <c r="AG735" i="10"/>
  <c r="AG736" i="10"/>
  <c r="AG737" i="10"/>
  <c r="AG738" i="10"/>
  <c r="AG739" i="10"/>
  <c r="AG740" i="10"/>
  <c r="AG741" i="10"/>
  <c r="AG742" i="10"/>
  <c r="AG743" i="10"/>
  <c r="AG744" i="10"/>
  <c r="AG745" i="10"/>
  <c r="AG746" i="10"/>
  <c r="AG747" i="10"/>
  <c r="AG748" i="10"/>
  <c r="AG749" i="10"/>
  <c r="AG750" i="10"/>
  <c r="AG751" i="10"/>
  <c r="AG752" i="10"/>
  <c r="AG753" i="10"/>
  <c r="AG754" i="10"/>
  <c r="AG755" i="10"/>
  <c r="AG756" i="10"/>
  <c r="AG757" i="10"/>
  <c r="AG758" i="10"/>
  <c r="AG759" i="10"/>
  <c r="AG760" i="10"/>
  <c r="AG761" i="10"/>
  <c r="AG762" i="10"/>
  <c r="AG763" i="10"/>
  <c r="AG764" i="10"/>
  <c r="AG765" i="10"/>
  <c r="AG766" i="10"/>
  <c r="AG767" i="10"/>
  <c r="AG768" i="10"/>
  <c r="AG769" i="10"/>
  <c r="AG770" i="10"/>
  <c r="AG771" i="10"/>
  <c r="AG772" i="10"/>
  <c r="AG773" i="10"/>
  <c r="AG774" i="10"/>
  <c r="AG775" i="10"/>
  <c r="AG776" i="10"/>
  <c r="AG777" i="10"/>
  <c r="AG778" i="10"/>
  <c r="AG779" i="10"/>
  <c r="AG780" i="10"/>
  <c r="AG781" i="10"/>
  <c r="AG782" i="10"/>
  <c r="AG783" i="10"/>
  <c r="AG784" i="10"/>
  <c r="AG785" i="10"/>
  <c r="AG786" i="10"/>
  <c r="AG787" i="10"/>
  <c r="AG788" i="10"/>
  <c r="AG789" i="10"/>
  <c r="AG790" i="10"/>
  <c r="AG791" i="10"/>
  <c r="AG792" i="10"/>
  <c r="AG793" i="10"/>
  <c r="AG794" i="10"/>
  <c r="AG795" i="10"/>
  <c r="AG796" i="10"/>
  <c r="AG797" i="10"/>
  <c r="AG798" i="10"/>
  <c r="AG799" i="10"/>
  <c r="AG800" i="10"/>
  <c r="AG801" i="10"/>
  <c r="AG802" i="10"/>
  <c r="AG803" i="10"/>
  <c r="AG804" i="10"/>
  <c r="AG805" i="10"/>
  <c r="AG806" i="10"/>
  <c r="AG807" i="10"/>
  <c r="AG808" i="10"/>
  <c r="AG809" i="10"/>
  <c r="AG810" i="10"/>
  <c r="AG811" i="10"/>
  <c r="AG812" i="10"/>
  <c r="AG813" i="10"/>
  <c r="AG814" i="10"/>
  <c r="AG815" i="10"/>
  <c r="AG816" i="10"/>
  <c r="AG817" i="10"/>
  <c r="AG818" i="10"/>
  <c r="AG819" i="10"/>
  <c r="AG820" i="10"/>
  <c r="AG821" i="10"/>
  <c r="AG822" i="10"/>
  <c r="AG823" i="10"/>
  <c r="AG824" i="10"/>
  <c r="AG825" i="10"/>
  <c r="AG826" i="10"/>
  <c r="AG827" i="10"/>
  <c r="AG828" i="10"/>
  <c r="AG829" i="10"/>
  <c r="AG830" i="10"/>
  <c r="AG831" i="10"/>
  <c r="AG832" i="10"/>
  <c r="AG833" i="10"/>
  <c r="AG834" i="10"/>
  <c r="AG835" i="10"/>
  <c r="AG836" i="10"/>
  <c r="AG837" i="10"/>
  <c r="AG838" i="10"/>
  <c r="AG839" i="10"/>
  <c r="AG840" i="10"/>
  <c r="AG841" i="10"/>
  <c r="AG842" i="10"/>
  <c r="AG843" i="10"/>
  <c r="AG844" i="10"/>
  <c r="AG845" i="10"/>
  <c r="AG846" i="10"/>
  <c r="AG847" i="10"/>
  <c r="AG848" i="10"/>
  <c r="AG849" i="10"/>
  <c r="AG850" i="10"/>
  <c r="AG851" i="10"/>
  <c r="AG852" i="10"/>
  <c r="AG853" i="10"/>
  <c r="AG854" i="10"/>
  <c r="AG855" i="10"/>
  <c r="AG856" i="10"/>
  <c r="AG857" i="10"/>
  <c r="AG858" i="10"/>
  <c r="AG859" i="10"/>
  <c r="AG860" i="10"/>
  <c r="AG861" i="10"/>
  <c r="AG862" i="10"/>
  <c r="AG863" i="10"/>
  <c r="AG864" i="10"/>
  <c r="AG865" i="10"/>
  <c r="AG866" i="10"/>
  <c r="AG867" i="10"/>
  <c r="AG868" i="10"/>
  <c r="AG869" i="10"/>
  <c r="AG870" i="10"/>
  <c r="AG871" i="10"/>
  <c r="AG872" i="10"/>
  <c r="AG873" i="10"/>
  <c r="AG874" i="10"/>
  <c r="AG875" i="10"/>
  <c r="AG876" i="10"/>
  <c r="AG877" i="10"/>
  <c r="AG878" i="10"/>
  <c r="AG879" i="10"/>
  <c r="AG880" i="10"/>
  <c r="AG881" i="10"/>
  <c r="AG882" i="10"/>
  <c r="AG883" i="10"/>
  <c r="AG884" i="10"/>
  <c r="AG885" i="10"/>
  <c r="AG886" i="10"/>
  <c r="AG887" i="10"/>
  <c r="AG888" i="10"/>
  <c r="AG889" i="10"/>
  <c r="AG890" i="10"/>
  <c r="AG891" i="10"/>
  <c r="AG892" i="10"/>
  <c r="AG893" i="10"/>
  <c r="AG894" i="10"/>
  <c r="AG895" i="10"/>
  <c r="AG896" i="10"/>
  <c r="AG897" i="10"/>
  <c r="AG898" i="10"/>
  <c r="AG899" i="10"/>
  <c r="AG900" i="10"/>
  <c r="AG901" i="10"/>
  <c r="AG902" i="10"/>
  <c r="AG903" i="10"/>
  <c r="AG904" i="10"/>
  <c r="AG905" i="10"/>
  <c r="AG906" i="10"/>
  <c r="AG907" i="10"/>
  <c r="AG908" i="10"/>
  <c r="AG909" i="10"/>
  <c r="AG910" i="10"/>
  <c r="AG911" i="10"/>
  <c r="AG912" i="10"/>
  <c r="AG913" i="10"/>
  <c r="AG914" i="10"/>
  <c r="AG915" i="10"/>
  <c r="AG916" i="10"/>
  <c r="AG917" i="10"/>
  <c r="AG918" i="10"/>
  <c r="AG919" i="10"/>
  <c r="AG920" i="10"/>
  <c r="AG921" i="10"/>
  <c r="AG922" i="10"/>
  <c r="AG923" i="10"/>
  <c r="AG924" i="10"/>
  <c r="AG925" i="10"/>
  <c r="AG926" i="10"/>
  <c r="AG927" i="10"/>
  <c r="AG928" i="10"/>
  <c r="AG929" i="10"/>
  <c r="AG930" i="10"/>
  <c r="AG931" i="10"/>
  <c r="AG932" i="10"/>
  <c r="AG933" i="10"/>
  <c r="AG934" i="10"/>
  <c r="AG935" i="10"/>
  <c r="AG936" i="10"/>
  <c r="AG937" i="10"/>
  <c r="AG938" i="10"/>
  <c r="AG939" i="10"/>
  <c r="AG940" i="10"/>
  <c r="AG941" i="10"/>
  <c r="AG942" i="10"/>
  <c r="AG943" i="10"/>
  <c r="AG944" i="10"/>
  <c r="AG945" i="10"/>
  <c r="AG946" i="10"/>
  <c r="AG947" i="10"/>
  <c r="AG948" i="10"/>
  <c r="AG949" i="10"/>
  <c r="AG950" i="10"/>
  <c r="AG951" i="10"/>
  <c r="AG952" i="10"/>
  <c r="AG953" i="10"/>
  <c r="AG954" i="10"/>
  <c r="AG955" i="10"/>
  <c r="AG956" i="10"/>
  <c r="AG957" i="10"/>
  <c r="AG958" i="10"/>
  <c r="AG959" i="10"/>
  <c r="AG960" i="10"/>
  <c r="AG961" i="10"/>
  <c r="AG962" i="10"/>
  <c r="AG963" i="10"/>
  <c r="AG964" i="10"/>
  <c r="AG965" i="10"/>
  <c r="AG966" i="10"/>
  <c r="AG967" i="10"/>
  <c r="AG968" i="10"/>
  <c r="AG969" i="10"/>
  <c r="AG970" i="10"/>
  <c r="AG971" i="10"/>
  <c r="AG972" i="10"/>
  <c r="AG973" i="10"/>
  <c r="AG974" i="10"/>
  <c r="AG975" i="10"/>
  <c r="AG976" i="10"/>
  <c r="AG977" i="10"/>
  <c r="AG978" i="10"/>
  <c r="AG979" i="10"/>
  <c r="AG980" i="10"/>
  <c r="AG981" i="10"/>
  <c r="AG982" i="10"/>
  <c r="AG983" i="10"/>
  <c r="AG984" i="10"/>
  <c r="AG985" i="10"/>
  <c r="AG986" i="10"/>
  <c r="AG987" i="10"/>
  <c r="AG988" i="10"/>
  <c r="AG989" i="10"/>
  <c r="AG990" i="10"/>
  <c r="AG991" i="10"/>
  <c r="AG992" i="10"/>
  <c r="AG993" i="10"/>
  <c r="AG994" i="10"/>
  <c r="AG995" i="10"/>
  <c r="AG996" i="10"/>
  <c r="AG997" i="10"/>
  <c r="AG998" i="10"/>
  <c r="AG999" i="10"/>
  <c r="AG1000" i="10"/>
  <c r="AG1001" i="10"/>
  <c r="AG1002" i="10"/>
  <c r="AG1003" i="10"/>
  <c r="AG1004" i="10"/>
  <c r="AG1005" i="10"/>
  <c r="AG1006" i="10"/>
  <c r="AG1007" i="10"/>
  <c r="AG1008" i="10"/>
  <c r="AG1009" i="10"/>
  <c r="AG1010" i="10"/>
  <c r="AG1011" i="10"/>
  <c r="AG1012" i="10"/>
  <c r="AG1013" i="10"/>
  <c r="AG1014" i="10"/>
  <c r="AG1015" i="10"/>
  <c r="AG1016" i="10"/>
  <c r="AG1017" i="10"/>
  <c r="AG1018" i="10"/>
  <c r="AG1019" i="10"/>
  <c r="AG1020" i="10"/>
  <c r="AG1021" i="10"/>
  <c r="AG1022" i="10"/>
  <c r="AG1023" i="10"/>
  <c r="AG1024" i="10"/>
  <c r="AG1025" i="10"/>
  <c r="AG1026" i="10"/>
  <c r="AG1027" i="10"/>
  <c r="AG1028" i="10"/>
  <c r="AG1029" i="10"/>
  <c r="AG1030" i="10"/>
  <c r="AG1031" i="10"/>
  <c r="AG1032" i="10"/>
  <c r="AG1033" i="10"/>
  <c r="AG1034" i="10"/>
  <c r="AG1035" i="10"/>
  <c r="AG1036" i="10"/>
  <c r="AG1037" i="10"/>
  <c r="AG1038" i="10"/>
  <c r="AG1039" i="10"/>
  <c r="AG1040" i="10"/>
  <c r="AG1041" i="10"/>
  <c r="AG1042" i="10"/>
  <c r="AG1043" i="10"/>
  <c r="AG1044" i="10"/>
  <c r="AG1045" i="10"/>
  <c r="AG1046" i="10"/>
  <c r="AG1047" i="10"/>
  <c r="AG1048" i="10"/>
  <c r="AG1049" i="10"/>
  <c r="AG1050" i="10"/>
  <c r="AG1051" i="10"/>
  <c r="AG1052" i="10"/>
  <c r="AG1053" i="10"/>
  <c r="AG1054" i="10"/>
  <c r="AG1055" i="10"/>
  <c r="AG1056" i="10"/>
  <c r="AG1057" i="10"/>
  <c r="AG1058" i="10"/>
  <c r="AG1059" i="10"/>
  <c r="AG1060" i="10"/>
  <c r="AG1061" i="10"/>
  <c r="AG1062" i="10"/>
  <c r="AG1063" i="10"/>
  <c r="AG1064" i="10"/>
  <c r="AG1065" i="10"/>
  <c r="AG1066" i="10"/>
  <c r="AG1067" i="10"/>
  <c r="AG1068" i="10"/>
  <c r="AG1069" i="10"/>
  <c r="AG1070" i="10"/>
  <c r="AG1071" i="10"/>
  <c r="AG1072" i="10"/>
  <c r="AG1073" i="10"/>
  <c r="AG1074" i="10"/>
  <c r="AG1075" i="10"/>
  <c r="AG1076" i="10"/>
  <c r="AG1077" i="10"/>
  <c r="AG1078" i="10"/>
  <c r="AG1079" i="10"/>
  <c r="AG1080" i="10"/>
  <c r="AG1081" i="10"/>
  <c r="AG1082" i="10"/>
  <c r="AG1083" i="10"/>
  <c r="AG1084" i="10"/>
  <c r="AG1085" i="10"/>
  <c r="AG1086" i="10"/>
  <c r="AG1087" i="10"/>
  <c r="AG1088" i="10"/>
  <c r="AG1089" i="10"/>
  <c r="AG1090" i="10"/>
  <c r="AG1091" i="10"/>
  <c r="AG1092" i="10"/>
  <c r="AG1093" i="10"/>
  <c r="AG1094" i="10"/>
  <c r="AG1095" i="10"/>
  <c r="AG1096" i="10"/>
  <c r="AG1097" i="10"/>
  <c r="AG1098" i="10"/>
  <c r="AG1099" i="10"/>
  <c r="AG1100" i="10"/>
  <c r="AG1101" i="10"/>
  <c r="AG1102" i="10"/>
  <c r="AG1103" i="10"/>
  <c r="AG1104" i="10"/>
  <c r="AG1105" i="10"/>
  <c r="AG1106" i="10"/>
  <c r="AG1107" i="10"/>
  <c r="AG1108" i="10"/>
  <c r="AG1109" i="10"/>
  <c r="AG1110" i="10"/>
  <c r="AG1111" i="10"/>
  <c r="AG1112" i="10"/>
  <c r="AG1113" i="10"/>
  <c r="AG1114" i="10"/>
  <c r="AG1115" i="10"/>
  <c r="AG1116" i="10"/>
  <c r="AG1117" i="10"/>
  <c r="AG1118" i="10"/>
  <c r="AG1119" i="10"/>
  <c r="AG1120" i="10"/>
  <c r="AG1121" i="10"/>
  <c r="AG1122" i="10"/>
  <c r="AG1123" i="10"/>
  <c r="AG1124" i="10"/>
  <c r="AG1125" i="10"/>
  <c r="AG1126" i="10"/>
  <c r="AG1127" i="10"/>
  <c r="AG1128" i="10"/>
  <c r="AG1129" i="10"/>
  <c r="AG1130" i="10"/>
  <c r="AG1131" i="10"/>
  <c r="AG1132" i="10"/>
  <c r="AG1133" i="10"/>
  <c r="AG1134" i="10"/>
  <c r="AG1135" i="10"/>
  <c r="AG1136" i="10"/>
  <c r="AG1137" i="10"/>
  <c r="AG1138" i="10"/>
  <c r="AG1139" i="10"/>
  <c r="AG1140" i="10"/>
  <c r="AG1141" i="10"/>
  <c r="AG1142" i="10"/>
  <c r="AG1143" i="10"/>
  <c r="AG1144" i="10"/>
  <c r="AG1145" i="10"/>
  <c r="AG1146" i="10"/>
  <c r="AG1147" i="10"/>
  <c r="AG1148" i="10"/>
  <c r="AG1149" i="10"/>
  <c r="AG1150" i="10"/>
  <c r="AG1151" i="10"/>
  <c r="AG1152" i="10"/>
  <c r="AG1153" i="10"/>
  <c r="AG1154" i="10"/>
  <c r="AG1155" i="10"/>
  <c r="AG1156" i="10"/>
  <c r="AG1157" i="10"/>
  <c r="AG1158" i="10"/>
  <c r="AG1159" i="10"/>
  <c r="AG1160" i="10"/>
  <c r="AG1161" i="10"/>
  <c r="AG1162" i="10"/>
  <c r="AG1163" i="10"/>
  <c r="AG1164" i="10"/>
  <c r="AG1165" i="10"/>
  <c r="AG1166" i="10"/>
  <c r="AG1167" i="10"/>
  <c r="AG1168" i="10"/>
  <c r="AG1169" i="10"/>
  <c r="AG1170" i="10"/>
  <c r="AG1171" i="10"/>
  <c r="AG1172" i="10"/>
  <c r="AG1173" i="10"/>
  <c r="AG1174" i="10"/>
  <c r="AG1175" i="10"/>
  <c r="AG1176" i="10"/>
  <c r="AG1177" i="10"/>
  <c r="AG1178" i="10"/>
  <c r="AG1179" i="10"/>
  <c r="AG1180" i="10"/>
  <c r="AG1181" i="10"/>
  <c r="AG1182" i="10"/>
  <c r="AG1183" i="10"/>
  <c r="AG1184" i="10"/>
  <c r="AG1185" i="10"/>
  <c r="AG1186" i="10"/>
  <c r="AG1187" i="10"/>
  <c r="AG1188" i="10"/>
  <c r="AG1189" i="10"/>
  <c r="AG1190" i="10"/>
  <c r="AG1191" i="10"/>
  <c r="AG1192" i="10"/>
  <c r="AG1193" i="10"/>
  <c r="AG1194" i="10"/>
  <c r="AG1195" i="10"/>
  <c r="AG1196" i="10"/>
  <c r="AG1197" i="10"/>
  <c r="AG1198" i="10"/>
  <c r="AG1199" i="10"/>
  <c r="AG1200" i="10"/>
  <c r="AG1201" i="10"/>
  <c r="AG1202" i="10"/>
  <c r="AG1203" i="10"/>
  <c r="AG1204" i="10"/>
  <c r="AG1205" i="10"/>
  <c r="AG1206" i="10"/>
  <c r="AG1207" i="10"/>
  <c r="AG1208" i="10"/>
  <c r="AG6" i="10"/>
  <c r="AF7" i="10"/>
  <c r="AF8" i="10"/>
  <c r="AF9" i="10"/>
  <c r="AF10" i="10"/>
  <c r="AF11" i="10"/>
  <c r="AF12" i="10"/>
  <c r="AF13" i="10"/>
  <c r="AF14" i="10"/>
  <c r="AF15" i="10"/>
  <c r="AF16" i="10"/>
  <c r="AF17" i="10"/>
  <c r="AF18" i="10"/>
  <c r="AF19" i="10"/>
  <c r="AF20" i="10"/>
  <c r="AF21" i="10"/>
  <c r="AF22" i="10"/>
  <c r="AF23" i="10"/>
  <c r="AF24" i="10"/>
  <c r="AF25" i="10"/>
  <c r="AF26" i="10"/>
  <c r="AF27" i="10"/>
  <c r="AF28" i="10"/>
  <c r="AF29" i="10"/>
  <c r="AF30" i="10"/>
  <c r="AF31" i="10"/>
  <c r="AF32" i="10"/>
  <c r="AF33" i="10"/>
  <c r="AF34" i="10"/>
  <c r="AF35" i="10"/>
  <c r="AF36" i="10"/>
  <c r="AF37" i="10"/>
  <c r="AF38" i="10"/>
  <c r="AF39" i="10"/>
  <c r="AF40" i="10"/>
  <c r="AF41" i="10"/>
  <c r="AF42" i="10"/>
  <c r="AF43" i="10"/>
  <c r="AF44" i="10"/>
  <c r="AF45" i="10"/>
  <c r="AF46" i="10"/>
  <c r="AF47" i="10"/>
  <c r="AF48" i="10"/>
  <c r="AF49" i="10"/>
  <c r="AF50" i="10"/>
  <c r="AF51" i="10"/>
  <c r="AF52" i="10"/>
  <c r="AF53" i="10"/>
  <c r="AF54" i="10"/>
  <c r="AF55" i="10"/>
  <c r="AF56" i="10"/>
  <c r="AF57" i="10"/>
  <c r="AF58" i="10"/>
  <c r="AF59" i="10"/>
  <c r="AF60" i="10"/>
  <c r="AF61" i="10"/>
  <c r="AF62" i="10"/>
  <c r="AF63" i="10"/>
  <c r="AF64" i="10"/>
  <c r="AF65" i="10"/>
  <c r="AF66" i="10"/>
  <c r="AF67" i="10"/>
  <c r="AF68" i="10"/>
  <c r="AF69" i="10"/>
  <c r="AF70" i="10"/>
  <c r="AF71" i="10"/>
  <c r="AF72" i="10"/>
  <c r="AF73" i="10"/>
  <c r="AF74" i="10"/>
  <c r="AF75" i="10"/>
  <c r="AF76" i="10"/>
  <c r="AF77" i="10"/>
  <c r="AF78" i="10"/>
  <c r="AF79" i="10"/>
  <c r="AF80" i="10"/>
  <c r="AF81" i="10"/>
  <c r="AF82" i="10"/>
  <c r="AF83" i="10"/>
  <c r="AF84" i="10"/>
  <c r="AF85" i="10"/>
  <c r="AF86" i="10"/>
  <c r="AF87" i="10"/>
  <c r="AF88" i="10"/>
  <c r="AF89" i="10"/>
  <c r="AF90" i="10"/>
  <c r="AF91" i="10"/>
  <c r="AF92" i="10"/>
  <c r="AF93" i="10"/>
  <c r="AF94" i="10"/>
  <c r="AF95" i="10"/>
  <c r="AF96" i="10"/>
  <c r="AF97" i="10"/>
  <c r="AF98" i="10"/>
  <c r="AF99" i="10"/>
  <c r="AF100" i="10"/>
  <c r="AF101" i="10"/>
  <c r="AF102" i="10"/>
  <c r="AF103" i="10"/>
  <c r="AF104" i="10"/>
  <c r="AF105" i="10"/>
  <c r="AF106" i="10"/>
  <c r="AF107" i="10"/>
  <c r="AF108" i="10"/>
  <c r="AF109" i="10"/>
  <c r="AF110" i="10"/>
  <c r="AF111" i="10"/>
  <c r="AF112" i="10"/>
  <c r="AF113" i="10"/>
  <c r="AF114" i="10"/>
  <c r="AF115" i="10"/>
  <c r="AF116" i="10"/>
  <c r="AF117" i="10"/>
  <c r="AF118" i="10"/>
  <c r="AF119" i="10"/>
  <c r="AF120" i="10"/>
  <c r="AF121" i="10"/>
  <c r="AF122" i="10"/>
  <c r="AF123" i="10"/>
  <c r="AF124" i="10"/>
  <c r="AF125" i="10"/>
  <c r="AF126" i="10"/>
  <c r="AF127" i="10"/>
  <c r="AF128" i="10"/>
  <c r="AF129" i="10"/>
  <c r="AF130" i="10"/>
  <c r="AF131" i="10"/>
  <c r="AF132" i="10"/>
  <c r="AF133" i="10"/>
  <c r="AF134" i="10"/>
  <c r="AF135" i="10"/>
  <c r="AF136" i="10"/>
  <c r="AF137" i="10"/>
  <c r="AF138" i="10"/>
  <c r="AF139" i="10"/>
  <c r="AF140" i="10"/>
  <c r="AF141" i="10"/>
  <c r="AF142" i="10"/>
  <c r="AF143" i="10"/>
  <c r="AF144" i="10"/>
  <c r="AF145" i="10"/>
  <c r="AF146" i="10"/>
  <c r="AF147" i="10"/>
  <c r="AF148" i="10"/>
  <c r="AF149" i="10"/>
  <c r="AF150" i="10"/>
  <c r="AF151" i="10"/>
  <c r="AF152" i="10"/>
  <c r="AF153" i="10"/>
  <c r="AF154" i="10"/>
  <c r="AF155" i="10"/>
  <c r="AF156" i="10"/>
  <c r="AF157" i="10"/>
  <c r="AF158" i="10"/>
  <c r="AF159" i="10"/>
  <c r="AF160" i="10"/>
  <c r="AF161" i="10"/>
  <c r="AF162" i="10"/>
  <c r="AF163" i="10"/>
  <c r="AF164" i="10"/>
  <c r="AF165" i="10"/>
  <c r="AF166" i="10"/>
  <c r="AF167" i="10"/>
  <c r="AF168" i="10"/>
  <c r="AF169" i="10"/>
  <c r="AF170" i="10"/>
  <c r="AF171" i="10"/>
  <c r="AF172" i="10"/>
  <c r="AF173" i="10"/>
  <c r="AF174" i="10"/>
  <c r="AF175" i="10"/>
  <c r="AF176" i="10"/>
  <c r="AF177" i="10"/>
  <c r="AF178" i="10"/>
  <c r="AF179" i="10"/>
  <c r="AF180" i="10"/>
  <c r="AF181" i="10"/>
  <c r="AF182" i="10"/>
  <c r="AF183" i="10"/>
  <c r="AF184" i="10"/>
  <c r="AF185" i="10"/>
  <c r="AF186" i="10"/>
  <c r="AF187" i="10"/>
  <c r="AF188" i="10"/>
  <c r="AF189" i="10"/>
  <c r="AF190" i="10"/>
  <c r="AF191" i="10"/>
  <c r="AF192" i="10"/>
  <c r="AF193" i="10"/>
  <c r="AF194" i="10"/>
  <c r="AF195" i="10"/>
  <c r="AF196" i="10"/>
  <c r="AF197" i="10"/>
  <c r="AF198" i="10"/>
  <c r="AF199" i="10"/>
  <c r="AF200" i="10"/>
  <c r="AF201" i="10"/>
  <c r="AF202" i="10"/>
  <c r="AF203" i="10"/>
  <c r="AF204" i="10"/>
  <c r="AF205" i="10"/>
  <c r="AF206" i="10"/>
  <c r="AF207" i="10"/>
  <c r="AF208" i="10"/>
  <c r="AF209" i="10"/>
  <c r="AF210" i="10"/>
  <c r="AF211" i="10"/>
  <c r="AF212" i="10"/>
  <c r="AF213" i="10"/>
  <c r="AF214" i="10"/>
  <c r="AF215" i="10"/>
  <c r="AF216" i="10"/>
  <c r="AF217" i="10"/>
  <c r="AF218" i="10"/>
  <c r="AF219" i="10"/>
  <c r="AF220" i="10"/>
  <c r="AF221" i="10"/>
  <c r="AF222" i="10"/>
  <c r="AF223" i="10"/>
  <c r="AF224" i="10"/>
  <c r="AF225" i="10"/>
  <c r="AF226" i="10"/>
  <c r="AF227" i="10"/>
  <c r="AF228" i="10"/>
  <c r="AF229" i="10"/>
  <c r="AF230" i="10"/>
  <c r="AF231" i="10"/>
  <c r="AF232" i="10"/>
  <c r="AF233" i="10"/>
  <c r="AF234" i="10"/>
  <c r="AF235" i="10"/>
  <c r="AF236" i="10"/>
  <c r="AF237" i="10"/>
  <c r="AF238" i="10"/>
  <c r="AF239" i="10"/>
  <c r="AF240" i="10"/>
  <c r="AF241" i="10"/>
  <c r="AF242" i="10"/>
  <c r="AF243" i="10"/>
  <c r="AF244" i="10"/>
  <c r="AF245" i="10"/>
  <c r="AF246" i="10"/>
  <c r="AF247" i="10"/>
  <c r="AF248" i="10"/>
  <c r="AF249" i="10"/>
  <c r="AF250" i="10"/>
  <c r="AF251" i="10"/>
  <c r="AF252" i="10"/>
  <c r="AF253" i="10"/>
  <c r="AF254" i="10"/>
  <c r="AF255" i="10"/>
  <c r="AF256" i="10"/>
  <c r="AF257" i="10"/>
  <c r="AF258" i="10"/>
  <c r="AF259" i="10"/>
  <c r="AF260" i="10"/>
  <c r="AF261" i="10"/>
  <c r="AF262" i="10"/>
  <c r="AF263" i="10"/>
  <c r="AF264" i="10"/>
  <c r="AF265" i="10"/>
  <c r="AF266" i="10"/>
  <c r="AF267" i="10"/>
  <c r="AF268" i="10"/>
  <c r="AF269" i="10"/>
  <c r="AF270" i="10"/>
  <c r="AF271" i="10"/>
  <c r="AF272" i="10"/>
  <c r="AF273" i="10"/>
  <c r="AF274" i="10"/>
  <c r="AF275" i="10"/>
  <c r="AF276" i="10"/>
  <c r="AF277" i="10"/>
  <c r="AF278" i="10"/>
  <c r="AF279" i="10"/>
  <c r="AF280" i="10"/>
  <c r="AF281" i="10"/>
  <c r="AF282" i="10"/>
  <c r="AF283" i="10"/>
  <c r="AF284" i="10"/>
  <c r="AF285" i="10"/>
  <c r="AF286" i="10"/>
  <c r="AF287" i="10"/>
  <c r="AF288" i="10"/>
  <c r="AF289" i="10"/>
  <c r="AF290" i="10"/>
  <c r="AF291" i="10"/>
  <c r="AF292" i="10"/>
  <c r="AF293" i="10"/>
  <c r="AF294" i="10"/>
  <c r="AF295" i="10"/>
  <c r="AF296" i="10"/>
  <c r="AF297" i="10"/>
  <c r="AF298" i="10"/>
  <c r="AF299" i="10"/>
  <c r="AF300" i="10"/>
  <c r="AF301" i="10"/>
  <c r="AF302" i="10"/>
  <c r="AF303" i="10"/>
  <c r="AF304" i="10"/>
  <c r="AF305" i="10"/>
  <c r="AF306" i="10"/>
  <c r="AF307" i="10"/>
  <c r="AF308" i="10"/>
  <c r="AF309" i="10"/>
  <c r="AF310" i="10"/>
  <c r="AF311" i="10"/>
  <c r="AF312" i="10"/>
  <c r="AF313" i="10"/>
  <c r="AF314" i="10"/>
  <c r="AF315" i="10"/>
  <c r="AF316" i="10"/>
  <c r="AF317" i="10"/>
  <c r="AF318" i="10"/>
  <c r="AF319" i="10"/>
  <c r="AF320" i="10"/>
  <c r="AF321" i="10"/>
  <c r="AF322" i="10"/>
  <c r="AF323" i="10"/>
  <c r="AF324" i="10"/>
  <c r="AF325" i="10"/>
  <c r="AF326" i="10"/>
  <c r="AF327" i="10"/>
  <c r="AF328" i="10"/>
  <c r="AF329" i="10"/>
  <c r="AF330" i="10"/>
  <c r="AF331" i="10"/>
  <c r="AF332" i="10"/>
  <c r="AF333" i="10"/>
  <c r="AF334" i="10"/>
  <c r="AF335" i="10"/>
  <c r="AF336" i="10"/>
  <c r="AF337" i="10"/>
  <c r="AF338" i="10"/>
  <c r="AF339" i="10"/>
  <c r="AF340" i="10"/>
  <c r="AF341" i="10"/>
  <c r="AF342" i="10"/>
  <c r="AF343" i="10"/>
  <c r="AF344" i="10"/>
  <c r="AF345" i="10"/>
  <c r="AF346" i="10"/>
  <c r="AF347" i="10"/>
  <c r="AF348" i="10"/>
  <c r="AF349" i="10"/>
  <c r="AF350" i="10"/>
  <c r="AF351" i="10"/>
  <c r="AF352" i="10"/>
  <c r="AF353" i="10"/>
  <c r="AF354" i="10"/>
  <c r="AF355" i="10"/>
  <c r="AF356" i="10"/>
  <c r="AF357" i="10"/>
  <c r="AF358" i="10"/>
  <c r="AF359" i="10"/>
  <c r="AF360" i="10"/>
  <c r="AF361" i="10"/>
  <c r="AF362" i="10"/>
  <c r="AF363" i="10"/>
  <c r="AF364" i="10"/>
  <c r="AF365" i="10"/>
  <c r="AF366" i="10"/>
  <c r="AF367" i="10"/>
  <c r="AF368" i="10"/>
  <c r="AF369" i="10"/>
  <c r="AF370" i="10"/>
  <c r="AF371" i="10"/>
  <c r="AF372" i="10"/>
  <c r="AF373" i="10"/>
  <c r="AF374" i="10"/>
  <c r="AF375" i="10"/>
  <c r="AF376" i="10"/>
  <c r="AF377" i="10"/>
  <c r="AF378" i="10"/>
  <c r="AF379" i="10"/>
  <c r="AF380" i="10"/>
  <c r="AF381" i="10"/>
  <c r="AF382" i="10"/>
  <c r="AF383" i="10"/>
  <c r="AF384" i="10"/>
  <c r="AF385" i="10"/>
  <c r="AF386" i="10"/>
  <c r="AF387" i="10"/>
  <c r="AF388" i="10"/>
  <c r="AF389" i="10"/>
  <c r="AF390" i="10"/>
  <c r="AF391" i="10"/>
  <c r="AF392" i="10"/>
  <c r="AF393" i="10"/>
  <c r="AF394" i="10"/>
  <c r="AF395" i="10"/>
  <c r="AF396" i="10"/>
  <c r="AF397" i="10"/>
  <c r="AF398" i="10"/>
  <c r="AF399" i="10"/>
  <c r="AF400" i="10"/>
  <c r="AF401" i="10"/>
  <c r="AF402" i="10"/>
  <c r="AF403" i="10"/>
  <c r="AF404" i="10"/>
  <c r="AF405" i="10"/>
  <c r="AF406" i="10"/>
  <c r="AF407" i="10"/>
  <c r="AF408" i="10"/>
  <c r="AF409" i="10"/>
  <c r="AF410" i="10"/>
  <c r="AF411" i="10"/>
  <c r="AF412" i="10"/>
  <c r="AF413" i="10"/>
  <c r="AF414" i="10"/>
  <c r="AF415" i="10"/>
  <c r="AF416" i="10"/>
  <c r="AF417" i="10"/>
  <c r="AF418" i="10"/>
  <c r="AF419" i="10"/>
  <c r="AF420" i="10"/>
  <c r="AF421" i="10"/>
  <c r="AF422" i="10"/>
  <c r="AF423" i="10"/>
  <c r="AF424" i="10"/>
  <c r="AF425" i="10"/>
  <c r="AF426" i="10"/>
  <c r="AF427" i="10"/>
  <c r="AF428" i="10"/>
  <c r="AF429" i="10"/>
  <c r="AF430" i="10"/>
  <c r="AF431" i="10"/>
  <c r="AF432" i="10"/>
  <c r="AF433" i="10"/>
  <c r="AF434" i="10"/>
  <c r="AF435" i="10"/>
  <c r="AF436" i="10"/>
  <c r="AF437" i="10"/>
  <c r="AF438" i="10"/>
  <c r="AF439" i="10"/>
  <c r="AF440" i="10"/>
  <c r="AF441" i="10"/>
  <c r="AF442" i="10"/>
  <c r="AF443" i="10"/>
  <c r="AF444" i="10"/>
  <c r="AF445" i="10"/>
  <c r="AF446" i="10"/>
  <c r="AF447" i="10"/>
  <c r="AF448" i="10"/>
  <c r="AF449" i="10"/>
  <c r="AF450" i="10"/>
  <c r="AF451" i="10"/>
  <c r="AF452" i="10"/>
  <c r="AF453" i="10"/>
  <c r="AF454" i="10"/>
  <c r="AF455" i="10"/>
  <c r="AF456" i="10"/>
  <c r="AF457" i="10"/>
  <c r="AF458" i="10"/>
  <c r="AF459" i="10"/>
  <c r="AF460" i="10"/>
  <c r="AF461" i="10"/>
  <c r="AF462" i="10"/>
  <c r="AF463" i="10"/>
  <c r="AF464" i="10"/>
  <c r="AF465" i="10"/>
  <c r="AF466" i="10"/>
  <c r="AF467" i="10"/>
  <c r="AF468" i="10"/>
  <c r="AF469" i="10"/>
  <c r="AF470" i="10"/>
  <c r="AF471" i="10"/>
  <c r="AF472" i="10"/>
  <c r="AF473" i="10"/>
  <c r="AF474" i="10"/>
  <c r="AF475" i="10"/>
  <c r="AF476" i="10"/>
  <c r="AF477" i="10"/>
  <c r="AF478" i="10"/>
  <c r="AF479" i="10"/>
  <c r="AF480" i="10"/>
  <c r="AF481" i="10"/>
  <c r="AF482" i="10"/>
  <c r="AF483" i="10"/>
  <c r="AF484" i="10"/>
  <c r="AF485" i="10"/>
  <c r="AF486" i="10"/>
  <c r="AF487" i="10"/>
  <c r="AF488" i="10"/>
  <c r="AF489" i="10"/>
  <c r="AF490" i="10"/>
  <c r="AF491" i="10"/>
  <c r="AF492" i="10"/>
  <c r="AF493" i="10"/>
  <c r="AF494" i="10"/>
  <c r="AF495" i="10"/>
  <c r="AF496" i="10"/>
  <c r="AF497" i="10"/>
  <c r="AF498" i="10"/>
  <c r="AF499" i="10"/>
  <c r="AF500" i="10"/>
  <c r="AF501" i="10"/>
  <c r="AF502" i="10"/>
  <c r="AF503" i="10"/>
  <c r="AF504" i="10"/>
  <c r="AF505" i="10"/>
  <c r="AF506" i="10"/>
  <c r="AF507" i="10"/>
  <c r="AF508" i="10"/>
  <c r="AF509" i="10"/>
  <c r="AF510" i="10"/>
  <c r="AF511" i="10"/>
  <c r="AF512" i="10"/>
  <c r="AF513" i="10"/>
  <c r="AF514" i="10"/>
  <c r="AF515" i="10"/>
  <c r="AF516" i="10"/>
  <c r="AF517" i="10"/>
  <c r="AF518" i="10"/>
  <c r="AF519" i="10"/>
  <c r="AF520" i="10"/>
  <c r="AF521" i="10"/>
  <c r="AF522" i="10"/>
  <c r="AF523" i="10"/>
  <c r="AF524" i="10"/>
  <c r="AF525" i="10"/>
  <c r="AF526" i="10"/>
  <c r="AF527" i="10"/>
  <c r="AF528" i="10"/>
  <c r="AF529" i="10"/>
  <c r="AF530" i="10"/>
  <c r="AF531" i="10"/>
  <c r="AF532" i="10"/>
  <c r="AF533" i="10"/>
  <c r="AF534" i="10"/>
  <c r="AF535" i="10"/>
  <c r="AF536" i="10"/>
  <c r="AF537" i="10"/>
  <c r="AF538" i="10"/>
  <c r="AF539" i="10"/>
  <c r="AF540" i="10"/>
  <c r="AF541" i="10"/>
  <c r="AF542" i="10"/>
  <c r="AF543" i="10"/>
  <c r="AF544" i="10"/>
  <c r="AF545" i="10"/>
  <c r="AF546" i="10"/>
  <c r="AF547" i="10"/>
  <c r="AF548" i="10"/>
  <c r="AF549" i="10"/>
  <c r="AF550" i="10"/>
  <c r="AF551" i="10"/>
  <c r="AF552" i="10"/>
  <c r="AF553" i="10"/>
  <c r="AF554" i="10"/>
  <c r="AF555" i="10"/>
  <c r="AF556" i="10"/>
  <c r="AF557" i="10"/>
  <c r="AF558" i="10"/>
  <c r="AF559" i="10"/>
  <c r="AF560" i="10"/>
  <c r="AF561" i="10"/>
  <c r="AF562" i="10"/>
  <c r="AF563" i="10"/>
  <c r="AF564" i="10"/>
  <c r="AF565" i="10"/>
  <c r="AF566" i="10"/>
  <c r="AF567" i="10"/>
  <c r="AF568" i="10"/>
  <c r="AF569" i="10"/>
  <c r="AF570" i="10"/>
  <c r="AF571" i="10"/>
  <c r="AF572" i="10"/>
  <c r="AF573" i="10"/>
  <c r="AF574" i="10"/>
  <c r="AF575" i="10"/>
  <c r="AF576" i="10"/>
  <c r="AF577" i="10"/>
  <c r="AF578" i="10"/>
  <c r="AF579" i="10"/>
  <c r="AF580" i="10"/>
  <c r="AF581" i="10"/>
  <c r="AF582" i="10"/>
  <c r="AF583" i="10"/>
  <c r="AF584" i="10"/>
  <c r="AF585" i="10"/>
  <c r="AF586" i="10"/>
  <c r="AF587" i="10"/>
  <c r="AF588" i="10"/>
  <c r="AF589" i="10"/>
  <c r="AF590" i="10"/>
  <c r="AF591" i="10"/>
  <c r="AF592" i="10"/>
  <c r="AF593" i="10"/>
  <c r="AF594" i="10"/>
  <c r="AF595" i="10"/>
  <c r="AF596" i="10"/>
  <c r="AF597" i="10"/>
  <c r="AF598" i="10"/>
  <c r="AF599" i="10"/>
  <c r="AF600" i="10"/>
  <c r="AF601" i="10"/>
  <c r="AF602" i="10"/>
  <c r="AF603" i="10"/>
  <c r="AF604" i="10"/>
  <c r="AF605" i="10"/>
  <c r="AF606" i="10"/>
  <c r="AF607" i="10"/>
  <c r="AF608" i="10"/>
  <c r="AF609" i="10"/>
  <c r="AF610" i="10"/>
  <c r="AF611" i="10"/>
  <c r="AF612" i="10"/>
  <c r="AF613" i="10"/>
  <c r="AF614" i="10"/>
  <c r="AF615" i="10"/>
  <c r="AF616" i="10"/>
  <c r="AF617" i="10"/>
  <c r="AF618" i="10"/>
  <c r="AF619" i="10"/>
  <c r="AF620" i="10"/>
  <c r="AF621" i="10"/>
  <c r="AF622" i="10"/>
  <c r="AF623" i="10"/>
  <c r="AF624" i="10"/>
  <c r="AF625" i="10"/>
  <c r="AF626" i="10"/>
  <c r="AF627" i="10"/>
  <c r="AF628" i="10"/>
  <c r="AF629" i="10"/>
  <c r="AF630" i="10"/>
  <c r="AF631" i="10"/>
  <c r="AF632" i="10"/>
  <c r="AF633" i="10"/>
  <c r="AF634" i="10"/>
  <c r="AF635" i="10"/>
  <c r="AF636" i="10"/>
  <c r="AF637" i="10"/>
  <c r="AF638" i="10"/>
  <c r="AF639" i="10"/>
  <c r="AF640" i="10"/>
  <c r="AF641" i="10"/>
  <c r="AF642" i="10"/>
  <c r="AF643" i="10"/>
  <c r="AF644" i="10"/>
  <c r="AF645" i="10"/>
  <c r="AF646" i="10"/>
  <c r="AF647" i="10"/>
  <c r="AF648" i="10"/>
  <c r="AF649" i="10"/>
  <c r="AF650" i="10"/>
  <c r="AF651" i="10"/>
  <c r="AF652" i="10"/>
  <c r="AF653" i="10"/>
  <c r="AF654" i="10"/>
  <c r="AF655" i="10"/>
  <c r="AF656" i="10"/>
  <c r="AF657" i="10"/>
  <c r="AF658" i="10"/>
  <c r="AF659" i="10"/>
  <c r="AF660" i="10"/>
  <c r="AF661" i="10"/>
  <c r="AF662" i="10"/>
  <c r="AF663" i="10"/>
  <c r="AF664" i="10"/>
  <c r="AF665" i="10"/>
  <c r="AF666" i="10"/>
  <c r="AF667" i="10"/>
  <c r="AF668" i="10"/>
  <c r="AF669" i="10"/>
  <c r="AF670" i="10"/>
  <c r="AF671" i="10"/>
  <c r="AF672" i="10"/>
  <c r="AF673" i="10"/>
  <c r="AF674" i="10"/>
  <c r="AF675" i="10"/>
  <c r="AF676" i="10"/>
  <c r="AF677" i="10"/>
  <c r="AF678" i="10"/>
  <c r="AF679" i="10"/>
  <c r="AF680" i="10"/>
  <c r="AF681" i="10"/>
  <c r="AF682" i="10"/>
  <c r="AF683" i="10"/>
  <c r="AF684" i="10"/>
  <c r="AF685" i="10"/>
  <c r="AF686" i="10"/>
  <c r="AF687" i="10"/>
  <c r="AF688" i="10"/>
  <c r="AF689" i="10"/>
  <c r="AF690" i="10"/>
  <c r="AF691" i="10"/>
  <c r="AF692" i="10"/>
  <c r="AF693" i="10"/>
  <c r="AF694" i="10"/>
  <c r="AF695" i="10"/>
  <c r="AF696" i="10"/>
  <c r="AF697" i="10"/>
  <c r="AF698" i="10"/>
  <c r="AF699" i="10"/>
  <c r="AF700" i="10"/>
  <c r="AF701" i="10"/>
  <c r="AF702" i="10"/>
  <c r="AF703" i="10"/>
  <c r="AF704" i="10"/>
  <c r="AF705" i="10"/>
  <c r="AF706" i="10"/>
  <c r="AF707" i="10"/>
  <c r="AF708" i="10"/>
  <c r="AF709" i="10"/>
  <c r="AF710" i="10"/>
  <c r="AF711" i="10"/>
  <c r="AF712" i="10"/>
  <c r="AF713" i="10"/>
  <c r="AF714" i="10"/>
  <c r="AF715" i="10"/>
  <c r="AF716" i="10"/>
  <c r="AF717" i="10"/>
  <c r="AF718" i="10"/>
  <c r="AF719" i="10"/>
  <c r="AF720" i="10"/>
  <c r="AF721" i="10"/>
  <c r="AF722" i="10"/>
  <c r="AF723" i="10"/>
  <c r="AF724" i="10"/>
  <c r="AF725" i="10"/>
  <c r="AF726" i="10"/>
  <c r="AF727" i="10"/>
  <c r="AF728" i="10"/>
  <c r="AF729" i="10"/>
  <c r="AF730" i="10"/>
  <c r="AF731" i="10"/>
  <c r="AF732" i="10"/>
  <c r="AF733" i="10"/>
  <c r="AF734" i="10"/>
  <c r="AF735" i="10"/>
  <c r="AF736" i="10"/>
  <c r="AF737" i="10"/>
  <c r="AF738" i="10"/>
  <c r="AF739" i="10"/>
  <c r="AF740" i="10"/>
  <c r="AF741" i="10"/>
  <c r="AF742" i="10"/>
  <c r="AF743" i="10"/>
  <c r="AF744" i="10"/>
  <c r="AF745" i="10"/>
  <c r="AF746" i="10"/>
  <c r="AF747" i="10"/>
  <c r="AF748" i="10"/>
  <c r="AF749" i="10"/>
  <c r="AF750" i="10"/>
  <c r="AF751" i="10"/>
  <c r="AF752" i="10"/>
  <c r="AF753" i="10"/>
  <c r="AF754" i="10"/>
  <c r="AF755" i="10"/>
  <c r="AF756" i="10"/>
  <c r="AF757" i="10"/>
  <c r="AF758" i="10"/>
  <c r="AF759" i="10"/>
  <c r="AF760" i="10"/>
  <c r="AF761" i="10"/>
  <c r="AF762" i="10"/>
  <c r="AF763" i="10"/>
  <c r="AF764" i="10"/>
  <c r="AF765" i="10"/>
  <c r="AF766" i="10"/>
  <c r="AF767" i="10"/>
  <c r="AF768" i="10"/>
  <c r="AF769" i="10"/>
  <c r="AF770" i="10"/>
  <c r="AF771" i="10"/>
  <c r="AF772" i="10"/>
  <c r="AF773" i="10"/>
  <c r="AF774" i="10"/>
  <c r="AF775" i="10"/>
  <c r="AF776" i="10"/>
  <c r="AF777" i="10"/>
  <c r="AF778" i="10"/>
  <c r="AF779" i="10"/>
  <c r="AF780" i="10"/>
  <c r="AF781" i="10"/>
  <c r="AF782" i="10"/>
  <c r="AF783" i="10"/>
  <c r="AF784" i="10"/>
  <c r="AF785" i="10"/>
  <c r="AF786" i="10"/>
  <c r="AF787" i="10"/>
  <c r="AF788" i="10"/>
  <c r="AF789" i="10"/>
  <c r="AF790" i="10"/>
  <c r="AF791" i="10"/>
  <c r="AF792" i="10"/>
  <c r="AF793" i="10"/>
  <c r="AF794" i="10"/>
  <c r="AF795" i="10"/>
  <c r="AF796" i="10"/>
  <c r="AF797" i="10"/>
  <c r="AF798" i="10"/>
  <c r="AF799" i="10"/>
  <c r="AF800" i="10"/>
  <c r="AF801" i="10"/>
  <c r="AF802" i="10"/>
  <c r="AF803" i="10"/>
  <c r="AF804" i="10"/>
  <c r="AF805" i="10"/>
  <c r="AF806" i="10"/>
  <c r="AF807" i="10"/>
  <c r="AF808" i="10"/>
  <c r="AF809" i="10"/>
  <c r="AF810" i="10"/>
  <c r="AF811" i="10"/>
  <c r="AF812" i="10"/>
  <c r="AF813" i="10"/>
  <c r="AF814" i="10"/>
  <c r="AF815" i="10"/>
  <c r="AF816" i="10"/>
  <c r="AF817" i="10"/>
  <c r="AF818" i="10"/>
  <c r="AF819" i="10"/>
  <c r="AF820" i="10"/>
  <c r="AF821" i="10"/>
  <c r="AF822" i="10"/>
  <c r="AF823" i="10"/>
  <c r="AF824" i="10"/>
  <c r="AF825" i="10"/>
  <c r="AF826" i="10"/>
  <c r="AF827" i="10"/>
  <c r="AF828" i="10"/>
  <c r="AF829" i="10"/>
  <c r="AF830" i="10"/>
  <c r="AF831" i="10"/>
  <c r="AF832" i="10"/>
  <c r="AF833" i="10"/>
  <c r="AF834" i="10"/>
  <c r="AF835" i="10"/>
  <c r="AF836" i="10"/>
  <c r="AF837" i="10"/>
  <c r="AF838" i="10"/>
  <c r="AF839" i="10"/>
  <c r="AF840" i="10"/>
  <c r="AF841" i="10"/>
  <c r="AF842" i="10"/>
  <c r="AF843" i="10"/>
  <c r="AF844" i="10"/>
  <c r="AF845" i="10"/>
  <c r="AF846" i="10"/>
  <c r="AF847" i="10"/>
  <c r="AF848" i="10"/>
  <c r="AF849" i="10"/>
  <c r="AF850" i="10"/>
  <c r="AF851" i="10"/>
  <c r="AF852" i="10"/>
  <c r="AF853" i="10"/>
  <c r="AF854" i="10"/>
  <c r="AF855" i="10"/>
  <c r="AF856" i="10"/>
  <c r="AF857" i="10"/>
  <c r="AF858" i="10"/>
  <c r="AF859" i="10"/>
  <c r="AF860" i="10"/>
  <c r="AF861" i="10"/>
  <c r="AF862" i="10"/>
  <c r="AF863" i="10"/>
  <c r="AF864" i="10"/>
  <c r="AF865" i="10"/>
  <c r="AF866" i="10"/>
  <c r="AF867" i="10"/>
  <c r="AF868" i="10"/>
  <c r="AF869" i="10"/>
  <c r="AF870" i="10"/>
  <c r="AF871" i="10"/>
  <c r="AF872" i="10"/>
  <c r="AF873" i="10"/>
  <c r="AF874" i="10"/>
  <c r="AF875" i="10"/>
  <c r="AF876" i="10"/>
  <c r="AF877" i="10"/>
  <c r="AF878" i="10"/>
  <c r="AF879" i="10"/>
  <c r="AF880" i="10"/>
  <c r="AF881" i="10"/>
  <c r="AF882" i="10"/>
  <c r="AF883" i="10"/>
  <c r="AF884" i="10"/>
  <c r="AF885" i="10"/>
  <c r="AF886" i="10"/>
  <c r="AF887" i="10"/>
  <c r="AF888" i="10"/>
  <c r="AF889" i="10"/>
  <c r="AF890" i="10"/>
  <c r="AF891" i="10"/>
  <c r="AF892" i="10"/>
  <c r="AF893" i="10"/>
  <c r="AF894" i="10"/>
  <c r="AF895" i="10"/>
  <c r="AF896" i="10"/>
  <c r="AF897" i="10"/>
  <c r="AF898" i="10"/>
  <c r="AF899" i="10"/>
  <c r="AF900" i="10"/>
  <c r="AF901" i="10"/>
  <c r="AF902" i="10"/>
  <c r="AF903" i="10"/>
  <c r="AF904" i="10"/>
  <c r="AF905" i="10"/>
  <c r="AF906" i="10"/>
  <c r="AF907" i="10"/>
  <c r="AF908" i="10"/>
  <c r="AF909" i="10"/>
  <c r="AF910" i="10"/>
  <c r="AF911" i="10"/>
  <c r="AF912" i="10"/>
  <c r="AF913" i="10"/>
  <c r="AF914" i="10"/>
  <c r="AF915" i="10"/>
  <c r="AF916" i="10"/>
  <c r="AF917" i="10"/>
  <c r="AF918" i="10"/>
  <c r="AF919" i="10"/>
  <c r="AF920" i="10"/>
  <c r="AF921" i="10"/>
  <c r="AF922" i="10"/>
  <c r="AF923" i="10"/>
  <c r="AF924" i="10"/>
  <c r="AF925" i="10"/>
  <c r="AF926" i="10"/>
  <c r="AF927" i="10"/>
  <c r="AF928" i="10"/>
  <c r="AF929" i="10"/>
  <c r="AF930" i="10"/>
  <c r="AF931" i="10"/>
  <c r="AF932" i="10"/>
  <c r="AF933" i="10"/>
  <c r="AF934" i="10"/>
  <c r="AF935" i="10"/>
  <c r="AF936" i="10"/>
  <c r="AF937" i="10"/>
  <c r="AF938" i="10"/>
  <c r="AF939" i="10"/>
  <c r="AF940" i="10"/>
  <c r="AF941" i="10"/>
  <c r="AF942" i="10"/>
  <c r="AF943" i="10"/>
  <c r="AF944" i="10"/>
  <c r="AF945" i="10"/>
  <c r="AF946" i="10"/>
  <c r="AF947" i="10"/>
  <c r="AF948" i="10"/>
  <c r="AF949" i="10"/>
  <c r="AF950" i="10"/>
  <c r="AF951" i="10"/>
  <c r="AF952" i="10"/>
  <c r="AF953" i="10"/>
  <c r="AF954" i="10"/>
  <c r="AF955" i="10"/>
  <c r="AF956" i="10"/>
  <c r="AF957" i="10"/>
  <c r="AF958" i="10"/>
  <c r="AF959" i="10"/>
  <c r="AF960" i="10"/>
  <c r="AF961" i="10"/>
  <c r="AF962" i="10"/>
  <c r="AF963" i="10"/>
  <c r="AF964" i="10"/>
  <c r="AF965" i="10"/>
  <c r="AF966" i="10"/>
  <c r="AF967" i="10"/>
  <c r="AF968" i="10"/>
  <c r="AF969" i="10"/>
  <c r="AF970" i="10"/>
  <c r="AF971" i="10"/>
  <c r="AF972" i="10"/>
  <c r="AF973" i="10"/>
  <c r="AF974" i="10"/>
  <c r="AF975" i="10"/>
  <c r="AF976" i="10"/>
  <c r="AF977" i="10"/>
  <c r="AF978" i="10"/>
  <c r="AF979" i="10"/>
  <c r="AF980" i="10"/>
  <c r="AF981" i="10"/>
  <c r="AF982" i="10"/>
  <c r="AF983" i="10"/>
  <c r="AF984" i="10"/>
  <c r="AF985" i="10"/>
  <c r="AF986" i="10"/>
  <c r="AF987" i="10"/>
  <c r="AF988" i="10"/>
  <c r="AF989" i="10"/>
  <c r="AF990" i="10"/>
  <c r="AF991" i="10"/>
  <c r="AF992" i="10"/>
  <c r="AF993" i="10"/>
  <c r="AF994" i="10"/>
  <c r="AF995" i="10"/>
  <c r="AF996" i="10"/>
  <c r="AF997" i="10"/>
  <c r="AF998" i="10"/>
  <c r="AF999" i="10"/>
  <c r="AF1000" i="10"/>
  <c r="AF1001" i="10"/>
  <c r="AF1002" i="10"/>
  <c r="AF1003" i="10"/>
  <c r="AF1004" i="10"/>
  <c r="AF1005" i="10"/>
  <c r="AF1006" i="10"/>
  <c r="AF1007" i="10"/>
  <c r="AF1008" i="10"/>
  <c r="AF1009" i="10"/>
  <c r="AF1010" i="10"/>
  <c r="AF1011" i="10"/>
  <c r="AF1012" i="10"/>
  <c r="AF1013" i="10"/>
  <c r="AF1014" i="10"/>
  <c r="AF1015" i="10"/>
  <c r="AF1016" i="10"/>
  <c r="AF1017" i="10"/>
  <c r="AF1018" i="10"/>
  <c r="AF1019" i="10"/>
  <c r="AF1020" i="10"/>
  <c r="AF1021" i="10"/>
  <c r="AF1022" i="10"/>
  <c r="AF1023" i="10"/>
  <c r="AF1024" i="10"/>
  <c r="AF1025" i="10"/>
  <c r="AF1026" i="10"/>
  <c r="AF1027" i="10"/>
  <c r="AF1028" i="10"/>
  <c r="AF1029" i="10"/>
  <c r="AF1030" i="10"/>
  <c r="AF1031" i="10"/>
  <c r="AF1032" i="10"/>
  <c r="AF1033" i="10"/>
  <c r="AF1034" i="10"/>
  <c r="AF1035" i="10"/>
  <c r="AF1036" i="10"/>
  <c r="AF1037" i="10"/>
  <c r="AF1038" i="10"/>
  <c r="AF1039" i="10"/>
  <c r="AF1040" i="10"/>
  <c r="AF1041" i="10"/>
  <c r="AF1042" i="10"/>
  <c r="AF1043" i="10"/>
  <c r="AF1044" i="10"/>
  <c r="AF1045" i="10"/>
  <c r="AF1046" i="10"/>
  <c r="AF1047" i="10"/>
  <c r="AF1048" i="10"/>
  <c r="AF1049" i="10"/>
  <c r="AF1050" i="10"/>
  <c r="AF1051" i="10"/>
  <c r="AF1052" i="10"/>
  <c r="AF1053" i="10"/>
  <c r="AF1054" i="10"/>
  <c r="AF1055" i="10"/>
  <c r="AF1056" i="10"/>
  <c r="AF1057" i="10"/>
  <c r="AF1058" i="10"/>
  <c r="AF1059" i="10"/>
  <c r="AF1060" i="10"/>
  <c r="AF1061" i="10"/>
  <c r="AF1062" i="10"/>
  <c r="AF1063" i="10"/>
  <c r="AF1064" i="10"/>
  <c r="AF1065" i="10"/>
  <c r="AF1066" i="10"/>
  <c r="AF1067" i="10"/>
  <c r="AF1068" i="10"/>
  <c r="AF1069" i="10"/>
  <c r="AF1070" i="10"/>
  <c r="AF1071" i="10"/>
  <c r="AF1072" i="10"/>
  <c r="AF1073" i="10"/>
  <c r="AF1074" i="10"/>
  <c r="AF1075" i="10"/>
  <c r="AF1076" i="10"/>
  <c r="AF1077" i="10"/>
  <c r="AF1078" i="10"/>
  <c r="AF1079" i="10"/>
  <c r="AF1080" i="10"/>
  <c r="AF1081" i="10"/>
  <c r="AF1082" i="10"/>
  <c r="AF1083" i="10"/>
  <c r="AF1084" i="10"/>
  <c r="AF1085" i="10"/>
  <c r="AF1086" i="10"/>
  <c r="AF1087" i="10"/>
  <c r="AF1088" i="10"/>
  <c r="AF1089" i="10"/>
  <c r="AF1090" i="10"/>
  <c r="AF1091" i="10"/>
  <c r="AF1092" i="10"/>
  <c r="AF1093" i="10"/>
  <c r="AF1094" i="10"/>
  <c r="AF1095" i="10"/>
  <c r="AF1096" i="10"/>
  <c r="AF1097" i="10"/>
  <c r="AF1098" i="10"/>
  <c r="AF1099" i="10"/>
  <c r="AF1100" i="10"/>
  <c r="AF1101" i="10"/>
  <c r="AF1102" i="10"/>
  <c r="AF1103" i="10"/>
  <c r="AF1104" i="10"/>
  <c r="AF1105" i="10"/>
  <c r="AF1106" i="10"/>
  <c r="AF1107" i="10"/>
  <c r="AF1108" i="10"/>
  <c r="AF1109" i="10"/>
  <c r="AF1110" i="10"/>
  <c r="AF1111" i="10"/>
  <c r="AF1112" i="10"/>
  <c r="AF1113" i="10"/>
  <c r="AF1114" i="10"/>
  <c r="AF1115" i="10"/>
  <c r="AF1116" i="10"/>
  <c r="AF1117" i="10"/>
  <c r="AF1118" i="10"/>
  <c r="AF1119" i="10"/>
  <c r="AF1120" i="10"/>
  <c r="AF1121" i="10"/>
  <c r="AF1122" i="10"/>
  <c r="AF1123" i="10"/>
  <c r="AF1124" i="10"/>
  <c r="AF1125" i="10"/>
  <c r="AF1126" i="10"/>
  <c r="AF1127" i="10"/>
  <c r="AF1128" i="10"/>
  <c r="AF1129" i="10"/>
  <c r="AF1130" i="10"/>
  <c r="AF1131" i="10"/>
  <c r="AF1132" i="10"/>
  <c r="AF1133" i="10"/>
  <c r="AF1134" i="10"/>
  <c r="AF1135" i="10"/>
  <c r="AF1136" i="10"/>
  <c r="AF1137" i="10"/>
  <c r="AF1138" i="10"/>
  <c r="AF1139" i="10"/>
  <c r="AF1140" i="10"/>
  <c r="AF1141" i="10"/>
  <c r="AF1142" i="10"/>
  <c r="AF1143" i="10"/>
  <c r="AF1144" i="10"/>
  <c r="AF1145" i="10"/>
  <c r="AF1146" i="10"/>
  <c r="AF1147" i="10"/>
  <c r="AF1148" i="10"/>
  <c r="AF1149" i="10"/>
  <c r="AF1150" i="10"/>
  <c r="AF1151" i="10"/>
  <c r="AF1152" i="10"/>
  <c r="AF1153" i="10"/>
  <c r="AF1154" i="10"/>
  <c r="AF1155" i="10"/>
  <c r="AF1156" i="10"/>
  <c r="AF1157" i="10"/>
  <c r="AF1158" i="10"/>
  <c r="AF1159" i="10"/>
  <c r="AF1160" i="10"/>
  <c r="AF1161" i="10"/>
  <c r="AF1162" i="10"/>
  <c r="AF1163" i="10"/>
  <c r="AF1164" i="10"/>
  <c r="AF1165" i="10"/>
  <c r="AF1166" i="10"/>
  <c r="AF1167" i="10"/>
  <c r="AF1168" i="10"/>
  <c r="AF1169" i="10"/>
  <c r="AF1170" i="10"/>
  <c r="AF1171" i="10"/>
  <c r="AF1172" i="10"/>
  <c r="AF1173" i="10"/>
  <c r="AF1174" i="10"/>
  <c r="AF1175" i="10"/>
  <c r="AF1176" i="10"/>
  <c r="AF1177" i="10"/>
  <c r="AF1178" i="10"/>
  <c r="AF1179" i="10"/>
  <c r="AF1180" i="10"/>
  <c r="AF1181" i="10"/>
  <c r="AF1182" i="10"/>
  <c r="AF1183" i="10"/>
  <c r="AF1184" i="10"/>
  <c r="AF1185" i="10"/>
  <c r="AF1186" i="10"/>
  <c r="AF1187" i="10"/>
  <c r="AF1188" i="10"/>
  <c r="AF1189" i="10"/>
  <c r="AF1190" i="10"/>
  <c r="AF1191" i="10"/>
  <c r="AF1192" i="10"/>
  <c r="AF1193" i="10"/>
  <c r="AF1194" i="10"/>
  <c r="AF1195" i="10"/>
  <c r="AF1196" i="10"/>
  <c r="AF1197" i="10"/>
  <c r="AF1198" i="10"/>
  <c r="AF1199" i="10"/>
  <c r="AF1200" i="10"/>
  <c r="AF1201" i="10"/>
  <c r="AF1202" i="10"/>
  <c r="AF1203" i="10"/>
  <c r="AF1204" i="10"/>
  <c r="AF1205" i="10"/>
  <c r="AF1206" i="10"/>
  <c r="AF1207" i="10"/>
  <c r="AF1208" i="10"/>
  <c r="AF6" i="10"/>
  <c r="AD7" i="10"/>
  <c r="AD8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D26" i="10"/>
  <c r="AD27" i="10"/>
  <c r="AD28" i="10"/>
  <c r="AD29" i="10"/>
  <c r="AD30" i="10"/>
  <c r="AD31" i="10"/>
  <c r="AD32" i="10"/>
  <c r="AD33" i="10"/>
  <c r="AD34" i="10"/>
  <c r="AD35" i="10"/>
  <c r="AD36" i="10"/>
  <c r="AD37" i="10"/>
  <c r="AD38" i="10"/>
  <c r="AD39" i="10"/>
  <c r="AD40" i="10"/>
  <c r="AD41" i="10"/>
  <c r="AD42" i="10"/>
  <c r="AD43" i="10"/>
  <c r="AD44" i="10"/>
  <c r="AD45" i="10"/>
  <c r="AD46" i="10"/>
  <c r="AD47" i="10"/>
  <c r="AD48" i="10"/>
  <c r="AD49" i="10"/>
  <c r="AD50" i="10"/>
  <c r="AD51" i="10"/>
  <c r="AD52" i="10"/>
  <c r="AD53" i="10"/>
  <c r="AD54" i="10"/>
  <c r="AD55" i="10"/>
  <c r="AD56" i="10"/>
  <c r="AD57" i="10"/>
  <c r="AD58" i="10"/>
  <c r="AD59" i="10"/>
  <c r="AD60" i="10"/>
  <c r="AD61" i="10"/>
  <c r="AD62" i="10"/>
  <c r="AD63" i="10"/>
  <c r="AD64" i="10"/>
  <c r="AD65" i="10"/>
  <c r="AD66" i="10"/>
  <c r="AD67" i="10"/>
  <c r="AD68" i="10"/>
  <c r="AD69" i="10"/>
  <c r="AD70" i="10"/>
  <c r="AD71" i="10"/>
  <c r="AD72" i="10"/>
  <c r="AD73" i="10"/>
  <c r="AD74" i="10"/>
  <c r="AD75" i="10"/>
  <c r="AD76" i="10"/>
  <c r="AD77" i="10"/>
  <c r="AD78" i="10"/>
  <c r="AD79" i="10"/>
  <c r="AD80" i="10"/>
  <c r="AD81" i="10"/>
  <c r="AD82" i="10"/>
  <c r="AD83" i="10"/>
  <c r="AD84" i="10"/>
  <c r="AD85" i="10"/>
  <c r="AD86" i="10"/>
  <c r="AD87" i="10"/>
  <c r="AD88" i="10"/>
  <c r="AD89" i="10"/>
  <c r="AD90" i="10"/>
  <c r="AD91" i="10"/>
  <c r="AD92" i="10"/>
  <c r="AD93" i="10"/>
  <c r="AD94" i="10"/>
  <c r="AD95" i="10"/>
  <c r="AD96" i="10"/>
  <c r="AD97" i="10"/>
  <c r="AD98" i="10"/>
  <c r="AD99" i="10"/>
  <c r="AD100" i="10"/>
  <c r="AD101" i="10"/>
  <c r="AD102" i="10"/>
  <c r="AD103" i="10"/>
  <c r="AD104" i="10"/>
  <c r="AD105" i="10"/>
  <c r="AD106" i="10"/>
  <c r="AD107" i="10"/>
  <c r="AD108" i="10"/>
  <c r="AD109" i="10"/>
  <c r="AD110" i="10"/>
  <c r="AD111" i="10"/>
  <c r="AD112" i="10"/>
  <c r="AD113" i="10"/>
  <c r="AD114" i="10"/>
  <c r="AD115" i="10"/>
  <c r="AD116" i="10"/>
  <c r="AD117" i="10"/>
  <c r="AD118" i="10"/>
  <c r="AD119" i="10"/>
  <c r="AD120" i="10"/>
  <c r="AD121" i="10"/>
  <c r="AD122" i="10"/>
  <c r="AD123" i="10"/>
  <c r="AD124" i="10"/>
  <c r="AD125" i="10"/>
  <c r="AD126" i="10"/>
  <c r="AD127" i="10"/>
  <c r="AD128" i="10"/>
  <c r="AD129" i="10"/>
  <c r="AD130" i="10"/>
  <c r="AD131" i="10"/>
  <c r="AD132" i="10"/>
  <c r="AD133" i="10"/>
  <c r="AD134" i="10"/>
  <c r="AD135" i="10"/>
  <c r="AD136" i="10"/>
  <c r="AD137" i="10"/>
  <c r="AD138" i="10"/>
  <c r="AD139" i="10"/>
  <c r="AD140" i="10"/>
  <c r="AD141" i="10"/>
  <c r="AD142" i="10"/>
  <c r="AD143" i="10"/>
  <c r="AD144" i="10"/>
  <c r="AD145" i="10"/>
  <c r="AD146" i="10"/>
  <c r="AD147" i="10"/>
  <c r="AD148" i="10"/>
  <c r="AD149" i="10"/>
  <c r="AD150" i="10"/>
  <c r="AD151" i="10"/>
  <c r="AD152" i="10"/>
  <c r="AD153" i="10"/>
  <c r="AD154" i="10"/>
  <c r="AD155" i="10"/>
  <c r="AD156" i="10"/>
  <c r="AD157" i="10"/>
  <c r="AD158" i="10"/>
  <c r="AD159" i="10"/>
  <c r="AD160" i="10"/>
  <c r="AD161" i="10"/>
  <c r="AD162" i="10"/>
  <c r="AD163" i="10"/>
  <c r="AD164" i="10"/>
  <c r="AD165" i="10"/>
  <c r="AD166" i="10"/>
  <c r="AD167" i="10"/>
  <c r="AD168" i="10"/>
  <c r="AD169" i="10"/>
  <c r="AD170" i="10"/>
  <c r="AD171" i="10"/>
  <c r="AD172" i="10"/>
  <c r="AD173" i="10"/>
  <c r="AD174" i="10"/>
  <c r="AD175" i="10"/>
  <c r="AD176" i="10"/>
  <c r="AD177" i="10"/>
  <c r="AD178" i="10"/>
  <c r="AD179" i="10"/>
  <c r="AD180" i="10"/>
  <c r="AD181" i="10"/>
  <c r="AD182" i="10"/>
  <c r="AD183" i="10"/>
  <c r="AD184" i="10"/>
  <c r="AD185" i="10"/>
  <c r="AD186" i="10"/>
  <c r="AD187" i="10"/>
  <c r="AD188" i="10"/>
  <c r="AD189" i="10"/>
  <c r="AD190" i="10"/>
  <c r="AD191" i="10"/>
  <c r="AD192" i="10"/>
  <c r="AD193" i="10"/>
  <c r="AD194" i="10"/>
  <c r="AD195" i="10"/>
  <c r="AD196" i="10"/>
  <c r="AD197" i="10"/>
  <c r="AD198" i="10"/>
  <c r="AD199" i="10"/>
  <c r="AD200" i="10"/>
  <c r="AD201" i="10"/>
  <c r="AD202" i="10"/>
  <c r="AD203" i="10"/>
  <c r="AD204" i="10"/>
  <c r="AD205" i="10"/>
  <c r="AD206" i="10"/>
  <c r="AD207" i="10"/>
  <c r="AD208" i="10"/>
  <c r="AD209" i="10"/>
  <c r="AD210" i="10"/>
  <c r="AD211" i="10"/>
  <c r="AD212" i="10"/>
  <c r="AD213" i="10"/>
  <c r="AD214" i="10"/>
  <c r="AD215" i="10"/>
  <c r="AD216" i="10"/>
  <c r="AD217" i="10"/>
  <c r="AD218" i="10"/>
  <c r="AD219" i="10"/>
  <c r="AD220" i="10"/>
  <c r="AD221" i="10"/>
  <c r="AD222" i="10"/>
  <c r="AD223" i="10"/>
  <c r="AD224" i="10"/>
  <c r="AD225" i="10"/>
  <c r="AD226" i="10"/>
  <c r="AD227" i="10"/>
  <c r="AD228" i="10"/>
  <c r="AD229" i="10"/>
  <c r="AD230" i="10"/>
  <c r="AD231" i="10"/>
  <c r="AD232" i="10"/>
  <c r="AD233" i="10"/>
  <c r="AD234" i="10"/>
  <c r="AD235" i="10"/>
  <c r="AD236" i="10"/>
  <c r="AD237" i="10"/>
  <c r="AD238" i="10"/>
  <c r="AD239" i="10"/>
  <c r="AD240" i="10"/>
  <c r="AD241" i="10"/>
  <c r="AD242" i="10"/>
  <c r="AD243" i="10"/>
  <c r="AD244" i="10"/>
  <c r="AD245" i="10"/>
  <c r="AD246" i="10"/>
  <c r="AD247" i="10"/>
  <c r="AD248" i="10"/>
  <c r="AD249" i="10"/>
  <c r="AD250" i="10"/>
  <c r="AD251" i="10"/>
  <c r="AD252" i="10"/>
  <c r="AD253" i="10"/>
  <c r="AD254" i="10"/>
  <c r="AD255" i="10"/>
  <c r="AD256" i="10"/>
  <c r="AD257" i="10"/>
  <c r="AD258" i="10"/>
  <c r="AD259" i="10"/>
  <c r="AD260" i="10"/>
  <c r="AD261" i="10"/>
  <c r="AD262" i="10"/>
  <c r="AD263" i="10"/>
  <c r="AD264" i="10"/>
  <c r="AD265" i="10"/>
  <c r="AD266" i="10"/>
  <c r="AD267" i="10"/>
  <c r="AD268" i="10"/>
  <c r="AD269" i="10"/>
  <c r="AD270" i="10"/>
  <c r="AD271" i="10"/>
  <c r="AD272" i="10"/>
  <c r="AD273" i="10"/>
  <c r="AD274" i="10"/>
  <c r="AD275" i="10"/>
  <c r="AD276" i="10"/>
  <c r="AD277" i="10"/>
  <c r="AD278" i="10"/>
  <c r="AD279" i="10"/>
  <c r="AD280" i="10"/>
  <c r="AD281" i="10"/>
  <c r="AD282" i="10"/>
  <c r="AD283" i="10"/>
  <c r="AD284" i="10"/>
  <c r="AD285" i="10"/>
  <c r="AD286" i="10"/>
  <c r="AD287" i="10"/>
  <c r="AD288" i="10"/>
  <c r="AD289" i="10"/>
  <c r="AD290" i="10"/>
  <c r="AD291" i="10"/>
  <c r="AD292" i="10"/>
  <c r="AD293" i="10"/>
  <c r="AD294" i="10"/>
  <c r="AD295" i="10"/>
  <c r="AD296" i="10"/>
  <c r="AD297" i="10"/>
  <c r="AD298" i="10"/>
  <c r="AD299" i="10"/>
  <c r="AD300" i="10"/>
  <c r="AD301" i="10"/>
  <c r="AD302" i="10"/>
  <c r="AD303" i="10"/>
  <c r="AD304" i="10"/>
  <c r="AD305" i="10"/>
  <c r="AD306" i="10"/>
  <c r="AD307" i="10"/>
  <c r="AD308" i="10"/>
  <c r="AD309" i="10"/>
  <c r="AD310" i="10"/>
  <c r="AD311" i="10"/>
  <c r="AD312" i="10"/>
  <c r="AD313" i="10"/>
  <c r="AD314" i="10"/>
  <c r="AD315" i="10"/>
  <c r="AD316" i="10"/>
  <c r="AD317" i="10"/>
  <c r="AD318" i="10"/>
  <c r="AD319" i="10"/>
  <c r="AD320" i="10"/>
  <c r="AD321" i="10"/>
  <c r="AD322" i="10"/>
  <c r="AD323" i="10"/>
  <c r="AD324" i="10"/>
  <c r="AD325" i="10"/>
  <c r="AD326" i="10"/>
  <c r="AD327" i="10"/>
  <c r="AD328" i="10"/>
  <c r="AD329" i="10"/>
  <c r="AD330" i="10"/>
  <c r="AD331" i="10"/>
  <c r="AD332" i="10"/>
  <c r="AD333" i="10"/>
  <c r="AD334" i="10"/>
  <c r="AD335" i="10"/>
  <c r="AD336" i="10"/>
  <c r="AD337" i="10"/>
  <c r="AD338" i="10"/>
  <c r="AD339" i="10"/>
  <c r="AD340" i="10"/>
  <c r="AD341" i="10"/>
  <c r="AD342" i="10"/>
  <c r="AD343" i="10"/>
  <c r="AD344" i="10"/>
  <c r="AD345" i="10"/>
  <c r="AD346" i="10"/>
  <c r="AD347" i="10"/>
  <c r="AD348" i="10"/>
  <c r="AD349" i="10"/>
  <c r="AD350" i="10"/>
  <c r="AD351" i="10"/>
  <c r="AD352" i="10"/>
  <c r="AD353" i="10"/>
  <c r="AD354" i="10"/>
  <c r="AD355" i="10"/>
  <c r="AD356" i="10"/>
  <c r="AD357" i="10"/>
  <c r="AD358" i="10"/>
  <c r="AD359" i="10"/>
  <c r="AD360" i="10"/>
  <c r="AD361" i="10"/>
  <c r="AD362" i="10"/>
  <c r="AD363" i="10"/>
  <c r="AD364" i="10"/>
  <c r="AD365" i="10"/>
  <c r="AD366" i="10"/>
  <c r="AD367" i="10"/>
  <c r="AD368" i="10"/>
  <c r="AD369" i="10"/>
  <c r="AD370" i="10"/>
  <c r="AD371" i="10"/>
  <c r="AD372" i="10"/>
  <c r="AD373" i="10"/>
  <c r="AD374" i="10"/>
  <c r="AD375" i="10"/>
  <c r="AD376" i="10"/>
  <c r="AD377" i="10"/>
  <c r="AD378" i="10"/>
  <c r="AD379" i="10"/>
  <c r="AD380" i="10"/>
  <c r="AD381" i="10"/>
  <c r="AD382" i="10"/>
  <c r="AD383" i="10"/>
  <c r="AD384" i="10"/>
  <c r="AD385" i="10"/>
  <c r="AD386" i="10"/>
  <c r="AD387" i="10"/>
  <c r="AD388" i="10"/>
  <c r="AD389" i="10"/>
  <c r="AD390" i="10"/>
  <c r="AD391" i="10"/>
  <c r="AD392" i="10"/>
  <c r="AD393" i="10"/>
  <c r="AD394" i="10"/>
  <c r="AD395" i="10"/>
  <c r="AD396" i="10"/>
  <c r="AD397" i="10"/>
  <c r="AD398" i="10"/>
  <c r="AD399" i="10"/>
  <c r="AD400" i="10"/>
  <c r="AD401" i="10"/>
  <c r="AD402" i="10"/>
  <c r="AD403" i="10"/>
  <c r="AD404" i="10"/>
  <c r="AD405" i="10"/>
  <c r="AD406" i="10"/>
  <c r="AD407" i="10"/>
  <c r="AD408" i="10"/>
  <c r="AD409" i="10"/>
  <c r="AD410" i="10"/>
  <c r="AD411" i="10"/>
  <c r="AD412" i="10"/>
  <c r="AD413" i="10"/>
  <c r="AD414" i="10"/>
  <c r="AD415" i="10"/>
  <c r="AD416" i="10"/>
  <c r="AD417" i="10"/>
  <c r="AD418" i="10"/>
  <c r="AD419" i="10"/>
  <c r="AD420" i="10"/>
  <c r="AD421" i="10"/>
  <c r="AD422" i="10"/>
  <c r="AD423" i="10"/>
  <c r="AD424" i="10"/>
  <c r="AD425" i="10"/>
  <c r="AD426" i="10"/>
  <c r="AD427" i="10"/>
  <c r="AD428" i="10"/>
  <c r="AD429" i="10"/>
  <c r="AD430" i="10"/>
  <c r="AD431" i="10"/>
  <c r="AD432" i="10"/>
  <c r="AD433" i="10"/>
  <c r="AD434" i="10"/>
  <c r="AD435" i="10"/>
  <c r="AD436" i="10"/>
  <c r="AD437" i="10"/>
  <c r="AD438" i="10"/>
  <c r="AD439" i="10"/>
  <c r="AD440" i="10"/>
  <c r="AD441" i="10"/>
  <c r="AD442" i="10"/>
  <c r="AD443" i="10"/>
  <c r="AD444" i="10"/>
  <c r="AD445" i="10"/>
  <c r="AD446" i="10"/>
  <c r="AD447" i="10"/>
  <c r="AD448" i="10"/>
  <c r="AD449" i="10"/>
  <c r="AD450" i="10"/>
  <c r="AD451" i="10"/>
  <c r="AD452" i="10"/>
  <c r="AD453" i="10"/>
  <c r="AD454" i="10"/>
  <c r="AD455" i="10"/>
  <c r="AD456" i="10"/>
  <c r="AD457" i="10"/>
  <c r="AD458" i="10"/>
  <c r="AD459" i="10"/>
  <c r="AD460" i="10"/>
  <c r="AD461" i="10"/>
  <c r="AD462" i="10"/>
  <c r="AD463" i="10"/>
  <c r="AD464" i="10"/>
  <c r="AD465" i="10"/>
  <c r="AD466" i="10"/>
  <c r="AD467" i="10"/>
  <c r="AD468" i="10"/>
  <c r="AD469" i="10"/>
  <c r="AD470" i="10"/>
  <c r="AD471" i="10"/>
  <c r="AD472" i="10"/>
  <c r="AD473" i="10"/>
  <c r="AD474" i="10"/>
  <c r="AD475" i="10"/>
  <c r="AD476" i="10"/>
  <c r="AD477" i="10"/>
  <c r="AD478" i="10"/>
  <c r="AD479" i="10"/>
  <c r="AD480" i="10"/>
  <c r="AD481" i="10"/>
  <c r="AD482" i="10"/>
  <c r="AD483" i="10"/>
  <c r="AD484" i="10"/>
  <c r="AD485" i="10"/>
  <c r="AD486" i="10"/>
  <c r="AD487" i="10"/>
  <c r="AD488" i="10"/>
  <c r="AD489" i="10"/>
  <c r="AD490" i="10"/>
  <c r="AD491" i="10"/>
  <c r="AD492" i="10"/>
  <c r="AD493" i="10"/>
  <c r="AD494" i="10"/>
  <c r="AD495" i="10"/>
  <c r="AD496" i="10"/>
  <c r="AD497" i="10"/>
  <c r="AD498" i="10"/>
  <c r="AD499" i="10"/>
  <c r="AD500" i="10"/>
  <c r="AD501" i="10"/>
  <c r="AD502" i="10"/>
  <c r="AD503" i="10"/>
  <c r="AD504" i="10"/>
  <c r="AD505" i="10"/>
  <c r="AD506" i="10"/>
  <c r="AD507" i="10"/>
  <c r="AD508" i="10"/>
  <c r="AD509" i="10"/>
  <c r="AD510" i="10"/>
  <c r="AD511" i="10"/>
  <c r="AD512" i="10"/>
  <c r="AD513" i="10"/>
  <c r="AD514" i="10"/>
  <c r="AD515" i="10"/>
  <c r="AD516" i="10"/>
  <c r="AD517" i="10"/>
  <c r="AD518" i="10"/>
  <c r="AD519" i="10"/>
  <c r="AD520" i="10"/>
  <c r="AD521" i="10"/>
  <c r="AD522" i="10"/>
  <c r="AD523" i="10"/>
  <c r="AD524" i="10"/>
  <c r="AD525" i="10"/>
  <c r="AD526" i="10"/>
  <c r="AD527" i="10"/>
  <c r="AD528" i="10"/>
  <c r="AD529" i="10"/>
  <c r="AD530" i="10"/>
  <c r="AD531" i="10"/>
  <c r="AD532" i="10"/>
  <c r="AD533" i="10"/>
  <c r="AD534" i="10"/>
  <c r="AD535" i="10"/>
  <c r="AD536" i="10"/>
  <c r="AD537" i="10"/>
  <c r="AD538" i="10"/>
  <c r="AD539" i="10"/>
  <c r="AD540" i="10"/>
  <c r="AD541" i="10"/>
  <c r="AD542" i="10"/>
  <c r="AD543" i="10"/>
  <c r="AD544" i="10"/>
  <c r="AD545" i="10"/>
  <c r="AD546" i="10"/>
  <c r="AD547" i="10"/>
  <c r="AD548" i="10"/>
  <c r="AD549" i="10"/>
  <c r="AD550" i="10"/>
  <c r="AD551" i="10"/>
  <c r="AD552" i="10"/>
  <c r="AD553" i="10"/>
  <c r="AD554" i="10"/>
  <c r="AD555" i="10"/>
  <c r="AD556" i="10"/>
  <c r="AD557" i="10"/>
  <c r="AD558" i="10"/>
  <c r="AD559" i="10"/>
  <c r="AD560" i="10"/>
  <c r="AD561" i="10"/>
  <c r="AD562" i="10"/>
  <c r="AD563" i="10"/>
  <c r="AD564" i="10"/>
  <c r="AD565" i="10"/>
  <c r="AD566" i="10"/>
  <c r="AD567" i="10"/>
  <c r="AD568" i="10"/>
  <c r="AD569" i="10"/>
  <c r="AD570" i="10"/>
  <c r="AD571" i="10"/>
  <c r="AD572" i="10"/>
  <c r="AD573" i="10"/>
  <c r="AD574" i="10"/>
  <c r="AD575" i="10"/>
  <c r="AD576" i="10"/>
  <c r="AD577" i="10"/>
  <c r="AD578" i="10"/>
  <c r="AD579" i="10"/>
  <c r="AD580" i="10"/>
  <c r="AD581" i="10"/>
  <c r="AD582" i="10"/>
  <c r="AD583" i="10"/>
  <c r="AD584" i="10"/>
  <c r="AD585" i="10"/>
  <c r="AD586" i="10"/>
  <c r="AD587" i="10"/>
  <c r="AD588" i="10"/>
  <c r="AD589" i="10"/>
  <c r="AD590" i="10"/>
  <c r="AD591" i="10"/>
  <c r="AD592" i="10"/>
  <c r="AD593" i="10"/>
  <c r="AD594" i="10"/>
  <c r="AD595" i="10"/>
  <c r="AD596" i="10"/>
  <c r="AD597" i="10"/>
  <c r="AD598" i="10"/>
  <c r="AD599" i="10"/>
  <c r="AD600" i="10"/>
  <c r="AD601" i="10"/>
  <c r="AD602" i="10"/>
  <c r="AD603" i="10"/>
  <c r="AD604" i="10"/>
  <c r="AD605" i="10"/>
  <c r="AD606" i="10"/>
  <c r="AD607" i="10"/>
  <c r="AD608" i="10"/>
  <c r="AD609" i="10"/>
  <c r="AD610" i="10"/>
  <c r="AD611" i="10"/>
  <c r="AD612" i="10"/>
  <c r="AD613" i="10"/>
  <c r="AD614" i="10"/>
  <c r="AD615" i="10"/>
  <c r="AD616" i="10"/>
  <c r="AD617" i="10"/>
  <c r="AD618" i="10"/>
  <c r="AD619" i="10"/>
  <c r="AD620" i="10"/>
  <c r="AD621" i="10"/>
  <c r="AD622" i="10"/>
  <c r="AD623" i="10"/>
  <c r="AD624" i="10"/>
  <c r="AD625" i="10"/>
  <c r="AD626" i="10"/>
  <c r="AD627" i="10"/>
  <c r="AD628" i="10"/>
  <c r="AD629" i="10"/>
  <c r="AD630" i="10"/>
  <c r="AD631" i="10"/>
  <c r="AD632" i="10"/>
  <c r="AD633" i="10"/>
  <c r="AD634" i="10"/>
  <c r="AD635" i="10"/>
  <c r="AD636" i="10"/>
  <c r="AD637" i="10"/>
  <c r="AD638" i="10"/>
  <c r="AD639" i="10"/>
  <c r="AD640" i="10"/>
  <c r="AD641" i="10"/>
  <c r="AD642" i="10"/>
  <c r="AD643" i="10"/>
  <c r="AD644" i="10"/>
  <c r="AD645" i="10"/>
  <c r="AD646" i="10"/>
  <c r="AD647" i="10"/>
  <c r="AD648" i="10"/>
  <c r="AD649" i="10"/>
  <c r="AD650" i="10"/>
  <c r="AD651" i="10"/>
  <c r="AD652" i="10"/>
  <c r="AD653" i="10"/>
  <c r="AD654" i="10"/>
  <c r="AD655" i="10"/>
  <c r="AD656" i="10"/>
  <c r="AD657" i="10"/>
  <c r="AD658" i="10"/>
  <c r="AD659" i="10"/>
  <c r="AD660" i="10"/>
  <c r="AD661" i="10"/>
  <c r="AD662" i="10"/>
  <c r="AD663" i="10"/>
  <c r="AD664" i="10"/>
  <c r="AD665" i="10"/>
  <c r="AD666" i="10"/>
  <c r="AD667" i="10"/>
  <c r="AD668" i="10"/>
  <c r="AD669" i="10"/>
  <c r="AD670" i="10"/>
  <c r="AD671" i="10"/>
  <c r="AD672" i="10"/>
  <c r="AD673" i="10"/>
  <c r="AD674" i="10"/>
  <c r="AD675" i="10"/>
  <c r="AD676" i="10"/>
  <c r="AD677" i="10"/>
  <c r="AD678" i="10"/>
  <c r="AD679" i="10"/>
  <c r="AD680" i="10"/>
  <c r="AD681" i="10"/>
  <c r="AD682" i="10"/>
  <c r="AD683" i="10"/>
  <c r="AD684" i="10"/>
  <c r="AD685" i="10"/>
  <c r="AD686" i="10"/>
  <c r="AD687" i="10"/>
  <c r="AD688" i="10"/>
  <c r="AD689" i="10"/>
  <c r="AD690" i="10"/>
  <c r="AD691" i="10"/>
  <c r="AD692" i="10"/>
  <c r="AD693" i="10"/>
  <c r="AD694" i="10"/>
  <c r="AD695" i="10"/>
  <c r="AD696" i="10"/>
  <c r="AD697" i="10"/>
  <c r="AD698" i="10"/>
  <c r="AD699" i="10"/>
  <c r="AD700" i="10"/>
  <c r="AD701" i="10"/>
  <c r="AD702" i="10"/>
  <c r="AD703" i="10"/>
  <c r="AD704" i="10"/>
  <c r="AD705" i="10"/>
  <c r="AD706" i="10"/>
  <c r="AD707" i="10"/>
  <c r="AD708" i="10"/>
  <c r="AD709" i="10"/>
  <c r="AD710" i="10"/>
  <c r="AD711" i="10"/>
  <c r="AD712" i="10"/>
  <c r="AD713" i="10"/>
  <c r="AD714" i="10"/>
  <c r="AD715" i="10"/>
  <c r="AD716" i="10"/>
  <c r="AD717" i="10"/>
  <c r="AD718" i="10"/>
  <c r="AD719" i="10"/>
  <c r="AD720" i="10"/>
  <c r="AD721" i="10"/>
  <c r="AD722" i="10"/>
  <c r="AD723" i="10"/>
  <c r="AD724" i="10"/>
  <c r="AD725" i="10"/>
  <c r="AD726" i="10"/>
  <c r="AD727" i="10"/>
  <c r="AD728" i="10"/>
  <c r="AD729" i="10"/>
  <c r="AD730" i="10"/>
  <c r="AD731" i="10"/>
  <c r="AD732" i="10"/>
  <c r="AD733" i="10"/>
  <c r="AD734" i="10"/>
  <c r="AD735" i="10"/>
  <c r="AD736" i="10"/>
  <c r="AD737" i="10"/>
  <c r="AD738" i="10"/>
  <c r="AD739" i="10"/>
  <c r="AD740" i="10"/>
  <c r="AD741" i="10"/>
  <c r="AD742" i="10"/>
  <c r="AD743" i="10"/>
  <c r="AD744" i="10"/>
  <c r="AD745" i="10"/>
  <c r="AD746" i="10"/>
  <c r="AD747" i="10"/>
  <c r="AD748" i="10"/>
  <c r="AD749" i="10"/>
  <c r="AD750" i="10"/>
  <c r="AD751" i="10"/>
  <c r="AD752" i="10"/>
  <c r="AD753" i="10"/>
  <c r="AD754" i="10"/>
  <c r="AD755" i="10"/>
  <c r="AD756" i="10"/>
  <c r="AD757" i="10"/>
  <c r="AD758" i="10"/>
  <c r="AD759" i="10"/>
  <c r="AD760" i="10"/>
  <c r="AD761" i="10"/>
  <c r="AD762" i="10"/>
  <c r="AD763" i="10"/>
  <c r="AD764" i="10"/>
  <c r="AD765" i="10"/>
  <c r="AD766" i="10"/>
  <c r="AD767" i="10"/>
  <c r="AD768" i="10"/>
  <c r="AD769" i="10"/>
  <c r="AD770" i="10"/>
  <c r="AD771" i="10"/>
  <c r="AD772" i="10"/>
  <c r="AD773" i="10"/>
  <c r="AD774" i="10"/>
  <c r="AD775" i="10"/>
  <c r="AD776" i="10"/>
  <c r="AD777" i="10"/>
  <c r="AD778" i="10"/>
  <c r="AD779" i="10"/>
  <c r="AD780" i="10"/>
  <c r="AD781" i="10"/>
  <c r="AD782" i="10"/>
  <c r="AD783" i="10"/>
  <c r="AD784" i="10"/>
  <c r="AD785" i="10"/>
  <c r="AD786" i="10"/>
  <c r="AD787" i="10"/>
  <c r="AD788" i="10"/>
  <c r="AD789" i="10"/>
  <c r="AD790" i="10"/>
  <c r="AD791" i="10"/>
  <c r="AD792" i="10"/>
  <c r="AD793" i="10"/>
  <c r="AD794" i="10"/>
  <c r="AD795" i="10"/>
  <c r="AD796" i="10"/>
  <c r="AD797" i="10"/>
  <c r="AD798" i="10"/>
  <c r="AD799" i="10"/>
  <c r="AD800" i="10"/>
  <c r="AD801" i="10"/>
  <c r="AD802" i="10"/>
  <c r="AD803" i="10"/>
  <c r="AD804" i="10"/>
  <c r="AD805" i="10"/>
  <c r="AD806" i="10"/>
  <c r="AD807" i="10"/>
  <c r="AD808" i="10"/>
  <c r="AD809" i="10"/>
  <c r="AD810" i="10"/>
  <c r="AD811" i="10"/>
  <c r="AD812" i="10"/>
  <c r="AD813" i="10"/>
  <c r="AD814" i="10"/>
  <c r="AD815" i="10"/>
  <c r="AD816" i="10"/>
  <c r="AD817" i="10"/>
  <c r="AD818" i="10"/>
  <c r="AD819" i="10"/>
  <c r="AD820" i="10"/>
  <c r="AD821" i="10"/>
  <c r="AD822" i="10"/>
  <c r="AD823" i="10"/>
  <c r="AD824" i="10"/>
  <c r="AD825" i="10"/>
  <c r="AD826" i="10"/>
  <c r="AD827" i="10"/>
  <c r="AD828" i="10"/>
  <c r="AD829" i="10"/>
  <c r="AD830" i="10"/>
  <c r="AD831" i="10"/>
  <c r="AD832" i="10"/>
  <c r="AD833" i="10"/>
  <c r="AD834" i="10"/>
  <c r="AD835" i="10"/>
  <c r="AD836" i="10"/>
  <c r="AD837" i="10"/>
  <c r="AD838" i="10"/>
  <c r="AD839" i="10"/>
  <c r="AD840" i="10"/>
  <c r="AD841" i="10"/>
  <c r="AD842" i="10"/>
  <c r="AD843" i="10"/>
  <c r="AD844" i="10"/>
  <c r="AD845" i="10"/>
  <c r="AD846" i="10"/>
  <c r="AD847" i="10"/>
  <c r="AD848" i="10"/>
  <c r="AD849" i="10"/>
  <c r="AD850" i="10"/>
  <c r="AD851" i="10"/>
  <c r="AD852" i="10"/>
  <c r="AD853" i="10"/>
  <c r="AD854" i="10"/>
  <c r="AD855" i="10"/>
  <c r="AD856" i="10"/>
  <c r="AD857" i="10"/>
  <c r="AD858" i="10"/>
  <c r="AD859" i="10"/>
  <c r="AD860" i="10"/>
  <c r="AD861" i="10"/>
  <c r="AD862" i="10"/>
  <c r="AD863" i="10"/>
  <c r="AD864" i="10"/>
  <c r="AD865" i="10"/>
  <c r="AD866" i="10"/>
  <c r="AD867" i="10"/>
  <c r="AD868" i="10"/>
  <c r="AD869" i="10"/>
  <c r="AD870" i="10"/>
  <c r="AD871" i="10"/>
  <c r="AD872" i="10"/>
  <c r="AD873" i="10"/>
  <c r="AD874" i="10"/>
  <c r="AD875" i="10"/>
  <c r="AD876" i="10"/>
  <c r="AD877" i="10"/>
  <c r="AD878" i="10"/>
  <c r="AD879" i="10"/>
  <c r="AD880" i="10"/>
  <c r="AD881" i="10"/>
  <c r="AD882" i="10"/>
  <c r="AD883" i="10"/>
  <c r="AD884" i="10"/>
  <c r="AD885" i="10"/>
  <c r="AD886" i="10"/>
  <c r="AD887" i="10"/>
  <c r="AD888" i="10"/>
  <c r="AD889" i="10"/>
  <c r="AD890" i="10"/>
  <c r="AD891" i="10"/>
  <c r="AD892" i="10"/>
  <c r="AD893" i="10"/>
  <c r="AD894" i="10"/>
  <c r="AD895" i="10"/>
  <c r="AD896" i="10"/>
  <c r="AD897" i="10"/>
  <c r="AD898" i="10"/>
  <c r="AD899" i="10"/>
  <c r="AD900" i="10"/>
  <c r="AD901" i="10"/>
  <c r="AD902" i="10"/>
  <c r="AD903" i="10"/>
  <c r="AD904" i="10"/>
  <c r="AD905" i="10"/>
  <c r="AD906" i="10"/>
  <c r="AD907" i="10"/>
  <c r="AD908" i="10"/>
  <c r="AD909" i="10"/>
  <c r="AD910" i="10"/>
  <c r="AD911" i="10"/>
  <c r="AD912" i="10"/>
  <c r="AD913" i="10"/>
  <c r="AD914" i="10"/>
  <c r="AD915" i="10"/>
  <c r="AD916" i="10"/>
  <c r="AD917" i="10"/>
  <c r="AD918" i="10"/>
  <c r="AD919" i="10"/>
  <c r="AD920" i="10"/>
  <c r="AD921" i="10"/>
  <c r="AD922" i="10"/>
  <c r="AD923" i="10"/>
  <c r="AD924" i="10"/>
  <c r="AD925" i="10"/>
  <c r="AD926" i="10"/>
  <c r="AD927" i="10"/>
  <c r="AD928" i="10"/>
  <c r="AD929" i="10"/>
  <c r="AD930" i="10"/>
  <c r="AD931" i="10"/>
  <c r="AD932" i="10"/>
  <c r="AD933" i="10"/>
  <c r="AD934" i="10"/>
  <c r="AD935" i="10"/>
  <c r="AD936" i="10"/>
  <c r="AD937" i="10"/>
  <c r="AD938" i="10"/>
  <c r="AD939" i="10"/>
  <c r="AD940" i="10"/>
  <c r="AD941" i="10"/>
  <c r="AD942" i="10"/>
  <c r="AD943" i="10"/>
  <c r="AD944" i="10"/>
  <c r="AD945" i="10"/>
  <c r="AD946" i="10"/>
  <c r="AD947" i="10"/>
  <c r="AD948" i="10"/>
  <c r="AD949" i="10"/>
  <c r="AD950" i="10"/>
  <c r="AD951" i="10"/>
  <c r="AD952" i="10"/>
  <c r="AD953" i="10"/>
  <c r="AD954" i="10"/>
  <c r="AD955" i="10"/>
  <c r="AD956" i="10"/>
  <c r="AD957" i="10"/>
  <c r="AD958" i="10"/>
  <c r="AD959" i="10"/>
  <c r="AD960" i="10"/>
  <c r="AD961" i="10"/>
  <c r="AD962" i="10"/>
  <c r="AD963" i="10"/>
  <c r="AD964" i="10"/>
  <c r="AD965" i="10"/>
  <c r="AD966" i="10"/>
  <c r="AD967" i="10"/>
  <c r="AD968" i="10"/>
  <c r="AD969" i="10"/>
  <c r="AD970" i="10"/>
  <c r="AD971" i="10"/>
  <c r="AD972" i="10"/>
  <c r="AD973" i="10"/>
  <c r="AD974" i="10"/>
  <c r="AD975" i="10"/>
  <c r="AD976" i="10"/>
  <c r="AD977" i="10"/>
  <c r="AD978" i="10"/>
  <c r="AD979" i="10"/>
  <c r="AD980" i="10"/>
  <c r="AD981" i="10"/>
  <c r="AD982" i="10"/>
  <c r="AD983" i="10"/>
  <c r="AD984" i="10"/>
  <c r="AD985" i="10"/>
  <c r="AD986" i="10"/>
  <c r="AD987" i="10"/>
  <c r="AD988" i="10"/>
  <c r="AD989" i="10"/>
  <c r="AD990" i="10"/>
  <c r="AD991" i="10"/>
  <c r="AD992" i="10"/>
  <c r="AD993" i="10"/>
  <c r="AD994" i="10"/>
  <c r="AD995" i="10"/>
  <c r="AD996" i="10"/>
  <c r="AD997" i="10"/>
  <c r="AD998" i="10"/>
  <c r="AD999" i="10"/>
  <c r="AD1000" i="10"/>
  <c r="AD1001" i="10"/>
  <c r="AD1002" i="10"/>
  <c r="AD1003" i="10"/>
  <c r="AD1004" i="10"/>
  <c r="AD1005" i="10"/>
  <c r="AD1006" i="10"/>
  <c r="AD1007" i="10"/>
  <c r="AD1008" i="10"/>
  <c r="AD1009" i="10"/>
  <c r="AD1010" i="10"/>
  <c r="AD1011" i="10"/>
  <c r="AD1012" i="10"/>
  <c r="AD1013" i="10"/>
  <c r="AD1014" i="10"/>
  <c r="AD1015" i="10"/>
  <c r="AD1016" i="10"/>
  <c r="AD1017" i="10"/>
  <c r="AD1018" i="10"/>
  <c r="AD1019" i="10"/>
  <c r="AD1020" i="10"/>
  <c r="AD1021" i="10"/>
  <c r="AD1022" i="10"/>
  <c r="AD1023" i="10"/>
  <c r="AD1024" i="10"/>
  <c r="AD1025" i="10"/>
  <c r="AD1026" i="10"/>
  <c r="AD1027" i="10"/>
  <c r="AD1028" i="10"/>
  <c r="AD1029" i="10"/>
  <c r="AD1030" i="10"/>
  <c r="AD1031" i="10"/>
  <c r="AD1032" i="10"/>
  <c r="AD1033" i="10"/>
  <c r="AD1034" i="10"/>
  <c r="AD1035" i="10"/>
  <c r="AD1036" i="10"/>
  <c r="AD1037" i="10"/>
  <c r="AD1038" i="10"/>
  <c r="AD1039" i="10"/>
  <c r="AD1040" i="10"/>
  <c r="AD1041" i="10"/>
  <c r="AD1042" i="10"/>
  <c r="AD1043" i="10"/>
  <c r="AD1044" i="10"/>
  <c r="AD1045" i="10"/>
  <c r="AD1046" i="10"/>
  <c r="AD1047" i="10"/>
  <c r="AD1048" i="10"/>
  <c r="AD1049" i="10"/>
  <c r="AD1050" i="10"/>
  <c r="AD1051" i="10"/>
  <c r="AD1052" i="10"/>
  <c r="AD1053" i="10"/>
  <c r="AD1054" i="10"/>
  <c r="AD1055" i="10"/>
  <c r="AD1056" i="10"/>
  <c r="AD1057" i="10"/>
  <c r="AD1058" i="10"/>
  <c r="AD1059" i="10"/>
  <c r="AD1060" i="10"/>
  <c r="AD1061" i="10"/>
  <c r="AD1062" i="10"/>
  <c r="AD1063" i="10"/>
  <c r="AD1064" i="10"/>
  <c r="AD1065" i="10"/>
  <c r="AD1066" i="10"/>
  <c r="AD1067" i="10"/>
  <c r="AD1068" i="10"/>
  <c r="AD1069" i="10"/>
  <c r="AD1070" i="10"/>
  <c r="AD1071" i="10"/>
  <c r="AD1072" i="10"/>
  <c r="AD1073" i="10"/>
  <c r="AD1074" i="10"/>
  <c r="AD1075" i="10"/>
  <c r="AD1076" i="10"/>
  <c r="AD1077" i="10"/>
  <c r="AD1078" i="10"/>
  <c r="AD1079" i="10"/>
  <c r="AD1080" i="10"/>
  <c r="AD1081" i="10"/>
  <c r="AD1082" i="10"/>
  <c r="AD1083" i="10"/>
  <c r="AD1084" i="10"/>
  <c r="AD1085" i="10"/>
  <c r="AD1086" i="10"/>
  <c r="AD1087" i="10"/>
  <c r="AD1088" i="10"/>
  <c r="AD1089" i="10"/>
  <c r="AD1090" i="10"/>
  <c r="AD1091" i="10"/>
  <c r="AD1092" i="10"/>
  <c r="AD1093" i="10"/>
  <c r="AD1094" i="10"/>
  <c r="AD1095" i="10"/>
  <c r="AD1096" i="10"/>
  <c r="AD1097" i="10"/>
  <c r="AD1098" i="10"/>
  <c r="AD1099" i="10"/>
  <c r="AD1100" i="10"/>
  <c r="AD1101" i="10"/>
  <c r="AD1102" i="10"/>
  <c r="AD1103" i="10"/>
  <c r="AD1104" i="10"/>
  <c r="AD1105" i="10"/>
  <c r="AD1106" i="10"/>
  <c r="AD1107" i="10"/>
  <c r="AD1108" i="10"/>
  <c r="AD1109" i="10"/>
  <c r="AD1110" i="10"/>
  <c r="AD1111" i="10"/>
  <c r="AD1112" i="10"/>
  <c r="AD1113" i="10"/>
  <c r="AD1114" i="10"/>
  <c r="AD1115" i="10"/>
  <c r="AD1116" i="10"/>
  <c r="AD1117" i="10"/>
  <c r="AD1118" i="10"/>
  <c r="AD1119" i="10"/>
  <c r="AD1120" i="10"/>
  <c r="AD1121" i="10"/>
  <c r="AD1122" i="10"/>
  <c r="AD1123" i="10"/>
  <c r="AD1124" i="10"/>
  <c r="AD1125" i="10"/>
  <c r="AD1126" i="10"/>
  <c r="AD1127" i="10"/>
  <c r="AD1128" i="10"/>
  <c r="AD1129" i="10"/>
  <c r="AD1130" i="10"/>
  <c r="AD1131" i="10"/>
  <c r="AD1132" i="10"/>
  <c r="AD1133" i="10"/>
  <c r="AD1134" i="10"/>
  <c r="AD1135" i="10"/>
  <c r="AD1136" i="10"/>
  <c r="AD1137" i="10"/>
  <c r="AD1138" i="10"/>
  <c r="AD1139" i="10"/>
  <c r="AD1140" i="10"/>
  <c r="AD1141" i="10"/>
  <c r="AD1142" i="10"/>
  <c r="AD1143" i="10"/>
  <c r="AD1144" i="10"/>
  <c r="AD1145" i="10"/>
  <c r="AD1146" i="10"/>
  <c r="AD1147" i="10"/>
  <c r="AD1148" i="10"/>
  <c r="AD1149" i="10"/>
  <c r="AD1150" i="10"/>
  <c r="AD1151" i="10"/>
  <c r="AD1152" i="10"/>
  <c r="AD1153" i="10"/>
  <c r="AD1154" i="10"/>
  <c r="AD1155" i="10"/>
  <c r="AD1156" i="10"/>
  <c r="AD1157" i="10"/>
  <c r="AD1158" i="10"/>
  <c r="AD1159" i="10"/>
  <c r="AD1160" i="10"/>
  <c r="AD1161" i="10"/>
  <c r="AD1162" i="10"/>
  <c r="AD1163" i="10"/>
  <c r="AD1164" i="10"/>
  <c r="AD1165" i="10"/>
  <c r="AD1166" i="10"/>
  <c r="AD1167" i="10"/>
  <c r="AD1168" i="10"/>
  <c r="AD1169" i="10"/>
  <c r="AD1170" i="10"/>
  <c r="AD1171" i="10"/>
  <c r="AD1172" i="10"/>
  <c r="AD1173" i="10"/>
  <c r="AD1174" i="10"/>
  <c r="AD1175" i="10"/>
  <c r="AD1176" i="10"/>
  <c r="AD1177" i="10"/>
  <c r="AD1178" i="10"/>
  <c r="AD1179" i="10"/>
  <c r="AD1180" i="10"/>
  <c r="AD1181" i="10"/>
  <c r="AD1182" i="10"/>
  <c r="AD1183" i="10"/>
  <c r="AD1184" i="10"/>
  <c r="AD1185" i="10"/>
  <c r="AD1186" i="10"/>
  <c r="AD1187" i="10"/>
  <c r="AD1188" i="10"/>
  <c r="AD1189" i="10"/>
  <c r="AD1190" i="10"/>
  <c r="AD1191" i="10"/>
  <c r="AD1192" i="10"/>
  <c r="AD1193" i="10"/>
  <c r="AD1194" i="10"/>
  <c r="AD1195" i="10"/>
  <c r="AD1196" i="10"/>
  <c r="AD1197" i="10"/>
  <c r="AD1198" i="10"/>
  <c r="AD1199" i="10"/>
  <c r="AD1200" i="10"/>
  <c r="AD1201" i="10"/>
  <c r="AD1202" i="10"/>
  <c r="AD1203" i="10"/>
  <c r="AD1204" i="10"/>
  <c r="AD1205" i="10"/>
  <c r="AD1206" i="10"/>
  <c r="AD1207" i="10"/>
  <c r="AD1208" i="10"/>
  <c r="AD6" i="10"/>
  <c r="AC7" i="10"/>
  <c r="AC8" i="10"/>
  <c r="AC9" i="10"/>
  <c r="AC10" i="10"/>
  <c r="AC11" i="10"/>
  <c r="AC12" i="10"/>
  <c r="AC13" i="10"/>
  <c r="AC14" i="10"/>
  <c r="AC15" i="10"/>
  <c r="AC16" i="10"/>
  <c r="AC17" i="10"/>
  <c r="AC18" i="10"/>
  <c r="AC19" i="10"/>
  <c r="AC20" i="10"/>
  <c r="AC21" i="10"/>
  <c r="AC22" i="10"/>
  <c r="AC23" i="10"/>
  <c r="AC24" i="10"/>
  <c r="AC25" i="10"/>
  <c r="AC26" i="10"/>
  <c r="AC27" i="10"/>
  <c r="AC28" i="10"/>
  <c r="AC29" i="10"/>
  <c r="AC30" i="10"/>
  <c r="AC31" i="10"/>
  <c r="AC32" i="10"/>
  <c r="AC33" i="10"/>
  <c r="AC34" i="10"/>
  <c r="AC35" i="10"/>
  <c r="AC36" i="10"/>
  <c r="AC37" i="10"/>
  <c r="AC38" i="10"/>
  <c r="AC39" i="10"/>
  <c r="AC40" i="10"/>
  <c r="AC41" i="10"/>
  <c r="AC42" i="10"/>
  <c r="AC43" i="10"/>
  <c r="AC44" i="10"/>
  <c r="AC45" i="10"/>
  <c r="AC46" i="10"/>
  <c r="AC47" i="10"/>
  <c r="AC48" i="10"/>
  <c r="AC49" i="10"/>
  <c r="AC50" i="10"/>
  <c r="AC51" i="10"/>
  <c r="AC52" i="10"/>
  <c r="AC53" i="10"/>
  <c r="AC54" i="10"/>
  <c r="AC55" i="10"/>
  <c r="AC56" i="10"/>
  <c r="AC57" i="10"/>
  <c r="AC58" i="10"/>
  <c r="AC59" i="10"/>
  <c r="AC60" i="10"/>
  <c r="AC61" i="10"/>
  <c r="AC62" i="10"/>
  <c r="AC63" i="10"/>
  <c r="AC64" i="10"/>
  <c r="AC65" i="10"/>
  <c r="AC66" i="10"/>
  <c r="AC67" i="10"/>
  <c r="AC68" i="10"/>
  <c r="AC69" i="10"/>
  <c r="AC70" i="10"/>
  <c r="AC71" i="10"/>
  <c r="AC72" i="10"/>
  <c r="AC73" i="10"/>
  <c r="AC74" i="10"/>
  <c r="AC75" i="10"/>
  <c r="AC76" i="10"/>
  <c r="AC77" i="10"/>
  <c r="AC78" i="10"/>
  <c r="AC79" i="10"/>
  <c r="AC80" i="10"/>
  <c r="AC81" i="10"/>
  <c r="AC82" i="10"/>
  <c r="AC83" i="10"/>
  <c r="AC84" i="10"/>
  <c r="AC85" i="10"/>
  <c r="AC86" i="10"/>
  <c r="AC87" i="10"/>
  <c r="AC88" i="10"/>
  <c r="AC89" i="10"/>
  <c r="AC90" i="10"/>
  <c r="AC91" i="10"/>
  <c r="AC92" i="10"/>
  <c r="AC93" i="10"/>
  <c r="AC94" i="10"/>
  <c r="AC95" i="10"/>
  <c r="AC96" i="10"/>
  <c r="AC97" i="10"/>
  <c r="AC98" i="10"/>
  <c r="AC99" i="10"/>
  <c r="AC100" i="10"/>
  <c r="AC101" i="10"/>
  <c r="AC102" i="10"/>
  <c r="AC103" i="10"/>
  <c r="AC104" i="10"/>
  <c r="AC105" i="10"/>
  <c r="AC106" i="10"/>
  <c r="AC107" i="10"/>
  <c r="AC108" i="10"/>
  <c r="AC109" i="10"/>
  <c r="AC110" i="10"/>
  <c r="AC111" i="10"/>
  <c r="AC112" i="10"/>
  <c r="AC113" i="10"/>
  <c r="AC114" i="10"/>
  <c r="AC115" i="10"/>
  <c r="AC116" i="10"/>
  <c r="AC117" i="10"/>
  <c r="AC118" i="10"/>
  <c r="AC119" i="10"/>
  <c r="AC120" i="10"/>
  <c r="AC121" i="10"/>
  <c r="AC122" i="10"/>
  <c r="AC123" i="10"/>
  <c r="AC124" i="10"/>
  <c r="AC125" i="10"/>
  <c r="AC126" i="10"/>
  <c r="AC127" i="10"/>
  <c r="AC128" i="10"/>
  <c r="AC129" i="10"/>
  <c r="AC130" i="10"/>
  <c r="AC131" i="10"/>
  <c r="AC132" i="10"/>
  <c r="AC133" i="10"/>
  <c r="AC134" i="10"/>
  <c r="AC135" i="10"/>
  <c r="AC136" i="10"/>
  <c r="AC137" i="10"/>
  <c r="AC138" i="10"/>
  <c r="AC139" i="10"/>
  <c r="AC140" i="10"/>
  <c r="AC141" i="10"/>
  <c r="AC142" i="10"/>
  <c r="AC143" i="10"/>
  <c r="AC144" i="10"/>
  <c r="AC145" i="10"/>
  <c r="AC146" i="10"/>
  <c r="AC147" i="10"/>
  <c r="AC148" i="10"/>
  <c r="AC149" i="10"/>
  <c r="AC150" i="10"/>
  <c r="AC151" i="10"/>
  <c r="AC152" i="10"/>
  <c r="AC153" i="10"/>
  <c r="AC154" i="10"/>
  <c r="AC155" i="10"/>
  <c r="AC156" i="10"/>
  <c r="AC157" i="10"/>
  <c r="AC158" i="10"/>
  <c r="AC159" i="10"/>
  <c r="AC160" i="10"/>
  <c r="AC161" i="10"/>
  <c r="AC162" i="10"/>
  <c r="AC163" i="10"/>
  <c r="AC164" i="10"/>
  <c r="AC165" i="10"/>
  <c r="AC166" i="10"/>
  <c r="AC167" i="10"/>
  <c r="AC168" i="10"/>
  <c r="AC169" i="10"/>
  <c r="AC170" i="10"/>
  <c r="AC171" i="10"/>
  <c r="AC172" i="10"/>
  <c r="AC173" i="10"/>
  <c r="AC174" i="10"/>
  <c r="AC175" i="10"/>
  <c r="AC176" i="10"/>
  <c r="AC177" i="10"/>
  <c r="AC178" i="10"/>
  <c r="AC179" i="10"/>
  <c r="AC180" i="10"/>
  <c r="AC181" i="10"/>
  <c r="AC182" i="10"/>
  <c r="AC183" i="10"/>
  <c r="AC184" i="10"/>
  <c r="AC185" i="10"/>
  <c r="AC186" i="10"/>
  <c r="AC187" i="10"/>
  <c r="AC188" i="10"/>
  <c r="AC189" i="10"/>
  <c r="AC190" i="10"/>
  <c r="AC191" i="10"/>
  <c r="AC192" i="10"/>
  <c r="AC193" i="10"/>
  <c r="AC194" i="10"/>
  <c r="AC195" i="10"/>
  <c r="AC196" i="10"/>
  <c r="AC197" i="10"/>
  <c r="AC198" i="10"/>
  <c r="AC199" i="10"/>
  <c r="AC200" i="10"/>
  <c r="AC201" i="10"/>
  <c r="AC202" i="10"/>
  <c r="AC203" i="10"/>
  <c r="AC204" i="10"/>
  <c r="AC205" i="10"/>
  <c r="AC206" i="10"/>
  <c r="AC207" i="10"/>
  <c r="AC208" i="10"/>
  <c r="AC209" i="10"/>
  <c r="AC210" i="10"/>
  <c r="AC211" i="10"/>
  <c r="AC212" i="10"/>
  <c r="AC213" i="10"/>
  <c r="AC214" i="10"/>
  <c r="AC215" i="10"/>
  <c r="AC216" i="10"/>
  <c r="AC217" i="10"/>
  <c r="AC218" i="10"/>
  <c r="AC219" i="10"/>
  <c r="AC220" i="10"/>
  <c r="AC221" i="10"/>
  <c r="AC222" i="10"/>
  <c r="AC223" i="10"/>
  <c r="AC224" i="10"/>
  <c r="AC225" i="10"/>
  <c r="AC226" i="10"/>
  <c r="AC227" i="10"/>
  <c r="AC228" i="10"/>
  <c r="AC229" i="10"/>
  <c r="AC230" i="10"/>
  <c r="AC231" i="10"/>
  <c r="AC232" i="10"/>
  <c r="AC233" i="10"/>
  <c r="AC234" i="10"/>
  <c r="AC235" i="10"/>
  <c r="AC236" i="10"/>
  <c r="AC237" i="10"/>
  <c r="AC238" i="10"/>
  <c r="AC239" i="10"/>
  <c r="AC240" i="10"/>
  <c r="AC241" i="10"/>
  <c r="AC242" i="10"/>
  <c r="AC243" i="10"/>
  <c r="AC244" i="10"/>
  <c r="AC245" i="10"/>
  <c r="AC246" i="10"/>
  <c r="AC247" i="10"/>
  <c r="AC248" i="10"/>
  <c r="AC249" i="10"/>
  <c r="AC250" i="10"/>
  <c r="AC251" i="10"/>
  <c r="AC252" i="10"/>
  <c r="AC253" i="10"/>
  <c r="AC254" i="10"/>
  <c r="AC255" i="10"/>
  <c r="AC256" i="10"/>
  <c r="AC257" i="10"/>
  <c r="AC258" i="10"/>
  <c r="AC259" i="10"/>
  <c r="AC260" i="10"/>
  <c r="AC261" i="10"/>
  <c r="AC262" i="10"/>
  <c r="AC263" i="10"/>
  <c r="AC264" i="10"/>
  <c r="AC265" i="10"/>
  <c r="AC266" i="10"/>
  <c r="AC267" i="10"/>
  <c r="AC268" i="10"/>
  <c r="AC269" i="10"/>
  <c r="AC270" i="10"/>
  <c r="AC271" i="10"/>
  <c r="AC272" i="10"/>
  <c r="AC273" i="10"/>
  <c r="AC274" i="10"/>
  <c r="AC275" i="10"/>
  <c r="AC276" i="10"/>
  <c r="AC277" i="10"/>
  <c r="AC278" i="10"/>
  <c r="AC279" i="10"/>
  <c r="AC280" i="10"/>
  <c r="AC281" i="10"/>
  <c r="AC282" i="10"/>
  <c r="AC283" i="10"/>
  <c r="AC284" i="10"/>
  <c r="AC285" i="10"/>
  <c r="AC286" i="10"/>
  <c r="AC287" i="10"/>
  <c r="AC288" i="10"/>
  <c r="AC289" i="10"/>
  <c r="AC290" i="10"/>
  <c r="AC291" i="10"/>
  <c r="AC292" i="10"/>
  <c r="AC293" i="10"/>
  <c r="AC294" i="10"/>
  <c r="AC295" i="10"/>
  <c r="AC296" i="10"/>
  <c r="AC297" i="10"/>
  <c r="AC298" i="10"/>
  <c r="AC299" i="10"/>
  <c r="AC300" i="10"/>
  <c r="AC301" i="10"/>
  <c r="AC302" i="10"/>
  <c r="AC303" i="10"/>
  <c r="AC304" i="10"/>
  <c r="AC305" i="10"/>
  <c r="AC306" i="10"/>
  <c r="AC307" i="10"/>
  <c r="AC308" i="10"/>
  <c r="AC309" i="10"/>
  <c r="AC310" i="10"/>
  <c r="AC311" i="10"/>
  <c r="AC312" i="10"/>
  <c r="AC313" i="10"/>
  <c r="AC314" i="10"/>
  <c r="AC315" i="10"/>
  <c r="AC316" i="10"/>
  <c r="AC317" i="10"/>
  <c r="AC318" i="10"/>
  <c r="AC319" i="10"/>
  <c r="AC320" i="10"/>
  <c r="AC321" i="10"/>
  <c r="AC322" i="10"/>
  <c r="AC323" i="10"/>
  <c r="AC324" i="10"/>
  <c r="AC325" i="10"/>
  <c r="AC326" i="10"/>
  <c r="AC327" i="10"/>
  <c r="AC328" i="10"/>
  <c r="AC329" i="10"/>
  <c r="AC330" i="10"/>
  <c r="AC331" i="10"/>
  <c r="AC332" i="10"/>
  <c r="AC333" i="10"/>
  <c r="AC334" i="10"/>
  <c r="AC335" i="10"/>
  <c r="AC336" i="10"/>
  <c r="AC337" i="10"/>
  <c r="AC338" i="10"/>
  <c r="AC339" i="10"/>
  <c r="AC340" i="10"/>
  <c r="AC341" i="10"/>
  <c r="AC342" i="10"/>
  <c r="AC343" i="10"/>
  <c r="AC344" i="10"/>
  <c r="AC345" i="10"/>
  <c r="AC346" i="10"/>
  <c r="AC347" i="10"/>
  <c r="AC348" i="10"/>
  <c r="AC349" i="10"/>
  <c r="AC350" i="10"/>
  <c r="AC351" i="10"/>
  <c r="AC352" i="10"/>
  <c r="AC353" i="10"/>
  <c r="AC354" i="10"/>
  <c r="AC355" i="10"/>
  <c r="AC356" i="10"/>
  <c r="AC357" i="10"/>
  <c r="AC358" i="10"/>
  <c r="AC359" i="10"/>
  <c r="AC360" i="10"/>
  <c r="AC361" i="10"/>
  <c r="AC362" i="10"/>
  <c r="AC363" i="10"/>
  <c r="AC364" i="10"/>
  <c r="AC365" i="10"/>
  <c r="AC366" i="10"/>
  <c r="AC367" i="10"/>
  <c r="AC368" i="10"/>
  <c r="AC369" i="10"/>
  <c r="AC370" i="10"/>
  <c r="AC371" i="10"/>
  <c r="AC372" i="10"/>
  <c r="AC373" i="10"/>
  <c r="AC374" i="10"/>
  <c r="AC375" i="10"/>
  <c r="AC376" i="10"/>
  <c r="AC377" i="10"/>
  <c r="AC378" i="10"/>
  <c r="AC379" i="10"/>
  <c r="AC380" i="10"/>
  <c r="AC381" i="10"/>
  <c r="AC382" i="10"/>
  <c r="AC383" i="10"/>
  <c r="AC384" i="10"/>
  <c r="AC385" i="10"/>
  <c r="AC386" i="10"/>
  <c r="AC387" i="10"/>
  <c r="AC388" i="10"/>
  <c r="AC389" i="10"/>
  <c r="AC390" i="10"/>
  <c r="AC391" i="10"/>
  <c r="AC392" i="10"/>
  <c r="AC393" i="10"/>
  <c r="AC394" i="10"/>
  <c r="AC395" i="10"/>
  <c r="AC396" i="10"/>
  <c r="AC397" i="10"/>
  <c r="AC398" i="10"/>
  <c r="AC399" i="10"/>
  <c r="AC400" i="10"/>
  <c r="AC401" i="10"/>
  <c r="AC402" i="10"/>
  <c r="AC403" i="10"/>
  <c r="AC404" i="10"/>
  <c r="AC405" i="10"/>
  <c r="AC406" i="10"/>
  <c r="AC407" i="10"/>
  <c r="AC408" i="10"/>
  <c r="AC409" i="10"/>
  <c r="AC410" i="10"/>
  <c r="AC411" i="10"/>
  <c r="AC412" i="10"/>
  <c r="AC413" i="10"/>
  <c r="AC414" i="10"/>
  <c r="AC415" i="10"/>
  <c r="AC416" i="10"/>
  <c r="AC417" i="10"/>
  <c r="AC418" i="10"/>
  <c r="AC419" i="10"/>
  <c r="AC420" i="10"/>
  <c r="AC421" i="10"/>
  <c r="AC422" i="10"/>
  <c r="AC423" i="10"/>
  <c r="AC424" i="10"/>
  <c r="AC425" i="10"/>
  <c r="AC426" i="10"/>
  <c r="AC427" i="10"/>
  <c r="AC428" i="10"/>
  <c r="AC429" i="10"/>
  <c r="AC430" i="10"/>
  <c r="AC431" i="10"/>
  <c r="AC432" i="10"/>
  <c r="AC433" i="10"/>
  <c r="AC434" i="10"/>
  <c r="AC435" i="10"/>
  <c r="AC436" i="10"/>
  <c r="AC437" i="10"/>
  <c r="AC438" i="10"/>
  <c r="AC439" i="10"/>
  <c r="AC440" i="10"/>
  <c r="AC441" i="10"/>
  <c r="AC442" i="10"/>
  <c r="AC443" i="10"/>
  <c r="AC444" i="10"/>
  <c r="AC445" i="10"/>
  <c r="AC446" i="10"/>
  <c r="AC447" i="10"/>
  <c r="AC448" i="10"/>
  <c r="AC449" i="10"/>
  <c r="AC450" i="10"/>
  <c r="AC451" i="10"/>
  <c r="AC452" i="10"/>
  <c r="AC453" i="10"/>
  <c r="AC454" i="10"/>
  <c r="AC455" i="10"/>
  <c r="AC456" i="10"/>
  <c r="AC457" i="10"/>
  <c r="AC458" i="10"/>
  <c r="AC459" i="10"/>
  <c r="AC460" i="10"/>
  <c r="AC461" i="10"/>
  <c r="AC462" i="10"/>
  <c r="AC463" i="10"/>
  <c r="AC464" i="10"/>
  <c r="AC465" i="10"/>
  <c r="AC466" i="10"/>
  <c r="AC467" i="10"/>
  <c r="AC468" i="10"/>
  <c r="AC469" i="10"/>
  <c r="AC470" i="10"/>
  <c r="AC471" i="10"/>
  <c r="AC472" i="10"/>
  <c r="AC473" i="10"/>
  <c r="AC474" i="10"/>
  <c r="AC475" i="10"/>
  <c r="AC476" i="10"/>
  <c r="AC477" i="10"/>
  <c r="AC478" i="10"/>
  <c r="AC479" i="10"/>
  <c r="AC480" i="10"/>
  <c r="AC481" i="10"/>
  <c r="AC482" i="10"/>
  <c r="AC483" i="10"/>
  <c r="AC484" i="10"/>
  <c r="AC485" i="10"/>
  <c r="AC486" i="10"/>
  <c r="AC487" i="10"/>
  <c r="AC488" i="10"/>
  <c r="AC489" i="10"/>
  <c r="AC490" i="10"/>
  <c r="AC491" i="10"/>
  <c r="AC492" i="10"/>
  <c r="AC493" i="10"/>
  <c r="AC494" i="10"/>
  <c r="AC495" i="10"/>
  <c r="AC496" i="10"/>
  <c r="AC497" i="10"/>
  <c r="AC498" i="10"/>
  <c r="AC499" i="10"/>
  <c r="AC500" i="10"/>
  <c r="AC501" i="10"/>
  <c r="AC502" i="10"/>
  <c r="AC503" i="10"/>
  <c r="AC504" i="10"/>
  <c r="AC505" i="10"/>
  <c r="AC506" i="10"/>
  <c r="AC507" i="10"/>
  <c r="AC508" i="10"/>
  <c r="AC509" i="10"/>
  <c r="AC510" i="10"/>
  <c r="AC511" i="10"/>
  <c r="AC512" i="10"/>
  <c r="AC513" i="10"/>
  <c r="AC514" i="10"/>
  <c r="AC515" i="10"/>
  <c r="AC516" i="10"/>
  <c r="AC517" i="10"/>
  <c r="AC518" i="10"/>
  <c r="AC519" i="10"/>
  <c r="AC520" i="10"/>
  <c r="AC521" i="10"/>
  <c r="AC522" i="10"/>
  <c r="AC523" i="10"/>
  <c r="AC524" i="10"/>
  <c r="AC525" i="10"/>
  <c r="AC526" i="10"/>
  <c r="AC527" i="10"/>
  <c r="AC528" i="10"/>
  <c r="AC529" i="10"/>
  <c r="AC530" i="10"/>
  <c r="AC531" i="10"/>
  <c r="AC532" i="10"/>
  <c r="AC533" i="10"/>
  <c r="AC534" i="10"/>
  <c r="AC535" i="10"/>
  <c r="AC536" i="10"/>
  <c r="AC537" i="10"/>
  <c r="AC538" i="10"/>
  <c r="AC539" i="10"/>
  <c r="AC540" i="10"/>
  <c r="AC541" i="10"/>
  <c r="AC542" i="10"/>
  <c r="AC543" i="10"/>
  <c r="AC544" i="10"/>
  <c r="AC545" i="10"/>
  <c r="AC546" i="10"/>
  <c r="AC547" i="10"/>
  <c r="AC548" i="10"/>
  <c r="AC549" i="10"/>
  <c r="AC550" i="10"/>
  <c r="AC551" i="10"/>
  <c r="AC552" i="10"/>
  <c r="AC553" i="10"/>
  <c r="AC554" i="10"/>
  <c r="AC555" i="10"/>
  <c r="AC556" i="10"/>
  <c r="AC557" i="10"/>
  <c r="AC558" i="10"/>
  <c r="AC559" i="10"/>
  <c r="AC560" i="10"/>
  <c r="AC561" i="10"/>
  <c r="AC562" i="10"/>
  <c r="AC563" i="10"/>
  <c r="AC564" i="10"/>
  <c r="AC565" i="10"/>
  <c r="AC566" i="10"/>
  <c r="AC567" i="10"/>
  <c r="AC568" i="10"/>
  <c r="AC569" i="10"/>
  <c r="AC570" i="10"/>
  <c r="AC571" i="10"/>
  <c r="AC572" i="10"/>
  <c r="AC573" i="10"/>
  <c r="AC574" i="10"/>
  <c r="AC575" i="10"/>
  <c r="AC576" i="10"/>
  <c r="AC577" i="10"/>
  <c r="AC578" i="10"/>
  <c r="AC579" i="10"/>
  <c r="AC580" i="10"/>
  <c r="AC581" i="10"/>
  <c r="AC582" i="10"/>
  <c r="AC583" i="10"/>
  <c r="AC584" i="10"/>
  <c r="AC585" i="10"/>
  <c r="AC586" i="10"/>
  <c r="AC587" i="10"/>
  <c r="AC588" i="10"/>
  <c r="AC589" i="10"/>
  <c r="AC590" i="10"/>
  <c r="AC591" i="10"/>
  <c r="AC592" i="10"/>
  <c r="AC593" i="10"/>
  <c r="AC594" i="10"/>
  <c r="AC595" i="10"/>
  <c r="AC596" i="10"/>
  <c r="AC597" i="10"/>
  <c r="AC598" i="10"/>
  <c r="AC599" i="10"/>
  <c r="AC600" i="10"/>
  <c r="AC601" i="10"/>
  <c r="AC602" i="10"/>
  <c r="AC603" i="10"/>
  <c r="AC604" i="10"/>
  <c r="AC605" i="10"/>
  <c r="AC606" i="10"/>
  <c r="AC607" i="10"/>
  <c r="AC608" i="10"/>
  <c r="AC609" i="10"/>
  <c r="AC610" i="10"/>
  <c r="AC611" i="10"/>
  <c r="AC612" i="10"/>
  <c r="AC613" i="10"/>
  <c r="AC614" i="10"/>
  <c r="AC615" i="10"/>
  <c r="AC616" i="10"/>
  <c r="AC617" i="10"/>
  <c r="AC618" i="10"/>
  <c r="AC619" i="10"/>
  <c r="AC620" i="10"/>
  <c r="AC621" i="10"/>
  <c r="AC622" i="10"/>
  <c r="AC623" i="10"/>
  <c r="AC624" i="10"/>
  <c r="AC625" i="10"/>
  <c r="AC626" i="10"/>
  <c r="AC627" i="10"/>
  <c r="AC628" i="10"/>
  <c r="AC629" i="10"/>
  <c r="AC630" i="10"/>
  <c r="AC631" i="10"/>
  <c r="AC632" i="10"/>
  <c r="AC633" i="10"/>
  <c r="AC634" i="10"/>
  <c r="AC635" i="10"/>
  <c r="AC636" i="10"/>
  <c r="AC637" i="10"/>
  <c r="AC638" i="10"/>
  <c r="AC639" i="10"/>
  <c r="AC640" i="10"/>
  <c r="AC641" i="10"/>
  <c r="AC642" i="10"/>
  <c r="AC643" i="10"/>
  <c r="AC644" i="10"/>
  <c r="AC645" i="10"/>
  <c r="AC646" i="10"/>
  <c r="AC647" i="10"/>
  <c r="AC648" i="10"/>
  <c r="AC649" i="10"/>
  <c r="AC650" i="10"/>
  <c r="AC651" i="10"/>
  <c r="AC652" i="10"/>
  <c r="AC653" i="10"/>
  <c r="AC654" i="10"/>
  <c r="AC655" i="10"/>
  <c r="AC656" i="10"/>
  <c r="AC657" i="10"/>
  <c r="AC658" i="10"/>
  <c r="AC659" i="10"/>
  <c r="AC660" i="10"/>
  <c r="AC661" i="10"/>
  <c r="AC662" i="10"/>
  <c r="AC663" i="10"/>
  <c r="AC664" i="10"/>
  <c r="AC665" i="10"/>
  <c r="AC666" i="10"/>
  <c r="AC667" i="10"/>
  <c r="AC668" i="10"/>
  <c r="AC669" i="10"/>
  <c r="AC670" i="10"/>
  <c r="AC671" i="10"/>
  <c r="AC672" i="10"/>
  <c r="AC673" i="10"/>
  <c r="AC674" i="10"/>
  <c r="AC675" i="10"/>
  <c r="AC676" i="10"/>
  <c r="AC677" i="10"/>
  <c r="AC678" i="10"/>
  <c r="AC679" i="10"/>
  <c r="AC680" i="10"/>
  <c r="AC681" i="10"/>
  <c r="AC682" i="10"/>
  <c r="AC683" i="10"/>
  <c r="AC684" i="10"/>
  <c r="AC685" i="10"/>
  <c r="AC686" i="10"/>
  <c r="AC687" i="10"/>
  <c r="AC688" i="10"/>
  <c r="AC689" i="10"/>
  <c r="AC690" i="10"/>
  <c r="AC691" i="10"/>
  <c r="AC692" i="10"/>
  <c r="AC693" i="10"/>
  <c r="AC694" i="10"/>
  <c r="AC695" i="10"/>
  <c r="AC696" i="10"/>
  <c r="AC697" i="10"/>
  <c r="AC698" i="10"/>
  <c r="AC699" i="10"/>
  <c r="AC700" i="10"/>
  <c r="AC701" i="10"/>
  <c r="AC702" i="10"/>
  <c r="AC703" i="10"/>
  <c r="AC704" i="10"/>
  <c r="AC705" i="10"/>
  <c r="AC706" i="10"/>
  <c r="AC707" i="10"/>
  <c r="AC708" i="10"/>
  <c r="AC709" i="10"/>
  <c r="AC710" i="10"/>
  <c r="AC711" i="10"/>
  <c r="AC712" i="10"/>
  <c r="AC713" i="10"/>
  <c r="AC714" i="10"/>
  <c r="AC715" i="10"/>
  <c r="AC716" i="10"/>
  <c r="AC717" i="10"/>
  <c r="AC718" i="10"/>
  <c r="AC719" i="10"/>
  <c r="AC720" i="10"/>
  <c r="AC721" i="10"/>
  <c r="AC722" i="10"/>
  <c r="AC723" i="10"/>
  <c r="AC724" i="10"/>
  <c r="AC725" i="10"/>
  <c r="AC726" i="10"/>
  <c r="AC727" i="10"/>
  <c r="AC728" i="10"/>
  <c r="AC729" i="10"/>
  <c r="AC730" i="10"/>
  <c r="AC731" i="10"/>
  <c r="AC732" i="10"/>
  <c r="AC733" i="10"/>
  <c r="AC734" i="10"/>
  <c r="AC735" i="10"/>
  <c r="AC736" i="10"/>
  <c r="AC737" i="10"/>
  <c r="AC738" i="10"/>
  <c r="AC739" i="10"/>
  <c r="AC740" i="10"/>
  <c r="AC741" i="10"/>
  <c r="AC742" i="10"/>
  <c r="AC743" i="10"/>
  <c r="AC744" i="10"/>
  <c r="AC745" i="10"/>
  <c r="AC746" i="10"/>
  <c r="AC747" i="10"/>
  <c r="AC748" i="10"/>
  <c r="AC749" i="10"/>
  <c r="AC750" i="10"/>
  <c r="AC751" i="10"/>
  <c r="AC752" i="10"/>
  <c r="AC753" i="10"/>
  <c r="AC754" i="10"/>
  <c r="AC755" i="10"/>
  <c r="AC756" i="10"/>
  <c r="AC757" i="10"/>
  <c r="AC758" i="10"/>
  <c r="AC759" i="10"/>
  <c r="AC760" i="10"/>
  <c r="AC761" i="10"/>
  <c r="AC762" i="10"/>
  <c r="AC763" i="10"/>
  <c r="AC764" i="10"/>
  <c r="AC765" i="10"/>
  <c r="AC766" i="10"/>
  <c r="AC767" i="10"/>
  <c r="AC768" i="10"/>
  <c r="AC769" i="10"/>
  <c r="AC770" i="10"/>
  <c r="AC771" i="10"/>
  <c r="AC772" i="10"/>
  <c r="AC773" i="10"/>
  <c r="AC774" i="10"/>
  <c r="AC775" i="10"/>
  <c r="AC776" i="10"/>
  <c r="AC777" i="10"/>
  <c r="AC778" i="10"/>
  <c r="AC779" i="10"/>
  <c r="AC780" i="10"/>
  <c r="AC781" i="10"/>
  <c r="AC782" i="10"/>
  <c r="AC783" i="10"/>
  <c r="AC784" i="10"/>
  <c r="AC785" i="10"/>
  <c r="AC786" i="10"/>
  <c r="AC787" i="10"/>
  <c r="AC788" i="10"/>
  <c r="AC789" i="10"/>
  <c r="AC790" i="10"/>
  <c r="AC791" i="10"/>
  <c r="AC792" i="10"/>
  <c r="AC793" i="10"/>
  <c r="AC794" i="10"/>
  <c r="AC795" i="10"/>
  <c r="AC796" i="10"/>
  <c r="AC797" i="10"/>
  <c r="AC798" i="10"/>
  <c r="AC799" i="10"/>
  <c r="AC800" i="10"/>
  <c r="AC801" i="10"/>
  <c r="AC802" i="10"/>
  <c r="AC803" i="10"/>
  <c r="AC804" i="10"/>
  <c r="AC805" i="10"/>
  <c r="AC806" i="10"/>
  <c r="AC807" i="10"/>
  <c r="AC808" i="10"/>
  <c r="AC809" i="10"/>
  <c r="AC810" i="10"/>
  <c r="AC811" i="10"/>
  <c r="AC812" i="10"/>
  <c r="AC813" i="10"/>
  <c r="AC814" i="10"/>
  <c r="AC815" i="10"/>
  <c r="AC816" i="10"/>
  <c r="AC817" i="10"/>
  <c r="AC818" i="10"/>
  <c r="AC819" i="10"/>
  <c r="AC820" i="10"/>
  <c r="AC821" i="10"/>
  <c r="AC822" i="10"/>
  <c r="AC823" i="10"/>
  <c r="AC824" i="10"/>
  <c r="AC825" i="10"/>
  <c r="AC826" i="10"/>
  <c r="AC827" i="10"/>
  <c r="AC828" i="10"/>
  <c r="AC829" i="10"/>
  <c r="AC830" i="10"/>
  <c r="AC831" i="10"/>
  <c r="AC832" i="10"/>
  <c r="AC833" i="10"/>
  <c r="AC834" i="10"/>
  <c r="AC835" i="10"/>
  <c r="AC836" i="10"/>
  <c r="AC837" i="10"/>
  <c r="AC838" i="10"/>
  <c r="AC839" i="10"/>
  <c r="AC840" i="10"/>
  <c r="AC841" i="10"/>
  <c r="AC842" i="10"/>
  <c r="AC843" i="10"/>
  <c r="AC844" i="10"/>
  <c r="AC845" i="10"/>
  <c r="AC846" i="10"/>
  <c r="AC847" i="10"/>
  <c r="AC848" i="10"/>
  <c r="AC849" i="10"/>
  <c r="AC850" i="10"/>
  <c r="AC851" i="10"/>
  <c r="AC852" i="10"/>
  <c r="AC853" i="10"/>
  <c r="AC854" i="10"/>
  <c r="AC855" i="10"/>
  <c r="AC856" i="10"/>
  <c r="AC857" i="10"/>
  <c r="AC858" i="10"/>
  <c r="AC859" i="10"/>
  <c r="AC860" i="10"/>
  <c r="AC861" i="10"/>
  <c r="AC862" i="10"/>
  <c r="AC863" i="10"/>
  <c r="AC864" i="10"/>
  <c r="AC865" i="10"/>
  <c r="AC866" i="10"/>
  <c r="AC867" i="10"/>
  <c r="AC868" i="10"/>
  <c r="AC869" i="10"/>
  <c r="AC870" i="10"/>
  <c r="AC871" i="10"/>
  <c r="AC872" i="10"/>
  <c r="AC873" i="10"/>
  <c r="AC874" i="10"/>
  <c r="AC875" i="10"/>
  <c r="AC876" i="10"/>
  <c r="AC877" i="10"/>
  <c r="AC878" i="10"/>
  <c r="AC879" i="10"/>
  <c r="AC880" i="10"/>
  <c r="AC881" i="10"/>
  <c r="AC882" i="10"/>
  <c r="AC883" i="10"/>
  <c r="AC884" i="10"/>
  <c r="AC885" i="10"/>
  <c r="AC886" i="10"/>
  <c r="AC887" i="10"/>
  <c r="AC888" i="10"/>
  <c r="AC889" i="10"/>
  <c r="AC890" i="10"/>
  <c r="AC891" i="10"/>
  <c r="AC892" i="10"/>
  <c r="AC893" i="10"/>
  <c r="AC894" i="10"/>
  <c r="AC895" i="10"/>
  <c r="AC896" i="10"/>
  <c r="AC897" i="10"/>
  <c r="AC898" i="10"/>
  <c r="AC899" i="10"/>
  <c r="AC900" i="10"/>
  <c r="AC901" i="10"/>
  <c r="AC902" i="10"/>
  <c r="AC903" i="10"/>
  <c r="AC904" i="10"/>
  <c r="AC905" i="10"/>
  <c r="AC906" i="10"/>
  <c r="AC907" i="10"/>
  <c r="AC908" i="10"/>
  <c r="AC909" i="10"/>
  <c r="AC910" i="10"/>
  <c r="AC911" i="10"/>
  <c r="AC912" i="10"/>
  <c r="AC913" i="10"/>
  <c r="AC914" i="10"/>
  <c r="AC915" i="10"/>
  <c r="AC916" i="10"/>
  <c r="AC917" i="10"/>
  <c r="AC918" i="10"/>
  <c r="AC919" i="10"/>
  <c r="AC920" i="10"/>
  <c r="AC921" i="10"/>
  <c r="AC922" i="10"/>
  <c r="AC923" i="10"/>
  <c r="AC924" i="10"/>
  <c r="AC925" i="10"/>
  <c r="AC926" i="10"/>
  <c r="AC927" i="10"/>
  <c r="AC928" i="10"/>
  <c r="AC929" i="10"/>
  <c r="AC930" i="10"/>
  <c r="AC931" i="10"/>
  <c r="AC932" i="10"/>
  <c r="AC933" i="10"/>
  <c r="AC934" i="10"/>
  <c r="AC935" i="10"/>
  <c r="AC936" i="10"/>
  <c r="AC937" i="10"/>
  <c r="AC938" i="10"/>
  <c r="AC939" i="10"/>
  <c r="AC940" i="10"/>
  <c r="AC941" i="10"/>
  <c r="AC942" i="10"/>
  <c r="AC943" i="10"/>
  <c r="AC944" i="10"/>
  <c r="AC945" i="10"/>
  <c r="AC946" i="10"/>
  <c r="AC947" i="10"/>
  <c r="AC948" i="10"/>
  <c r="AC949" i="10"/>
  <c r="AC950" i="10"/>
  <c r="AC951" i="10"/>
  <c r="AC952" i="10"/>
  <c r="AC953" i="10"/>
  <c r="AC954" i="10"/>
  <c r="AC955" i="10"/>
  <c r="AC956" i="10"/>
  <c r="AC957" i="10"/>
  <c r="AC958" i="10"/>
  <c r="AC959" i="10"/>
  <c r="AC960" i="10"/>
  <c r="AC961" i="10"/>
  <c r="AC962" i="10"/>
  <c r="AC963" i="10"/>
  <c r="AC964" i="10"/>
  <c r="AC965" i="10"/>
  <c r="AC966" i="10"/>
  <c r="AC967" i="10"/>
  <c r="AC968" i="10"/>
  <c r="AC969" i="10"/>
  <c r="AC970" i="10"/>
  <c r="AC971" i="10"/>
  <c r="AC972" i="10"/>
  <c r="AC973" i="10"/>
  <c r="AC974" i="10"/>
  <c r="AC975" i="10"/>
  <c r="AC976" i="10"/>
  <c r="AC977" i="10"/>
  <c r="AC978" i="10"/>
  <c r="AC979" i="10"/>
  <c r="AC980" i="10"/>
  <c r="AC981" i="10"/>
  <c r="AC982" i="10"/>
  <c r="AC983" i="10"/>
  <c r="AC984" i="10"/>
  <c r="AC985" i="10"/>
  <c r="AC986" i="10"/>
  <c r="AC987" i="10"/>
  <c r="AC988" i="10"/>
  <c r="AC989" i="10"/>
  <c r="AC990" i="10"/>
  <c r="AC991" i="10"/>
  <c r="AC992" i="10"/>
  <c r="AC993" i="10"/>
  <c r="AC994" i="10"/>
  <c r="AC995" i="10"/>
  <c r="AC996" i="10"/>
  <c r="AC997" i="10"/>
  <c r="AC998" i="10"/>
  <c r="AC999" i="10"/>
  <c r="AC1000" i="10"/>
  <c r="AC1001" i="10"/>
  <c r="AC1002" i="10"/>
  <c r="AC1003" i="10"/>
  <c r="AC1004" i="10"/>
  <c r="AC1005" i="10"/>
  <c r="AC1006" i="10"/>
  <c r="AC1007" i="10"/>
  <c r="AC1008" i="10"/>
  <c r="AC1009" i="10"/>
  <c r="AC1010" i="10"/>
  <c r="AC1011" i="10"/>
  <c r="AC1012" i="10"/>
  <c r="AC1013" i="10"/>
  <c r="AC1014" i="10"/>
  <c r="AC1015" i="10"/>
  <c r="AC1016" i="10"/>
  <c r="AC1017" i="10"/>
  <c r="AC1018" i="10"/>
  <c r="AC1019" i="10"/>
  <c r="AC1020" i="10"/>
  <c r="AC1021" i="10"/>
  <c r="AC1022" i="10"/>
  <c r="AC1023" i="10"/>
  <c r="AC1024" i="10"/>
  <c r="AC1025" i="10"/>
  <c r="AC1026" i="10"/>
  <c r="AC1027" i="10"/>
  <c r="AC1028" i="10"/>
  <c r="AC1029" i="10"/>
  <c r="AC1030" i="10"/>
  <c r="AC1031" i="10"/>
  <c r="AC1032" i="10"/>
  <c r="AC1033" i="10"/>
  <c r="AC1034" i="10"/>
  <c r="AC1035" i="10"/>
  <c r="AC1036" i="10"/>
  <c r="AC1037" i="10"/>
  <c r="AC1038" i="10"/>
  <c r="AC1039" i="10"/>
  <c r="AC1040" i="10"/>
  <c r="AC1041" i="10"/>
  <c r="AC1042" i="10"/>
  <c r="AC1043" i="10"/>
  <c r="AC1044" i="10"/>
  <c r="AC1045" i="10"/>
  <c r="AC1046" i="10"/>
  <c r="AC1047" i="10"/>
  <c r="AC1048" i="10"/>
  <c r="AC1049" i="10"/>
  <c r="AC1050" i="10"/>
  <c r="AC1051" i="10"/>
  <c r="AC1052" i="10"/>
  <c r="AC1053" i="10"/>
  <c r="AC1054" i="10"/>
  <c r="AC1055" i="10"/>
  <c r="AC1056" i="10"/>
  <c r="AC1057" i="10"/>
  <c r="AC1058" i="10"/>
  <c r="AC1059" i="10"/>
  <c r="AC1060" i="10"/>
  <c r="AC1061" i="10"/>
  <c r="AC1062" i="10"/>
  <c r="AC1063" i="10"/>
  <c r="AC1064" i="10"/>
  <c r="AC1065" i="10"/>
  <c r="AC1066" i="10"/>
  <c r="AC1067" i="10"/>
  <c r="AC1068" i="10"/>
  <c r="AC1069" i="10"/>
  <c r="AC1070" i="10"/>
  <c r="AC1071" i="10"/>
  <c r="AC1072" i="10"/>
  <c r="AC1073" i="10"/>
  <c r="AC1074" i="10"/>
  <c r="AC1075" i="10"/>
  <c r="AC1076" i="10"/>
  <c r="AC1077" i="10"/>
  <c r="AC1078" i="10"/>
  <c r="AC1079" i="10"/>
  <c r="AC1080" i="10"/>
  <c r="AC1081" i="10"/>
  <c r="AC1082" i="10"/>
  <c r="AC1083" i="10"/>
  <c r="AC1084" i="10"/>
  <c r="AC1085" i="10"/>
  <c r="AC1086" i="10"/>
  <c r="AC1087" i="10"/>
  <c r="AC1088" i="10"/>
  <c r="AC1089" i="10"/>
  <c r="AC1090" i="10"/>
  <c r="AC1091" i="10"/>
  <c r="AC1092" i="10"/>
  <c r="AC1093" i="10"/>
  <c r="AC1094" i="10"/>
  <c r="AC1095" i="10"/>
  <c r="AC1096" i="10"/>
  <c r="AC1097" i="10"/>
  <c r="AC1098" i="10"/>
  <c r="AC1099" i="10"/>
  <c r="AC1100" i="10"/>
  <c r="AC1101" i="10"/>
  <c r="AC1102" i="10"/>
  <c r="AC1103" i="10"/>
  <c r="AC1104" i="10"/>
  <c r="AC1105" i="10"/>
  <c r="AC1106" i="10"/>
  <c r="AC1107" i="10"/>
  <c r="AC1108" i="10"/>
  <c r="AC1109" i="10"/>
  <c r="AC1110" i="10"/>
  <c r="AC1111" i="10"/>
  <c r="AC1112" i="10"/>
  <c r="AC1113" i="10"/>
  <c r="AC1114" i="10"/>
  <c r="AC1115" i="10"/>
  <c r="AC1116" i="10"/>
  <c r="AC1117" i="10"/>
  <c r="AC1118" i="10"/>
  <c r="AC1119" i="10"/>
  <c r="AC1120" i="10"/>
  <c r="AC1121" i="10"/>
  <c r="AC1122" i="10"/>
  <c r="AC1123" i="10"/>
  <c r="AC1124" i="10"/>
  <c r="AC1125" i="10"/>
  <c r="AC1126" i="10"/>
  <c r="AC1127" i="10"/>
  <c r="AC1128" i="10"/>
  <c r="AC1129" i="10"/>
  <c r="AC1130" i="10"/>
  <c r="AC1131" i="10"/>
  <c r="AC1132" i="10"/>
  <c r="AC1133" i="10"/>
  <c r="AC1134" i="10"/>
  <c r="AC1135" i="10"/>
  <c r="AC1136" i="10"/>
  <c r="AC1137" i="10"/>
  <c r="AC1138" i="10"/>
  <c r="AC1139" i="10"/>
  <c r="AC1140" i="10"/>
  <c r="AC1141" i="10"/>
  <c r="AC1142" i="10"/>
  <c r="AC1143" i="10"/>
  <c r="AC1144" i="10"/>
  <c r="AC1145" i="10"/>
  <c r="AC1146" i="10"/>
  <c r="AC1147" i="10"/>
  <c r="AC1148" i="10"/>
  <c r="AC1149" i="10"/>
  <c r="AC1150" i="10"/>
  <c r="AC1151" i="10"/>
  <c r="AC1152" i="10"/>
  <c r="AC1153" i="10"/>
  <c r="AC1154" i="10"/>
  <c r="AC1155" i="10"/>
  <c r="AC1156" i="10"/>
  <c r="AC1157" i="10"/>
  <c r="AC1158" i="10"/>
  <c r="AC1159" i="10"/>
  <c r="AC1160" i="10"/>
  <c r="AC1161" i="10"/>
  <c r="AC1162" i="10"/>
  <c r="AC1163" i="10"/>
  <c r="AC1164" i="10"/>
  <c r="AC1165" i="10"/>
  <c r="AC1166" i="10"/>
  <c r="AC1167" i="10"/>
  <c r="AC1168" i="10"/>
  <c r="AC1169" i="10"/>
  <c r="AC1170" i="10"/>
  <c r="AC1171" i="10"/>
  <c r="AC1172" i="10"/>
  <c r="AC1173" i="10"/>
  <c r="AC1174" i="10"/>
  <c r="AC1175" i="10"/>
  <c r="AC1176" i="10"/>
  <c r="AC1177" i="10"/>
  <c r="AC1178" i="10"/>
  <c r="AC1179" i="10"/>
  <c r="AC1180" i="10"/>
  <c r="AC1181" i="10"/>
  <c r="AC1182" i="10"/>
  <c r="AC1183" i="10"/>
  <c r="AC1184" i="10"/>
  <c r="AC1185" i="10"/>
  <c r="AC1186" i="10"/>
  <c r="AC1187" i="10"/>
  <c r="AC1188" i="10"/>
  <c r="AC1189" i="10"/>
  <c r="AC1190" i="10"/>
  <c r="AC1191" i="10"/>
  <c r="AC1192" i="10"/>
  <c r="AC1193" i="10"/>
  <c r="AC1194" i="10"/>
  <c r="AC1195" i="10"/>
  <c r="AC1196" i="10"/>
  <c r="AC1197" i="10"/>
  <c r="AC1198" i="10"/>
  <c r="AC1199" i="10"/>
  <c r="AC1200" i="10"/>
  <c r="AC1201" i="10"/>
  <c r="AC1202" i="10"/>
  <c r="AC1203" i="10"/>
  <c r="AC1204" i="10"/>
  <c r="AC1205" i="10"/>
  <c r="AC1206" i="10"/>
  <c r="AC1207" i="10"/>
  <c r="AC1208" i="10"/>
  <c r="AC6" i="10"/>
  <c r="AA7" i="10"/>
  <c r="AA8" i="10"/>
  <c r="AA9" i="10"/>
  <c r="AA10" i="10"/>
  <c r="AA11" i="10"/>
  <c r="AA12" i="10"/>
  <c r="AA13" i="10"/>
  <c r="AA14" i="10"/>
  <c r="AA15" i="10"/>
  <c r="AA16" i="10"/>
  <c r="AA17" i="10"/>
  <c r="AA18" i="10"/>
  <c r="AA19" i="10"/>
  <c r="AA20" i="10"/>
  <c r="AA21" i="10"/>
  <c r="AA22" i="10"/>
  <c r="AA23" i="10"/>
  <c r="AA24" i="10"/>
  <c r="AA25" i="10"/>
  <c r="AA26" i="10"/>
  <c r="AA27" i="10"/>
  <c r="AA28" i="10"/>
  <c r="AA29" i="10"/>
  <c r="AA30" i="10"/>
  <c r="AA31" i="10"/>
  <c r="AA32" i="10"/>
  <c r="AA33" i="10"/>
  <c r="AA34" i="10"/>
  <c r="AA35" i="10"/>
  <c r="AA36" i="10"/>
  <c r="AA37" i="10"/>
  <c r="AA38" i="10"/>
  <c r="AA39" i="10"/>
  <c r="AA40" i="10"/>
  <c r="AA41" i="10"/>
  <c r="AA42" i="10"/>
  <c r="AA43" i="10"/>
  <c r="AA44" i="10"/>
  <c r="AA45" i="10"/>
  <c r="AA46" i="10"/>
  <c r="AA47" i="10"/>
  <c r="AA48" i="10"/>
  <c r="AA49" i="10"/>
  <c r="AA50" i="10"/>
  <c r="AA51" i="10"/>
  <c r="AA52" i="10"/>
  <c r="AA53" i="10"/>
  <c r="AA54" i="10"/>
  <c r="AA55" i="10"/>
  <c r="AA56" i="10"/>
  <c r="AA57" i="10"/>
  <c r="AA58" i="10"/>
  <c r="AA59" i="10"/>
  <c r="AA60" i="10"/>
  <c r="AA61" i="10"/>
  <c r="AA62" i="10"/>
  <c r="AA63" i="10"/>
  <c r="AA64" i="10"/>
  <c r="AA65" i="10"/>
  <c r="AA66" i="10"/>
  <c r="AA67" i="10"/>
  <c r="AA68" i="10"/>
  <c r="AA69" i="10"/>
  <c r="AA70" i="10"/>
  <c r="AA71" i="10"/>
  <c r="AA72" i="10"/>
  <c r="AA73" i="10"/>
  <c r="AA74" i="10"/>
  <c r="AA75" i="10"/>
  <c r="AA76" i="10"/>
  <c r="AA77" i="10"/>
  <c r="AA78" i="10"/>
  <c r="AA79" i="10"/>
  <c r="AA80" i="10"/>
  <c r="AA81" i="10"/>
  <c r="AA82" i="10"/>
  <c r="AA83" i="10"/>
  <c r="AA84" i="10"/>
  <c r="AA85" i="10"/>
  <c r="AA86" i="10"/>
  <c r="AA87" i="10"/>
  <c r="AA88" i="10"/>
  <c r="AA89" i="10"/>
  <c r="AA90" i="10"/>
  <c r="AA91" i="10"/>
  <c r="AA92" i="10"/>
  <c r="AA93" i="10"/>
  <c r="AA94" i="10"/>
  <c r="AA95" i="10"/>
  <c r="AA96" i="10"/>
  <c r="AA97" i="10"/>
  <c r="AA98" i="10"/>
  <c r="AA99" i="10"/>
  <c r="AA100" i="10"/>
  <c r="AA101" i="10"/>
  <c r="AA102" i="10"/>
  <c r="AA103" i="10"/>
  <c r="AA104" i="10"/>
  <c r="AA105" i="10"/>
  <c r="AA106" i="10"/>
  <c r="AA107" i="10"/>
  <c r="AA108" i="10"/>
  <c r="AA109" i="10"/>
  <c r="AA110" i="10"/>
  <c r="AA111" i="10"/>
  <c r="AA112" i="10"/>
  <c r="AA113" i="10"/>
  <c r="AA114" i="10"/>
  <c r="AA115" i="10"/>
  <c r="AA116" i="10"/>
  <c r="AA117" i="10"/>
  <c r="AA118" i="10"/>
  <c r="AA119" i="10"/>
  <c r="AA120" i="10"/>
  <c r="AA121" i="10"/>
  <c r="AA122" i="10"/>
  <c r="AA123" i="10"/>
  <c r="AA124" i="10"/>
  <c r="AA125" i="10"/>
  <c r="AA126" i="10"/>
  <c r="AA127" i="10"/>
  <c r="AA128" i="10"/>
  <c r="AA129" i="10"/>
  <c r="AA130" i="10"/>
  <c r="AA131" i="10"/>
  <c r="AA132" i="10"/>
  <c r="AA133" i="10"/>
  <c r="AA134" i="10"/>
  <c r="AA135" i="10"/>
  <c r="AA136" i="10"/>
  <c r="AA137" i="10"/>
  <c r="AA138" i="10"/>
  <c r="AA139" i="10"/>
  <c r="AA140" i="10"/>
  <c r="AA141" i="10"/>
  <c r="AA142" i="10"/>
  <c r="AA143" i="10"/>
  <c r="AA144" i="10"/>
  <c r="AA145" i="10"/>
  <c r="AA146" i="10"/>
  <c r="AA147" i="10"/>
  <c r="AA148" i="10"/>
  <c r="AA149" i="10"/>
  <c r="AA150" i="10"/>
  <c r="AA151" i="10"/>
  <c r="AA152" i="10"/>
  <c r="AA153" i="10"/>
  <c r="AA154" i="10"/>
  <c r="AA155" i="10"/>
  <c r="AA156" i="10"/>
  <c r="AA157" i="10"/>
  <c r="AA158" i="10"/>
  <c r="AA159" i="10"/>
  <c r="AA160" i="10"/>
  <c r="AA161" i="10"/>
  <c r="AA162" i="10"/>
  <c r="AA163" i="10"/>
  <c r="AA164" i="10"/>
  <c r="AA165" i="10"/>
  <c r="AA166" i="10"/>
  <c r="AA167" i="10"/>
  <c r="AA168" i="10"/>
  <c r="AA169" i="10"/>
  <c r="AA170" i="10"/>
  <c r="AA171" i="10"/>
  <c r="AA172" i="10"/>
  <c r="AA173" i="10"/>
  <c r="AA174" i="10"/>
  <c r="AA175" i="10"/>
  <c r="AA176" i="10"/>
  <c r="AA177" i="10"/>
  <c r="AA178" i="10"/>
  <c r="AA179" i="10"/>
  <c r="AA180" i="10"/>
  <c r="AA181" i="10"/>
  <c r="AA182" i="10"/>
  <c r="AA183" i="10"/>
  <c r="AA184" i="10"/>
  <c r="AA185" i="10"/>
  <c r="AA186" i="10"/>
  <c r="AA187" i="10"/>
  <c r="AA188" i="10"/>
  <c r="AA189" i="10"/>
  <c r="AA190" i="10"/>
  <c r="AA191" i="10"/>
  <c r="AA192" i="10"/>
  <c r="AA193" i="10"/>
  <c r="AA194" i="10"/>
  <c r="AA195" i="10"/>
  <c r="AA196" i="10"/>
  <c r="AA197" i="10"/>
  <c r="AA198" i="10"/>
  <c r="AA199" i="10"/>
  <c r="AA200" i="10"/>
  <c r="AA201" i="10"/>
  <c r="AA202" i="10"/>
  <c r="AA203" i="10"/>
  <c r="AA204" i="10"/>
  <c r="AA205" i="10"/>
  <c r="AA206" i="10"/>
  <c r="AA207" i="10"/>
  <c r="AA208" i="10"/>
  <c r="AA209" i="10"/>
  <c r="AA210" i="10"/>
  <c r="AA211" i="10"/>
  <c r="AA212" i="10"/>
  <c r="AA213" i="10"/>
  <c r="AA214" i="10"/>
  <c r="AA215" i="10"/>
  <c r="AA216" i="10"/>
  <c r="AA217" i="10"/>
  <c r="AA218" i="10"/>
  <c r="AA219" i="10"/>
  <c r="AA220" i="10"/>
  <c r="AA221" i="10"/>
  <c r="AA222" i="10"/>
  <c r="AA223" i="10"/>
  <c r="AA224" i="10"/>
  <c r="AA225" i="10"/>
  <c r="AA226" i="10"/>
  <c r="AA227" i="10"/>
  <c r="AA228" i="10"/>
  <c r="AA229" i="10"/>
  <c r="AA230" i="10"/>
  <c r="AA231" i="10"/>
  <c r="AA232" i="10"/>
  <c r="AA233" i="10"/>
  <c r="AA234" i="10"/>
  <c r="AA235" i="10"/>
  <c r="AA236" i="10"/>
  <c r="AA237" i="10"/>
  <c r="AA238" i="10"/>
  <c r="AA239" i="10"/>
  <c r="AA240" i="10"/>
  <c r="AA241" i="10"/>
  <c r="AA242" i="10"/>
  <c r="AA243" i="10"/>
  <c r="AA244" i="10"/>
  <c r="AA245" i="10"/>
  <c r="AA246" i="10"/>
  <c r="AA247" i="10"/>
  <c r="AA248" i="10"/>
  <c r="AA249" i="10"/>
  <c r="AA250" i="10"/>
  <c r="AA251" i="10"/>
  <c r="AA252" i="10"/>
  <c r="AA253" i="10"/>
  <c r="AA254" i="10"/>
  <c r="AA255" i="10"/>
  <c r="AA256" i="10"/>
  <c r="AA257" i="10"/>
  <c r="AA258" i="10"/>
  <c r="AA259" i="10"/>
  <c r="AA260" i="10"/>
  <c r="AA261" i="10"/>
  <c r="AA262" i="10"/>
  <c r="AA263" i="10"/>
  <c r="AA264" i="10"/>
  <c r="AA265" i="10"/>
  <c r="AA266" i="10"/>
  <c r="AA267" i="10"/>
  <c r="AA268" i="10"/>
  <c r="AA269" i="10"/>
  <c r="AA270" i="10"/>
  <c r="AA271" i="10"/>
  <c r="AA272" i="10"/>
  <c r="AA273" i="10"/>
  <c r="AA274" i="10"/>
  <c r="AA275" i="10"/>
  <c r="AA276" i="10"/>
  <c r="AA277" i="10"/>
  <c r="AA278" i="10"/>
  <c r="AA279" i="10"/>
  <c r="AA280" i="10"/>
  <c r="AA281" i="10"/>
  <c r="AA282" i="10"/>
  <c r="AA283" i="10"/>
  <c r="AA284" i="10"/>
  <c r="AA285" i="10"/>
  <c r="AA286" i="10"/>
  <c r="AA287" i="10"/>
  <c r="AA288" i="10"/>
  <c r="AA289" i="10"/>
  <c r="AA290" i="10"/>
  <c r="AA291" i="10"/>
  <c r="AA292" i="10"/>
  <c r="AA293" i="10"/>
  <c r="AA294" i="10"/>
  <c r="AA295" i="10"/>
  <c r="AA296" i="10"/>
  <c r="AA297" i="10"/>
  <c r="AA298" i="10"/>
  <c r="AA299" i="10"/>
  <c r="AA300" i="10"/>
  <c r="AA301" i="10"/>
  <c r="AA302" i="10"/>
  <c r="AA303" i="10"/>
  <c r="AA304" i="10"/>
  <c r="AA305" i="10"/>
  <c r="AA306" i="10"/>
  <c r="AA307" i="10"/>
  <c r="AA308" i="10"/>
  <c r="AA309" i="10"/>
  <c r="AA310" i="10"/>
  <c r="AA311" i="10"/>
  <c r="AA312" i="10"/>
  <c r="AA313" i="10"/>
  <c r="AA314" i="10"/>
  <c r="AA315" i="10"/>
  <c r="AA316" i="10"/>
  <c r="AA317" i="10"/>
  <c r="AA318" i="10"/>
  <c r="AA319" i="10"/>
  <c r="AA320" i="10"/>
  <c r="AA321" i="10"/>
  <c r="AA322" i="10"/>
  <c r="AA323" i="10"/>
  <c r="AA324" i="10"/>
  <c r="AA325" i="10"/>
  <c r="AA326" i="10"/>
  <c r="AA327" i="10"/>
  <c r="AA328" i="10"/>
  <c r="AA329" i="10"/>
  <c r="AA330" i="10"/>
  <c r="AA331" i="10"/>
  <c r="AA332" i="10"/>
  <c r="AA333" i="10"/>
  <c r="AA334" i="10"/>
  <c r="AA335" i="10"/>
  <c r="AA336" i="10"/>
  <c r="AA337" i="10"/>
  <c r="AA338" i="10"/>
  <c r="AA339" i="10"/>
  <c r="AA340" i="10"/>
  <c r="AA341" i="10"/>
  <c r="AA342" i="10"/>
  <c r="AA343" i="10"/>
  <c r="AA344" i="10"/>
  <c r="AA345" i="10"/>
  <c r="AA346" i="10"/>
  <c r="AA347" i="10"/>
  <c r="AA348" i="10"/>
  <c r="AA349" i="10"/>
  <c r="AA350" i="10"/>
  <c r="AA351" i="10"/>
  <c r="AA352" i="10"/>
  <c r="AA353" i="10"/>
  <c r="AA354" i="10"/>
  <c r="AA355" i="10"/>
  <c r="AA356" i="10"/>
  <c r="AA357" i="10"/>
  <c r="AA358" i="10"/>
  <c r="AA359" i="10"/>
  <c r="AA360" i="10"/>
  <c r="AA361" i="10"/>
  <c r="AA362" i="10"/>
  <c r="AA363" i="10"/>
  <c r="AA364" i="10"/>
  <c r="AA365" i="10"/>
  <c r="AA366" i="10"/>
  <c r="AA367" i="10"/>
  <c r="AA368" i="10"/>
  <c r="AA369" i="10"/>
  <c r="AA370" i="10"/>
  <c r="AA371" i="10"/>
  <c r="AA372" i="10"/>
  <c r="AA373" i="10"/>
  <c r="AA374" i="10"/>
  <c r="AA375" i="10"/>
  <c r="AA376" i="10"/>
  <c r="AA377" i="10"/>
  <c r="AA378" i="10"/>
  <c r="AA379" i="10"/>
  <c r="AA380" i="10"/>
  <c r="AA381" i="10"/>
  <c r="AA382" i="10"/>
  <c r="AA383" i="10"/>
  <c r="AA384" i="10"/>
  <c r="AA385" i="10"/>
  <c r="AA386" i="10"/>
  <c r="AA387" i="10"/>
  <c r="AA388" i="10"/>
  <c r="AA389" i="10"/>
  <c r="AA390" i="10"/>
  <c r="AA391" i="10"/>
  <c r="AA392" i="10"/>
  <c r="AA393" i="10"/>
  <c r="AA394" i="10"/>
  <c r="AA395" i="10"/>
  <c r="AA396" i="10"/>
  <c r="AA397" i="10"/>
  <c r="AA398" i="10"/>
  <c r="AA399" i="10"/>
  <c r="AA400" i="10"/>
  <c r="AA401" i="10"/>
  <c r="AA402" i="10"/>
  <c r="AA403" i="10"/>
  <c r="AA404" i="10"/>
  <c r="AA405" i="10"/>
  <c r="AA406" i="10"/>
  <c r="AA407" i="10"/>
  <c r="AA408" i="10"/>
  <c r="AA409" i="10"/>
  <c r="AA410" i="10"/>
  <c r="AA411" i="10"/>
  <c r="AA412" i="10"/>
  <c r="AA413" i="10"/>
  <c r="AA414" i="10"/>
  <c r="AA415" i="10"/>
  <c r="AA416" i="10"/>
  <c r="AA417" i="10"/>
  <c r="AA418" i="10"/>
  <c r="AA419" i="10"/>
  <c r="AA420" i="10"/>
  <c r="AA421" i="10"/>
  <c r="AA422" i="10"/>
  <c r="AA423" i="10"/>
  <c r="AA424" i="10"/>
  <c r="AA425" i="10"/>
  <c r="AA426" i="10"/>
  <c r="AA427" i="10"/>
  <c r="AA428" i="10"/>
  <c r="AA429" i="10"/>
  <c r="AA430" i="10"/>
  <c r="AA431" i="10"/>
  <c r="AA432" i="10"/>
  <c r="AA433" i="10"/>
  <c r="AA434" i="10"/>
  <c r="AA435" i="10"/>
  <c r="AA436" i="10"/>
  <c r="AA437" i="10"/>
  <c r="AA438" i="10"/>
  <c r="AA439" i="10"/>
  <c r="AA440" i="10"/>
  <c r="AA441" i="10"/>
  <c r="AA442" i="10"/>
  <c r="AA443" i="10"/>
  <c r="AA444" i="10"/>
  <c r="AA445" i="10"/>
  <c r="AA446" i="10"/>
  <c r="AA447" i="10"/>
  <c r="AA448" i="10"/>
  <c r="AA449" i="10"/>
  <c r="AA450" i="10"/>
  <c r="AA451" i="10"/>
  <c r="AA452" i="10"/>
  <c r="AA453" i="10"/>
  <c r="AA454" i="10"/>
  <c r="AA455" i="10"/>
  <c r="AA456" i="10"/>
  <c r="AA457" i="10"/>
  <c r="AA458" i="10"/>
  <c r="AA459" i="10"/>
  <c r="AA460" i="10"/>
  <c r="AA461" i="10"/>
  <c r="AA462" i="10"/>
  <c r="AA463" i="10"/>
  <c r="AA464" i="10"/>
  <c r="AA465" i="10"/>
  <c r="AA466" i="10"/>
  <c r="AA467" i="10"/>
  <c r="AA468" i="10"/>
  <c r="AA469" i="10"/>
  <c r="AA470" i="10"/>
  <c r="AA471" i="10"/>
  <c r="AA472" i="10"/>
  <c r="AA473" i="10"/>
  <c r="AA474" i="10"/>
  <c r="AA475" i="10"/>
  <c r="AA476" i="10"/>
  <c r="AA477" i="10"/>
  <c r="AA478" i="10"/>
  <c r="AA479" i="10"/>
  <c r="AA480" i="10"/>
  <c r="AA481" i="10"/>
  <c r="AA482" i="10"/>
  <c r="AA483" i="10"/>
  <c r="AA484" i="10"/>
  <c r="AA485" i="10"/>
  <c r="AA486" i="10"/>
  <c r="AA487" i="10"/>
  <c r="AA488" i="10"/>
  <c r="AA489" i="10"/>
  <c r="AA490" i="10"/>
  <c r="AA491" i="10"/>
  <c r="AA492" i="10"/>
  <c r="AA493" i="10"/>
  <c r="AA494" i="10"/>
  <c r="AA495" i="10"/>
  <c r="AA496" i="10"/>
  <c r="AA497" i="10"/>
  <c r="AA498" i="10"/>
  <c r="AA499" i="10"/>
  <c r="AA500" i="10"/>
  <c r="AA501" i="10"/>
  <c r="AA502" i="10"/>
  <c r="AA503" i="10"/>
  <c r="AA504" i="10"/>
  <c r="AA505" i="10"/>
  <c r="AA506" i="10"/>
  <c r="AA507" i="10"/>
  <c r="AA508" i="10"/>
  <c r="AA509" i="10"/>
  <c r="AA510" i="10"/>
  <c r="AA511" i="10"/>
  <c r="AA512" i="10"/>
  <c r="AA513" i="10"/>
  <c r="AA514" i="10"/>
  <c r="AA515" i="10"/>
  <c r="AA516" i="10"/>
  <c r="AA517" i="10"/>
  <c r="AA518" i="10"/>
  <c r="AA519" i="10"/>
  <c r="AA520" i="10"/>
  <c r="AA521" i="10"/>
  <c r="AA522" i="10"/>
  <c r="AA523" i="10"/>
  <c r="AA524" i="10"/>
  <c r="AA525" i="10"/>
  <c r="AA526" i="10"/>
  <c r="AA527" i="10"/>
  <c r="AA528" i="10"/>
  <c r="AA529" i="10"/>
  <c r="AA530" i="10"/>
  <c r="AA531" i="10"/>
  <c r="AA532" i="10"/>
  <c r="AA533" i="10"/>
  <c r="AA534" i="10"/>
  <c r="AA535" i="10"/>
  <c r="AA536" i="10"/>
  <c r="AA537" i="10"/>
  <c r="AA538" i="10"/>
  <c r="AA539" i="10"/>
  <c r="AA540" i="10"/>
  <c r="AA541" i="10"/>
  <c r="AA542" i="10"/>
  <c r="AA543" i="10"/>
  <c r="AA544" i="10"/>
  <c r="AA545" i="10"/>
  <c r="AA546" i="10"/>
  <c r="AA547" i="10"/>
  <c r="AA548" i="10"/>
  <c r="AA549" i="10"/>
  <c r="AA550" i="10"/>
  <c r="AA551" i="10"/>
  <c r="AA552" i="10"/>
  <c r="AA553" i="10"/>
  <c r="AA554" i="10"/>
  <c r="AA555" i="10"/>
  <c r="AA556" i="10"/>
  <c r="AA557" i="10"/>
  <c r="AA558" i="10"/>
  <c r="AA559" i="10"/>
  <c r="AA560" i="10"/>
  <c r="AA561" i="10"/>
  <c r="AA562" i="10"/>
  <c r="AA563" i="10"/>
  <c r="AA564" i="10"/>
  <c r="AA565" i="10"/>
  <c r="AA566" i="10"/>
  <c r="AA567" i="10"/>
  <c r="AA568" i="10"/>
  <c r="AA569" i="10"/>
  <c r="AA570" i="10"/>
  <c r="AA571" i="10"/>
  <c r="AA572" i="10"/>
  <c r="AA573" i="10"/>
  <c r="AA574" i="10"/>
  <c r="AA575" i="10"/>
  <c r="AA576" i="10"/>
  <c r="AA577" i="10"/>
  <c r="AA578" i="10"/>
  <c r="AA579" i="10"/>
  <c r="AA580" i="10"/>
  <c r="AA581" i="10"/>
  <c r="AA582" i="10"/>
  <c r="AA583" i="10"/>
  <c r="AA584" i="10"/>
  <c r="AA585" i="10"/>
  <c r="AA586" i="10"/>
  <c r="AA587" i="10"/>
  <c r="AA588" i="10"/>
  <c r="AA589" i="10"/>
  <c r="AA590" i="10"/>
  <c r="AA591" i="10"/>
  <c r="AA592" i="10"/>
  <c r="AA593" i="10"/>
  <c r="AA594" i="10"/>
  <c r="AA595" i="10"/>
  <c r="AA596" i="10"/>
  <c r="AA597" i="10"/>
  <c r="AA598" i="10"/>
  <c r="AA599" i="10"/>
  <c r="AA600" i="10"/>
  <c r="AA601" i="10"/>
  <c r="AA602" i="10"/>
  <c r="AA603" i="10"/>
  <c r="AA604" i="10"/>
  <c r="AA605" i="10"/>
  <c r="AA606" i="10"/>
  <c r="AA607" i="10"/>
  <c r="AA608" i="10"/>
  <c r="AA609" i="10"/>
  <c r="AA610" i="10"/>
  <c r="AA611" i="10"/>
  <c r="AA612" i="10"/>
  <c r="AA613" i="10"/>
  <c r="AA614" i="10"/>
  <c r="AA615" i="10"/>
  <c r="AA616" i="10"/>
  <c r="AA617" i="10"/>
  <c r="AA618" i="10"/>
  <c r="AA619" i="10"/>
  <c r="AA620" i="10"/>
  <c r="AA621" i="10"/>
  <c r="AA622" i="10"/>
  <c r="AA623" i="10"/>
  <c r="AA624" i="10"/>
  <c r="AA625" i="10"/>
  <c r="AA626" i="10"/>
  <c r="AA627" i="10"/>
  <c r="AA628" i="10"/>
  <c r="AA629" i="10"/>
  <c r="AA630" i="10"/>
  <c r="AA631" i="10"/>
  <c r="AA632" i="10"/>
  <c r="AA633" i="10"/>
  <c r="AA634" i="10"/>
  <c r="AA635" i="10"/>
  <c r="AA636" i="10"/>
  <c r="AA637" i="10"/>
  <c r="AA638" i="10"/>
  <c r="AA639" i="10"/>
  <c r="AA640" i="10"/>
  <c r="AA641" i="10"/>
  <c r="AA642" i="10"/>
  <c r="AA643" i="10"/>
  <c r="AA644" i="10"/>
  <c r="AA645" i="10"/>
  <c r="AA646" i="10"/>
  <c r="AA647" i="10"/>
  <c r="AA648" i="10"/>
  <c r="AA649" i="10"/>
  <c r="AA650" i="10"/>
  <c r="AA651" i="10"/>
  <c r="AA652" i="10"/>
  <c r="AA653" i="10"/>
  <c r="AA654" i="10"/>
  <c r="AA655" i="10"/>
  <c r="AA656" i="10"/>
  <c r="AA657" i="10"/>
  <c r="AA658" i="10"/>
  <c r="AA659" i="10"/>
  <c r="AA660" i="10"/>
  <c r="AA661" i="10"/>
  <c r="AA662" i="10"/>
  <c r="AA663" i="10"/>
  <c r="AA664" i="10"/>
  <c r="AA665" i="10"/>
  <c r="AA666" i="10"/>
  <c r="AA667" i="10"/>
  <c r="AA668" i="10"/>
  <c r="AA669" i="10"/>
  <c r="AA670" i="10"/>
  <c r="AA671" i="10"/>
  <c r="AA672" i="10"/>
  <c r="AA673" i="10"/>
  <c r="AA674" i="10"/>
  <c r="AA675" i="10"/>
  <c r="AA676" i="10"/>
  <c r="AA677" i="10"/>
  <c r="AA678" i="10"/>
  <c r="AA679" i="10"/>
  <c r="AA680" i="10"/>
  <c r="AA681" i="10"/>
  <c r="AA682" i="10"/>
  <c r="AA683" i="10"/>
  <c r="AA684" i="10"/>
  <c r="AA685" i="10"/>
  <c r="AA686" i="10"/>
  <c r="AA687" i="10"/>
  <c r="AA688" i="10"/>
  <c r="AA689" i="10"/>
  <c r="AA690" i="10"/>
  <c r="AA691" i="10"/>
  <c r="AA692" i="10"/>
  <c r="AA693" i="10"/>
  <c r="AA694" i="10"/>
  <c r="AA695" i="10"/>
  <c r="AA696" i="10"/>
  <c r="AA697" i="10"/>
  <c r="AA698" i="10"/>
  <c r="AA699" i="10"/>
  <c r="AA700" i="10"/>
  <c r="AA701" i="10"/>
  <c r="AA702" i="10"/>
  <c r="AA703" i="10"/>
  <c r="AA704" i="10"/>
  <c r="AA705" i="10"/>
  <c r="AA706" i="10"/>
  <c r="AA707" i="10"/>
  <c r="AA708" i="10"/>
  <c r="AA709" i="10"/>
  <c r="AA710" i="10"/>
  <c r="AA711" i="10"/>
  <c r="AA712" i="10"/>
  <c r="AA713" i="10"/>
  <c r="AA714" i="10"/>
  <c r="AA715" i="10"/>
  <c r="AA716" i="10"/>
  <c r="AA717" i="10"/>
  <c r="AA718" i="10"/>
  <c r="AA719" i="10"/>
  <c r="AA720" i="10"/>
  <c r="AA721" i="10"/>
  <c r="AA722" i="10"/>
  <c r="AA723" i="10"/>
  <c r="AA724" i="10"/>
  <c r="AA725" i="10"/>
  <c r="AA726" i="10"/>
  <c r="AA727" i="10"/>
  <c r="AA728" i="10"/>
  <c r="AA729" i="10"/>
  <c r="AA730" i="10"/>
  <c r="AA731" i="10"/>
  <c r="AA732" i="10"/>
  <c r="AA733" i="10"/>
  <c r="AA734" i="10"/>
  <c r="AA735" i="10"/>
  <c r="AA736" i="10"/>
  <c r="AA737" i="10"/>
  <c r="AA738" i="10"/>
  <c r="AA739" i="10"/>
  <c r="AA740" i="10"/>
  <c r="AA741" i="10"/>
  <c r="AA742" i="10"/>
  <c r="AA743" i="10"/>
  <c r="AA744" i="10"/>
  <c r="AA745" i="10"/>
  <c r="AA746" i="10"/>
  <c r="AA747" i="10"/>
  <c r="AA748" i="10"/>
  <c r="AA749" i="10"/>
  <c r="AA750" i="10"/>
  <c r="AA751" i="10"/>
  <c r="AA752" i="10"/>
  <c r="AA753" i="10"/>
  <c r="AA754" i="10"/>
  <c r="AA755" i="10"/>
  <c r="AA756" i="10"/>
  <c r="AA757" i="10"/>
  <c r="AA758" i="10"/>
  <c r="AA759" i="10"/>
  <c r="AA760" i="10"/>
  <c r="AA761" i="10"/>
  <c r="AA762" i="10"/>
  <c r="AA763" i="10"/>
  <c r="AA764" i="10"/>
  <c r="AA765" i="10"/>
  <c r="AA766" i="10"/>
  <c r="AA767" i="10"/>
  <c r="AA768" i="10"/>
  <c r="AA769" i="10"/>
  <c r="AA770" i="10"/>
  <c r="AA771" i="10"/>
  <c r="AA772" i="10"/>
  <c r="AA773" i="10"/>
  <c r="AA774" i="10"/>
  <c r="AA775" i="10"/>
  <c r="AA776" i="10"/>
  <c r="AA777" i="10"/>
  <c r="AA778" i="10"/>
  <c r="AA779" i="10"/>
  <c r="AA780" i="10"/>
  <c r="AA781" i="10"/>
  <c r="AA782" i="10"/>
  <c r="AA783" i="10"/>
  <c r="AA784" i="10"/>
  <c r="AA785" i="10"/>
  <c r="AA786" i="10"/>
  <c r="AA787" i="10"/>
  <c r="AA788" i="10"/>
  <c r="AA789" i="10"/>
  <c r="AA790" i="10"/>
  <c r="AA791" i="10"/>
  <c r="AA792" i="10"/>
  <c r="AA793" i="10"/>
  <c r="AA794" i="10"/>
  <c r="AA795" i="10"/>
  <c r="AA796" i="10"/>
  <c r="AA797" i="10"/>
  <c r="AA798" i="10"/>
  <c r="AA799" i="10"/>
  <c r="AA800" i="10"/>
  <c r="AA801" i="10"/>
  <c r="AA802" i="10"/>
  <c r="AA803" i="10"/>
  <c r="AA804" i="10"/>
  <c r="AA805" i="10"/>
  <c r="AA806" i="10"/>
  <c r="AA807" i="10"/>
  <c r="AA808" i="10"/>
  <c r="AA809" i="10"/>
  <c r="AA810" i="10"/>
  <c r="AA811" i="10"/>
  <c r="AA812" i="10"/>
  <c r="AA813" i="10"/>
  <c r="AA814" i="10"/>
  <c r="AA815" i="10"/>
  <c r="AA816" i="10"/>
  <c r="AA817" i="10"/>
  <c r="AA818" i="10"/>
  <c r="AA819" i="10"/>
  <c r="AA820" i="10"/>
  <c r="AA821" i="10"/>
  <c r="AA822" i="10"/>
  <c r="AA823" i="10"/>
  <c r="AA824" i="10"/>
  <c r="AA825" i="10"/>
  <c r="AA826" i="10"/>
  <c r="AA827" i="10"/>
  <c r="AA828" i="10"/>
  <c r="AA829" i="10"/>
  <c r="AA830" i="10"/>
  <c r="AA831" i="10"/>
  <c r="AA832" i="10"/>
  <c r="AA833" i="10"/>
  <c r="AA834" i="10"/>
  <c r="AA835" i="10"/>
  <c r="AA836" i="10"/>
  <c r="AA837" i="10"/>
  <c r="AA838" i="10"/>
  <c r="AA839" i="10"/>
  <c r="AA840" i="10"/>
  <c r="AA841" i="10"/>
  <c r="AA842" i="10"/>
  <c r="AA843" i="10"/>
  <c r="AA844" i="10"/>
  <c r="AA845" i="10"/>
  <c r="AA846" i="10"/>
  <c r="AA847" i="10"/>
  <c r="AA848" i="10"/>
  <c r="AA849" i="10"/>
  <c r="AA850" i="10"/>
  <c r="AA851" i="10"/>
  <c r="AA852" i="10"/>
  <c r="AA853" i="10"/>
  <c r="AA854" i="10"/>
  <c r="AA855" i="10"/>
  <c r="AA856" i="10"/>
  <c r="AA857" i="10"/>
  <c r="AA858" i="10"/>
  <c r="AA859" i="10"/>
  <c r="AA860" i="10"/>
  <c r="AA861" i="10"/>
  <c r="AA862" i="10"/>
  <c r="AA863" i="10"/>
  <c r="AA864" i="10"/>
  <c r="AA865" i="10"/>
  <c r="AA866" i="10"/>
  <c r="AA867" i="10"/>
  <c r="AA868" i="10"/>
  <c r="AA869" i="10"/>
  <c r="AA870" i="10"/>
  <c r="AA871" i="10"/>
  <c r="AA872" i="10"/>
  <c r="AA873" i="10"/>
  <c r="AA874" i="10"/>
  <c r="AA875" i="10"/>
  <c r="AA876" i="10"/>
  <c r="AA877" i="10"/>
  <c r="AA878" i="10"/>
  <c r="AA879" i="10"/>
  <c r="AA880" i="10"/>
  <c r="AA881" i="10"/>
  <c r="AA882" i="10"/>
  <c r="AA883" i="10"/>
  <c r="AA884" i="10"/>
  <c r="AA885" i="10"/>
  <c r="AA886" i="10"/>
  <c r="AA887" i="10"/>
  <c r="AA888" i="10"/>
  <c r="AA889" i="10"/>
  <c r="AA890" i="10"/>
  <c r="AA891" i="10"/>
  <c r="AA892" i="10"/>
  <c r="AA893" i="10"/>
  <c r="AA894" i="10"/>
  <c r="AA895" i="10"/>
  <c r="AA896" i="10"/>
  <c r="AA897" i="10"/>
  <c r="AA898" i="10"/>
  <c r="AA899" i="10"/>
  <c r="AA900" i="10"/>
  <c r="AA901" i="10"/>
  <c r="AA902" i="10"/>
  <c r="AA903" i="10"/>
  <c r="AA904" i="10"/>
  <c r="AA905" i="10"/>
  <c r="AA906" i="10"/>
  <c r="AA907" i="10"/>
  <c r="AA908" i="10"/>
  <c r="AA909" i="10"/>
  <c r="AA910" i="10"/>
  <c r="AA911" i="10"/>
  <c r="AA912" i="10"/>
  <c r="AA913" i="10"/>
  <c r="AA914" i="10"/>
  <c r="AA915" i="10"/>
  <c r="AA916" i="10"/>
  <c r="AA917" i="10"/>
  <c r="AA918" i="10"/>
  <c r="AA919" i="10"/>
  <c r="AA920" i="10"/>
  <c r="AA921" i="10"/>
  <c r="AA922" i="10"/>
  <c r="AA923" i="10"/>
  <c r="AA924" i="10"/>
  <c r="AA925" i="10"/>
  <c r="AA926" i="10"/>
  <c r="AA927" i="10"/>
  <c r="AA928" i="10"/>
  <c r="AA929" i="10"/>
  <c r="AA930" i="10"/>
  <c r="AA931" i="10"/>
  <c r="AA932" i="10"/>
  <c r="AA933" i="10"/>
  <c r="AA934" i="10"/>
  <c r="AA935" i="10"/>
  <c r="AA936" i="10"/>
  <c r="AA937" i="10"/>
  <c r="AA938" i="10"/>
  <c r="AA939" i="10"/>
  <c r="AA940" i="10"/>
  <c r="AA941" i="10"/>
  <c r="AA942" i="10"/>
  <c r="AA943" i="10"/>
  <c r="AA944" i="10"/>
  <c r="AA945" i="10"/>
  <c r="AA946" i="10"/>
  <c r="AA947" i="10"/>
  <c r="AA948" i="10"/>
  <c r="AA949" i="10"/>
  <c r="AA950" i="10"/>
  <c r="AA951" i="10"/>
  <c r="AA952" i="10"/>
  <c r="AA953" i="10"/>
  <c r="AA954" i="10"/>
  <c r="AA955" i="10"/>
  <c r="AA956" i="10"/>
  <c r="AA957" i="10"/>
  <c r="AA958" i="10"/>
  <c r="AA959" i="10"/>
  <c r="AA960" i="10"/>
  <c r="AA961" i="10"/>
  <c r="AA962" i="10"/>
  <c r="AA963" i="10"/>
  <c r="AA964" i="10"/>
  <c r="AA965" i="10"/>
  <c r="AA966" i="10"/>
  <c r="AA967" i="10"/>
  <c r="AA968" i="10"/>
  <c r="AA969" i="10"/>
  <c r="AA970" i="10"/>
  <c r="AA971" i="10"/>
  <c r="AA972" i="10"/>
  <c r="AA973" i="10"/>
  <c r="AA974" i="10"/>
  <c r="AA975" i="10"/>
  <c r="AA976" i="10"/>
  <c r="AA977" i="10"/>
  <c r="AA978" i="10"/>
  <c r="AA979" i="10"/>
  <c r="AA980" i="10"/>
  <c r="AA981" i="10"/>
  <c r="AA982" i="10"/>
  <c r="AA983" i="10"/>
  <c r="AA984" i="10"/>
  <c r="AA985" i="10"/>
  <c r="AA986" i="10"/>
  <c r="AA987" i="10"/>
  <c r="AA988" i="10"/>
  <c r="AA989" i="10"/>
  <c r="AA990" i="10"/>
  <c r="AA991" i="10"/>
  <c r="AA992" i="10"/>
  <c r="AA993" i="10"/>
  <c r="AA994" i="10"/>
  <c r="AA995" i="10"/>
  <c r="AA996" i="10"/>
  <c r="AA997" i="10"/>
  <c r="AA998" i="10"/>
  <c r="AA999" i="10"/>
  <c r="AA1000" i="10"/>
  <c r="AA1001" i="10"/>
  <c r="AA1002" i="10"/>
  <c r="AA1003" i="10"/>
  <c r="AA1004" i="10"/>
  <c r="AA1005" i="10"/>
  <c r="AA1006" i="10"/>
  <c r="AA1007" i="10"/>
  <c r="AA1008" i="10"/>
  <c r="AA1009" i="10"/>
  <c r="AA1010" i="10"/>
  <c r="AA1011" i="10"/>
  <c r="AA1012" i="10"/>
  <c r="AA1013" i="10"/>
  <c r="AA1014" i="10"/>
  <c r="AA1015" i="10"/>
  <c r="AA1016" i="10"/>
  <c r="AA1017" i="10"/>
  <c r="AA1018" i="10"/>
  <c r="AA1019" i="10"/>
  <c r="AA1020" i="10"/>
  <c r="AA1021" i="10"/>
  <c r="AA1022" i="10"/>
  <c r="AA1023" i="10"/>
  <c r="AA1024" i="10"/>
  <c r="AA1025" i="10"/>
  <c r="AA1026" i="10"/>
  <c r="AA1027" i="10"/>
  <c r="AA1028" i="10"/>
  <c r="AA1029" i="10"/>
  <c r="AA1030" i="10"/>
  <c r="AA1031" i="10"/>
  <c r="AA1032" i="10"/>
  <c r="AA1033" i="10"/>
  <c r="AA1034" i="10"/>
  <c r="AA1035" i="10"/>
  <c r="AA1036" i="10"/>
  <c r="AA1037" i="10"/>
  <c r="AA1038" i="10"/>
  <c r="AA1039" i="10"/>
  <c r="AA1040" i="10"/>
  <c r="AA1041" i="10"/>
  <c r="AA1042" i="10"/>
  <c r="AA1043" i="10"/>
  <c r="AA1044" i="10"/>
  <c r="AA1045" i="10"/>
  <c r="AA1046" i="10"/>
  <c r="AA1047" i="10"/>
  <c r="AA1048" i="10"/>
  <c r="AA1049" i="10"/>
  <c r="AA1050" i="10"/>
  <c r="AA1051" i="10"/>
  <c r="AA1052" i="10"/>
  <c r="AA1053" i="10"/>
  <c r="AA1054" i="10"/>
  <c r="AA1055" i="10"/>
  <c r="AA1056" i="10"/>
  <c r="AA1057" i="10"/>
  <c r="AA1058" i="10"/>
  <c r="AA1059" i="10"/>
  <c r="AA1060" i="10"/>
  <c r="AA1061" i="10"/>
  <c r="AA1062" i="10"/>
  <c r="AA1063" i="10"/>
  <c r="AA1064" i="10"/>
  <c r="AA1065" i="10"/>
  <c r="AA1066" i="10"/>
  <c r="AA1067" i="10"/>
  <c r="AA1068" i="10"/>
  <c r="AA1069" i="10"/>
  <c r="AA1070" i="10"/>
  <c r="AA1071" i="10"/>
  <c r="AA1072" i="10"/>
  <c r="AA1073" i="10"/>
  <c r="AA1074" i="10"/>
  <c r="AA1075" i="10"/>
  <c r="AA1076" i="10"/>
  <c r="AA1077" i="10"/>
  <c r="AA1078" i="10"/>
  <c r="AA1079" i="10"/>
  <c r="AA1080" i="10"/>
  <c r="AA1081" i="10"/>
  <c r="AA1082" i="10"/>
  <c r="AA1083" i="10"/>
  <c r="AA1084" i="10"/>
  <c r="AA1085" i="10"/>
  <c r="AA1086" i="10"/>
  <c r="AA1087" i="10"/>
  <c r="AA1088" i="10"/>
  <c r="AA1089" i="10"/>
  <c r="AA1090" i="10"/>
  <c r="AA1091" i="10"/>
  <c r="AA1092" i="10"/>
  <c r="AA1093" i="10"/>
  <c r="AA1094" i="10"/>
  <c r="AA1095" i="10"/>
  <c r="AA1096" i="10"/>
  <c r="AA1097" i="10"/>
  <c r="AA1098" i="10"/>
  <c r="AA1099" i="10"/>
  <c r="AA1100" i="10"/>
  <c r="AA1101" i="10"/>
  <c r="AA1102" i="10"/>
  <c r="AA1103" i="10"/>
  <c r="AA1104" i="10"/>
  <c r="AA1105" i="10"/>
  <c r="AA1106" i="10"/>
  <c r="AA1107" i="10"/>
  <c r="AA1108" i="10"/>
  <c r="AA1109" i="10"/>
  <c r="AA1110" i="10"/>
  <c r="AA1111" i="10"/>
  <c r="AA1112" i="10"/>
  <c r="AA1113" i="10"/>
  <c r="AA1114" i="10"/>
  <c r="AA1115" i="10"/>
  <c r="AA1116" i="10"/>
  <c r="AA1117" i="10"/>
  <c r="AA1118" i="10"/>
  <c r="AA1119" i="10"/>
  <c r="AA1120" i="10"/>
  <c r="AA1121" i="10"/>
  <c r="AA1122" i="10"/>
  <c r="AA1123" i="10"/>
  <c r="AA1124" i="10"/>
  <c r="AA1125" i="10"/>
  <c r="AA1126" i="10"/>
  <c r="AA1127" i="10"/>
  <c r="AA1128" i="10"/>
  <c r="AA1129" i="10"/>
  <c r="AA1130" i="10"/>
  <c r="AA1131" i="10"/>
  <c r="AA1132" i="10"/>
  <c r="AA1133" i="10"/>
  <c r="AA1134" i="10"/>
  <c r="AA1135" i="10"/>
  <c r="AA1136" i="10"/>
  <c r="AA1137" i="10"/>
  <c r="AA1138" i="10"/>
  <c r="AA1139" i="10"/>
  <c r="AA1140" i="10"/>
  <c r="AA1141" i="10"/>
  <c r="AA1142" i="10"/>
  <c r="AA1143" i="10"/>
  <c r="AA1144" i="10"/>
  <c r="AA1145" i="10"/>
  <c r="AA1146" i="10"/>
  <c r="AA1147" i="10"/>
  <c r="AA1148" i="10"/>
  <c r="AA1149" i="10"/>
  <c r="AA1150" i="10"/>
  <c r="AA1151" i="10"/>
  <c r="AA1152" i="10"/>
  <c r="AA1153" i="10"/>
  <c r="AA1154" i="10"/>
  <c r="AA1155" i="10"/>
  <c r="AA1156" i="10"/>
  <c r="AA1157" i="10"/>
  <c r="AA1158" i="10"/>
  <c r="AA1159" i="10"/>
  <c r="AA1160" i="10"/>
  <c r="AA1161" i="10"/>
  <c r="AA1162" i="10"/>
  <c r="AA1163" i="10"/>
  <c r="AA1164" i="10"/>
  <c r="AA1165" i="10"/>
  <c r="AA1166" i="10"/>
  <c r="AA1167" i="10"/>
  <c r="AA1168" i="10"/>
  <c r="AA1169" i="10"/>
  <c r="AA1170" i="10"/>
  <c r="AA1171" i="10"/>
  <c r="AA1172" i="10"/>
  <c r="AA1173" i="10"/>
  <c r="AA1174" i="10"/>
  <c r="AA1175" i="10"/>
  <c r="AA1176" i="10"/>
  <c r="AA1177" i="10"/>
  <c r="AA1178" i="10"/>
  <c r="AA1179" i="10"/>
  <c r="AA1180" i="10"/>
  <c r="AA1181" i="10"/>
  <c r="AA1182" i="10"/>
  <c r="AA1183" i="10"/>
  <c r="AA1184" i="10"/>
  <c r="AA1185" i="10"/>
  <c r="AA1186" i="10"/>
  <c r="AA1187" i="10"/>
  <c r="AA1188" i="10"/>
  <c r="AA1189" i="10"/>
  <c r="AA1190" i="10"/>
  <c r="AA1191" i="10"/>
  <c r="AA1192" i="10"/>
  <c r="AA1193" i="10"/>
  <c r="AA1194" i="10"/>
  <c r="AA1195" i="10"/>
  <c r="AA1196" i="10"/>
  <c r="AA1197" i="10"/>
  <c r="AA1198" i="10"/>
  <c r="AA1199" i="10"/>
  <c r="AA1200" i="10"/>
  <c r="AA1201" i="10"/>
  <c r="AA1202" i="10"/>
  <c r="AA1203" i="10"/>
  <c r="AA1204" i="10"/>
  <c r="AA1205" i="10"/>
  <c r="AA1206" i="10"/>
  <c r="AA1207" i="10"/>
  <c r="AA1208" i="10"/>
  <c r="AA6" i="10"/>
  <c r="Z7" i="10"/>
  <c r="Z8" i="10"/>
  <c r="Z9" i="10"/>
  <c r="Z10" i="10"/>
  <c r="Z11" i="10"/>
  <c r="Z12" i="10"/>
  <c r="Z13" i="10"/>
  <c r="Z14" i="10"/>
  <c r="Z15" i="10"/>
  <c r="Z16" i="10"/>
  <c r="Z17" i="10"/>
  <c r="Z18" i="10"/>
  <c r="Z19" i="10"/>
  <c r="Z20" i="10"/>
  <c r="Z21" i="10"/>
  <c r="Z22" i="10"/>
  <c r="Z23" i="10"/>
  <c r="Z24" i="10"/>
  <c r="Z25" i="10"/>
  <c r="Z26" i="10"/>
  <c r="Z27" i="10"/>
  <c r="Z28" i="10"/>
  <c r="Z29" i="10"/>
  <c r="Z30" i="10"/>
  <c r="Z31" i="10"/>
  <c r="Z32" i="10"/>
  <c r="Z33" i="10"/>
  <c r="Z34" i="10"/>
  <c r="Z35" i="10"/>
  <c r="Z36" i="10"/>
  <c r="Z37" i="10"/>
  <c r="Z38" i="10"/>
  <c r="Z39" i="10"/>
  <c r="Z40" i="10"/>
  <c r="Z41" i="10"/>
  <c r="Z42" i="10"/>
  <c r="Z43" i="10"/>
  <c r="Z44" i="10"/>
  <c r="Z45" i="10"/>
  <c r="Z46" i="10"/>
  <c r="Z47" i="10"/>
  <c r="Z48" i="10"/>
  <c r="Z49" i="10"/>
  <c r="Z50" i="10"/>
  <c r="Z51" i="10"/>
  <c r="Z52" i="10"/>
  <c r="Z53" i="10"/>
  <c r="Z54" i="10"/>
  <c r="Z55" i="10"/>
  <c r="Z56" i="10"/>
  <c r="Z57" i="10"/>
  <c r="Z58" i="10"/>
  <c r="Z59" i="10"/>
  <c r="Z60" i="10"/>
  <c r="Z61" i="10"/>
  <c r="Z62" i="10"/>
  <c r="Z63" i="10"/>
  <c r="Z64" i="10"/>
  <c r="Z65" i="10"/>
  <c r="Z66" i="10"/>
  <c r="Z67" i="10"/>
  <c r="Z68" i="10"/>
  <c r="Z69" i="10"/>
  <c r="Z70" i="10"/>
  <c r="Z71" i="10"/>
  <c r="Z72" i="10"/>
  <c r="Z73" i="10"/>
  <c r="Z74" i="10"/>
  <c r="Z75" i="10"/>
  <c r="Z76" i="10"/>
  <c r="Z77" i="10"/>
  <c r="Z78" i="10"/>
  <c r="Z79" i="10"/>
  <c r="Z80" i="10"/>
  <c r="Z81" i="10"/>
  <c r="Z82" i="10"/>
  <c r="Z83" i="10"/>
  <c r="Z84" i="10"/>
  <c r="Z85" i="10"/>
  <c r="Z86" i="10"/>
  <c r="Z87" i="10"/>
  <c r="Z88" i="10"/>
  <c r="Z89" i="10"/>
  <c r="Z90" i="10"/>
  <c r="Z91" i="10"/>
  <c r="Z92" i="10"/>
  <c r="Z93" i="10"/>
  <c r="Z94" i="10"/>
  <c r="Z95" i="10"/>
  <c r="Z96" i="10"/>
  <c r="Z97" i="10"/>
  <c r="Z98" i="10"/>
  <c r="Z99" i="10"/>
  <c r="Z100" i="10"/>
  <c r="Z101" i="10"/>
  <c r="Z102" i="10"/>
  <c r="Z103" i="10"/>
  <c r="Z104" i="10"/>
  <c r="Z105" i="10"/>
  <c r="Z106" i="10"/>
  <c r="Z107" i="10"/>
  <c r="Z108" i="10"/>
  <c r="Z109" i="10"/>
  <c r="Z110" i="10"/>
  <c r="Z111" i="10"/>
  <c r="Z112" i="10"/>
  <c r="Z113" i="10"/>
  <c r="Z114" i="10"/>
  <c r="Z115" i="10"/>
  <c r="Z116" i="10"/>
  <c r="Z117" i="10"/>
  <c r="Z118" i="10"/>
  <c r="Z119" i="10"/>
  <c r="Z120" i="10"/>
  <c r="Z121" i="10"/>
  <c r="Z122" i="10"/>
  <c r="Z123" i="10"/>
  <c r="Z124" i="10"/>
  <c r="Z125" i="10"/>
  <c r="Z126" i="10"/>
  <c r="Z127" i="10"/>
  <c r="Z128" i="10"/>
  <c r="Z129" i="10"/>
  <c r="Z130" i="10"/>
  <c r="Z131" i="10"/>
  <c r="Z132" i="10"/>
  <c r="Z133" i="10"/>
  <c r="Z134" i="10"/>
  <c r="Z135" i="10"/>
  <c r="Z136" i="10"/>
  <c r="Z137" i="10"/>
  <c r="Z138" i="10"/>
  <c r="Z139" i="10"/>
  <c r="Z140" i="10"/>
  <c r="Z141" i="10"/>
  <c r="Z142" i="10"/>
  <c r="Z143" i="10"/>
  <c r="Z144" i="10"/>
  <c r="Z145" i="10"/>
  <c r="Z146" i="10"/>
  <c r="Z147" i="10"/>
  <c r="Z148" i="10"/>
  <c r="Z149" i="10"/>
  <c r="Z150" i="10"/>
  <c r="Z151" i="10"/>
  <c r="Z152" i="10"/>
  <c r="Z153" i="10"/>
  <c r="Z154" i="10"/>
  <c r="Z155" i="10"/>
  <c r="Z156" i="10"/>
  <c r="Z157" i="10"/>
  <c r="Z158" i="10"/>
  <c r="Z159" i="10"/>
  <c r="Z160" i="10"/>
  <c r="Z161" i="10"/>
  <c r="Z162" i="10"/>
  <c r="Z163" i="10"/>
  <c r="Z164" i="10"/>
  <c r="Z165" i="10"/>
  <c r="Z166" i="10"/>
  <c r="Z167" i="10"/>
  <c r="Z168" i="10"/>
  <c r="Z169" i="10"/>
  <c r="Z170" i="10"/>
  <c r="Z171" i="10"/>
  <c r="Z172" i="10"/>
  <c r="Z173" i="10"/>
  <c r="Z174" i="10"/>
  <c r="Z175" i="10"/>
  <c r="Z176" i="10"/>
  <c r="Z177" i="10"/>
  <c r="Z178" i="10"/>
  <c r="Z179" i="10"/>
  <c r="Z180" i="10"/>
  <c r="Z181" i="10"/>
  <c r="Z182" i="10"/>
  <c r="Z183" i="10"/>
  <c r="Z184" i="10"/>
  <c r="Z185" i="10"/>
  <c r="Z186" i="10"/>
  <c r="Z187" i="10"/>
  <c r="Z188" i="10"/>
  <c r="Z189" i="10"/>
  <c r="Z190" i="10"/>
  <c r="Z191" i="10"/>
  <c r="Z192" i="10"/>
  <c r="Z193" i="10"/>
  <c r="Z194" i="10"/>
  <c r="Z195" i="10"/>
  <c r="Z196" i="10"/>
  <c r="Z197" i="10"/>
  <c r="Z198" i="10"/>
  <c r="Z199" i="10"/>
  <c r="Z200" i="10"/>
  <c r="Z201" i="10"/>
  <c r="Z202" i="10"/>
  <c r="Z203" i="10"/>
  <c r="Z204" i="10"/>
  <c r="Z205" i="10"/>
  <c r="Z206" i="10"/>
  <c r="Z207" i="10"/>
  <c r="Z208" i="10"/>
  <c r="Z209" i="10"/>
  <c r="Z210" i="10"/>
  <c r="Z211" i="10"/>
  <c r="Z212" i="10"/>
  <c r="Z213" i="10"/>
  <c r="Z214" i="10"/>
  <c r="Z215" i="10"/>
  <c r="Z216" i="10"/>
  <c r="Z217" i="10"/>
  <c r="Z218" i="10"/>
  <c r="Z219" i="10"/>
  <c r="Z220" i="10"/>
  <c r="Z221" i="10"/>
  <c r="Z222" i="10"/>
  <c r="Z223" i="10"/>
  <c r="Z224" i="10"/>
  <c r="Z225" i="10"/>
  <c r="Z226" i="10"/>
  <c r="Z227" i="10"/>
  <c r="Z228" i="10"/>
  <c r="Z229" i="10"/>
  <c r="Z230" i="10"/>
  <c r="Z231" i="10"/>
  <c r="Z232" i="10"/>
  <c r="Z233" i="10"/>
  <c r="Z234" i="10"/>
  <c r="Z235" i="10"/>
  <c r="Z236" i="10"/>
  <c r="Z237" i="10"/>
  <c r="Z238" i="10"/>
  <c r="Z239" i="10"/>
  <c r="Z240" i="10"/>
  <c r="Z241" i="10"/>
  <c r="Z242" i="10"/>
  <c r="Z243" i="10"/>
  <c r="Z244" i="10"/>
  <c r="Z245" i="10"/>
  <c r="Z246" i="10"/>
  <c r="Z247" i="10"/>
  <c r="Z248" i="10"/>
  <c r="Z249" i="10"/>
  <c r="Z250" i="10"/>
  <c r="Z251" i="10"/>
  <c r="Z252" i="10"/>
  <c r="Z253" i="10"/>
  <c r="Z254" i="10"/>
  <c r="Z255" i="10"/>
  <c r="Z256" i="10"/>
  <c r="Z257" i="10"/>
  <c r="Z258" i="10"/>
  <c r="Z259" i="10"/>
  <c r="Z260" i="10"/>
  <c r="Z261" i="10"/>
  <c r="Z262" i="10"/>
  <c r="Z263" i="10"/>
  <c r="Z264" i="10"/>
  <c r="Z265" i="10"/>
  <c r="Z266" i="10"/>
  <c r="Z267" i="10"/>
  <c r="Z268" i="10"/>
  <c r="Z269" i="10"/>
  <c r="Z270" i="10"/>
  <c r="Z271" i="10"/>
  <c r="Z272" i="10"/>
  <c r="Z273" i="10"/>
  <c r="Z274" i="10"/>
  <c r="Z275" i="10"/>
  <c r="Z276" i="10"/>
  <c r="Z277" i="10"/>
  <c r="Z278" i="10"/>
  <c r="Z279" i="10"/>
  <c r="Z280" i="10"/>
  <c r="Z281" i="10"/>
  <c r="Z282" i="10"/>
  <c r="Z283" i="10"/>
  <c r="Z284" i="10"/>
  <c r="Z285" i="10"/>
  <c r="Z286" i="10"/>
  <c r="Z287" i="10"/>
  <c r="Z288" i="10"/>
  <c r="Z289" i="10"/>
  <c r="Z290" i="10"/>
  <c r="Z291" i="10"/>
  <c r="Z292" i="10"/>
  <c r="Z293" i="10"/>
  <c r="Z294" i="10"/>
  <c r="Z295" i="10"/>
  <c r="Z296" i="10"/>
  <c r="Z297" i="10"/>
  <c r="Z298" i="10"/>
  <c r="Z299" i="10"/>
  <c r="Z300" i="10"/>
  <c r="Z301" i="10"/>
  <c r="Z302" i="10"/>
  <c r="Z303" i="10"/>
  <c r="Z304" i="10"/>
  <c r="Z305" i="10"/>
  <c r="Z306" i="10"/>
  <c r="Z307" i="10"/>
  <c r="Z308" i="10"/>
  <c r="Z309" i="10"/>
  <c r="Z310" i="10"/>
  <c r="Z311" i="10"/>
  <c r="Z312" i="10"/>
  <c r="Z313" i="10"/>
  <c r="Z314" i="10"/>
  <c r="Z315" i="10"/>
  <c r="Z316" i="10"/>
  <c r="Z317" i="10"/>
  <c r="Z318" i="10"/>
  <c r="Z319" i="10"/>
  <c r="Z320" i="10"/>
  <c r="Z321" i="10"/>
  <c r="Z322" i="10"/>
  <c r="Z323" i="10"/>
  <c r="Z324" i="10"/>
  <c r="Z325" i="10"/>
  <c r="Z326" i="10"/>
  <c r="Z327" i="10"/>
  <c r="Z328" i="10"/>
  <c r="Z329" i="10"/>
  <c r="Z330" i="10"/>
  <c r="Z331" i="10"/>
  <c r="Z332" i="10"/>
  <c r="Z333" i="10"/>
  <c r="Z334" i="10"/>
  <c r="Z335" i="10"/>
  <c r="Z336" i="10"/>
  <c r="Z337" i="10"/>
  <c r="Z338" i="10"/>
  <c r="Z339" i="10"/>
  <c r="Z340" i="10"/>
  <c r="Z341" i="10"/>
  <c r="Z342" i="10"/>
  <c r="Z343" i="10"/>
  <c r="Z344" i="10"/>
  <c r="Z345" i="10"/>
  <c r="Z346" i="10"/>
  <c r="Z347" i="10"/>
  <c r="Z348" i="10"/>
  <c r="Z349" i="10"/>
  <c r="Z350" i="10"/>
  <c r="Z351" i="10"/>
  <c r="Z352" i="10"/>
  <c r="Z353" i="10"/>
  <c r="Z354" i="10"/>
  <c r="Z355" i="10"/>
  <c r="Z356" i="10"/>
  <c r="Z357" i="10"/>
  <c r="Z358" i="10"/>
  <c r="Z359" i="10"/>
  <c r="Z360" i="10"/>
  <c r="Z361" i="10"/>
  <c r="Z362" i="10"/>
  <c r="Z363" i="10"/>
  <c r="Z364" i="10"/>
  <c r="Z365" i="10"/>
  <c r="Z366" i="10"/>
  <c r="Z367" i="10"/>
  <c r="Z368" i="10"/>
  <c r="Z369" i="10"/>
  <c r="Z370" i="10"/>
  <c r="Z371" i="10"/>
  <c r="Z372" i="10"/>
  <c r="Z373" i="10"/>
  <c r="Z374" i="10"/>
  <c r="Z375" i="10"/>
  <c r="Z376" i="10"/>
  <c r="Z377" i="10"/>
  <c r="Z378" i="10"/>
  <c r="Z379" i="10"/>
  <c r="Z380" i="10"/>
  <c r="Z381" i="10"/>
  <c r="Z382" i="10"/>
  <c r="Z383" i="10"/>
  <c r="Z384" i="10"/>
  <c r="Z385" i="10"/>
  <c r="Z386" i="10"/>
  <c r="Z387" i="10"/>
  <c r="Z388" i="10"/>
  <c r="Z389" i="10"/>
  <c r="Z390" i="10"/>
  <c r="Z391" i="10"/>
  <c r="Z392" i="10"/>
  <c r="Z393" i="10"/>
  <c r="Z394" i="10"/>
  <c r="Z395" i="10"/>
  <c r="Z396" i="10"/>
  <c r="Z397" i="10"/>
  <c r="Z398" i="10"/>
  <c r="Z399" i="10"/>
  <c r="Z400" i="10"/>
  <c r="Z401" i="10"/>
  <c r="Z402" i="10"/>
  <c r="Z403" i="10"/>
  <c r="Z404" i="10"/>
  <c r="Z405" i="10"/>
  <c r="Z406" i="10"/>
  <c r="Z407" i="10"/>
  <c r="Z408" i="10"/>
  <c r="Z409" i="10"/>
  <c r="Z410" i="10"/>
  <c r="Z411" i="10"/>
  <c r="Z412" i="10"/>
  <c r="Z413" i="10"/>
  <c r="Z414" i="10"/>
  <c r="Z415" i="10"/>
  <c r="Z416" i="10"/>
  <c r="Z417" i="10"/>
  <c r="Z418" i="10"/>
  <c r="Z419" i="10"/>
  <c r="Z420" i="10"/>
  <c r="Z421" i="10"/>
  <c r="Z422" i="10"/>
  <c r="Z423" i="10"/>
  <c r="Z424" i="10"/>
  <c r="Z425" i="10"/>
  <c r="Z426" i="10"/>
  <c r="Z427" i="10"/>
  <c r="Z428" i="10"/>
  <c r="Z429" i="10"/>
  <c r="Z430" i="10"/>
  <c r="Z431" i="10"/>
  <c r="Z432" i="10"/>
  <c r="Z433" i="10"/>
  <c r="Z434" i="10"/>
  <c r="Z435" i="10"/>
  <c r="Z436" i="10"/>
  <c r="Z437" i="10"/>
  <c r="Z438" i="10"/>
  <c r="Z439" i="10"/>
  <c r="Z440" i="10"/>
  <c r="Z441" i="10"/>
  <c r="Z442" i="10"/>
  <c r="Z443" i="10"/>
  <c r="Z444" i="10"/>
  <c r="Z445" i="10"/>
  <c r="Z446" i="10"/>
  <c r="Z447" i="10"/>
  <c r="Z448" i="10"/>
  <c r="Z449" i="10"/>
  <c r="Z450" i="10"/>
  <c r="Z451" i="10"/>
  <c r="Z452" i="10"/>
  <c r="Z453" i="10"/>
  <c r="Z454" i="10"/>
  <c r="Z455" i="10"/>
  <c r="Z456" i="10"/>
  <c r="Z457" i="10"/>
  <c r="Z458" i="10"/>
  <c r="Z459" i="10"/>
  <c r="Z460" i="10"/>
  <c r="Z461" i="10"/>
  <c r="Z462" i="10"/>
  <c r="Z463" i="10"/>
  <c r="Z464" i="10"/>
  <c r="Z465" i="10"/>
  <c r="Z466" i="10"/>
  <c r="Z467" i="10"/>
  <c r="Z468" i="10"/>
  <c r="Z469" i="10"/>
  <c r="Z470" i="10"/>
  <c r="Z471" i="10"/>
  <c r="Z472" i="10"/>
  <c r="Z473" i="10"/>
  <c r="Z474" i="10"/>
  <c r="Z475" i="10"/>
  <c r="Z476" i="10"/>
  <c r="Z477" i="10"/>
  <c r="Z478" i="10"/>
  <c r="Z479" i="10"/>
  <c r="Z480" i="10"/>
  <c r="Z481" i="10"/>
  <c r="Z482" i="10"/>
  <c r="Z483" i="10"/>
  <c r="Z484" i="10"/>
  <c r="Z485" i="10"/>
  <c r="Z486" i="10"/>
  <c r="Z487" i="10"/>
  <c r="Z488" i="10"/>
  <c r="Z489" i="10"/>
  <c r="Z490" i="10"/>
  <c r="Z491" i="10"/>
  <c r="Z492" i="10"/>
  <c r="Z493" i="10"/>
  <c r="Z494" i="10"/>
  <c r="Z495" i="10"/>
  <c r="Z496" i="10"/>
  <c r="Z497" i="10"/>
  <c r="Z498" i="10"/>
  <c r="Z499" i="10"/>
  <c r="Z500" i="10"/>
  <c r="Z501" i="10"/>
  <c r="Z502" i="10"/>
  <c r="Z503" i="10"/>
  <c r="Z504" i="10"/>
  <c r="Z505" i="10"/>
  <c r="Z506" i="10"/>
  <c r="Z507" i="10"/>
  <c r="Z508" i="10"/>
  <c r="Z509" i="10"/>
  <c r="Z510" i="10"/>
  <c r="Z511" i="10"/>
  <c r="Z512" i="10"/>
  <c r="Z513" i="10"/>
  <c r="Z514" i="10"/>
  <c r="Z515" i="10"/>
  <c r="Z516" i="10"/>
  <c r="Z517" i="10"/>
  <c r="Z518" i="10"/>
  <c r="Z519" i="10"/>
  <c r="Z520" i="10"/>
  <c r="Z521" i="10"/>
  <c r="Z522" i="10"/>
  <c r="Z523" i="10"/>
  <c r="Z524" i="10"/>
  <c r="Z525" i="10"/>
  <c r="Z526" i="10"/>
  <c r="Z527" i="10"/>
  <c r="Z528" i="10"/>
  <c r="Z529" i="10"/>
  <c r="Z530" i="10"/>
  <c r="Z531" i="10"/>
  <c r="Z532" i="10"/>
  <c r="Z533" i="10"/>
  <c r="Z534" i="10"/>
  <c r="Z535" i="10"/>
  <c r="Z536" i="10"/>
  <c r="Z537" i="10"/>
  <c r="Z538" i="10"/>
  <c r="Z539" i="10"/>
  <c r="Z540" i="10"/>
  <c r="Z541" i="10"/>
  <c r="Z542" i="10"/>
  <c r="Z543" i="10"/>
  <c r="Z544" i="10"/>
  <c r="Z545" i="10"/>
  <c r="Z546" i="10"/>
  <c r="Z547" i="10"/>
  <c r="Z548" i="10"/>
  <c r="Z549" i="10"/>
  <c r="Z550" i="10"/>
  <c r="Z551" i="10"/>
  <c r="Z552" i="10"/>
  <c r="Z553" i="10"/>
  <c r="Z554" i="10"/>
  <c r="Z555" i="10"/>
  <c r="Z556" i="10"/>
  <c r="Z557" i="10"/>
  <c r="Z558" i="10"/>
  <c r="Z559" i="10"/>
  <c r="Z560" i="10"/>
  <c r="Z561" i="10"/>
  <c r="Z562" i="10"/>
  <c r="Z563" i="10"/>
  <c r="Z564" i="10"/>
  <c r="Z565" i="10"/>
  <c r="Z566" i="10"/>
  <c r="Z567" i="10"/>
  <c r="Z568" i="10"/>
  <c r="Z569" i="10"/>
  <c r="Z570" i="10"/>
  <c r="Z571" i="10"/>
  <c r="Z572" i="10"/>
  <c r="Z573" i="10"/>
  <c r="Z574" i="10"/>
  <c r="Z575" i="10"/>
  <c r="Z576" i="10"/>
  <c r="Z577" i="10"/>
  <c r="Z578" i="10"/>
  <c r="Z579" i="10"/>
  <c r="Z580" i="10"/>
  <c r="Z581" i="10"/>
  <c r="Z582" i="10"/>
  <c r="Z583" i="10"/>
  <c r="Z584" i="10"/>
  <c r="Z585" i="10"/>
  <c r="Z586" i="10"/>
  <c r="Z587" i="10"/>
  <c r="Z588" i="10"/>
  <c r="Z589" i="10"/>
  <c r="Z590" i="10"/>
  <c r="Z591" i="10"/>
  <c r="Z592" i="10"/>
  <c r="Z593" i="10"/>
  <c r="Z594" i="10"/>
  <c r="Z595" i="10"/>
  <c r="Z596" i="10"/>
  <c r="Z597" i="10"/>
  <c r="Z598" i="10"/>
  <c r="Z599" i="10"/>
  <c r="Z600" i="10"/>
  <c r="Z601" i="10"/>
  <c r="Z602" i="10"/>
  <c r="Z603" i="10"/>
  <c r="Z604" i="10"/>
  <c r="Z605" i="10"/>
  <c r="Z606" i="10"/>
  <c r="Z607" i="10"/>
  <c r="Z608" i="10"/>
  <c r="Z609" i="10"/>
  <c r="Z610" i="10"/>
  <c r="Z611" i="10"/>
  <c r="Z612" i="10"/>
  <c r="Z613" i="10"/>
  <c r="Z614" i="10"/>
  <c r="Z615" i="10"/>
  <c r="Z616" i="10"/>
  <c r="Z617" i="10"/>
  <c r="Z618" i="10"/>
  <c r="Z619" i="10"/>
  <c r="Z620" i="10"/>
  <c r="Z621" i="10"/>
  <c r="Z622" i="10"/>
  <c r="Z623" i="10"/>
  <c r="Z624" i="10"/>
  <c r="Z625" i="10"/>
  <c r="Z626" i="10"/>
  <c r="Z627" i="10"/>
  <c r="Z628" i="10"/>
  <c r="Z629" i="10"/>
  <c r="Z630" i="10"/>
  <c r="Z631" i="10"/>
  <c r="Z632" i="10"/>
  <c r="Z633" i="10"/>
  <c r="Z634" i="10"/>
  <c r="Z635" i="10"/>
  <c r="Z636" i="10"/>
  <c r="Z637" i="10"/>
  <c r="Z638" i="10"/>
  <c r="Z639" i="10"/>
  <c r="Z640" i="10"/>
  <c r="Z641" i="10"/>
  <c r="Z642" i="10"/>
  <c r="Z643" i="10"/>
  <c r="Z644" i="10"/>
  <c r="Z645" i="10"/>
  <c r="Z646" i="10"/>
  <c r="Z647" i="10"/>
  <c r="Z648" i="10"/>
  <c r="Z649" i="10"/>
  <c r="Z650" i="10"/>
  <c r="Z651" i="10"/>
  <c r="Z652" i="10"/>
  <c r="Z653" i="10"/>
  <c r="Z654" i="10"/>
  <c r="Z655" i="10"/>
  <c r="Z656" i="10"/>
  <c r="Z657" i="10"/>
  <c r="Z658" i="10"/>
  <c r="Z659" i="10"/>
  <c r="Z660" i="10"/>
  <c r="Z661" i="10"/>
  <c r="Z662" i="10"/>
  <c r="Z663" i="10"/>
  <c r="Z664" i="10"/>
  <c r="Z665" i="10"/>
  <c r="Z666" i="10"/>
  <c r="Z667" i="10"/>
  <c r="Z668" i="10"/>
  <c r="Z669" i="10"/>
  <c r="Z670" i="10"/>
  <c r="Z671" i="10"/>
  <c r="Z672" i="10"/>
  <c r="Z673" i="10"/>
  <c r="Z674" i="10"/>
  <c r="Z675" i="10"/>
  <c r="Z676" i="10"/>
  <c r="Z677" i="10"/>
  <c r="Z678" i="10"/>
  <c r="Z679" i="10"/>
  <c r="Z680" i="10"/>
  <c r="Z681" i="10"/>
  <c r="Z682" i="10"/>
  <c r="Z683" i="10"/>
  <c r="Z684" i="10"/>
  <c r="Z685" i="10"/>
  <c r="Z686" i="10"/>
  <c r="Z687" i="10"/>
  <c r="Z688" i="10"/>
  <c r="Z689" i="10"/>
  <c r="Z690" i="10"/>
  <c r="Z691" i="10"/>
  <c r="Z692" i="10"/>
  <c r="Z693" i="10"/>
  <c r="Z694" i="10"/>
  <c r="Z695" i="10"/>
  <c r="Z696" i="10"/>
  <c r="Z697" i="10"/>
  <c r="Z698" i="10"/>
  <c r="Z699" i="10"/>
  <c r="Z700" i="10"/>
  <c r="Z701" i="10"/>
  <c r="Z702" i="10"/>
  <c r="Z703" i="10"/>
  <c r="Z704" i="10"/>
  <c r="Z705" i="10"/>
  <c r="Z706" i="10"/>
  <c r="Z707" i="10"/>
  <c r="Z708" i="10"/>
  <c r="Z709" i="10"/>
  <c r="Z710" i="10"/>
  <c r="Z711" i="10"/>
  <c r="Z712" i="10"/>
  <c r="Z713" i="10"/>
  <c r="Z714" i="10"/>
  <c r="Z715" i="10"/>
  <c r="Z716" i="10"/>
  <c r="Z717" i="10"/>
  <c r="Z718" i="10"/>
  <c r="Z719" i="10"/>
  <c r="Z720" i="10"/>
  <c r="Z721" i="10"/>
  <c r="Z722" i="10"/>
  <c r="Z723" i="10"/>
  <c r="Z724" i="10"/>
  <c r="Z725" i="10"/>
  <c r="Z726" i="10"/>
  <c r="Z727" i="10"/>
  <c r="Z728" i="10"/>
  <c r="Z729" i="10"/>
  <c r="Z730" i="10"/>
  <c r="Z731" i="10"/>
  <c r="Z732" i="10"/>
  <c r="Z733" i="10"/>
  <c r="Z734" i="10"/>
  <c r="Z735" i="10"/>
  <c r="Z736" i="10"/>
  <c r="Z737" i="10"/>
  <c r="Z738" i="10"/>
  <c r="Z739" i="10"/>
  <c r="Z740" i="10"/>
  <c r="Z741" i="10"/>
  <c r="Z742" i="10"/>
  <c r="Z743" i="10"/>
  <c r="Z744" i="10"/>
  <c r="Z745" i="10"/>
  <c r="Z746" i="10"/>
  <c r="Z747" i="10"/>
  <c r="Z748" i="10"/>
  <c r="Z749" i="10"/>
  <c r="Z750" i="10"/>
  <c r="Z751" i="10"/>
  <c r="Z752" i="10"/>
  <c r="Z753" i="10"/>
  <c r="Z754" i="10"/>
  <c r="Z755" i="10"/>
  <c r="Z756" i="10"/>
  <c r="Z757" i="10"/>
  <c r="Z758" i="10"/>
  <c r="Z759" i="10"/>
  <c r="Z760" i="10"/>
  <c r="Z761" i="10"/>
  <c r="Z762" i="10"/>
  <c r="Z763" i="10"/>
  <c r="Z764" i="10"/>
  <c r="Z765" i="10"/>
  <c r="Z766" i="10"/>
  <c r="Z767" i="10"/>
  <c r="Z768" i="10"/>
  <c r="Z769" i="10"/>
  <c r="Z770" i="10"/>
  <c r="Z771" i="10"/>
  <c r="Z772" i="10"/>
  <c r="Z773" i="10"/>
  <c r="Z774" i="10"/>
  <c r="Z775" i="10"/>
  <c r="Z776" i="10"/>
  <c r="Z777" i="10"/>
  <c r="Z778" i="10"/>
  <c r="Z779" i="10"/>
  <c r="Z780" i="10"/>
  <c r="Z781" i="10"/>
  <c r="Z782" i="10"/>
  <c r="Z783" i="10"/>
  <c r="Z784" i="10"/>
  <c r="Z785" i="10"/>
  <c r="Z786" i="10"/>
  <c r="Z787" i="10"/>
  <c r="Z788" i="10"/>
  <c r="Z789" i="10"/>
  <c r="Z790" i="10"/>
  <c r="Z791" i="10"/>
  <c r="Z792" i="10"/>
  <c r="Z793" i="10"/>
  <c r="Z794" i="10"/>
  <c r="Z795" i="10"/>
  <c r="Z796" i="10"/>
  <c r="Z797" i="10"/>
  <c r="Z798" i="10"/>
  <c r="Z799" i="10"/>
  <c r="Z800" i="10"/>
  <c r="Z801" i="10"/>
  <c r="Z802" i="10"/>
  <c r="Z803" i="10"/>
  <c r="Z804" i="10"/>
  <c r="Z805" i="10"/>
  <c r="Z806" i="10"/>
  <c r="Z807" i="10"/>
  <c r="Z808" i="10"/>
  <c r="Z809" i="10"/>
  <c r="Z810" i="10"/>
  <c r="Z811" i="10"/>
  <c r="Z812" i="10"/>
  <c r="Z813" i="10"/>
  <c r="Z814" i="10"/>
  <c r="Z815" i="10"/>
  <c r="Z816" i="10"/>
  <c r="Z817" i="10"/>
  <c r="Z818" i="10"/>
  <c r="Z819" i="10"/>
  <c r="Z820" i="10"/>
  <c r="Z821" i="10"/>
  <c r="Z822" i="10"/>
  <c r="Z823" i="10"/>
  <c r="Z824" i="10"/>
  <c r="Z825" i="10"/>
  <c r="Z826" i="10"/>
  <c r="Z827" i="10"/>
  <c r="Z828" i="10"/>
  <c r="Z829" i="10"/>
  <c r="Z830" i="10"/>
  <c r="Z831" i="10"/>
  <c r="Z832" i="10"/>
  <c r="Z833" i="10"/>
  <c r="Z834" i="10"/>
  <c r="Z835" i="10"/>
  <c r="Z836" i="10"/>
  <c r="Z837" i="10"/>
  <c r="Z838" i="10"/>
  <c r="Z839" i="10"/>
  <c r="Z840" i="10"/>
  <c r="Z841" i="10"/>
  <c r="Z842" i="10"/>
  <c r="Z843" i="10"/>
  <c r="Z844" i="10"/>
  <c r="Z845" i="10"/>
  <c r="Z846" i="10"/>
  <c r="Z847" i="10"/>
  <c r="Z848" i="10"/>
  <c r="Z849" i="10"/>
  <c r="Z850" i="10"/>
  <c r="Z851" i="10"/>
  <c r="Z852" i="10"/>
  <c r="Z853" i="10"/>
  <c r="Z854" i="10"/>
  <c r="Z855" i="10"/>
  <c r="Z856" i="10"/>
  <c r="Z857" i="10"/>
  <c r="Z858" i="10"/>
  <c r="Z859" i="10"/>
  <c r="Z860" i="10"/>
  <c r="Z861" i="10"/>
  <c r="Z862" i="10"/>
  <c r="Z863" i="10"/>
  <c r="Z864" i="10"/>
  <c r="Z865" i="10"/>
  <c r="Z866" i="10"/>
  <c r="Z867" i="10"/>
  <c r="Z868" i="10"/>
  <c r="Z869" i="10"/>
  <c r="Z870" i="10"/>
  <c r="Z871" i="10"/>
  <c r="Z872" i="10"/>
  <c r="Z873" i="10"/>
  <c r="Z874" i="10"/>
  <c r="Z875" i="10"/>
  <c r="Z876" i="10"/>
  <c r="Z877" i="10"/>
  <c r="Z878" i="10"/>
  <c r="Z879" i="10"/>
  <c r="Z880" i="10"/>
  <c r="Z881" i="10"/>
  <c r="Z882" i="10"/>
  <c r="Z883" i="10"/>
  <c r="Z884" i="10"/>
  <c r="Z885" i="10"/>
  <c r="Z886" i="10"/>
  <c r="Z887" i="10"/>
  <c r="Z888" i="10"/>
  <c r="Z889" i="10"/>
  <c r="Z890" i="10"/>
  <c r="Z891" i="10"/>
  <c r="Z892" i="10"/>
  <c r="Z893" i="10"/>
  <c r="Z894" i="10"/>
  <c r="Z895" i="10"/>
  <c r="Z896" i="10"/>
  <c r="Z897" i="10"/>
  <c r="Z898" i="10"/>
  <c r="Z899" i="10"/>
  <c r="Z900" i="10"/>
  <c r="Z901" i="10"/>
  <c r="Z902" i="10"/>
  <c r="Z903" i="10"/>
  <c r="Z904" i="10"/>
  <c r="Z905" i="10"/>
  <c r="Z906" i="10"/>
  <c r="Z907" i="10"/>
  <c r="Z908" i="10"/>
  <c r="Z909" i="10"/>
  <c r="Z910" i="10"/>
  <c r="Z911" i="10"/>
  <c r="Z912" i="10"/>
  <c r="Z913" i="10"/>
  <c r="Z914" i="10"/>
  <c r="Z915" i="10"/>
  <c r="Z916" i="10"/>
  <c r="Z917" i="10"/>
  <c r="Z918" i="10"/>
  <c r="Z919" i="10"/>
  <c r="Z920" i="10"/>
  <c r="Z921" i="10"/>
  <c r="Z922" i="10"/>
  <c r="Z923" i="10"/>
  <c r="Z924" i="10"/>
  <c r="Z925" i="10"/>
  <c r="Z926" i="10"/>
  <c r="Z927" i="10"/>
  <c r="Z928" i="10"/>
  <c r="Z929" i="10"/>
  <c r="Z930" i="10"/>
  <c r="Z931" i="10"/>
  <c r="Z932" i="10"/>
  <c r="Z933" i="10"/>
  <c r="Z934" i="10"/>
  <c r="Z935" i="10"/>
  <c r="Z936" i="10"/>
  <c r="Z937" i="10"/>
  <c r="Z938" i="10"/>
  <c r="Z939" i="10"/>
  <c r="Z940" i="10"/>
  <c r="Z941" i="10"/>
  <c r="Z942" i="10"/>
  <c r="Z943" i="10"/>
  <c r="Z944" i="10"/>
  <c r="Z945" i="10"/>
  <c r="Z946" i="10"/>
  <c r="Z947" i="10"/>
  <c r="Z948" i="10"/>
  <c r="Z949" i="10"/>
  <c r="Z950" i="10"/>
  <c r="Z951" i="10"/>
  <c r="Z952" i="10"/>
  <c r="Z953" i="10"/>
  <c r="Z954" i="10"/>
  <c r="Z955" i="10"/>
  <c r="Z956" i="10"/>
  <c r="Z957" i="10"/>
  <c r="Z958" i="10"/>
  <c r="Z959" i="10"/>
  <c r="Z960" i="10"/>
  <c r="Z961" i="10"/>
  <c r="Z962" i="10"/>
  <c r="Z963" i="10"/>
  <c r="Z964" i="10"/>
  <c r="Z965" i="10"/>
  <c r="Z966" i="10"/>
  <c r="Z967" i="10"/>
  <c r="Z968" i="10"/>
  <c r="Z969" i="10"/>
  <c r="Z970" i="10"/>
  <c r="Z971" i="10"/>
  <c r="Z972" i="10"/>
  <c r="Z973" i="10"/>
  <c r="Z974" i="10"/>
  <c r="Z975" i="10"/>
  <c r="Z976" i="10"/>
  <c r="Z977" i="10"/>
  <c r="Z978" i="10"/>
  <c r="Z979" i="10"/>
  <c r="Z980" i="10"/>
  <c r="Z981" i="10"/>
  <c r="Z982" i="10"/>
  <c r="Z983" i="10"/>
  <c r="Z984" i="10"/>
  <c r="Z985" i="10"/>
  <c r="Z986" i="10"/>
  <c r="Z987" i="10"/>
  <c r="Z988" i="10"/>
  <c r="Z989" i="10"/>
  <c r="Z990" i="10"/>
  <c r="Z991" i="10"/>
  <c r="Z992" i="10"/>
  <c r="Z993" i="10"/>
  <c r="Z994" i="10"/>
  <c r="Z995" i="10"/>
  <c r="Z996" i="10"/>
  <c r="Z997" i="10"/>
  <c r="Z998" i="10"/>
  <c r="Z999" i="10"/>
  <c r="Z1000" i="10"/>
  <c r="Z1001" i="10"/>
  <c r="Z1002" i="10"/>
  <c r="Z1003" i="10"/>
  <c r="Z1004" i="10"/>
  <c r="Z1005" i="10"/>
  <c r="Z1006" i="10"/>
  <c r="Z1007" i="10"/>
  <c r="Z1008" i="10"/>
  <c r="Z1009" i="10"/>
  <c r="Z1010" i="10"/>
  <c r="Z1011" i="10"/>
  <c r="Z1012" i="10"/>
  <c r="Z1013" i="10"/>
  <c r="Z1014" i="10"/>
  <c r="Z1015" i="10"/>
  <c r="Z1016" i="10"/>
  <c r="Z1017" i="10"/>
  <c r="Z1018" i="10"/>
  <c r="Z1019" i="10"/>
  <c r="Z1020" i="10"/>
  <c r="Z1021" i="10"/>
  <c r="Z1022" i="10"/>
  <c r="Z1023" i="10"/>
  <c r="Z1024" i="10"/>
  <c r="Z1025" i="10"/>
  <c r="Z1026" i="10"/>
  <c r="Z1027" i="10"/>
  <c r="Z1028" i="10"/>
  <c r="Z1029" i="10"/>
  <c r="Z1030" i="10"/>
  <c r="Z1031" i="10"/>
  <c r="Z1032" i="10"/>
  <c r="Z1033" i="10"/>
  <c r="Z1034" i="10"/>
  <c r="Z1035" i="10"/>
  <c r="Z1036" i="10"/>
  <c r="Z1037" i="10"/>
  <c r="Z1038" i="10"/>
  <c r="Z1039" i="10"/>
  <c r="Z1040" i="10"/>
  <c r="Z1041" i="10"/>
  <c r="Z1042" i="10"/>
  <c r="Z1043" i="10"/>
  <c r="Z1044" i="10"/>
  <c r="Z1045" i="10"/>
  <c r="Z1046" i="10"/>
  <c r="Z1047" i="10"/>
  <c r="Z1048" i="10"/>
  <c r="Z1049" i="10"/>
  <c r="Z1050" i="10"/>
  <c r="Z1051" i="10"/>
  <c r="Z1052" i="10"/>
  <c r="Z1053" i="10"/>
  <c r="Z1054" i="10"/>
  <c r="Z1055" i="10"/>
  <c r="Z1056" i="10"/>
  <c r="Z1057" i="10"/>
  <c r="Z1058" i="10"/>
  <c r="Z1059" i="10"/>
  <c r="Z1060" i="10"/>
  <c r="Z1061" i="10"/>
  <c r="Z1062" i="10"/>
  <c r="Z1063" i="10"/>
  <c r="Z1064" i="10"/>
  <c r="Z1065" i="10"/>
  <c r="Z1066" i="10"/>
  <c r="Z1067" i="10"/>
  <c r="Z1068" i="10"/>
  <c r="Z1069" i="10"/>
  <c r="Z1070" i="10"/>
  <c r="Z1071" i="10"/>
  <c r="Z1072" i="10"/>
  <c r="Z1073" i="10"/>
  <c r="Z1074" i="10"/>
  <c r="Z1075" i="10"/>
  <c r="Z1076" i="10"/>
  <c r="Z1077" i="10"/>
  <c r="Z1078" i="10"/>
  <c r="Z1079" i="10"/>
  <c r="Z1080" i="10"/>
  <c r="Z1081" i="10"/>
  <c r="Z1082" i="10"/>
  <c r="Z1083" i="10"/>
  <c r="Z1084" i="10"/>
  <c r="Z1085" i="10"/>
  <c r="Z1086" i="10"/>
  <c r="Z1087" i="10"/>
  <c r="Z1088" i="10"/>
  <c r="Z1089" i="10"/>
  <c r="Z1090" i="10"/>
  <c r="Z1091" i="10"/>
  <c r="Z1092" i="10"/>
  <c r="Z1093" i="10"/>
  <c r="Z1094" i="10"/>
  <c r="Z1095" i="10"/>
  <c r="Z1096" i="10"/>
  <c r="Z1097" i="10"/>
  <c r="Z1098" i="10"/>
  <c r="Z1099" i="10"/>
  <c r="Z1100" i="10"/>
  <c r="Z1101" i="10"/>
  <c r="Z1102" i="10"/>
  <c r="Z1103" i="10"/>
  <c r="Z1104" i="10"/>
  <c r="Z1105" i="10"/>
  <c r="Z1106" i="10"/>
  <c r="Z1107" i="10"/>
  <c r="Z1108" i="10"/>
  <c r="Z1109" i="10"/>
  <c r="Z1110" i="10"/>
  <c r="Z1111" i="10"/>
  <c r="Z1112" i="10"/>
  <c r="Z1113" i="10"/>
  <c r="Z1114" i="10"/>
  <c r="Z1115" i="10"/>
  <c r="Z1116" i="10"/>
  <c r="Z1117" i="10"/>
  <c r="Z1118" i="10"/>
  <c r="Z1119" i="10"/>
  <c r="Z1120" i="10"/>
  <c r="Z1121" i="10"/>
  <c r="Z1122" i="10"/>
  <c r="Z1123" i="10"/>
  <c r="Z1124" i="10"/>
  <c r="Z1125" i="10"/>
  <c r="Z1126" i="10"/>
  <c r="Z1127" i="10"/>
  <c r="Z1128" i="10"/>
  <c r="Z1129" i="10"/>
  <c r="Z1130" i="10"/>
  <c r="Z1131" i="10"/>
  <c r="Z1132" i="10"/>
  <c r="Z1133" i="10"/>
  <c r="Z1134" i="10"/>
  <c r="Z1135" i="10"/>
  <c r="Z1136" i="10"/>
  <c r="Z1137" i="10"/>
  <c r="Z1138" i="10"/>
  <c r="Z1139" i="10"/>
  <c r="Z1140" i="10"/>
  <c r="Z1141" i="10"/>
  <c r="Z1142" i="10"/>
  <c r="Z1143" i="10"/>
  <c r="Z1144" i="10"/>
  <c r="Z1145" i="10"/>
  <c r="Z1146" i="10"/>
  <c r="Z1147" i="10"/>
  <c r="Z1148" i="10"/>
  <c r="Z1149" i="10"/>
  <c r="Z1150" i="10"/>
  <c r="Z1151" i="10"/>
  <c r="Z1152" i="10"/>
  <c r="Z1153" i="10"/>
  <c r="Z1154" i="10"/>
  <c r="Z1155" i="10"/>
  <c r="Z1156" i="10"/>
  <c r="Z1157" i="10"/>
  <c r="Z1158" i="10"/>
  <c r="Z1159" i="10"/>
  <c r="Z1160" i="10"/>
  <c r="Z1161" i="10"/>
  <c r="Z1162" i="10"/>
  <c r="Z1163" i="10"/>
  <c r="Z1164" i="10"/>
  <c r="Z1165" i="10"/>
  <c r="Z1166" i="10"/>
  <c r="Z1167" i="10"/>
  <c r="Z1168" i="10"/>
  <c r="Z1169" i="10"/>
  <c r="Z1170" i="10"/>
  <c r="Z1171" i="10"/>
  <c r="Z1172" i="10"/>
  <c r="Z1173" i="10"/>
  <c r="Z1174" i="10"/>
  <c r="Z1175" i="10"/>
  <c r="Z1176" i="10"/>
  <c r="Z1177" i="10"/>
  <c r="Z1178" i="10"/>
  <c r="Z1179" i="10"/>
  <c r="Z1180" i="10"/>
  <c r="Z1181" i="10"/>
  <c r="Z1182" i="10"/>
  <c r="Z1183" i="10"/>
  <c r="Z1184" i="10"/>
  <c r="Z1185" i="10"/>
  <c r="Z1186" i="10"/>
  <c r="Z1187" i="10"/>
  <c r="Z1188" i="10"/>
  <c r="Z1189" i="10"/>
  <c r="Z1190" i="10"/>
  <c r="Z1191" i="10"/>
  <c r="Z1192" i="10"/>
  <c r="Z1193" i="10"/>
  <c r="Z1194" i="10"/>
  <c r="Z1195" i="10"/>
  <c r="Z1196" i="10"/>
  <c r="Z1197" i="10"/>
  <c r="Z1198" i="10"/>
  <c r="Z1199" i="10"/>
  <c r="Z1200" i="10"/>
  <c r="Z1201" i="10"/>
  <c r="Z1202" i="10"/>
  <c r="Z1203" i="10"/>
  <c r="Z1204" i="10"/>
  <c r="Z1205" i="10"/>
  <c r="Z1206" i="10"/>
  <c r="Z1207" i="10"/>
  <c r="Z1208" i="10"/>
  <c r="Z6" i="10"/>
  <c r="X7" i="10"/>
  <c r="X8" i="10"/>
  <c r="X9" i="10"/>
  <c r="X10" i="10"/>
  <c r="X11" i="10"/>
  <c r="X12" i="10"/>
  <c r="X13" i="10"/>
  <c r="X14" i="10"/>
  <c r="X15" i="10"/>
  <c r="X16" i="10"/>
  <c r="X17" i="10"/>
  <c r="X18" i="10"/>
  <c r="X19" i="10"/>
  <c r="X20" i="10"/>
  <c r="X21" i="10"/>
  <c r="X22" i="10"/>
  <c r="X23" i="10"/>
  <c r="X24" i="10"/>
  <c r="X25" i="10"/>
  <c r="X26" i="10"/>
  <c r="X27" i="10"/>
  <c r="X28" i="10"/>
  <c r="X29" i="10"/>
  <c r="X30" i="10"/>
  <c r="X31" i="10"/>
  <c r="X32" i="10"/>
  <c r="X33" i="10"/>
  <c r="X34" i="10"/>
  <c r="X35" i="10"/>
  <c r="X36" i="10"/>
  <c r="X37" i="10"/>
  <c r="X38" i="10"/>
  <c r="X39" i="10"/>
  <c r="X40" i="10"/>
  <c r="X41" i="10"/>
  <c r="X42" i="10"/>
  <c r="X43" i="10"/>
  <c r="X44" i="10"/>
  <c r="X45" i="10"/>
  <c r="X46" i="10"/>
  <c r="X47" i="10"/>
  <c r="X48" i="10"/>
  <c r="X49" i="10"/>
  <c r="X50" i="10"/>
  <c r="X51" i="10"/>
  <c r="X52" i="10"/>
  <c r="X53" i="10"/>
  <c r="X54" i="10"/>
  <c r="X55" i="10"/>
  <c r="X56" i="10"/>
  <c r="X57" i="10"/>
  <c r="X58" i="10"/>
  <c r="X59" i="10"/>
  <c r="X60" i="10"/>
  <c r="X61" i="10"/>
  <c r="X62" i="10"/>
  <c r="X63" i="10"/>
  <c r="X64" i="10"/>
  <c r="X65" i="10"/>
  <c r="X66" i="10"/>
  <c r="X67" i="10"/>
  <c r="X68" i="10"/>
  <c r="X69" i="10"/>
  <c r="X70" i="10"/>
  <c r="X71" i="10"/>
  <c r="X72" i="10"/>
  <c r="X73" i="10"/>
  <c r="X74" i="10"/>
  <c r="X75" i="10"/>
  <c r="X76" i="10"/>
  <c r="X77" i="10"/>
  <c r="X78" i="10"/>
  <c r="X79" i="10"/>
  <c r="X80" i="10"/>
  <c r="X81" i="10"/>
  <c r="X82" i="10"/>
  <c r="X83" i="10"/>
  <c r="X84" i="10"/>
  <c r="X85" i="10"/>
  <c r="X86" i="10"/>
  <c r="X87" i="10"/>
  <c r="X88" i="10"/>
  <c r="X89" i="10"/>
  <c r="X90" i="10"/>
  <c r="X91" i="10"/>
  <c r="X92" i="10"/>
  <c r="X93" i="10"/>
  <c r="X94" i="10"/>
  <c r="X95" i="10"/>
  <c r="X96" i="10"/>
  <c r="X97" i="10"/>
  <c r="X98" i="10"/>
  <c r="X99" i="10"/>
  <c r="X100" i="10"/>
  <c r="X101" i="10"/>
  <c r="X102" i="10"/>
  <c r="X103" i="10"/>
  <c r="X104" i="10"/>
  <c r="X105" i="10"/>
  <c r="X106" i="10"/>
  <c r="X107" i="10"/>
  <c r="X108" i="10"/>
  <c r="X109" i="10"/>
  <c r="X110" i="10"/>
  <c r="X111" i="10"/>
  <c r="X112" i="10"/>
  <c r="X113" i="10"/>
  <c r="X114" i="10"/>
  <c r="X115" i="10"/>
  <c r="X116" i="10"/>
  <c r="X117" i="10"/>
  <c r="X118" i="10"/>
  <c r="X119" i="10"/>
  <c r="X120" i="10"/>
  <c r="X121" i="10"/>
  <c r="X122" i="10"/>
  <c r="X123" i="10"/>
  <c r="X124" i="10"/>
  <c r="X125" i="10"/>
  <c r="X126" i="10"/>
  <c r="X127" i="10"/>
  <c r="X128" i="10"/>
  <c r="X129" i="10"/>
  <c r="X130" i="10"/>
  <c r="X131" i="10"/>
  <c r="X132" i="10"/>
  <c r="X133" i="10"/>
  <c r="X134" i="10"/>
  <c r="X135" i="10"/>
  <c r="X136" i="10"/>
  <c r="X137" i="10"/>
  <c r="X138" i="10"/>
  <c r="X139" i="10"/>
  <c r="X140" i="10"/>
  <c r="X141" i="10"/>
  <c r="X142" i="10"/>
  <c r="X143" i="10"/>
  <c r="X144" i="10"/>
  <c r="X145" i="10"/>
  <c r="X146" i="10"/>
  <c r="X147" i="10"/>
  <c r="X148" i="10"/>
  <c r="X149" i="10"/>
  <c r="X150" i="10"/>
  <c r="X151" i="10"/>
  <c r="X152" i="10"/>
  <c r="X153" i="10"/>
  <c r="X154" i="10"/>
  <c r="X155" i="10"/>
  <c r="X156" i="10"/>
  <c r="X157" i="10"/>
  <c r="X158" i="10"/>
  <c r="X159" i="10"/>
  <c r="X160" i="10"/>
  <c r="X161" i="10"/>
  <c r="X162" i="10"/>
  <c r="X163" i="10"/>
  <c r="X164" i="10"/>
  <c r="X165" i="10"/>
  <c r="X166" i="10"/>
  <c r="X167" i="10"/>
  <c r="X168" i="10"/>
  <c r="X169" i="10"/>
  <c r="X170" i="10"/>
  <c r="X171" i="10"/>
  <c r="X172" i="10"/>
  <c r="X173" i="10"/>
  <c r="X174" i="10"/>
  <c r="X175" i="10"/>
  <c r="X176" i="10"/>
  <c r="X177" i="10"/>
  <c r="X178" i="10"/>
  <c r="X179" i="10"/>
  <c r="X180" i="10"/>
  <c r="X181" i="10"/>
  <c r="X182" i="10"/>
  <c r="X183" i="10"/>
  <c r="X184" i="10"/>
  <c r="X185" i="10"/>
  <c r="X186" i="10"/>
  <c r="X187" i="10"/>
  <c r="X188" i="10"/>
  <c r="X189" i="10"/>
  <c r="X190" i="10"/>
  <c r="X191" i="10"/>
  <c r="X192" i="10"/>
  <c r="X193" i="10"/>
  <c r="X194" i="10"/>
  <c r="X195" i="10"/>
  <c r="X196" i="10"/>
  <c r="X197" i="10"/>
  <c r="X198" i="10"/>
  <c r="X199" i="10"/>
  <c r="X200" i="10"/>
  <c r="X201" i="10"/>
  <c r="X202" i="10"/>
  <c r="X203" i="10"/>
  <c r="X204" i="10"/>
  <c r="X205" i="10"/>
  <c r="X206" i="10"/>
  <c r="X207" i="10"/>
  <c r="X208" i="10"/>
  <c r="X209" i="10"/>
  <c r="X210" i="10"/>
  <c r="X211" i="10"/>
  <c r="X212" i="10"/>
  <c r="X213" i="10"/>
  <c r="X214" i="10"/>
  <c r="X215" i="10"/>
  <c r="X216" i="10"/>
  <c r="X217" i="10"/>
  <c r="X218" i="10"/>
  <c r="X219" i="10"/>
  <c r="X220" i="10"/>
  <c r="X221" i="10"/>
  <c r="X222" i="10"/>
  <c r="X223" i="10"/>
  <c r="X224" i="10"/>
  <c r="X225" i="10"/>
  <c r="X226" i="10"/>
  <c r="X227" i="10"/>
  <c r="X228" i="10"/>
  <c r="X229" i="10"/>
  <c r="X230" i="10"/>
  <c r="X231" i="10"/>
  <c r="X232" i="10"/>
  <c r="X233" i="10"/>
  <c r="X234" i="10"/>
  <c r="X235" i="10"/>
  <c r="X236" i="10"/>
  <c r="X237" i="10"/>
  <c r="X238" i="10"/>
  <c r="X239" i="10"/>
  <c r="X240" i="10"/>
  <c r="X241" i="10"/>
  <c r="X242" i="10"/>
  <c r="X243" i="10"/>
  <c r="X244" i="10"/>
  <c r="X245" i="10"/>
  <c r="X246" i="10"/>
  <c r="X247" i="10"/>
  <c r="X248" i="10"/>
  <c r="X249" i="10"/>
  <c r="X250" i="10"/>
  <c r="X251" i="10"/>
  <c r="X252" i="10"/>
  <c r="X253" i="10"/>
  <c r="X254" i="10"/>
  <c r="X255" i="10"/>
  <c r="X256" i="10"/>
  <c r="X257" i="10"/>
  <c r="X258" i="10"/>
  <c r="X259" i="10"/>
  <c r="X260" i="10"/>
  <c r="X261" i="10"/>
  <c r="X262" i="10"/>
  <c r="X263" i="10"/>
  <c r="X264" i="10"/>
  <c r="X265" i="10"/>
  <c r="X266" i="10"/>
  <c r="X267" i="10"/>
  <c r="X268" i="10"/>
  <c r="X269" i="10"/>
  <c r="X270" i="10"/>
  <c r="X271" i="10"/>
  <c r="X272" i="10"/>
  <c r="X273" i="10"/>
  <c r="X274" i="10"/>
  <c r="X275" i="10"/>
  <c r="X276" i="10"/>
  <c r="X277" i="10"/>
  <c r="X278" i="10"/>
  <c r="X279" i="10"/>
  <c r="X280" i="10"/>
  <c r="X281" i="10"/>
  <c r="X282" i="10"/>
  <c r="X283" i="10"/>
  <c r="X284" i="10"/>
  <c r="X285" i="10"/>
  <c r="X286" i="10"/>
  <c r="X287" i="10"/>
  <c r="X288" i="10"/>
  <c r="X289" i="10"/>
  <c r="X290" i="10"/>
  <c r="X291" i="10"/>
  <c r="X292" i="10"/>
  <c r="X293" i="10"/>
  <c r="X294" i="10"/>
  <c r="X295" i="10"/>
  <c r="X296" i="10"/>
  <c r="X297" i="10"/>
  <c r="X298" i="10"/>
  <c r="X299" i="10"/>
  <c r="X300" i="10"/>
  <c r="X301" i="10"/>
  <c r="X302" i="10"/>
  <c r="X303" i="10"/>
  <c r="X304" i="10"/>
  <c r="X305" i="10"/>
  <c r="X306" i="10"/>
  <c r="X307" i="10"/>
  <c r="X308" i="10"/>
  <c r="X309" i="10"/>
  <c r="X310" i="10"/>
  <c r="X311" i="10"/>
  <c r="X312" i="10"/>
  <c r="X313" i="10"/>
  <c r="X314" i="10"/>
  <c r="X315" i="10"/>
  <c r="X316" i="10"/>
  <c r="X317" i="10"/>
  <c r="X318" i="10"/>
  <c r="X319" i="10"/>
  <c r="X320" i="10"/>
  <c r="X321" i="10"/>
  <c r="X322" i="10"/>
  <c r="X323" i="10"/>
  <c r="X324" i="10"/>
  <c r="X325" i="10"/>
  <c r="X326" i="10"/>
  <c r="X327" i="10"/>
  <c r="X328" i="10"/>
  <c r="X329" i="10"/>
  <c r="X330" i="10"/>
  <c r="X331" i="10"/>
  <c r="X332" i="10"/>
  <c r="X333" i="10"/>
  <c r="X334" i="10"/>
  <c r="X335" i="10"/>
  <c r="X336" i="10"/>
  <c r="X337" i="10"/>
  <c r="X338" i="10"/>
  <c r="X339" i="10"/>
  <c r="X340" i="10"/>
  <c r="X341" i="10"/>
  <c r="X342" i="10"/>
  <c r="X343" i="10"/>
  <c r="X344" i="10"/>
  <c r="X345" i="10"/>
  <c r="X346" i="10"/>
  <c r="X347" i="10"/>
  <c r="X348" i="10"/>
  <c r="X349" i="10"/>
  <c r="X350" i="10"/>
  <c r="X351" i="10"/>
  <c r="X352" i="10"/>
  <c r="X353" i="10"/>
  <c r="X354" i="10"/>
  <c r="X355" i="10"/>
  <c r="X356" i="10"/>
  <c r="X357" i="10"/>
  <c r="X358" i="10"/>
  <c r="X359" i="10"/>
  <c r="X360" i="10"/>
  <c r="X361" i="10"/>
  <c r="X362" i="10"/>
  <c r="X363" i="10"/>
  <c r="X364" i="10"/>
  <c r="X365" i="10"/>
  <c r="X366" i="10"/>
  <c r="X367" i="10"/>
  <c r="X368" i="10"/>
  <c r="X369" i="10"/>
  <c r="X370" i="10"/>
  <c r="X371" i="10"/>
  <c r="X372" i="10"/>
  <c r="X373" i="10"/>
  <c r="X374" i="10"/>
  <c r="X375" i="10"/>
  <c r="X376" i="10"/>
  <c r="X377" i="10"/>
  <c r="X378" i="10"/>
  <c r="X379" i="10"/>
  <c r="X380" i="10"/>
  <c r="X381" i="10"/>
  <c r="X382" i="10"/>
  <c r="X383" i="10"/>
  <c r="X384" i="10"/>
  <c r="X385" i="10"/>
  <c r="X386" i="10"/>
  <c r="X387" i="10"/>
  <c r="X388" i="10"/>
  <c r="X389" i="10"/>
  <c r="X390" i="10"/>
  <c r="X391" i="10"/>
  <c r="X392" i="10"/>
  <c r="X393" i="10"/>
  <c r="X394" i="10"/>
  <c r="X395" i="10"/>
  <c r="X396" i="10"/>
  <c r="X397" i="10"/>
  <c r="X398" i="10"/>
  <c r="X399" i="10"/>
  <c r="X400" i="10"/>
  <c r="X401" i="10"/>
  <c r="X402" i="10"/>
  <c r="X403" i="10"/>
  <c r="X404" i="10"/>
  <c r="X405" i="10"/>
  <c r="X406" i="10"/>
  <c r="X407" i="10"/>
  <c r="X408" i="10"/>
  <c r="X409" i="10"/>
  <c r="X410" i="10"/>
  <c r="X411" i="10"/>
  <c r="X412" i="10"/>
  <c r="X413" i="10"/>
  <c r="X414" i="10"/>
  <c r="X415" i="10"/>
  <c r="X416" i="10"/>
  <c r="X417" i="10"/>
  <c r="X418" i="10"/>
  <c r="X419" i="10"/>
  <c r="X420" i="10"/>
  <c r="X421" i="10"/>
  <c r="X422" i="10"/>
  <c r="X423" i="10"/>
  <c r="X424" i="10"/>
  <c r="X425" i="10"/>
  <c r="X426" i="10"/>
  <c r="X427" i="10"/>
  <c r="X428" i="10"/>
  <c r="X429" i="10"/>
  <c r="X430" i="10"/>
  <c r="X431" i="10"/>
  <c r="X432" i="10"/>
  <c r="X433" i="10"/>
  <c r="X434" i="10"/>
  <c r="X435" i="10"/>
  <c r="X436" i="10"/>
  <c r="X437" i="10"/>
  <c r="X438" i="10"/>
  <c r="X439" i="10"/>
  <c r="X440" i="10"/>
  <c r="X441" i="10"/>
  <c r="X442" i="10"/>
  <c r="X443" i="10"/>
  <c r="X444" i="10"/>
  <c r="X445" i="10"/>
  <c r="X446" i="10"/>
  <c r="X447" i="10"/>
  <c r="X448" i="10"/>
  <c r="X449" i="10"/>
  <c r="X450" i="10"/>
  <c r="X451" i="10"/>
  <c r="X452" i="10"/>
  <c r="X453" i="10"/>
  <c r="X454" i="10"/>
  <c r="X455" i="10"/>
  <c r="X456" i="10"/>
  <c r="X457" i="10"/>
  <c r="X458" i="10"/>
  <c r="X459" i="10"/>
  <c r="X460" i="10"/>
  <c r="X461" i="10"/>
  <c r="X462" i="10"/>
  <c r="X463" i="10"/>
  <c r="X464" i="10"/>
  <c r="X465" i="10"/>
  <c r="X466" i="10"/>
  <c r="X467" i="10"/>
  <c r="X468" i="10"/>
  <c r="X469" i="10"/>
  <c r="X470" i="10"/>
  <c r="X471" i="10"/>
  <c r="X472" i="10"/>
  <c r="X473" i="10"/>
  <c r="X474" i="10"/>
  <c r="X475" i="10"/>
  <c r="X476" i="10"/>
  <c r="X477" i="10"/>
  <c r="X478" i="10"/>
  <c r="X479" i="10"/>
  <c r="X480" i="10"/>
  <c r="X481" i="10"/>
  <c r="X482" i="10"/>
  <c r="X483" i="10"/>
  <c r="X484" i="10"/>
  <c r="X485" i="10"/>
  <c r="X486" i="10"/>
  <c r="X487" i="10"/>
  <c r="X488" i="10"/>
  <c r="X489" i="10"/>
  <c r="X490" i="10"/>
  <c r="X491" i="10"/>
  <c r="X492" i="10"/>
  <c r="X493" i="10"/>
  <c r="X494" i="10"/>
  <c r="X495" i="10"/>
  <c r="X496" i="10"/>
  <c r="X497" i="10"/>
  <c r="X498" i="10"/>
  <c r="X499" i="10"/>
  <c r="X500" i="10"/>
  <c r="X501" i="10"/>
  <c r="X502" i="10"/>
  <c r="X503" i="10"/>
  <c r="X504" i="10"/>
  <c r="X505" i="10"/>
  <c r="X506" i="10"/>
  <c r="X507" i="10"/>
  <c r="X508" i="10"/>
  <c r="X509" i="10"/>
  <c r="X510" i="10"/>
  <c r="X511" i="10"/>
  <c r="X512" i="10"/>
  <c r="X513" i="10"/>
  <c r="X514" i="10"/>
  <c r="X515" i="10"/>
  <c r="X516" i="10"/>
  <c r="X517" i="10"/>
  <c r="X518" i="10"/>
  <c r="X519" i="10"/>
  <c r="X520" i="10"/>
  <c r="X521" i="10"/>
  <c r="X522" i="10"/>
  <c r="X523" i="10"/>
  <c r="X524" i="10"/>
  <c r="X525" i="10"/>
  <c r="X526" i="10"/>
  <c r="X527" i="10"/>
  <c r="X528" i="10"/>
  <c r="X529" i="10"/>
  <c r="X530" i="10"/>
  <c r="X531" i="10"/>
  <c r="X532" i="10"/>
  <c r="X533" i="10"/>
  <c r="X534" i="10"/>
  <c r="X535" i="10"/>
  <c r="X536" i="10"/>
  <c r="X537" i="10"/>
  <c r="X538" i="10"/>
  <c r="X539" i="10"/>
  <c r="X540" i="10"/>
  <c r="X541" i="10"/>
  <c r="X542" i="10"/>
  <c r="X543" i="10"/>
  <c r="X544" i="10"/>
  <c r="X545" i="10"/>
  <c r="X546" i="10"/>
  <c r="X547" i="10"/>
  <c r="X548" i="10"/>
  <c r="X549" i="10"/>
  <c r="X550" i="10"/>
  <c r="X551" i="10"/>
  <c r="X552" i="10"/>
  <c r="X553" i="10"/>
  <c r="X554" i="10"/>
  <c r="X555" i="10"/>
  <c r="X556" i="10"/>
  <c r="X557" i="10"/>
  <c r="X558" i="10"/>
  <c r="X559" i="10"/>
  <c r="X560" i="10"/>
  <c r="X561" i="10"/>
  <c r="X562" i="10"/>
  <c r="X563" i="10"/>
  <c r="X564" i="10"/>
  <c r="X565" i="10"/>
  <c r="X566" i="10"/>
  <c r="X567" i="10"/>
  <c r="X568" i="10"/>
  <c r="X569" i="10"/>
  <c r="X570" i="10"/>
  <c r="X571" i="10"/>
  <c r="X572" i="10"/>
  <c r="X573" i="10"/>
  <c r="X574" i="10"/>
  <c r="X575" i="10"/>
  <c r="X576" i="10"/>
  <c r="X577" i="10"/>
  <c r="X578" i="10"/>
  <c r="X579" i="10"/>
  <c r="X580" i="10"/>
  <c r="X581" i="10"/>
  <c r="X582" i="10"/>
  <c r="X583" i="10"/>
  <c r="X584" i="10"/>
  <c r="X585" i="10"/>
  <c r="X586" i="10"/>
  <c r="X587" i="10"/>
  <c r="X588" i="10"/>
  <c r="X589" i="10"/>
  <c r="X590" i="10"/>
  <c r="X591" i="10"/>
  <c r="X592" i="10"/>
  <c r="X593" i="10"/>
  <c r="X594" i="10"/>
  <c r="X595" i="10"/>
  <c r="X596" i="10"/>
  <c r="X597" i="10"/>
  <c r="X598" i="10"/>
  <c r="X599" i="10"/>
  <c r="X600" i="10"/>
  <c r="X601" i="10"/>
  <c r="X602" i="10"/>
  <c r="X603" i="10"/>
  <c r="X604" i="10"/>
  <c r="X605" i="10"/>
  <c r="X606" i="10"/>
  <c r="X607" i="10"/>
  <c r="X608" i="10"/>
  <c r="X609" i="10"/>
  <c r="X610" i="10"/>
  <c r="X611" i="10"/>
  <c r="X612" i="10"/>
  <c r="X613" i="10"/>
  <c r="X614" i="10"/>
  <c r="X615" i="10"/>
  <c r="X616" i="10"/>
  <c r="X617" i="10"/>
  <c r="X618" i="10"/>
  <c r="X619" i="10"/>
  <c r="X620" i="10"/>
  <c r="X621" i="10"/>
  <c r="X622" i="10"/>
  <c r="X623" i="10"/>
  <c r="X624" i="10"/>
  <c r="X625" i="10"/>
  <c r="X626" i="10"/>
  <c r="X627" i="10"/>
  <c r="X628" i="10"/>
  <c r="X629" i="10"/>
  <c r="X630" i="10"/>
  <c r="X631" i="10"/>
  <c r="X632" i="10"/>
  <c r="X633" i="10"/>
  <c r="X634" i="10"/>
  <c r="X635" i="10"/>
  <c r="X636" i="10"/>
  <c r="X637" i="10"/>
  <c r="X638" i="10"/>
  <c r="X639" i="10"/>
  <c r="X640" i="10"/>
  <c r="X641" i="10"/>
  <c r="X642" i="10"/>
  <c r="X643" i="10"/>
  <c r="X644" i="10"/>
  <c r="X645" i="10"/>
  <c r="X646" i="10"/>
  <c r="X647" i="10"/>
  <c r="X648" i="10"/>
  <c r="X649" i="10"/>
  <c r="X650" i="10"/>
  <c r="X651" i="10"/>
  <c r="X652" i="10"/>
  <c r="X653" i="10"/>
  <c r="X654" i="10"/>
  <c r="X655" i="10"/>
  <c r="X656" i="10"/>
  <c r="X657" i="10"/>
  <c r="X658" i="10"/>
  <c r="X659" i="10"/>
  <c r="X660" i="10"/>
  <c r="X661" i="10"/>
  <c r="X662" i="10"/>
  <c r="X663" i="10"/>
  <c r="X664" i="10"/>
  <c r="X665" i="10"/>
  <c r="X666" i="10"/>
  <c r="X667" i="10"/>
  <c r="X668" i="10"/>
  <c r="X669" i="10"/>
  <c r="X670" i="10"/>
  <c r="X671" i="10"/>
  <c r="X672" i="10"/>
  <c r="X673" i="10"/>
  <c r="X674" i="10"/>
  <c r="X675" i="10"/>
  <c r="X676" i="10"/>
  <c r="X677" i="10"/>
  <c r="X678" i="10"/>
  <c r="X679" i="10"/>
  <c r="X680" i="10"/>
  <c r="X681" i="10"/>
  <c r="X682" i="10"/>
  <c r="X683" i="10"/>
  <c r="X684" i="10"/>
  <c r="X685" i="10"/>
  <c r="X686" i="10"/>
  <c r="X687" i="10"/>
  <c r="X688" i="10"/>
  <c r="X689" i="10"/>
  <c r="X690" i="10"/>
  <c r="X691" i="10"/>
  <c r="X692" i="10"/>
  <c r="X693" i="10"/>
  <c r="X694" i="10"/>
  <c r="X695" i="10"/>
  <c r="X696" i="10"/>
  <c r="X697" i="10"/>
  <c r="X698" i="10"/>
  <c r="X699" i="10"/>
  <c r="X700" i="10"/>
  <c r="X701" i="10"/>
  <c r="X702" i="10"/>
  <c r="X703" i="10"/>
  <c r="X704" i="10"/>
  <c r="X705" i="10"/>
  <c r="X706" i="10"/>
  <c r="X707" i="10"/>
  <c r="X708" i="10"/>
  <c r="X709" i="10"/>
  <c r="X710" i="10"/>
  <c r="X711" i="10"/>
  <c r="X712" i="10"/>
  <c r="X713" i="10"/>
  <c r="X714" i="10"/>
  <c r="X715" i="10"/>
  <c r="X716" i="10"/>
  <c r="X717" i="10"/>
  <c r="X718" i="10"/>
  <c r="X719" i="10"/>
  <c r="X720" i="10"/>
  <c r="X721" i="10"/>
  <c r="X722" i="10"/>
  <c r="X723" i="10"/>
  <c r="X724" i="10"/>
  <c r="X725" i="10"/>
  <c r="X726" i="10"/>
  <c r="X727" i="10"/>
  <c r="X728" i="10"/>
  <c r="X729" i="10"/>
  <c r="X730" i="10"/>
  <c r="X731" i="10"/>
  <c r="X732" i="10"/>
  <c r="X733" i="10"/>
  <c r="X734" i="10"/>
  <c r="X735" i="10"/>
  <c r="X736" i="10"/>
  <c r="X737" i="10"/>
  <c r="X738" i="10"/>
  <c r="X739" i="10"/>
  <c r="X740" i="10"/>
  <c r="X741" i="10"/>
  <c r="X742" i="10"/>
  <c r="X743" i="10"/>
  <c r="X744" i="10"/>
  <c r="X745" i="10"/>
  <c r="X746" i="10"/>
  <c r="X747" i="10"/>
  <c r="X748" i="10"/>
  <c r="X749" i="10"/>
  <c r="X750" i="10"/>
  <c r="X751" i="10"/>
  <c r="X752" i="10"/>
  <c r="X753" i="10"/>
  <c r="X754" i="10"/>
  <c r="X755" i="10"/>
  <c r="X756" i="10"/>
  <c r="X757" i="10"/>
  <c r="X758" i="10"/>
  <c r="X759" i="10"/>
  <c r="X760" i="10"/>
  <c r="X761" i="10"/>
  <c r="X762" i="10"/>
  <c r="X763" i="10"/>
  <c r="X764" i="10"/>
  <c r="X765" i="10"/>
  <c r="X766" i="10"/>
  <c r="X767" i="10"/>
  <c r="X768" i="10"/>
  <c r="X769" i="10"/>
  <c r="X770" i="10"/>
  <c r="X771" i="10"/>
  <c r="X772" i="10"/>
  <c r="X773" i="10"/>
  <c r="X774" i="10"/>
  <c r="X775" i="10"/>
  <c r="X776" i="10"/>
  <c r="X777" i="10"/>
  <c r="X778" i="10"/>
  <c r="X779" i="10"/>
  <c r="X780" i="10"/>
  <c r="X781" i="10"/>
  <c r="X782" i="10"/>
  <c r="X783" i="10"/>
  <c r="X784" i="10"/>
  <c r="X785" i="10"/>
  <c r="X786" i="10"/>
  <c r="X787" i="10"/>
  <c r="X788" i="10"/>
  <c r="X789" i="10"/>
  <c r="X790" i="10"/>
  <c r="X791" i="10"/>
  <c r="X792" i="10"/>
  <c r="X793" i="10"/>
  <c r="X794" i="10"/>
  <c r="X795" i="10"/>
  <c r="X796" i="10"/>
  <c r="X797" i="10"/>
  <c r="X798" i="10"/>
  <c r="X799" i="10"/>
  <c r="X800" i="10"/>
  <c r="X801" i="10"/>
  <c r="X802" i="10"/>
  <c r="X803" i="10"/>
  <c r="X804" i="10"/>
  <c r="X805" i="10"/>
  <c r="X806" i="10"/>
  <c r="X807" i="10"/>
  <c r="X808" i="10"/>
  <c r="X809" i="10"/>
  <c r="X810" i="10"/>
  <c r="X811" i="10"/>
  <c r="X812" i="10"/>
  <c r="X813" i="10"/>
  <c r="X814" i="10"/>
  <c r="X815" i="10"/>
  <c r="X816" i="10"/>
  <c r="X817" i="10"/>
  <c r="X818" i="10"/>
  <c r="X819" i="10"/>
  <c r="X820" i="10"/>
  <c r="X821" i="10"/>
  <c r="X822" i="10"/>
  <c r="X823" i="10"/>
  <c r="X824" i="10"/>
  <c r="X825" i="10"/>
  <c r="X826" i="10"/>
  <c r="X827" i="10"/>
  <c r="X828" i="10"/>
  <c r="X829" i="10"/>
  <c r="X830" i="10"/>
  <c r="X831" i="10"/>
  <c r="X832" i="10"/>
  <c r="X833" i="10"/>
  <c r="X834" i="10"/>
  <c r="X835" i="10"/>
  <c r="X836" i="10"/>
  <c r="X837" i="10"/>
  <c r="X838" i="10"/>
  <c r="X839" i="10"/>
  <c r="X840" i="10"/>
  <c r="X841" i="10"/>
  <c r="X842" i="10"/>
  <c r="X843" i="10"/>
  <c r="X844" i="10"/>
  <c r="X845" i="10"/>
  <c r="X846" i="10"/>
  <c r="X847" i="10"/>
  <c r="X848" i="10"/>
  <c r="X849" i="10"/>
  <c r="X850" i="10"/>
  <c r="X851" i="10"/>
  <c r="X852" i="10"/>
  <c r="X853" i="10"/>
  <c r="X854" i="10"/>
  <c r="X855" i="10"/>
  <c r="X856" i="10"/>
  <c r="X857" i="10"/>
  <c r="X858" i="10"/>
  <c r="X859" i="10"/>
  <c r="X860" i="10"/>
  <c r="X861" i="10"/>
  <c r="X862" i="10"/>
  <c r="X863" i="10"/>
  <c r="X864" i="10"/>
  <c r="X865" i="10"/>
  <c r="X866" i="10"/>
  <c r="X867" i="10"/>
  <c r="X868" i="10"/>
  <c r="X869" i="10"/>
  <c r="X870" i="10"/>
  <c r="X871" i="10"/>
  <c r="X872" i="10"/>
  <c r="X873" i="10"/>
  <c r="X874" i="10"/>
  <c r="X875" i="10"/>
  <c r="X876" i="10"/>
  <c r="X877" i="10"/>
  <c r="X878" i="10"/>
  <c r="X879" i="10"/>
  <c r="X880" i="10"/>
  <c r="X881" i="10"/>
  <c r="X882" i="10"/>
  <c r="X883" i="10"/>
  <c r="X884" i="10"/>
  <c r="X885" i="10"/>
  <c r="X886" i="10"/>
  <c r="X887" i="10"/>
  <c r="X888" i="10"/>
  <c r="X889" i="10"/>
  <c r="X890" i="10"/>
  <c r="X891" i="10"/>
  <c r="X892" i="10"/>
  <c r="X893" i="10"/>
  <c r="X894" i="10"/>
  <c r="X895" i="10"/>
  <c r="X896" i="10"/>
  <c r="X897" i="10"/>
  <c r="X898" i="10"/>
  <c r="X899" i="10"/>
  <c r="X900" i="10"/>
  <c r="X901" i="10"/>
  <c r="X902" i="10"/>
  <c r="X903" i="10"/>
  <c r="X904" i="10"/>
  <c r="X905" i="10"/>
  <c r="X906" i="10"/>
  <c r="X907" i="10"/>
  <c r="X908" i="10"/>
  <c r="X909" i="10"/>
  <c r="X910" i="10"/>
  <c r="X911" i="10"/>
  <c r="X912" i="10"/>
  <c r="X913" i="10"/>
  <c r="X914" i="10"/>
  <c r="X915" i="10"/>
  <c r="X916" i="10"/>
  <c r="X917" i="10"/>
  <c r="X918" i="10"/>
  <c r="X919" i="10"/>
  <c r="X920" i="10"/>
  <c r="X921" i="10"/>
  <c r="X922" i="10"/>
  <c r="X923" i="10"/>
  <c r="X924" i="10"/>
  <c r="X925" i="10"/>
  <c r="X926" i="10"/>
  <c r="X927" i="10"/>
  <c r="X928" i="10"/>
  <c r="X929" i="10"/>
  <c r="X930" i="10"/>
  <c r="X931" i="10"/>
  <c r="X932" i="10"/>
  <c r="X933" i="10"/>
  <c r="X934" i="10"/>
  <c r="X935" i="10"/>
  <c r="X936" i="10"/>
  <c r="X937" i="10"/>
  <c r="X938" i="10"/>
  <c r="X939" i="10"/>
  <c r="X940" i="10"/>
  <c r="X941" i="10"/>
  <c r="X942" i="10"/>
  <c r="X943" i="10"/>
  <c r="X944" i="10"/>
  <c r="X945" i="10"/>
  <c r="X946" i="10"/>
  <c r="X947" i="10"/>
  <c r="X948" i="10"/>
  <c r="X949" i="10"/>
  <c r="X950" i="10"/>
  <c r="X951" i="10"/>
  <c r="X952" i="10"/>
  <c r="X953" i="10"/>
  <c r="X954" i="10"/>
  <c r="X955" i="10"/>
  <c r="X956" i="10"/>
  <c r="X957" i="10"/>
  <c r="X958" i="10"/>
  <c r="X959" i="10"/>
  <c r="X960" i="10"/>
  <c r="X961" i="10"/>
  <c r="X962" i="10"/>
  <c r="X963" i="10"/>
  <c r="X964" i="10"/>
  <c r="X965" i="10"/>
  <c r="X966" i="10"/>
  <c r="X967" i="10"/>
  <c r="X968" i="10"/>
  <c r="X969" i="10"/>
  <c r="X970" i="10"/>
  <c r="X971" i="10"/>
  <c r="X972" i="10"/>
  <c r="X973" i="10"/>
  <c r="X974" i="10"/>
  <c r="X975" i="10"/>
  <c r="X976" i="10"/>
  <c r="X977" i="10"/>
  <c r="X978" i="10"/>
  <c r="X979" i="10"/>
  <c r="X980" i="10"/>
  <c r="X981" i="10"/>
  <c r="X982" i="10"/>
  <c r="X983" i="10"/>
  <c r="X984" i="10"/>
  <c r="X985" i="10"/>
  <c r="X986" i="10"/>
  <c r="X987" i="10"/>
  <c r="X988" i="10"/>
  <c r="X989" i="10"/>
  <c r="X990" i="10"/>
  <c r="X991" i="10"/>
  <c r="X992" i="10"/>
  <c r="X993" i="10"/>
  <c r="X994" i="10"/>
  <c r="X995" i="10"/>
  <c r="X996" i="10"/>
  <c r="X997" i="10"/>
  <c r="X998" i="10"/>
  <c r="X999" i="10"/>
  <c r="X1000" i="10"/>
  <c r="X1001" i="10"/>
  <c r="X1002" i="10"/>
  <c r="X1003" i="10"/>
  <c r="X1004" i="10"/>
  <c r="X1005" i="10"/>
  <c r="X1006" i="10"/>
  <c r="X1007" i="10"/>
  <c r="X1008" i="10"/>
  <c r="X1009" i="10"/>
  <c r="X1010" i="10"/>
  <c r="X1011" i="10"/>
  <c r="X1012" i="10"/>
  <c r="X1013" i="10"/>
  <c r="X1014" i="10"/>
  <c r="X1015" i="10"/>
  <c r="X1016" i="10"/>
  <c r="X1017" i="10"/>
  <c r="X1018" i="10"/>
  <c r="X1019" i="10"/>
  <c r="X1020" i="10"/>
  <c r="X1021" i="10"/>
  <c r="X1022" i="10"/>
  <c r="X1023" i="10"/>
  <c r="X1024" i="10"/>
  <c r="X1025" i="10"/>
  <c r="X1026" i="10"/>
  <c r="X1027" i="10"/>
  <c r="X1028" i="10"/>
  <c r="X1029" i="10"/>
  <c r="X1030" i="10"/>
  <c r="X1031" i="10"/>
  <c r="X1032" i="10"/>
  <c r="X1033" i="10"/>
  <c r="X1034" i="10"/>
  <c r="X1035" i="10"/>
  <c r="X1036" i="10"/>
  <c r="X1037" i="10"/>
  <c r="X1038" i="10"/>
  <c r="X1039" i="10"/>
  <c r="X1040" i="10"/>
  <c r="X1041" i="10"/>
  <c r="X1042" i="10"/>
  <c r="X1043" i="10"/>
  <c r="X1044" i="10"/>
  <c r="X1045" i="10"/>
  <c r="X1046" i="10"/>
  <c r="X1047" i="10"/>
  <c r="X1048" i="10"/>
  <c r="X1049" i="10"/>
  <c r="X1050" i="10"/>
  <c r="X1051" i="10"/>
  <c r="X1052" i="10"/>
  <c r="X1053" i="10"/>
  <c r="X1054" i="10"/>
  <c r="X1055" i="10"/>
  <c r="X1056" i="10"/>
  <c r="X1057" i="10"/>
  <c r="X1058" i="10"/>
  <c r="X1059" i="10"/>
  <c r="X1060" i="10"/>
  <c r="X1061" i="10"/>
  <c r="X1062" i="10"/>
  <c r="X1063" i="10"/>
  <c r="X1064" i="10"/>
  <c r="X1065" i="10"/>
  <c r="X1066" i="10"/>
  <c r="X1067" i="10"/>
  <c r="X1068" i="10"/>
  <c r="X1069" i="10"/>
  <c r="X1070" i="10"/>
  <c r="X1071" i="10"/>
  <c r="X1072" i="10"/>
  <c r="X1073" i="10"/>
  <c r="X1074" i="10"/>
  <c r="X1075" i="10"/>
  <c r="X1076" i="10"/>
  <c r="X1077" i="10"/>
  <c r="X1078" i="10"/>
  <c r="X1079" i="10"/>
  <c r="X1080" i="10"/>
  <c r="X1081" i="10"/>
  <c r="X1082" i="10"/>
  <c r="X1083" i="10"/>
  <c r="X1084" i="10"/>
  <c r="X1085" i="10"/>
  <c r="X1086" i="10"/>
  <c r="X1087" i="10"/>
  <c r="X1088" i="10"/>
  <c r="X1089" i="10"/>
  <c r="X1090" i="10"/>
  <c r="X1091" i="10"/>
  <c r="X1092" i="10"/>
  <c r="X1093" i="10"/>
  <c r="X1094" i="10"/>
  <c r="X1095" i="10"/>
  <c r="X1096" i="10"/>
  <c r="X1097" i="10"/>
  <c r="X1098" i="10"/>
  <c r="X1099" i="10"/>
  <c r="X1100" i="10"/>
  <c r="X1101" i="10"/>
  <c r="X1102" i="10"/>
  <c r="X1103" i="10"/>
  <c r="X1104" i="10"/>
  <c r="X1105" i="10"/>
  <c r="X1106" i="10"/>
  <c r="X1107" i="10"/>
  <c r="X1108" i="10"/>
  <c r="X1109" i="10"/>
  <c r="X1110" i="10"/>
  <c r="X1111" i="10"/>
  <c r="X1112" i="10"/>
  <c r="X1113" i="10"/>
  <c r="X1114" i="10"/>
  <c r="X1115" i="10"/>
  <c r="X1116" i="10"/>
  <c r="X1117" i="10"/>
  <c r="X1118" i="10"/>
  <c r="X1119" i="10"/>
  <c r="X1120" i="10"/>
  <c r="X1121" i="10"/>
  <c r="X1122" i="10"/>
  <c r="X1123" i="10"/>
  <c r="X1124" i="10"/>
  <c r="X1125" i="10"/>
  <c r="X1126" i="10"/>
  <c r="X1127" i="10"/>
  <c r="X1128" i="10"/>
  <c r="X1129" i="10"/>
  <c r="X1130" i="10"/>
  <c r="X1131" i="10"/>
  <c r="X1132" i="10"/>
  <c r="X1133" i="10"/>
  <c r="X1134" i="10"/>
  <c r="X1135" i="10"/>
  <c r="X1136" i="10"/>
  <c r="X1137" i="10"/>
  <c r="X1138" i="10"/>
  <c r="X1139" i="10"/>
  <c r="X1140" i="10"/>
  <c r="X1141" i="10"/>
  <c r="X1142" i="10"/>
  <c r="X1143" i="10"/>
  <c r="X1144" i="10"/>
  <c r="X1145" i="10"/>
  <c r="X1146" i="10"/>
  <c r="X1147" i="10"/>
  <c r="X1148" i="10"/>
  <c r="X1149" i="10"/>
  <c r="X1150" i="10"/>
  <c r="X1151" i="10"/>
  <c r="X1152" i="10"/>
  <c r="X1153" i="10"/>
  <c r="X1154" i="10"/>
  <c r="X1155" i="10"/>
  <c r="X1156" i="10"/>
  <c r="X1157" i="10"/>
  <c r="X1158" i="10"/>
  <c r="X1159" i="10"/>
  <c r="X1160" i="10"/>
  <c r="X1161" i="10"/>
  <c r="X1162" i="10"/>
  <c r="X1163" i="10"/>
  <c r="X1164" i="10"/>
  <c r="X1165" i="10"/>
  <c r="X1166" i="10"/>
  <c r="X1167" i="10"/>
  <c r="X1168" i="10"/>
  <c r="X1169" i="10"/>
  <c r="X1170" i="10"/>
  <c r="X1171" i="10"/>
  <c r="X1172" i="10"/>
  <c r="X1173" i="10"/>
  <c r="X1174" i="10"/>
  <c r="X1175" i="10"/>
  <c r="X1176" i="10"/>
  <c r="X1177" i="10"/>
  <c r="X1178" i="10"/>
  <c r="X1179" i="10"/>
  <c r="X1180" i="10"/>
  <c r="X1181" i="10"/>
  <c r="X1182" i="10"/>
  <c r="X1183" i="10"/>
  <c r="X1184" i="10"/>
  <c r="X1185" i="10"/>
  <c r="X1186" i="10"/>
  <c r="X1187" i="10"/>
  <c r="X1188" i="10"/>
  <c r="X1189" i="10"/>
  <c r="X1190" i="10"/>
  <c r="X1191" i="10"/>
  <c r="X1192" i="10"/>
  <c r="X1193" i="10"/>
  <c r="X1194" i="10"/>
  <c r="X1195" i="10"/>
  <c r="X1196" i="10"/>
  <c r="X1197" i="10"/>
  <c r="X1198" i="10"/>
  <c r="X1199" i="10"/>
  <c r="X1200" i="10"/>
  <c r="X1201" i="10"/>
  <c r="X1202" i="10"/>
  <c r="X1203" i="10"/>
  <c r="X1204" i="10"/>
  <c r="X1205" i="10"/>
  <c r="X1206" i="10"/>
  <c r="X1207" i="10"/>
  <c r="X1208" i="10"/>
  <c r="X6" i="10"/>
  <c r="W7" i="10"/>
  <c r="W8" i="10"/>
  <c r="W9" i="10"/>
  <c r="W10" i="10"/>
  <c r="W11" i="10"/>
  <c r="W12" i="10"/>
  <c r="W13" i="10"/>
  <c r="W14" i="10"/>
  <c r="W15" i="10"/>
  <c r="W16" i="10"/>
  <c r="W17" i="10"/>
  <c r="W18" i="10"/>
  <c r="W19" i="10"/>
  <c r="W20" i="10"/>
  <c r="W21" i="10"/>
  <c r="W22" i="10"/>
  <c r="W23" i="10"/>
  <c r="W24" i="10"/>
  <c r="W25" i="10"/>
  <c r="W26" i="10"/>
  <c r="W27" i="10"/>
  <c r="W28" i="10"/>
  <c r="W29" i="10"/>
  <c r="W30" i="10"/>
  <c r="W31" i="10"/>
  <c r="W32" i="10"/>
  <c r="W33" i="10"/>
  <c r="W34" i="10"/>
  <c r="W35" i="10"/>
  <c r="W36" i="10"/>
  <c r="W37" i="10"/>
  <c r="W38" i="10"/>
  <c r="W39" i="10"/>
  <c r="W40" i="10"/>
  <c r="W41" i="10"/>
  <c r="W42" i="10"/>
  <c r="W43" i="10"/>
  <c r="W44" i="10"/>
  <c r="W45" i="10"/>
  <c r="W46" i="10"/>
  <c r="W47" i="10"/>
  <c r="W48" i="10"/>
  <c r="W49" i="10"/>
  <c r="W50" i="10"/>
  <c r="W51" i="10"/>
  <c r="W52" i="10"/>
  <c r="W53" i="10"/>
  <c r="W54" i="10"/>
  <c r="W55" i="10"/>
  <c r="W56" i="10"/>
  <c r="W57" i="10"/>
  <c r="W58" i="10"/>
  <c r="W59" i="10"/>
  <c r="W60" i="10"/>
  <c r="W61" i="10"/>
  <c r="W62" i="10"/>
  <c r="W63" i="10"/>
  <c r="W64" i="10"/>
  <c r="W65" i="10"/>
  <c r="W66" i="10"/>
  <c r="W67" i="10"/>
  <c r="W68" i="10"/>
  <c r="W69" i="10"/>
  <c r="W70" i="10"/>
  <c r="W71" i="10"/>
  <c r="W72" i="10"/>
  <c r="W73" i="10"/>
  <c r="W74" i="10"/>
  <c r="W75" i="10"/>
  <c r="W76" i="10"/>
  <c r="W77" i="10"/>
  <c r="W78" i="10"/>
  <c r="W79" i="10"/>
  <c r="W80" i="10"/>
  <c r="W81" i="10"/>
  <c r="W82" i="10"/>
  <c r="W83" i="10"/>
  <c r="W84" i="10"/>
  <c r="W85" i="10"/>
  <c r="W86" i="10"/>
  <c r="W87" i="10"/>
  <c r="W88" i="10"/>
  <c r="W89" i="10"/>
  <c r="W90" i="10"/>
  <c r="W91" i="10"/>
  <c r="W92" i="10"/>
  <c r="W93" i="10"/>
  <c r="W94" i="10"/>
  <c r="W95" i="10"/>
  <c r="W96" i="10"/>
  <c r="W97" i="10"/>
  <c r="W98" i="10"/>
  <c r="W99" i="10"/>
  <c r="W100" i="10"/>
  <c r="W101" i="10"/>
  <c r="W102" i="10"/>
  <c r="W103" i="10"/>
  <c r="W104" i="10"/>
  <c r="W105" i="10"/>
  <c r="W106" i="10"/>
  <c r="W107" i="10"/>
  <c r="W108" i="10"/>
  <c r="W109" i="10"/>
  <c r="W110" i="10"/>
  <c r="W111" i="10"/>
  <c r="W112" i="10"/>
  <c r="W113" i="10"/>
  <c r="W114" i="10"/>
  <c r="W115" i="10"/>
  <c r="W116" i="10"/>
  <c r="W117" i="10"/>
  <c r="W118" i="10"/>
  <c r="W119" i="10"/>
  <c r="W120" i="10"/>
  <c r="W121" i="10"/>
  <c r="W122" i="10"/>
  <c r="W123" i="10"/>
  <c r="W124" i="10"/>
  <c r="W125" i="10"/>
  <c r="W126" i="10"/>
  <c r="W127" i="10"/>
  <c r="W128" i="10"/>
  <c r="W129" i="10"/>
  <c r="W130" i="10"/>
  <c r="W131" i="10"/>
  <c r="W132" i="10"/>
  <c r="W133" i="10"/>
  <c r="W134" i="10"/>
  <c r="W135" i="10"/>
  <c r="W136" i="10"/>
  <c r="W137" i="10"/>
  <c r="W138" i="10"/>
  <c r="W139" i="10"/>
  <c r="W140" i="10"/>
  <c r="W141" i="10"/>
  <c r="W142" i="10"/>
  <c r="W143" i="10"/>
  <c r="W144" i="10"/>
  <c r="W145" i="10"/>
  <c r="W146" i="10"/>
  <c r="W147" i="10"/>
  <c r="W148" i="10"/>
  <c r="W149" i="10"/>
  <c r="W150" i="10"/>
  <c r="W151" i="10"/>
  <c r="W152" i="10"/>
  <c r="W153" i="10"/>
  <c r="W154" i="10"/>
  <c r="W155" i="10"/>
  <c r="W156" i="10"/>
  <c r="W157" i="10"/>
  <c r="W158" i="10"/>
  <c r="W159" i="10"/>
  <c r="W160" i="10"/>
  <c r="W161" i="10"/>
  <c r="W162" i="10"/>
  <c r="W163" i="10"/>
  <c r="W164" i="10"/>
  <c r="W165" i="10"/>
  <c r="W166" i="10"/>
  <c r="W167" i="10"/>
  <c r="W168" i="10"/>
  <c r="W169" i="10"/>
  <c r="W170" i="10"/>
  <c r="W171" i="10"/>
  <c r="W172" i="10"/>
  <c r="W173" i="10"/>
  <c r="W174" i="10"/>
  <c r="W175" i="10"/>
  <c r="W176" i="10"/>
  <c r="W177" i="10"/>
  <c r="W178" i="10"/>
  <c r="W179" i="10"/>
  <c r="W180" i="10"/>
  <c r="W181" i="10"/>
  <c r="W182" i="10"/>
  <c r="W183" i="10"/>
  <c r="W184" i="10"/>
  <c r="W185" i="10"/>
  <c r="W186" i="10"/>
  <c r="W187" i="10"/>
  <c r="W188" i="10"/>
  <c r="W189" i="10"/>
  <c r="W190" i="10"/>
  <c r="W191" i="10"/>
  <c r="W192" i="10"/>
  <c r="W193" i="10"/>
  <c r="W194" i="10"/>
  <c r="W195" i="10"/>
  <c r="W196" i="10"/>
  <c r="W197" i="10"/>
  <c r="W198" i="10"/>
  <c r="W199" i="10"/>
  <c r="W200" i="10"/>
  <c r="W201" i="10"/>
  <c r="W202" i="10"/>
  <c r="W203" i="10"/>
  <c r="W204" i="10"/>
  <c r="W205" i="10"/>
  <c r="W206" i="10"/>
  <c r="W207" i="10"/>
  <c r="W208" i="10"/>
  <c r="W209" i="10"/>
  <c r="W210" i="10"/>
  <c r="W211" i="10"/>
  <c r="W212" i="10"/>
  <c r="W213" i="10"/>
  <c r="W214" i="10"/>
  <c r="W215" i="10"/>
  <c r="W216" i="10"/>
  <c r="W217" i="10"/>
  <c r="W218" i="10"/>
  <c r="W219" i="10"/>
  <c r="W220" i="10"/>
  <c r="W221" i="10"/>
  <c r="W222" i="10"/>
  <c r="W223" i="10"/>
  <c r="W224" i="10"/>
  <c r="W225" i="10"/>
  <c r="W226" i="10"/>
  <c r="W227" i="10"/>
  <c r="W228" i="10"/>
  <c r="W229" i="10"/>
  <c r="W230" i="10"/>
  <c r="W231" i="10"/>
  <c r="W232" i="10"/>
  <c r="W233" i="10"/>
  <c r="W234" i="10"/>
  <c r="W235" i="10"/>
  <c r="W236" i="10"/>
  <c r="W237" i="10"/>
  <c r="W238" i="10"/>
  <c r="W239" i="10"/>
  <c r="W240" i="10"/>
  <c r="W241" i="10"/>
  <c r="W242" i="10"/>
  <c r="W243" i="10"/>
  <c r="W244" i="10"/>
  <c r="W245" i="10"/>
  <c r="W246" i="10"/>
  <c r="W247" i="10"/>
  <c r="W248" i="10"/>
  <c r="W249" i="10"/>
  <c r="W250" i="10"/>
  <c r="W251" i="10"/>
  <c r="W252" i="10"/>
  <c r="W253" i="10"/>
  <c r="W254" i="10"/>
  <c r="W255" i="10"/>
  <c r="W256" i="10"/>
  <c r="W257" i="10"/>
  <c r="W258" i="10"/>
  <c r="W259" i="10"/>
  <c r="W260" i="10"/>
  <c r="W261" i="10"/>
  <c r="W262" i="10"/>
  <c r="W263" i="10"/>
  <c r="W264" i="10"/>
  <c r="W265" i="10"/>
  <c r="W266" i="10"/>
  <c r="W267" i="10"/>
  <c r="W268" i="10"/>
  <c r="W269" i="10"/>
  <c r="W270" i="10"/>
  <c r="W271" i="10"/>
  <c r="W272" i="10"/>
  <c r="W273" i="10"/>
  <c r="W274" i="10"/>
  <c r="W275" i="10"/>
  <c r="W276" i="10"/>
  <c r="W277" i="10"/>
  <c r="W278" i="10"/>
  <c r="W279" i="10"/>
  <c r="W280" i="10"/>
  <c r="W281" i="10"/>
  <c r="W282" i="10"/>
  <c r="W283" i="10"/>
  <c r="W284" i="10"/>
  <c r="W285" i="10"/>
  <c r="W286" i="10"/>
  <c r="W287" i="10"/>
  <c r="W288" i="10"/>
  <c r="W289" i="10"/>
  <c r="W290" i="10"/>
  <c r="W291" i="10"/>
  <c r="W292" i="10"/>
  <c r="W293" i="10"/>
  <c r="W294" i="10"/>
  <c r="W295" i="10"/>
  <c r="W296" i="10"/>
  <c r="W297" i="10"/>
  <c r="W298" i="10"/>
  <c r="W299" i="10"/>
  <c r="W300" i="10"/>
  <c r="W301" i="10"/>
  <c r="W302" i="10"/>
  <c r="W303" i="10"/>
  <c r="W304" i="10"/>
  <c r="W305" i="10"/>
  <c r="W306" i="10"/>
  <c r="W307" i="10"/>
  <c r="W308" i="10"/>
  <c r="W309" i="10"/>
  <c r="W310" i="10"/>
  <c r="W311" i="10"/>
  <c r="W312" i="10"/>
  <c r="W313" i="10"/>
  <c r="W314" i="10"/>
  <c r="W315" i="10"/>
  <c r="W316" i="10"/>
  <c r="W317" i="10"/>
  <c r="W318" i="10"/>
  <c r="W319" i="10"/>
  <c r="W320" i="10"/>
  <c r="W321" i="10"/>
  <c r="W322" i="10"/>
  <c r="W323" i="10"/>
  <c r="W324" i="10"/>
  <c r="W325" i="10"/>
  <c r="W326" i="10"/>
  <c r="W327" i="10"/>
  <c r="W328" i="10"/>
  <c r="W329" i="10"/>
  <c r="W330" i="10"/>
  <c r="W331" i="10"/>
  <c r="W332" i="10"/>
  <c r="W333" i="10"/>
  <c r="W334" i="10"/>
  <c r="W335" i="10"/>
  <c r="W336" i="10"/>
  <c r="W337" i="10"/>
  <c r="W338" i="10"/>
  <c r="W339" i="10"/>
  <c r="W340" i="10"/>
  <c r="W341" i="10"/>
  <c r="W342" i="10"/>
  <c r="W343" i="10"/>
  <c r="W344" i="10"/>
  <c r="W345" i="10"/>
  <c r="W346" i="10"/>
  <c r="W347" i="10"/>
  <c r="W348" i="10"/>
  <c r="W349" i="10"/>
  <c r="W350" i="10"/>
  <c r="W351" i="10"/>
  <c r="W352" i="10"/>
  <c r="W353" i="10"/>
  <c r="W354" i="10"/>
  <c r="W355" i="10"/>
  <c r="W356" i="10"/>
  <c r="W357" i="10"/>
  <c r="W358" i="10"/>
  <c r="W359" i="10"/>
  <c r="W360" i="10"/>
  <c r="W361" i="10"/>
  <c r="W362" i="10"/>
  <c r="W363" i="10"/>
  <c r="W364" i="10"/>
  <c r="W365" i="10"/>
  <c r="W366" i="10"/>
  <c r="W367" i="10"/>
  <c r="W368" i="10"/>
  <c r="W369" i="10"/>
  <c r="W370" i="10"/>
  <c r="W371" i="10"/>
  <c r="W372" i="10"/>
  <c r="W373" i="10"/>
  <c r="W374" i="10"/>
  <c r="W375" i="10"/>
  <c r="W376" i="10"/>
  <c r="W377" i="10"/>
  <c r="W378" i="10"/>
  <c r="W379" i="10"/>
  <c r="W380" i="10"/>
  <c r="W381" i="10"/>
  <c r="W382" i="10"/>
  <c r="W383" i="10"/>
  <c r="W384" i="10"/>
  <c r="W385" i="10"/>
  <c r="W386" i="10"/>
  <c r="W387" i="10"/>
  <c r="W388" i="10"/>
  <c r="W389" i="10"/>
  <c r="W390" i="10"/>
  <c r="W391" i="10"/>
  <c r="W392" i="10"/>
  <c r="W393" i="10"/>
  <c r="W394" i="10"/>
  <c r="W395" i="10"/>
  <c r="W396" i="10"/>
  <c r="W397" i="10"/>
  <c r="W398" i="10"/>
  <c r="W399" i="10"/>
  <c r="W400" i="10"/>
  <c r="W401" i="10"/>
  <c r="W402" i="10"/>
  <c r="W403" i="10"/>
  <c r="W404" i="10"/>
  <c r="W405" i="10"/>
  <c r="W406" i="10"/>
  <c r="W407" i="10"/>
  <c r="W408" i="10"/>
  <c r="W409" i="10"/>
  <c r="W410" i="10"/>
  <c r="W411" i="10"/>
  <c r="W412" i="10"/>
  <c r="W413" i="10"/>
  <c r="W414" i="10"/>
  <c r="W415" i="10"/>
  <c r="W416" i="10"/>
  <c r="W417" i="10"/>
  <c r="W418" i="10"/>
  <c r="W419" i="10"/>
  <c r="W420" i="10"/>
  <c r="W421" i="10"/>
  <c r="W422" i="10"/>
  <c r="W423" i="10"/>
  <c r="W424" i="10"/>
  <c r="W425" i="10"/>
  <c r="W426" i="10"/>
  <c r="W427" i="10"/>
  <c r="W428" i="10"/>
  <c r="W429" i="10"/>
  <c r="W430" i="10"/>
  <c r="W431" i="10"/>
  <c r="W432" i="10"/>
  <c r="W433" i="10"/>
  <c r="W434" i="10"/>
  <c r="W435" i="10"/>
  <c r="W436" i="10"/>
  <c r="W437" i="10"/>
  <c r="W438" i="10"/>
  <c r="W439" i="10"/>
  <c r="W440" i="10"/>
  <c r="W441" i="10"/>
  <c r="W442" i="10"/>
  <c r="W443" i="10"/>
  <c r="W444" i="10"/>
  <c r="W445" i="10"/>
  <c r="W446" i="10"/>
  <c r="W447" i="10"/>
  <c r="W448" i="10"/>
  <c r="W449" i="10"/>
  <c r="W450" i="10"/>
  <c r="W451" i="10"/>
  <c r="W452" i="10"/>
  <c r="W453" i="10"/>
  <c r="W454" i="10"/>
  <c r="W455" i="10"/>
  <c r="W456" i="10"/>
  <c r="W457" i="10"/>
  <c r="W458" i="10"/>
  <c r="W459" i="10"/>
  <c r="W460" i="10"/>
  <c r="W461" i="10"/>
  <c r="W462" i="10"/>
  <c r="W463" i="10"/>
  <c r="W464" i="10"/>
  <c r="W465" i="10"/>
  <c r="W466" i="10"/>
  <c r="W467" i="10"/>
  <c r="W468" i="10"/>
  <c r="W469" i="10"/>
  <c r="W470" i="10"/>
  <c r="W471" i="10"/>
  <c r="W472" i="10"/>
  <c r="W473" i="10"/>
  <c r="W474" i="10"/>
  <c r="W475" i="10"/>
  <c r="W476" i="10"/>
  <c r="W477" i="10"/>
  <c r="W478" i="10"/>
  <c r="W479" i="10"/>
  <c r="W480" i="10"/>
  <c r="W481" i="10"/>
  <c r="W482" i="10"/>
  <c r="W483" i="10"/>
  <c r="W484" i="10"/>
  <c r="W485" i="10"/>
  <c r="W486" i="10"/>
  <c r="W487" i="10"/>
  <c r="W488" i="10"/>
  <c r="W489" i="10"/>
  <c r="W490" i="10"/>
  <c r="W491" i="10"/>
  <c r="W492" i="10"/>
  <c r="W493" i="10"/>
  <c r="W494" i="10"/>
  <c r="W495" i="10"/>
  <c r="W496" i="10"/>
  <c r="W497" i="10"/>
  <c r="W498" i="10"/>
  <c r="W499" i="10"/>
  <c r="W500" i="10"/>
  <c r="W501" i="10"/>
  <c r="W502" i="10"/>
  <c r="W503" i="10"/>
  <c r="W504" i="10"/>
  <c r="W505" i="10"/>
  <c r="W506" i="10"/>
  <c r="W507" i="10"/>
  <c r="W508" i="10"/>
  <c r="W509" i="10"/>
  <c r="W510" i="10"/>
  <c r="W511" i="10"/>
  <c r="W512" i="10"/>
  <c r="W513" i="10"/>
  <c r="W514" i="10"/>
  <c r="W515" i="10"/>
  <c r="W516" i="10"/>
  <c r="W517" i="10"/>
  <c r="W518" i="10"/>
  <c r="W519" i="10"/>
  <c r="W520" i="10"/>
  <c r="W521" i="10"/>
  <c r="W522" i="10"/>
  <c r="W523" i="10"/>
  <c r="W524" i="10"/>
  <c r="W525" i="10"/>
  <c r="W526" i="10"/>
  <c r="W527" i="10"/>
  <c r="W528" i="10"/>
  <c r="W529" i="10"/>
  <c r="W530" i="10"/>
  <c r="W531" i="10"/>
  <c r="W532" i="10"/>
  <c r="W533" i="10"/>
  <c r="W534" i="10"/>
  <c r="W535" i="10"/>
  <c r="W536" i="10"/>
  <c r="W537" i="10"/>
  <c r="W538" i="10"/>
  <c r="W539" i="10"/>
  <c r="W540" i="10"/>
  <c r="W541" i="10"/>
  <c r="W542" i="10"/>
  <c r="W543" i="10"/>
  <c r="W544" i="10"/>
  <c r="W545" i="10"/>
  <c r="W546" i="10"/>
  <c r="W547" i="10"/>
  <c r="W548" i="10"/>
  <c r="W549" i="10"/>
  <c r="W550" i="10"/>
  <c r="W551" i="10"/>
  <c r="W552" i="10"/>
  <c r="W553" i="10"/>
  <c r="W554" i="10"/>
  <c r="W555" i="10"/>
  <c r="W556" i="10"/>
  <c r="W557" i="10"/>
  <c r="W558" i="10"/>
  <c r="W559" i="10"/>
  <c r="W560" i="10"/>
  <c r="W561" i="10"/>
  <c r="W562" i="10"/>
  <c r="W563" i="10"/>
  <c r="W564" i="10"/>
  <c r="W565" i="10"/>
  <c r="W566" i="10"/>
  <c r="W567" i="10"/>
  <c r="W568" i="10"/>
  <c r="W569" i="10"/>
  <c r="W570" i="10"/>
  <c r="W571" i="10"/>
  <c r="W572" i="10"/>
  <c r="W573" i="10"/>
  <c r="W574" i="10"/>
  <c r="W575" i="10"/>
  <c r="W576" i="10"/>
  <c r="W577" i="10"/>
  <c r="W578" i="10"/>
  <c r="W579" i="10"/>
  <c r="W580" i="10"/>
  <c r="W581" i="10"/>
  <c r="W582" i="10"/>
  <c r="W583" i="10"/>
  <c r="W584" i="10"/>
  <c r="W585" i="10"/>
  <c r="W586" i="10"/>
  <c r="W587" i="10"/>
  <c r="W588" i="10"/>
  <c r="W589" i="10"/>
  <c r="W590" i="10"/>
  <c r="W591" i="10"/>
  <c r="W592" i="10"/>
  <c r="W593" i="10"/>
  <c r="W594" i="10"/>
  <c r="W595" i="10"/>
  <c r="W596" i="10"/>
  <c r="W597" i="10"/>
  <c r="W598" i="10"/>
  <c r="W599" i="10"/>
  <c r="W600" i="10"/>
  <c r="W601" i="10"/>
  <c r="W602" i="10"/>
  <c r="W603" i="10"/>
  <c r="W604" i="10"/>
  <c r="W605" i="10"/>
  <c r="W606" i="10"/>
  <c r="W607" i="10"/>
  <c r="W608" i="10"/>
  <c r="W609" i="10"/>
  <c r="W610" i="10"/>
  <c r="W611" i="10"/>
  <c r="W612" i="10"/>
  <c r="W613" i="10"/>
  <c r="W614" i="10"/>
  <c r="W615" i="10"/>
  <c r="W616" i="10"/>
  <c r="W617" i="10"/>
  <c r="W618" i="10"/>
  <c r="W619" i="10"/>
  <c r="W620" i="10"/>
  <c r="W621" i="10"/>
  <c r="W622" i="10"/>
  <c r="W623" i="10"/>
  <c r="W624" i="10"/>
  <c r="W625" i="10"/>
  <c r="W626" i="10"/>
  <c r="W627" i="10"/>
  <c r="W628" i="10"/>
  <c r="W629" i="10"/>
  <c r="W630" i="10"/>
  <c r="W631" i="10"/>
  <c r="W632" i="10"/>
  <c r="W633" i="10"/>
  <c r="W634" i="10"/>
  <c r="W635" i="10"/>
  <c r="W636" i="10"/>
  <c r="W637" i="10"/>
  <c r="W638" i="10"/>
  <c r="W639" i="10"/>
  <c r="W640" i="10"/>
  <c r="W641" i="10"/>
  <c r="W642" i="10"/>
  <c r="W643" i="10"/>
  <c r="W644" i="10"/>
  <c r="W645" i="10"/>
  <c r="W646" i="10"/>
  <c r="W647" i="10"/>
  <c r="W648" i="10"/>
  <c r="W649" i="10"/>
  <c r="W650" i="10"/>
  <c r="W651" i="10"/>
  <c r="W652" i="10"/>
  <c r="W653" i="10"/>
  <c r="W654" i="10"/>
  <c r="W655" i="10"/>
  <c r="W656" i="10"/>
  <c r="W657" i="10"/>
  <c r="W658" i="10"/>
  <c r="W659" i="10"/>
  <c r="W660" i="10"/>
  <c r="W661" i="10"/>
  <c r="W662" i="10"/>
  <c r="W663" i="10"/>
  <c r="W664" i="10"/>
  <c r="W665" i="10"/>
  <c r="W666" i="10"/>
  <c r="W667" i="10"/>
  <c r="W668" i="10"/>
  <c r="W669" i="10"/>
  <c r="W670" i="10"/>
  <c r="W671" i="10"/>
  <c r="W672" i="10"/>
  <c r="W673" i="10"/>
  <c r="W674" i="10"/>
  <c r="W675" i="10"/>
  <c r="W676" i="10"/>
  <c r="W677" i="10"/>
  <c r="W678" i="10"/>
  <c r="W679" i="10"/>
  <c r="W680" i="10"/>
  <c r="W681" i="10"/>
  <c r="W682" i="10"/>
  <c r="W683" i="10"/>
  <c r="W684" i="10"/>
  <c r="W685" i="10"/>
  <c r="W686" i="10"/>
  <c r="W687" i="10"/>
  <c r="W688" i="10"/>
  <c r="W689" i="10"/>
  <c r="W690" i="10"/>
  <c r="W691" i="10"/>
  <c r="W692" i="10"/>
  <c r="W693" i="10"/>
  <c r="W694" i="10"/>
  <c r="W695" i="10"/>
  <c r="W696" i="10"/>
  <c r="W697" i="10"/>
  <c r="W698" i="10"/>
  <c r="W699" i="10"/>
  <c r="W700" i="10"/>
  <c r="W701" i="10"/>
  <c r="W702" i="10"/>
  <c r="W703" i="10"/>
  <c r="W704" i="10"/>
  <c r="W705" i="10"/>
  <c r="W706" i="10"/>
  <c r="W707" i="10"/>
  <c r="W708" i="10"/>
  <c r="W709" i="10"/>
  <c r="W710" i="10"/>
  <c r="W711" i="10"/>
  <c r="W712" i="10"/>
  <c r="W713" i="10"/>
  <c r="W714" i="10"/>
  <c r="W715" i="10"/>
  <c r="W716" i="10"/>
  <c r="W717" i="10"/>
  <c r="W718" i="10"/>
  <c r="W719" i="10"/>
  <c r="W720" i="10"/>
  <c r="W721" i="10"/>
  <c r="W722" i="10"/>
  <c r="W723" i="10"/>
  <c r="W724" i="10"/>
  <c r="W725" i="10"/>
  <c r="W726" i="10"/>
  <c r="W727" i="10"/>
  <c r="W728" i="10"/>
  <c r="W729" i="10"/>
  <c r="W730" i="10"/>
  <c r="W731" i="10"/>
  <c r="W732" i="10"/>
  <c r="W733" i="10"/>
  <c r="W734" i="10"/>
  <c r="W735" i="10"/>
  <c r="W736" i="10"/>
  <c r="W737" i="10"/>
  <c r="W738" i="10"/>
  <c r="W739" i="10"/>
  <c r="W740" i="10"/>
  <c r="W741" i="10"/>
  <c r="W742" i="10"/>
  <c r="W743" i="10"/>
  <c r="W744" i="10"/>
  <c r="W745" i="10"/>
  <c r="W746" i="10"/>
  <c r="W747" i="10"/>
  <c r="W748" i="10"/>
  <c r="W749" i="10"/>
  <c r="W750" i="10"/>
  <c r="W751" i="10"/>
  <c r="W752" i="10"/>
  <c r="W753" i="10"/>
  <c r="W754" i="10"/>
  <c r="W755" i="10"/>
  <c r="W756" i="10"/>
  <c r="W757" i="10"/>
  <c r="W758" i="10"/>
  <c r="W759" i="10"/>
  <c r="W760" i="10"/>
  <c r="W761" i="10"/>
  <c r="W762" i="10"/>
  <c r="W763" i="10"/>
  <c r="W764" i="10"/>
  <c r="W765" i="10"/>
  <c r="W766" i="10"/>
  <c r="W767" i="10"/>
  <c r="W768" i="10"/>
  <c r="W769" i="10"/>
  <c r="W770" i="10"/>
  <c r="W771" i="10"/>
  <c r="W772" i="10"/>
  <c r="W773" i="10"/>
  <c r="W774" i="10"/>
  <c r="W775" i="10"/>
  <c r="W776" i="10"/>
  <c r="W777" i="10"/>
  <c r="W778" i="10"/>
  <c r="W779" i="10"/>
  <c r="W780" i="10"/>
  <c r="W781" i="10"/>
  <c r="W782" i="10"/>
  <c r="W783" i="10"/>
  <c r="W784" i="10"/>
  <c r="W785" i="10"/>
  <c r="W786" i="10"/>
  <c r="W787" i="10"/>
  <c r="W788" i="10"/>
  <c r="W789" i="10"/>
  <c r="W790" i="10"/>
  <c r="W791" i="10"/>
  <c r="W792" i="10"/>
  <c r="W793" i="10"/>
  <c r="W794" i="10"/>
  <c r="W795" i="10"/>
  <c r="W796" i="10"/>
  <c r="W797" i="10"/>
  <c r="W798" i="10"/>
  <c r="W799" i="10"/>
  <c r="W800" i="10"/>
  <c r="W801" i="10"/>
  <c r="W802" i="10"/>
  <c r="W803" i="10"/>
  <c r="W804" i="10"/>
  <c r="W805" i="10"/>
  <c r="W806" i="10"/>
  <c r="W807" i="10"/>
  <c r="W808" i="10"/>
  <c r="W809" i="10"/>
  <c r="W810" i="10"/>
  <c r="W811" i="10"/>
  <c r="W812" i="10"/>
  <c r="W813" i="10"/>
  <c r="W814" i="10"/>
  <c r="W815" i="10"/>
  <c r="W816" i="10"/>
  <c r="W817" i="10"/>
  <c r="W818" i="10"/>
  <c r="W819" i="10"/>
  <c r="W820" i="10"/>
  <c r="W821" i="10"/>
  <c r="W822" i="10"/>
  <c r="W823" i="10"/>
  <c r="W824" i="10"/>
  <c r="W825" i="10"/>
  <c r="W826" i="10"/>
  <c r="W827" i="10"/>
  <c r="W828" i="10"/>
  <c r="W829" i="10"/>
  <c r="W830" i="10"/>
  <c r="W831" i="10"/>
  <c r="W832" i="10"/>
  <c r="W833" i="10"/>
  <c r="W834" i="10"/>
  <c r="W835" i="10"/>
  <c r="W836" i="10"/>
  <c r="W837" i="10"/>
  <c r="W838" i="10"/>
  <c r="W839" i="10"/>
  <c r="W840" i="10"/>
  <c r="W841" i="10"/>
  <c r="W842" i="10"/>
  <c r="W843" i="10"/>
  <c r="W844" i="10"/>
  <c r="W845" i="10"/>
  <c r="W846" i="10"/>
  <c r="W847" i="10"/>
  <c r="W848" i="10"/>
  <c r="W849" i="10"/>
  <c r="W850" i="10"/>
  <c r="W851" i="10"/>
  <c r="W852" i="10"/>
  <c r="W853" i="10"/>
  <c r="W854" i="10"/>
  <c r="W855" i="10"/>
  <c r="W856" i="10"/>
  <c r="W857" i="10"/>
  <c r="W858" i="10"/>
  <c r="W859" i="10"/>
  <c r="W860" i="10"/>
  <c r="W861" i="10"/>
  <c r="W862" i="10"/>
  <c r="W863" i="10"/>
  <c r="W864" i="10"/>
  <c r="W865" i="10"/>
  <c r="W866" i="10"/>
  <c r="W867" i="10"/>
  <c r="W868" i="10"/>
  <c r="W869" i="10"/>
  <c r="W870" i="10"/>
  <c r="W871" i="10"/>
  <c r="W872" i="10"/>
  <c r="W873" i="10"/>
  <c r="W874" i="10"/>
  <c r="W875" i="10"/>
  <c r="W876" i="10"/>
  <c r="W877" i="10"/>
  <c r="W878" i="10"/>
  <c r="W879" i="10"/>
  <c r="W880" i="10"/>
  <c r="W881" i="10"/>
  <c r="W882" i="10"/>
  <c r="W883" i="10"/>
  <c r="W884" i="10"/>
  <c r="W885" i="10"/>
  <c r="W886" i="10"/>
  <c r="W887" i="10"/>
  <c r="W888" i="10"/>
  <c r="W889" i="10"/>
  <c r="W890" i="10"/>
  <c r="W891" i="10"/>
  <c r="W892" i="10"/>
  <c r="W893" i="10"/>
  <c r="W894" i="10"/>
  <c r="W895" i="10"/>
  <c r="W896" i="10"/>
  <c r="W897" i="10"/>
  <c r="W898" i="10"/>
  <c r="W899" i="10"/>
  <c r="W900" i="10"/>
  <c r="W901" i="10"/>
  <c r="W902" i="10"/>
  <c r="W903" i="10"/>
  <c r="W904" i="10"/>
  <c r="W905" i="10"/>
  <c r="W906" i="10"/>
  <c r="W907" i="10"/>
  <c r="W908" i="10"/>
  <c r="W909" i="10"/>
  <c r="W910" i="10"/>
  <c r="W911" i="10"/>
  <c r="W912" i="10"/>
  <c r="W913" i="10"/>
  <c r="W914" i="10"/>
  <c r="W915" i="10"/>
  <c r="W916" i="10"/>
  <c r="W917" i="10"/>
  <c r="W918" i="10"/>
  <c r="W919" i="10"/>
  <c r="W920" i="10"/>
  <c r="W921" i="10"/>
  <c r="W922" i="10"/>
  <c r="W923" i="10"/>
  <c r="W924" i="10"/>
  <c r="W925" i="10"/>
  <c r="W926" i="10"/>
  <c r="W927" i="10"/>
  <c r="W928" i="10"/>
  <c r="W929" i="10"/>
  <c r="W930" i="10"/>
  <c r="W931" i="10"/>
  <c r="W932" i="10"/>
  <c r="W933" i="10"/>
  <c r="W934" i="10"/>
  <c r="W935" i="10"/>
  <c r="W936" i="10"/>
  <c r="W937" i="10"/>
  <c r="W938" i="10"/>
  <c r="W939" i="10"/>
  <c r="W940" i="10"/>
  <c r="W941" i="10"/>
  <c r="W942" i="10"/>
  <c r="W943" i="10"/>
  <c r="W944" i="10"/>
  <c r="W945" i="10"/>
  <c r="W946" i="10"/>
  <c r="W947" i="10"/>
  <c r="W948" i="10"/>
  <c r="W949" i="10"/>
  <c r="W950" i="10"/>
  <c r="W951" i="10"/>
  <c r="W952" i="10"/>
  <c r="W953" i="10"/>
  <c r="W954" i="10"/>
  <c r="W955" i="10"/>
  <c r="W956" i="10"/>
  <c r="W957" i="10"/>
  <c r="W958" i="10"/>
  <c r="W959" i="10"/>
  <c r="W960" i="10"/>
  <c r="W961" i="10"/>
  <c r="W962" i="10"/>
  <c r="W963" i="10"/>
  <c r="W964" i="10"/>
  <c r="W965" i="10"/>
  <c r="W966" i="10"/>
  <c r="W967" i="10"/>
  <c r="W968" i="10"/>
  <c r="W969" i="10"/>
  <c r="W970" i="10"/>
  <c r="W971" i="10"/>
  <c r="W972" i="10"/>
  <c r="W973" i="10"/>
  <c r="W974" i="10"/>
  <c r="W975" i="10"/>
  <c r="W976" i="10"/>
  <c r="W977" i="10"/>
  <c r="W978" i="10"/>
  <c r="W979" i="10"/>
  <c r="W980" i="10"/>
  <c r="W981" i="10"/>
  <c r="W982" i="10"/>
  <c r="W983" i="10"/>
  <c r="W984" i="10"/>
  <c r="W985" i="10"/>
  <c r="W986" i="10"/>
  <c r="W987" i="10"/>
  <c r="W988" i="10"/>
  <c r="W989" i="10"/>
  <c r="W990" i="10"/>
  <c r="W991" i="10"/>
  <c r="W992" i="10"/>
  <c r="W993" i="10"/>
  <c r="W994" i="10"/>
  <c r="W995" i="10"/>
  <c r="W996" i="10"/>
  <c r="W997" i="10"/>
  <c r="W998" i="10"/>
  <c r="W999" i="10"/>
  <c r="W1000" i="10"/>
  <c r="W1001" i="10"/>
  <c r="W1002" i="10"/>
  <c r="W1003" i="10"/>
  <c r="W1004" i="10"/>
  <c r="W1005" i="10"/>
  <c r="W1006" i="10"/>
  <c r="W1007" i="10"/>
  <c r="W1008" i="10"/>
  <c r="W1009" i="10"/>
  <c r="W1010" i="10"/>
  <c r="W1011" i="10"/>
  <c r="W1012" i="10"/>
  <c r="W1013" i="10"/>
  <c r="W1014" i="10"/>
  <c r="W1015" i="10"/>
  <c r="W1016" i="10"/>
  <c r="W1017" i="10"/>
  <c r="W1018" i="10"/>
  <c r="W1019" i="10"/>
  <c r="W1020" i="10"/>
  <c r="W1021" i="10"/>
  <c r="W1022" i="10"/>
  <c r="W1023" i="10"/>
  <c r="W1024" i="10"/>
  <c r="W1025" i="10"/>
  <c r="W1026" i="10"/>
  <c r="W1027" i="10"/>
  <c r="W1028" i="10"/>
  <c r="W1029" i="10"/>
  <c r="W1030" i="10"/>
  <c r="W1031" i="10"/>
  <c r="W1032" i="10"/>
  <c r="W1033" i="10"/>
  <c r="W1034" i="10"/>
  <c r="W1035" i="10"/>
  <c r="W1036" i="10"/>
  <c r="W1037" i="10"/>
  <c r="W1038" i="10"/>
  <c r="W1039" i="10"/>
  <c r="W1040" i="10"/>
  <c r="W1041" i="10"/>
  <c r="W1042" i="10"/>
  <c r="W1043" i="10"/>
  <c r="W1044" i="10"/>
  <c r="W1045" i="10"/>
  <c r="W1046" i="10"/>
  <c r="W1047" i="10"/>
  <c r="W1048" i="10"/>
  <c r="W1049" i="10"/>
  <c r="W1050" i="10"/>
  <c r="W1051" i="10"/>
  <c r="W1052" i="10"/>
  <c r="W1053" i="10"/>
  <c r="W1054" i="10"/>
  <c r="W1055" i="10"/>
  <c r="W1056" i="10"/>
  <c r="W1057" i="10"/>
  <c r="W1058" i="10"/>
  <c r="W1059" i="10"/>
  <c r="W1060" i="10"/>
  <c r="W1061" i="10"/>
  <c r="W1062" i="10"/>
  <c r="W1063" i="10"/>
  <c r="W1064" i="10"/>
  <c r="W1065" i="10"/>
  <c r="W1066" i="10"/>
  <c r="W1067" i="10"/>
  <c r="W1068" i="10"/>
  <c r="W1069" i="10"/>
  <c r="W1070" i="10"/>
  <c r="W1071" i="10"/>
  <c r="W1072" i="10"/>
  <c r="W1073" i="10"/>
  <c r="W1074" i="10"/>
  <c r="W1075" i="10"/>
  <c r="W1076" i="10"/>
  <c r="W1077" i="10"/>
  <c r="W1078" i="10"/>
  <c r="W1079" i="10"/>
  <c r="W1080" i="10"/>
  <c r="W1081" i="10"/>
  <c r="W1082" i="10"/>
  <c r="W1083" i="10"/>
  <c r="W1084" i="10"/>
  <c r="W1085" i="10"/>
  <c r="W1086" i="10"/>
  <c r="W1087" i="10"/>
  <c r="W1088" i="10"/>
  <c r="W1089" i="10"/>
  <c r="W1090" i="10"/>
  <c r="W1091" i="10"/>
  <c r="W1092" i="10"/>
  <c r="W1093" i="10"/>
  <c r="W1094" i="10"/>
  <c r="W1095" i="10"/>
  <c r="W1096" i="10"/>
  <c r="W1097" i="10"/>
  <c r="W1098" i="10"/>
  <c r="W1099" i="10"/>
  <c r="W1100" i="10"/>
  <c r="W1101" i="10"/>
  <c r="W1102" i="10"/>
  <c r="W1103" i="10"/>
  <c r="W1104" i="10"/>
  <c r="W1105" i="10"/>
  <c r="W1106" i="10"/>
  <c r="W1107" i="10"/>
  <c r="W1108" i="10"/>
  <c r="W1109" i="10"/>
  <c r="W1110" i="10"/>
  <c r="W1111" i="10"/>
  <c r="W1112" i="10"/>
  <c r="W1113" i="10"/>
  <c r="W1114" i="10"/>
  <c r="W1115" i="10"/>
  <c r="W1116" i="10"/>
  <c r="W1117" i="10"/>
  <c r="W1118" i="10"/>
  <c r="W1119" i="10"/>
  <c r="W1120" i="10"/>
  <c r="W1121" i="10"/>
  <c r="W1122" i="10"/>
  <c r="W1123" i="10"/>
  <c r="W1124" i="10"/>
  <c r="W1125" i="10"/>
  <c r="W1126" i="10"/>
  <c r="W1127" i="10"/>
  <c r="W1128" i="10"/>
  <c r="W1129" i="10"/>
  <c r="W1130" i="10"/>
  <c r="W1131" i="10"/>
  <c r="W1132" i="10"/>
  <c r="W1133" i="10"/>
  <c r="W1134" i="10"/>
  <c r="W1135" i="10"/>
  <c r="W1136" i="10"/>
  <c r="W1137" i="10"/>
  <c r="W1138" i="10"/>
  <c r="W1139" i="10"/>
  <c r="W1140" i="10"/>
  <c r="W1141" i="10"/>
  <c r="W1142" i="10"/>
  <c r="W1143" i="10"/>
  <c r="W1144" i="10"/>
  <c r="W1145" i="10"/>
  <c r="W1146" i="10"/>
  <c r="W1147" i="10"/>
  <c r="W1148" i="10"/>
  <c r="W1149" i="10"/>
  <c r="W1150" i="10"/>
  <c r="W1151" i="10"/>
  <c r="W1152" i="10"/>
  <c r="W1153" i="10"/>
  <c r="W1154" i="10"/>
  <c r="W1155" i="10"/>
  <c r="W1156" i="10"/>
  <c r="W1157" i="10"/>
  <c r="W1158" i="10"/>
  <c r="W1159" i="10"/>
  <c r="W1160" i="10"/>
  <c r="W1161" i="10"/>
  <c r="W1162" i="10"/>
  <c r="W1163" i="10"/>
  <c r="W1164" i="10"/>
  <c r="W1165" i="10"/>
  <c r="W1166" i="10"/>
  <c r="W1167" i="10"/>
  <c r="W1168" i="10"/>
  <c r="W1169" i="10"/>
  <c r="W1170" i="10"/>
  <c r="W1171" i="10"/>
  <c r="W1172" i="10"/>
  <c r="W1173" i="10"/>
  <c r="W1174" i="10"/>
  <c r="W1175" i="10"/>
  <c r="W1176" i="10"/>
  <c r="W1177" i="10"/>
  <c r="W1178" i="10"/>
  <c r="W1179" i="10"/>
  <c r="W1180" i="10"/>
  <c r="W1181" i="10"/>
  <c r="W1182" i="10"/>
  <c r="W1183" i="10"/>
  <c r="W1184" i="10"/>
  <c r="W1185" i="10"/>
  <c r="W1186" i="10"/>
  <c r="W1187" i="10"/>
  <c r="W1188" i="10"/>
  <c r="W1189" i="10"/>
  <c r="W1190" i="10"/>
  <c r="W1191" i="10"/>
  <c r="W1192" i="10"/>
  <c r="W1193" i="10"/>
  <c r="W1194" i="10"/>
  <c r="W1195" i="10"/>
  <c r="W1196" i="10"/>
  <c r="W1197" i="10"/>
  <c r="W1198" i="10"/>
  <c r="W1199" i="10"/>
  <c r="W1200" i="10"/>
  <c r="W1201" i="10"/>
  <c r="W1202" i="10"/>
  <c r="W1203" i="10"/>
  <c r="W1204" i="10"/>
  <c r="W1205" i="10"/>
  <c r="W1206" i="10"/>
  <c r="W1207" i="10"/>
  <c r="W1208" i="10"/>
  <c r="W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U55" i="10"/>
  <c r="U56" i="10"/>
  <c r="U57" i="10"/>
  <c r="U58" i="10"/>
  <c r="U59" i="10"/>
  <c r="U60" i="10"/>
  <c r="U61" i="10"/>
  <c r="U62" i="10"/>
  <c r="U63" i="10"/>
  <c r="U64" i="10"/>
  <c r="U65" i="10"/>
  <c r="U66" i="10"/>
  <c r="U67" i="10"/>
  <c r="U68" i="10"/>
  <c r="U69" i="10"/>
  <c r="U70" i="10"/>
  <c r="U71" i="10"/>
  <c r="U72" i="10"/>
  <c r="U73" i="10"/>
  <c r="U74" i="10"/>
  <c r="U75" i="10"/>
  <c r="U76" i="10"/>
  <c r="U77" i="10"/>
  <c r="U78" i="10"/>
  <c r="U79" i="10"/>
  <c r="U80" i="10"/>
  <c r="U81" i="10"/>
  <c r="U82" i="10"/>
  <c r="U83" i="10"/>
  <c r="U84" i="10"/>
  <c r="U85" i="10"/>
  <c r="U86" i="10"/>
  <c r="U87" i="10"/>
  <c r="U88" i="10"/>
  <c r="U89" i="10"/>
  <c r="U90" i="10"/>
  <c r="U91" i="10"/>
  <c r="U92" i="10"/>
  <c r="U93" i="10"/>
  <c r="U94" i="10"/>
  <c r="U95" i="10"/>
  <c r="U96" i="10"/>
  <c r="U97" i="10"/>
  <c r="U98" i="10"/>
  <c r="U99" i="10"/>
  <c r="U100" i="10"/>
  <c r="U101" i="10"/>
  <c r="U102" i="10"/>
  <c r="U103" i="10"/>
  <c r="U104" i="10"/>
  <c r="U105" i="10"/>
  <c r="U106" i="10"/>
  <c r="U107" i="10"/>
  <c r="U108" i="10"/>
  <c r="U109" i="10"/>
  <c r="U110" i="10"/>
  <c r="U111" i="10"/>
  <c r="U112" i="10"/>
  <c r="U113" i="10"/>
  <c r="U114" i="10"/>
  <c r="U115" i="10"/>
  <c r="U116" i="10"/>
  <c r="U117" i="10"/>
  <c r="U118" i="10"/>
  <c r="U119" i="10"/>
  <c r="U120" i="10"/>
  <c r="U121" i="10"/>
  <c r="U122" i="10"/>
  <c r="U123" i="10"/>
  <c r="U124" i="10"/>
  <c r="U125" i="10"/>
  <c r="U126" i="10"/>
  <c r="U127" i="10"/>
  <c r="U128" i="10"/>
  <c r="U129" i="10"/>
  <c r="U130" i="10"/>
  <c r="U131" i="10"/>
  <c r="U132" i="10"/>
  <c r="U133" i="10"/>
  <c r="U134" i="10"/>
  <c r="U135" i="10"/>
  <c r="U136" i="10"/>
  <c r="U137" i="10"/>
  <c r="U138" i="10"/>
  <c r="U139" i="10"/>
  <c r="U140" i="10"/>
  <c r="U141" i="10"/>
  <c r="U142" i="10"/>
  <c r="U143" i="10"/>
  <c r="U144" i="10"/>
  <c r="U145" i="10"/>
  <c r="U146" i="10"/>
  <c r="U147" i="10"/>
  <c r="U148" i="10"/>
  <c r="U149" i="10"/>
  <c r="U150" i="10"/>
  <c r="U151" i="10"/>
  <c r="U152" i="10"/>
  <c r="U153" i="10"/>
  <c r="U154" i="10"/>
  <c r="U155" i="10"/>
  <c r="U156" i="10"/>
  <c r="U157" i="10"/>
  <c r="U158" i="10"/>
  <c r="U159" i="10"/>
  <c r="U160" i="10"/>
  <c r="U161" i="10"/>
  <c r="U162" i="10"/>
  <c r="U163" i="10"/>
  <c r="U164" i="10"/>
  <c r="U165" i="10"/>
  <c r="U166" i="10"/>
  <c r="U167" i="10"/>
  <c r="U168" i="10"/>
  <c r="U169" i="10"/>
  <c r="U170" i="10"/>
  <c r="U171" i="10"/>
  <c r="U172" i="10"/>
  <c r="U173" i="10"/>
  <c r="U174" i="10"/>
  <c r="U175" i="10"/>
  <c r="U176" i="10"/>
  <c r="U177" i="10"/>
  <c r="U178" i="10"/>
  <c r="U179" i="10"/>
  <c r="U180" i="10"/>
  <c r="U181" i="10"/>
  <c r="U182" i="10"/>
  <c r="U183" i="10"/>
  <c r="U184" i="10"/>
  <c r="U185" i="10"/>
  <c r="U186" i="10"/>
  <c r="U187" i="10"/>
  <c r="U188" i="10"/>
  <c r="U189" i="10"/>
  <c r="U190" i="10"/>
  <c r="U191" i="10"/>
  <c r="U192" i="10"/>
  <c r="U193" i="10"/>
  <c r="U194" i="10"/>
  <c r="U195" i="10"/>
  <c r="U196" i="10"/>
  <c r="U197" i="10"/>
  <c r="U198" i="10"/>
  <c r="U199" i="10"/>
  <c r="U200" i="10"/>
  <c r="U201" i="10"/>
  <c r="U202" i="10"/>
  <c r="U203" i="10"/>
  <c r="U204" i="10"/>
  <c r="U205" i="10"/>
  <c r="U206" i="10"/>
  <c r="U207" i="10"/>
  <c r="U208" i="10"/>
  <c r="U209" i="10"/>
  <c r="U210" i="10"/>
  <c r="U211" i="10"/>
  <c r="U212" i="10"/>
  <c r="U213" i="10"/>
  <c r="U214" i="10"/>
  <c r="U215" i="10"/>
  <c r="U216" i="10"/>
  <c r="U217" i="10"/>
  <c r="U218" i="10"/>
  <c r="U219" i="10"/>
  <c r="U220" i="10"/>
  <c r="U221" i="10"/>
  <c r="U222" i="10"/>
  <c r="U223" i="10"/>
  <c r="U224" i="10"/>
  <c r="U225" i="10"/>
  <c r="U226" i="10"/>
  <c r="U227" i="10"/>
  <c r="U228" i="10"/>
  <c r="U229" i="10"/>
  <c r="U230" i="10"/>
  <c r="U231" i="10"/>
  <c r="U232" i="10"/>
  <c r="U233" i="10"/>
  <c r="U234" i="10"/>
  <c r="U235" i="10"/>
  <c r="U236" i="10"/>
  <c r="U237" i="10"/>
  <c r="U238" i="10"/>
  <c r="U239" i="10"/>
  <c r="U240" i="10"/>
  <c r="U241" i="10"/>
  <c r="U242" i="10"/>
  <c r="U243" i="10"/>
  <c r="U244" i="10"/>
  <c r="U245" i="10"/>
  <c r="U246" i="10"/>
  <c r="U247" i="10"/>
  <c r="U248" i="10"/>
  <c r="U249" i="10"/>
  <c r="U250" i="10"/>
  <c r="U251" i="10"/>
  <c r="U252" i="10"/>
  <c r="U253" i="10"/>
  <c r="U254" i="10"/>
  <c r="U255" i="10"/>
  <c r="U256" i="10"/>
  <c r="U257" i="10"/>
  <c r="U258" i="10"/>
  <c r="U259" i="10"/>
  <c r="U260" i="10"/>
  <c r="U261" i="10"/>
  <c r="U262" i="10"/>
  <c r="U263" i="10"/>
  <c r="U264" i="10"/>
  <c r="U265" i="10"/>
  <c r="U266" i="10"/>
  <c r="U267" i="10"/>
  <c r="U268" i="10"/>
  <c r="U269" i="10"/>
  <c r="U270" i="10"/>
  <c r="U271" i="10"/>
  <c r="U272" i="10"/>
  <c r="U273" i="10"/>
  <c r="U274" i="10"/>
  <c r="U275" i="10"/>
  <c r="U276" i="10"/>
  <c r="U277" i="10"/>
  <c r="U278" i="10"/>
  <c r="U279" i="10"/>
  <c r="U280" i="10"/>
  <c r="U281" i="10"/>
  <c r="U282" i="10"/>
  <c r="U283" i="10"/>
  <c r="U284" i="10"/>
  <c r="U285" i="10"/>
  <c r="U286" i="10"/>
  <c r="U287" i="10"/>
  <c r="U288" i="10"/>
  <c r="U289" i="10"/>
  <c r="U290" i="10"/>
  <c r="U291" i="10"/>
  <c r="U292" i="10"/>
  <c r="U293" i="10"/>
  <c r="U294" i="10"/>
  <c r="U295" i="10"/>
  <c r="U296" i="10"/>
  <c r="U297" i="10"/>
  <c r="U298" i="10"/>
  <c r="U299" i="10"/>
  <c r="U300" i="10"/>
  <c r="U301" i="10"/>
  <c r="U302" i="10"/>
  <c r="U303" i="10"/>
  <c r="U304" i="10"/>
  <c r="U305" i="10"/>
  <c r="U306" i="10"/>
  <c r="U307" i="10"/>
  <c r="U308" i="10"/>
  <c r="U309" i="10"/>
  <c r="U310" i="10"/>
  <c r="U311" i="10"/>
  <c r="U312" i="10"/>
  <c r="U313" i="10"/>
  <c r="U314" i="10"/>
  <c r="U315" i="10"/>
  <c r="U316" i="10"/>
  <c r="U317" i="10"/>
  <c r="U318" i="10"/>
  <c r="U319" i="10"/>
  <c r="U320" i="10"/>
  <c r="U321" i="10"/>
  <c r="U322" i="10"/>
  <c r="U323" i="10"/>
  <c r="U324" i="10"/>
  <c r="U325" i="10"/>
  <c r="U326" i="10"/>
  <c r="U327" i="10"/>
  <c r="U328" i="10"/>
  <c r="U329" i="10"/>
  <c r="U330" i="10"/>
  <c r="U331" i="10"/>
  <c r="U332" i="10"/>
  <c r="U333" i="10"/>
  <c r="U334" i="10"/>
  <c r="U335" i="10"/>
  <c r="U336" i="10"/>
  <c r="U337" i="10"/>
  <c r="U338" i="10"/>
  <c r="U339" i="10"/>
  <c r="U340" i="10"/>
  <c r="U341" i="10"/>
  <c r="U342" i="10"/>
  <c r="U343" i="10"/>
  <c r="U344" i="10"/>
  <c r="U345" i="10"/>
  <c r="U346" i="10"/>
  <c r="U347" i="10"/>
  <c r="U348" i="10"/>
  <c r="U349" i="10"/>
  <c r="U350" i="10"/>
  <c r="U351" i="10"/>
  <c r="U352" i="10"/>
  <c r="U353" i="10"/>
  <c r="U354" i="10"/>
  <c r="U355" i="10"/>
  <c r="U356" i="10"/>
  <c r="U357" i="10"/>
  <c r="U358" i="10"/>
  <c r="U359" i="10"/>
  <c r="U360" i="10"/>
  <c r="U361" i="10"/>
  <c r="U362" i="10"/>
  <c r="U363" i="10"/>
  <c r="U364" i="10"/>
  <c r="U365" i="10"/>
  <c r="U366" i="10"/>
  <c r="U367" i="10"/>
  <c r="U368" i="10"/>
  <c r="U369" i="10"/>
  <c r="U370" i="10"/>
  <c r="U371" i="10"/>
  <c r="U372" i="10"/>
  <c r="U373" i="10"/>
  <c r="U374" i="10"/>
  <c r="U375" i="10"/>
  <c r="U376" i="10"/>
  <c r="U377" i="10"/>
  <c r="U378" i="10"/>
  <c r="U379" i="10"/>
  <c r="U380" i="10"/>
  <c r="U381" i="10"/>
  <c r="U382" i="10"/>
  <c r="U383" i="10"/>
  <c r="U384" i="10"/>
  <c r="U385" i="10"/>
  <c r="U386" i="10"/>
  <c r="U387" i="10"/>
  <c r="U388" i="10"/>
  <c r="U389" i="10"/>
  <c r="U390" i="10"/>
  <c r="U391" i="10"/>
  <c r="U392" i="10"/>
  <c r="U393" i="10"/>
  <c r="U394" i="10"/>
  <c r="U395" i="10"/>
  <c r="U396" i="10"/>
  <c r="U397" i="10"/>
  <c r="U398" i="10"/>
  <c r="U399" i="10"/>
  <c r="U400" i="10"/>
  <c r="U401" i="10"/>
  <c r="U402" i="10"/>
  <c r="U403" i="10"/>
  <c r="U404" i="10"/>
  <c r="U405" i="10"/>
  <c r="U406" i="10"/>
  <c r="U407" i="10"/>
  <c r="U408" i="10"/>
  <c r="U409" i="10"/>
  <c r="U410" i="10"/>
  <c r="U411" i="10"/>
  <c r="U412" i="10"/>
  <c r="U413" i="10"/>
  <c r="U414" i="10"/>
  <c r="U415" i="10"/>
  <c r="U416" i="10"/>
  <c r="U417" i="10"/>
  <c r="U418" i="10"/>
  <c r="U419" i="10"/>
  <c r="U420" i="10"/>
  <c r="U421" i="10"/>
  <c r="U422" i="10"/>
  <c r="U423" i="10"/>
  <c r="U424" i="10"/>
  <c r="U425" i="10"/>
  <c r="U426" i="10"/>
  <c r="U427" i="10"/>
  <c r="U428" i="10"/>
  <c r="U429" i="10"/>
  <c r="U430" i="10"/>
  <c r="U431" i="10"/>
  <c r="U432" i="10"/>
  <c r="U433" i="10"/>
  <c r="U434" i="10"/>
  <c r="U435" i="10"/>
  <c r="U436" i="10"/>
  <c r="U437" i="10"/>
  <c r="U438" i="10"/>
  <c r="U439" i="10"/>
  <c r="U440" i="10"/>
  <c r="U441" i="10"/>
  <c r="U442" i="10"/>
  <c r="U443" i="10"/>
  <c r="U444" i="10"/>
  <c r="U445" i="10"/>
  <c r="U446" i="10"/>
  <c r="U447" i="10"/>
  <c r="U448" i="10"/>
  <c r="U449" i="10"/>
  <c r="U450" i="10"/>
  <c r="U451" i="10"/>
  <c r="U452" i="10"/>
  <c r="U453" i="10"/>
  <c r="U454" i="10"/>
  <c r="U455" i="10"/>
  <c r="U456" i="10"/>
  <c r="U457" i="10"/>
  <c r="U458" i="10"/>
  <c r="U459" i="10"/>
  <c r="U460" i="10"/>
  <c r="U461" i="10"/>
  <c r="U462" i="10"/>
  <c r="U463" i="10"/>
  <c r="U464" i="10"/>
  <c r="U465" i="10"/>
  <c r="U466" i="10"/>
  <c r="U467" i="10"/>
  <c r="U468" i="10"/>
  <c r="U469" i="10"/>
  <c r="U470" i="10"/>
  <c r="U471" i="10"/>
  <c r="U472" i="10"/>
  <c r="U473" i="10"/>
  <c r="U474" i="10"/>
  <c r="U475" i="10"/>
  <c r="U476" i="10"/>
  <c r="U477" i="10"/>
  <c r="U478" i="10"/>
  <c r="U479" i="10"/>
  <c r="U480" i="10"/>
  <c r="U481" i="10"/>
  <c r="U482" i="10"/>
  <c r="U483" i="10"/>
  <c r="U484" i="10"/>
  <c r="U485" i="10"/>
  <c r="U486" i="10"/>
  <c r="U487" i="10"/>
  <c r="U488" i="10"/>
  <c r="U489" i="10"/>
  <c r="U490" i="10"/>
  <c r="U491" i="10"/>
  <c r="U492" i="10"/>
  <c r="U493" i="10"/>
  <c r="U494" i="10"/>
  <c r="U495" i="10"/>
  <c r="U496" i="10"/>
  <c r="U497" i="10"/>
  <c r="U498" i="10"/>
  <c r="U499" i="10"/>
  <c r="U500" i="10"/>
  <c r="U501" i="10"/>
  <c r="U502" i="10"/>
  <c r="U503" i="10"/>
  <c r="U504" i="10"/>
  <c r="U505" i="10"/>
  <c r="U506" i="10"/>
  <c r="U507" i="10"/>
  <c r="U508" i="10"/>
  <c r="U509" i="10"/>
  <c r="U510" i="10"/>
  <c r="U511" i="10"/>
  <c r="U512" i="10"/>
  <c r="U513" i="10"/>
  <c r="U514" i="10"/>
  <c r="U515" i="10"/>
  <c r="U516" i="10"/>
  <c r="U517" i="10"/>
  <c r="U518" i="10"/>
  <c r="U519" i="10"/>
  <c r="U520" i="10"/>
  <c r="U521" i="10"/>
  <c r="U522" i="10"/>
  <c r="U523" i="10"/>
  <c r="U524" i="10"/>
  <c r="U525" i="10"/>
  <c r="U526" i="10"/>
  <c r="U527" i="10"/>
  <c r="U528" i="10"/>
  <c r="U529" i="10"/>
  <c r="U530" i="10"/>
  <c r="U531" i="10"/>
  <c r="U532" i="10"/>
  <c r="U533" i="10"/>
  <c r="U534" i="10"/>
  <c r="U535" i="10"/>
  <c r="U536" i="10"/>
  <c r="U537" i="10"/>
  <c r="U538" i="10"/>
  <c r="U539" i="10"/>
  <c r="U540" i="10"/>
  <c r="U541" i="10"/>
  <c r="U542" i="10"/>
  <c r="U543" i="10"/>
  <c r="U544" i="10"/>
  <c r="U545" i="10"/>
  <c r="U546" i="10"/>
  <c r="U547" i="10"/>
  <c r="U548" i="10"/>
  <c r="U549" i="10"/>
  <c r="U550" i="10"/>
  <c r="U551" i="10"/>
  <c r="U552" i="10"/>
  <c r="U553" i="10"/>
  <c r="U554" i="10"/>
  <c r="U555" i="10"/>
  <c r="U556" i="10"/>
  <c r="U557" i="10"/>
  <c r="U558" i="10"/>
  <c r="U559" i="10"/>
  <c r="U560" i="10"/>
  <c r="U561" i="10"/>
  <c r="U562" i="10"/>
  <c r="U563" i="10"/>
  <c r="U564" i="10"/>
  <c r="U565" i="10"/>
  <c r="U566" i="10"/>
  <c r="U567" i="10"/>
  <c r="U568" i="10"/>
  <c r="U569" i="10"/>
  <c r="U570" i="10"/>
  <c r="U571" i="10"/>
  <c r="U572" i="10"/>
  <c r="U573" i="10"/>
  <c r="U574" i="10"/>
  <c r="U575" i="10"/>
  <c r="U576" i="10"/>
  <c r="U577" i="10"/>
  <c r="U578" i="10"/>
  <c r="U579" i="10"/>
  <c r="U580" i="10"/>
  <c r="U581" i="10"/>
  <c r="U582" i="10"/>
  <c r="U583" i="10"/>
  <c r="U584" i="10"/>
  <c r="U585" i="10"/>
  <c r="U586" i="10"/>
  <c r="U587" i="10"/>
  <c r="U588" i="10"/>
  <c r="U589" i="10"/>
  <c r="U590" i="10"/>
  <c r="U591" i="10"/>
  <c r="U592" i="10"/>
  <c r="U593" i="10"/>
  <c r="U594" i="10"/>
  <c r="U595" i="10"/>
  <c r="U596" i="10"/>
  <c r="U597" i="10"/>
  <c r="U598" i="10"/>
  <c r="U599" i="10"/>
  <c r="U600" i="10"/>
  <c r="U601" i="10"/>
  <c r="U602" i="10"/>
  <c r="U603" i="10"/>
  <c r="U604" i="10"/>
  <c r="U605" i="10"/>
  <c r="U606" i="10"/>
  <c r="U607" i="10"/>
  <c r="U608" i="10"/>
  <c r="U609" i="10"/>
  <c r="U610" i="10"/>
  <c r="U611" i="10"/>
  <c r="U612" i="10"/>
  <c r="U613" i="10"/>
  <c r="U614" i="10"/>
  <c r="U615" i="10"/>
  <c r="U616" i="10"/>
  <c r="U617" i="10"/>
  <c r="U618" i="10"/>
  <c r="U619" i="10"/>
  <c r="U620" i="10"/>
  <c r="U621" i="10"/>
  <c r="U622" i="10"/>
  <c r="U623" i="10"/>
  <c r="U624" i="10"/>
  <c r="U625" i="10"/>
  <c r="U626" i="10"/>
  <c r="U627" i="10"/>
  <c r="U628" i="10"/>
  <c r="U629" i="10"/>
  <c r="U630" i="10"/>
  <c r="U631" i="10"/>
  <c r="U632" i="10"/>
  <c r="U633" i="10"/>
  <c r="U634" i="10"/>
  <c r="U635" i="10"/>
  <c r="U636" i="10"/>
  <c r="U637" i="10"/>
  <c r="U638" i="10"/>
  <c r="U639" i="10"/>
  <c r="U640" i="10"/>
  <c r="U641" i="10"/>
  <c r="U642" i="10"/>
  <c r="U643" i="10"/>
  <c r="U644" i="10"/>
  <c r="U645" i="10"/>
  <c r="U646" i="10"/>
  <c r="U647" i="10"/>
  <c r="U648" i="10"/>
  <c r="U649" i="10"/>
  <c r="U650" i="10"/>
  <c r="U651" i="10"/>
  <c r="U652" i="10"/>
  <c r="U653" i="10"/>
  <c r="U654" i="10"/>
  <c r="U655" i="10"/>
  <c r="U656" i="10"/>
  <c r="U657" i="10"/>
  <c r="U658" i="10"/>
  <c r="U659" i="10"/>
  <c r="U660" i="10"/>
  <c r="U661" i="10"/>
  <c r="U662" i="10"/>
  <c r="U663" i="10"/>
  <c r="U664" i="10"/>
  <c r="U665" i="10"/>
  <c r="U666" i="10"/>
  <c r="U667" i="10"/>
  <c r="U668" i="10"/>
  <c r="U669" i="10"/>
  <c r="U670" i="10"/>
  <c r="U671" i="10"/>
  <c r="U672" i="10"/>
  <c r="U673" i="10"/>
  <c r="U674" i="10"/>
  <c r="U675" i="10"/>
  <c r="U676" i="10"/>
  <c r="U677" i="10"/>
  <c r="U678" i="10"/>
  <c r="U679" i="10"/>
  <c r="U680" i="10"/>
  <c r="U681" i="10"/>
  <c r="U682" i="10"/>
  <c r="U683" i="10"/>
  <c r="U684" i="10"/>
  <c r="U685" i="10"/>
  <c r="U686" i="10"/>
  <c r="U687" i="10"/>
  <c r="U688" i="10"/>
  <c r="U689" i="10"/>
  <c r="U690" i="10"/>
  <c r="U691" i="10"/>
  <c r="U692" i="10"/>
  <c r="U693" i="10"/>
  <c r="U694" i="10"/>
  <c r="U695" i="10"/>
  <c r="U696" i="10"/>
  <c r="U697" i="10"/>
  <c r="U698" i="10"/>
  <c r="U699" i="10"/>
  <c r="U700" i="10"/>
  <c r="U701" i="10"/>
  <c r="U702" i="10"/>
  <c r="U703" i="10"/>
  <c r="U704" i="10"/>
  <c r="U705" i="10"/>
  <c r="U706" i="10"/>
  <c r="U707" i="10"/>
  <c r="U708" i="10"/>
  <c r="U709" i="10"/>
  <c r="U710" i="10"/>
  <c r="U711" i="10"/>
  <c r="U712" i="10"/>
  <c r="U713" i="10"/>
  <c r="U714" i="10"/>
  <c r="U715" i="10"/>
  <c r="U716" i="10"/>
  <c r="U717" i="10"/>
  <c r="U718" i="10"/>
  <c r="U719" i="10"/>
  <c r="U720" i="10"/>
  <c r="U721" i="10"/>
  <c r="U722" i="10"/>
  <c r="U723" i="10"/>
  <c r="U724" i="10"/>
  <c r="U725" i="10"/>
  <c r="U726" i="10"/>
  <c r="U727" i="10"/>
  <c r="U728" i="10"/>
  <c r="U729" i="10"/>
  <c r="U730" i="10"/>
  <c r="U731" i="10"/>
  <c r="U732" i="10"/>
  <c r="U733" i="10"/>
  <c r="U734" i="10"/>
  <c r="U735" i="10"/>
  <c r="U736" i="10"/>
  <c r="U737" i="10"/>
  <c r="U738" i="10"/>
  <c r="U739" i="10"/>
  <c r="U740" i="10"/>
  <c r="U741" i="10"/>
  <c r="U742" i="10"/>
  <c r="U743" i="10"/>
  <c r="U744" i="10"/>
  <c r="U745" i="10"/>
  <c r="U746" i="10"/>
  <c r="U747" i="10"/>
  <c r="U748" i="10"/>
  <c r="U749" i="10"/>
  <c r="U750" i="10"/>
  <c r="U751" i="10"/>
  <c r="U752" i="10"/>
  <c r="U753" i="10"/>
  <c r="U754" i="10"/>
  <c r="U755" i="10"/>
  <c r="U756" i="10"/>
  <c r="U757" i="10"/>
  <c r="U758" i="10"/>
  <c r="U759" i="10"/>
  <c r="U760" i="10"/>
  <c r="U761" i="10"/>
  <c r="U762" i="10"/>
  <c r="U763" i="10"/>
  <c r="U764" i="10"/>
  <c r="U765" i="10"/>
  <c r="U766" i="10"/>
  <c r="U767" i="10"/>
  <c r="U768" i="10"/>
  <c r="U769" i="10"/>
  <c r="U770" i="10"/>
  <c r="U771" i="10"/>
  <c r="U772" i="10"/>
  <c r="U773" i="10"/>
  <c r="U774" i="10"/>
  <c r="U775" i="10"/>
  <c r="U776" i="10"/>
  <c r="U777" i="10"/>
  <c r="U778" i="10"/>
  <c r="U779" i="10"/>
  <c r="U780" i="10"/>
  <c r="U781" i="10"/>
  <c r="U782" i="10"/>
  <c r="U783" i="10"/>
  <c r="U784" i="10"/>
  <c r="U785" i="10"/>
  <c r="U786" i="10"/>
  <c r="U787" i="10"/>
  <c r="U788" i="10"/>
  <c r="U789" i="10"/>
  <c r="U790" i="10"/>
  <c r="U791" i="10"/>
  <c r="U792" i="10"/>
  <c r="U793" i="10"/>
  <c r="U794" i="10"/>
  <c r="U795" i="10"/>
  <c r="U796" i="10"/>
  <c r="U797" i="10"/>
  <c r="U798" i="10"/>
  <c r="U799" i="10"/>
  <c r="U800" i="10"/>
  <c r="U801" i="10"/>
  <c r="U802" i="10"/>
  <c r="U803" i="10"/>
  <c r="U804" i="10"/>
  <c r="U805" i="10"/>
  <c r="U806" i="10"/>
  <c r="U807" i="10"/>
  <c r="U808" i="10"/>
  <c r="U809" i="10"/>
  <c r="U810" i="10"/>
  <c r="U811" i="10"/>
  <c r="U812" i="10"/>
  <c r="U813" i="10"/>
  <c r="U814" i="10"/>
  <c r="U815" i="10"/>
  <c r="U816" i="10"/>
  <c r="U817" i="10"/>
  <c r="U818" i="10"/>
  <c r="U819" i="10"/>
  <c r="U820" i="10"/>
  <c r="U821" i="10"/>
  <c r="U822" i="10"/>
  <c r="U823" i="10"/>
  <c r="U824" i="10"/>
  <c r="U825" i="10"/>
  <c r="U826" i="10"/>
  <c r="U827" i="10"/>
  <c r="U828" i="10"/>
  <c r="U829" i="10"/>
  <c r="U830" i="10"/>
  <c r="U831" i="10"/>
  <c r="U832" i="10"/>
  <c r="U833" i="10"/>
  <c r="U834" i="10"/>
  <c r="U835" i="10"/>
  <c r="U836" i="10"/>
  <c r="U837" i="10"/>
  <c r="U838" i="10"/>
  <c r="U839" i="10"/>
  <c r="U840" i="10"/>
  <c r="U841" i="10"/>
  <c r="U842" i="10"/>
  <c r="U843" i="10"/>
  <c r="U844" i="10"/>
  <c r="U845" i="10"/>
  <c r="U846" i="10"/>
  <c r="U847" i="10"/>
  <c r="U848" i="10"/>
  <c r="U849" i="10"/>
  <c r="U850" i="10"/>
  <c r="U851" i="10"/>
  <c r="U852" i="10"/>
  <c r="U853" i="10"/>
  <c r="U854" i="10"/>
  <c r="U855" i="10"/>
  <c r="U856" i="10"/>
  <c r="U857" i="10"/>
  <c r="U858" i="10"/>
  <c r="U859" i="10"/>
  <c r="U860" i="10"/>
  <c r="U861" i="10"/>
  <c r="U862" i="10"/>
  <c r="U863" i="10"/>
  <c r="U864" i="10"/>
  <c r="U865" i="10"/>
  <c r="U866" i="10"/>
  <c r="U867" i="10"/>
  <c r="U868" i="10"/>
  <c r="U869" i="10"/>
  <c r="U870" i="10"/>
  <c r="U871" i="10"/>
  <c r="U872" i="10"/>
  <c r="U873" i="10"/>
  <c r="U874" i="10"/>
  <c r="U875" i="10"/>
  <c r="U876" i="10"/>
  <c r="U877" i="10"/>
  <c r="U878" i="10"/>
  <c r="U879" i="10"/>
  <c r="U880" i="10"/>
  <c r="U881" i="10"/>
  <c r="U882" i="10"/>
  <c r="U883" i="10"/>
  <c r="U884" i="10"/>
  <c r="U885" i="10"/>
  <c r="U886" i="10"/>
  <c r="U887" i="10"/>
  <c r="U888" i="10"/>
  <c r="U889" i="10"/>
  <c r="U890" i="10"/>
  <c r="U891" i="10"/>
  <c r="U892" i="10"/>
  <c r="U893" i="10"/>
  <c r="U894" i="10"/>
  <c r="U895" i="10"/>
  <c r="U896" i="10"/>
  <c r="U897" i="10"/>
  <c r="U898" i="10"/>
  <c r="U899" i="10"/>
  <c r="U900" i="10"/>
  <c r="U901" i="10"/>
  <c r="U902" i="10"/>
  <c r="U903" i="10"/>
  <c r="U904" i="10"/>
  <c r="U905" i="10"/>
  <c r="U906" i="10"/>
  <c r="U907" i="10"/>
  <c r="U908" i="10"/>
  <c r="U909" i="10"/>
  <c r="U910" i="10"/>
  <c r="U911" i="10"/>
  <c r="U912" i="10"/>
  <c r="U913" i="10"/>
  <c r="U914" i="10"/>
  <c r="U915" i="10"/>
  <c r="U916" i="10"/>
  <c r="U917" i="10"/>
  <c r="U918" i="10"/>
  <c r="U919" i="10"/>
  <c r="U920" i="10"/>
  <c r="U921" i="10"/>
  <c r="U922" i="10"/>
  <c r="U923" i="10"/>
  <c r="U924" i="10"/>
  <c r="U925" i="10"/>
  <c r="U926" i="10"/>
  <c r="U927" i="10"/>
  <c r="U928" i="10"/>
  <c r="U929" i="10"/>
  <c r="U930" i="10"/>
  <c r="U931" i="10"/>
  <c r="U932" i="10"/>
  <c r="U933" i="10"/>
  <c r="U934" i="10"/>
  <c r="U935" i="10"/>
  <c r="U936" i="10"/>
  <c r="U937" i="10"/>
  <c r="U938" i="10"/>
  <c r="U939" i="10"/>
  <c r="U940" i="10"/>
  <c r="U941" i="10"/>
  <c r="U942" i="10"/>
  <c r="U943" i="10"/>
  <c r="U944" i="10"/>
  <c r="U945" i="10"/>
  <c r="U946" i="10"/>
  <c r="U947" i="10"/>
  <c r="U948" i="10"/>
  <c r="U949" i="10"/>
  <c r="U950" i="10"/>
  <c r="U951" i="10"/>
  <c r="U952" i="10"/>
  <c r="U953" i="10"/>
  <c r="U954" i="10"/>
  <c r="U955" i="10"/>
  <c r="U956" i="10"/>
  <c r="U957" i="10"/>
  <c r="U958" i="10"/>
  <c r="U959" i="10"/>
  <c r="U960" i="10"/>
  <c r="U961" i="10"/>
  <c r="U962" i="10"/>
  <c r="U963" i="10"/>
  <c r="U964" i="10"/>
  <c r="U965" i="10"/>
  <c r="U966" i="10"/>
  <c r="U967" i="10"/>
  <c r="U968" i="10"/>
  <c r="U969" i="10"/>
  <c r="U970" i="10"/>
  <c r="U971" i="10"/>
  <c r="U972" i="10"/>
  <c r="U973" i="10"/>
  <c r="U974" i="10"/>
  <c r="U975" i="10"/>
  <c r="U976" i="10"/>
  <c r="U977" i="10"/>
  <c r="U978" i="10"/>
  <c r="U979" i="10"/>
  <c r="U980" i="10"/>
  <c r="U981" i="10"/>
  <c r="U982" i="10"/>
  <c r="U983" i="10"/>
  <c r="U984" i="10"/>
  <c r="U985" i="10"/>
  <c r="U986" i="10"/>
  <c r="U987" i="10"/>
  <c r="U988" i="10"/>
  <c r="U989" i="10"/>
  <c r="U990" i="10"/>
  <c r="U991" i="10"/>
  <c r="U992" i="10"/>
  <c r="U993" i="10"/>
  <c r="U994" i="10"/>
  <c r="U995" i="10"/>
  <c r="U996" i="10"/>
  <c r="U997" i="10"/>
  <c r="U998" i="10"/>
  <c r="U999" i="10"/>
  <c r="U1000" i="10"/>
  <c r="U1001" i="10"/>
  <c r="U1002" i="10"/>
  <c r="U1003" i="10"/>
  <c r="U1004" i="10"/>
  <c r="U1005" i="10"/>
  <c r="U1006" i="10"/>
  <c r="U1007" i="10"/>
  <c r="U1008" i="10"/>
  <c r="U1009" i="10"/>
  <c r="U1010" i="10"/>
  <c r="U1011" i="10"/>
  <c r="U1012" i="10"/>
  <c r="U1013" i="10"/>
  <c r="U1014" i="10"/>
  <c r="U1015" i="10"/>
  <c r="U1016" i="10"/>
  <c r="U1017" i="10"/>
  <c r="U1018" i="10"/>
  <c r="U1019" i="10"/>
  <c r="U1020" i="10"/>
  <c r="U1021" i="10"/>
  <c r="U1022" i="10"/>
  <c r="U1023" i="10"/>
  <c r="U1024" i="10"/>
  <c r="U1025" i="10"/>
  <c r="U1026" i="10"/>
  <c r="U1027" i="10"/>
  <c r="U1028" i="10"/>
  <c r="U1029" i="10"/>
  <c r="U1030" i="10"/>
  <c r="U1031" i="10"/>
  <c r="U1032" i="10"/>
  <c r="U1033" i="10"/>
  <c r="U1034" i="10"/>
  <c r="U1035" i="10"/>
  <c r="U1036" i="10"/>
  <c r="U1037" i="10"/>
  <c r="U1038" i="10"/>
  <c r="U1039" i="10"/>
  <c r="U1040" i="10"/>
  <c r="U1041" i="10"/>
  <c r="U1042" i="10"/>
  <c r="U1043" i="10"/>
  <c r="U1044" i="10"/>
  <c r="U1045" i="10"/>
  <c r="U1046" i="10"/>
  <c r="U1047" i="10"/>
  <c r="U1048" i="10"/>
  <c r="U1049" i="10"/>
  <c r="U1050" i="10"/>
  <c r="U1051" i="10"/>
  <c r="U1052" i="10"/>
  <c r="U1053" i="10"/>
  <c r="U1054" i="10"/>
  <c r="U1055" i="10"/>
  <c r="U1056" i="10"/>
  <c r="U1057" i="10"/>
  <c r="U1058" i="10"/>
  <c r="U1059" i="10"/>
  <c r="U1060" i="10"/>
  <c r="U1061" i="10"/>
  <c r="U1062" i="10"/>
  <c r="U1063" i="10"/>
  <c r="U1064" i="10"/>
  <c r="U1065" i="10"/>
  <c r="U1066" i="10"/>
  <c r="U1067" i="10"/>
  <c r="U1068" i="10"/>
  <c r="U1069" i="10"/>
  <c r="U1070" i="10"/>
  <c r="U1071" i="10"/>
  <c r="U1072" i="10"/>
  <c r="U1073" i="10"/>
  <c r="U1074" i="10"/>
  <c r="U1075" i="10"/>
  <c r="U1076" i="10"/>
  <c r="U1077" i="10"/>
  <c r="U1078" i="10"/>
  <c r="U1079" i="10"/>
  <c r="U1080" i="10"/>
  <c r="U1081" i="10"/>
  <c r="U1082" i="10"/>
  <c r="U1083" i="10"/>
  <c r="U1084" i="10"/>
  <c r="U1085" i="10"/>
  <c r="U1086" i="10"/>
  <c r="U1087" i="10"/>
  <c r="U1088" i="10"/>
  <c r="U1089" i="10"/>
  <c r="U1090" i="10"/>
  <c r="U1091" i="10"/>
  <c r="U1092" i="10"/>
  <c r="U1093" i="10"/>
  <c r="U1094" i="10"/>
  <c r="U1095" i="10"/>
  <c r="U1096" i="10"/>
  <c r="U1097" i="10"/>
  <c r="U1098" i="10"/>
  <c r="U1099" i="10"/>
  <c r="U1100" i="10"/>
  <c r="U1101" i="10"/>
  <c r="U1102" i="10"/>
  <c r="U1103" i="10"/>
  <c r="U1104" i="10"/>
  <c r="U1105" i="10"/>
  <c r="U1106" i="10"/>
  <c r="U1107" i="10"/>
  <c r="U1108" i="10"/>
  <c r="U1109" i="10"/>
  <c r="U1110" i="10"/>
  <c r="U1111" i="10"/>
  <c r="U1112" i="10"/>
  <c r="U1113" i="10"/>
  <c r="U1114" i="10"/>
  <c r="U1115" i="10"/>
  <c r="U1116" i="10"/>
  <c r="U1117" i="10"/>
  <c r="U1118" i="10"/>
  <c r="U1119" i="10"/>
  <c r="U1120" i="10"/>
  <c r="U1121" i="10"/>
  <c r="U1122" i="10"/>
  <c r="U1123" i="10"/>
  <c r="U1124" i="10"/>
  <c r="U1125" i="10"/>
  <c r="U1126" i="10"/>
  <c r="U1127" i="10"/>
  <c r="U1128" i="10"/>
  <c r="U1129" i="10"/>
  <c r="U1130" i="10"/>
  <c r="U1131" i="10"/>
  <c r="U1132" i="10"/>
  <c r="U1133" i="10"/>
  <c r="U1134" i="10"/>
  <c r="U1135" i="10"/>
  <c r="U1136" i="10"/>
  <c r="U1137" i="10"/>
  <c r="U1138" i="10"/>
  <c r="U1139" i="10"/>
  <c r="U1140" i="10"/>
  <c r="U1141" i="10"/>
  <c r="U1142" i="10"/>
  <c r="U1143" i="10"/>
  <c r="U1144" i="10"/>
  <c r="U1145" i="10"/>
  <c r="U1146" i="10"/>
  <c r="U1147" i="10"/>
  <c r="U1148" i="10"/>
  <c r="U1149" i="10"/>
  <c r="U1150" i="10"/>
  <c r="U1151" i="10"/>
  <c r="U1152" i="10"/>
  <c r="U1153" i="10"/>
  <c r="U1154" i="10"/>
  <c r="U1155" i="10"/>
  <c r="U1156" i="10"/>
  <c r="U1157" i="10"/>
  <c r="U1158" i="10"/>
  <c r="U1159" i="10"/>
  <c r="U1160" i="10"/>
  <c r="U1161" i="10"/>
  <c r="U1162" i="10"/>
  <c r="U1163" i="10"/>
  <c r="U1164" i="10"/>
  <c r="U1165" i="10"/>
  <c r="U1166" i="10"/>
  <c r="U1167" i="10"/>
  <c r="U1168" i="10"/>
  <c r="U1169" i="10"/>
  <c r="U1170" i="10"/>
  <c r="U1171" i="10"/>
  <c r="U1172" i="10"/>
  <c r="U1173" i="10"/>
  <c r="U1174" i="10"/>
  <c r="U1175" i="10"/>
  <c r="U1176" i="10"/>
  <c r="U1177" i="10"/>
  <c r="U1178" i="10"/>
  <c r="U1179" i="10"/>
  <c r="U1180" i="10"/>
  <c r="U1181" i="10"/>
  <c r="U1182" i="10"/>
  <c r="U1183" i="10"/>
  <c r="U1184" i="10"/>
  <c r="U1185" i="10"/>
  <c r="U1186" i="10"/>
  <c r="U1187" i="10"/>
  <c r="U1188" i="10"/>
  <c r="U1189" i="10"/>
  <c r="U1190" i="10"/>
  <c r="U1191" i="10"/>
  <c r="U1192" i="10"/>
  <c r="U1193" i="10"/>
  <c r="U1194" i="10"/>
  <c r="U1195" i="10"/>
  <c r="U1196" i="10"/>
  <c r="U1197" i="10"/>
  <c r="U1198" i="10"/>
  <c r="U1199" i="10"/>
  <c r="U1200" i="10"/>
  <c r="U1201" i="10"/>
  <c r="U1202" i="10"/>
  <c r="U1203" i="10"/>
  <c r="U1204" i="10"/>
  <c r="U1205" i="10"/>
  <c r="U1206" i="10"/>
  <c r="U1207" i="10"/>
  <c r="U1208" i="10"/>
  <c r="U6" i="10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21" i="10"/>
  <c r="T22" i="10"/>
  <c r="T23" i="10"/>
  <c r="T24" i="10"/>
  <c r="T25" i="10"/>
  <c r="T26" i="10"/>
  <c r="T27" i="10"/>
  <c r="T28" i="10"/>
  <c r="T29" i="10"/>
  <c r="T30" i="10"/>
  <c r="T31" i="10"/>
  <c r="T32" i="10"/>
  <c r="T33" i="10"/>
  <c r="T34" i="10"/>
  <c r="T35" i="10"/>
  <c r="T36" i="10"/>
  <c r="T37" i="10"/>
  <c r="T38" i="10"/>
  <c r="T39" i="10"/>
  <c r="T40" i="10"/>
  <c r="T41" i="10"/>
  <c r="T42" i="10"/>
  <c r="T43" i="10"/>
  <c r="T44" i="10"/>
  <c r="T45" i="10"/>
  <c r="T46" i="10"/>
  <c r="T47" i="10"/>
  <c r="T48" i="10"/>
  <c r="T49" i="10"/>
  <c r="T50" i="10"/>
  <c r="T51" i="10"/>
  <c r="T52" i="10"/>
  <c r="T53" i="10"/>
  <c r="T54" i="10"/>
  <c r="T55" i="10"/>
  <c r="T56" i="10"/>
  <c r="T57" i="10"/>
  <c r="T58" i="10"/>
  <c r="T59" i="10"/>
  <c r="T60" i="10"/>
  <c r="T61" i="10"/>
  <c r="T62" i="10"/>
  <c r="T63" i="10"/>
  <c r="T64" i="10"/>
  <c r="T65" i="10"/>
  <c r="T66" i="10"/>
  <c r="T67" i="10"/>
  <c r="T68" i="10"/>
  <c r="T69" i="10"/>
  <c r="T70" i="10"/>
  <c r="T71" i="10"/>
  <c r="T72" i="10"/>
  <c r="T73" i="10"/>
  <c r="T74" i="10"/>
  <c r="T75" i="10"/>
  <c r="T76" i="10"/>
  <c r="T77" i="10"/>
  <c r="T78" i="10"/>
  <c r="T79" i="10"/>
  <c r="T80" i="10"/>
  <c r="T81" i="10"/>
  <c r="T82" i="10"/>
  <c r="T83" i="10"/>
  <c r="T84" i="10"/>
  <c r="T85" i="10"/>
  <c r="T86" i="10"/>
  <c r="T87" i="10"/>
  <c r="T88" i="10"/>
  <c r="T89" i="10"/>
  <c r="T90" i="10"/>
  <c r="T91" i="10"/>
  <c r="T92" i="10"/>
  <c r="T93" i="10"/>
  <c r="T94" i="10"/>
  <c r="T95" i="10"/>
  <c r="T96" i="10"/>
  <c r="T97" i="10"/>
  <c r="T98" i="10"/>
  <c r="T99" i="10"/>
  <c r="T100" i="10"/>
  <c r="T101" i="10"/>
  <c r="T102" i="10"/>
  <c r="T103" i="10"/>
  <c r="T104" i="10"/>
  <c r="T105" i="10"/>
  <c r="T106" i="10"/>
  <c r="T107" i="10"/>
  <c r="T108" i="10"/>
  <c r="T109" i="10"/>
  <c r="T110" i="10"/>
  <c r="T111" i="10"/>
  <c r="T112" i="10"/>
  <c r="T113" i="10"/>
  <c r="T114" i="10"/>
  <c r="T115" i="10"/>
  <c r="T116" i="10"/>
  <c r="T117" i="10"/>
  <c r="T118" i="10"/>
  <c r="T119" i="10"/>
  <c r="T120" i="10"/>
  <c r="T121" i="10"/>
  <c r="T122" i="10"/>
  <c r="T123" i="10"/>
  <c r="T124" i="10"/>
  <c r="T125" i="10"/>
  <c r="T126" i="10"/>
  <c r="T127" i="10"/>
  <c r="T128" i="10"/>
  <c r="T129" i="10"/>
  <c r="T130" i="10"/>
  <c r="T131" i="10"/>
  <c r="T132" i="10"/>
  <c r="T133" i="10"/>
  <c r="T134" i="10"/>
  <c r="T135" i="10"/>
  <c r="T136" i="10"/>
  <c r="T137" i="10"/>
  <c r="T138" i="10"/>
  <c r="T139" i="10"/>
  <c r="T140" i="10"/>
  <c r="T141" i="10"/>
  <c r="T142" i="10"/>
  <c r="T143" i="10"/>
  <c r="T144" i="10"/>
  <c r="T145" i="10"/>
  <c r="T146" i="10"/>
  <c r="T147" i="10"/>
  <c r="T148" i="10"/>
  <c r="T149" i="10"/>
  <c r="T150" i="10"/>
  <c r="T151" i="10"/>
  <c r="T152" i="10"/>
  <c r="T153" i="10"/>
  <c r="T154" i="10"/>
  <c r="T155" i="10"/>
  <c r="T156" i="10"/>
  <c r="T157" i="10"/>
  <c r="T158" i="10"/>
  <c r="T159" i="10"/>
  <c r="T160" i="10"/>
  <c r="T161" i="10"/>
  <c r="T162" i="10"/>
  <c r="T163" i="10"/>
  <c r="T164" i="10"/>
  <c r="T165" i="10"/>
  <c r="T166" i="10"/>
  <c r="T167" i="10"/>
  <c r="T168" i="10"/>
  <c r="T169" i="10"/>
  <c r="T170" i="10"/>
  <c r="T171" i="10"/>
  <c r="T172" i="10"/>
  <c r="T173" i="10"/>
  <c r="T174" i="10"/>
  <c r="T175" i="10"/>
  <c r="T176" i="10"/>
  <c r="T177" i="10"/>
  <c r="T178" i="10"/>
  <c r="T179" i="10"/>
  <c r="T180" i="10"/>
  <c r="T181" i="10"/>
  <c r="T182" i="10"/>
  <c r="T183" i="10"/>
  <c r="T184" i="10"/>
  <c r="T185" i="10"/>
  <c r="T186" i="10"/>
  <c r="T187" i="10"/>
  <c r="T188" i="10"/>
  <c r="T189" i="10"/>
  <c r="T190" i="10"/>
  <c r="T191" i="10"/>
  <c r="T192" i="10"/>
  <c r="T193" i="10"/>
  <c r="T194" i="10"/>
  <c r="T195" i="10"/>
  <c r="T196" i="10"/>
  <c r="T197" i="10"/>
  <c r="T198" i="10"/>
  <c r="T199" i="10"/>
  <c r="T200" i="10"/>
  <c r="T201" i="10"/>
  <c r="T202" i="10"/>
  <c r="T203" i="10"/>
  <c r="T204" i="10"/>
  <c r="T205" i="10"/>
  <c r="T206" i="10"/>
  <c r="T207" i="10"/>
  <c r="T208" i="10"/>
  <c r="T209" i="10"/>
  <c r="T210" i="10"/>
  <c r="T211" i="10"/>
  <c r="T212" i="10"/>
  <c r="T213" i="10"/>
  <c r="T214" i="10"/>
  <c r="T215" i="10"/>
  <c r="T216" i="10"/>
  <c r="T217" i="10"/>
  <c r="T218" i="10"/>
  <c r="T219" i="10"/>
  <c r="T220" i="10"/>
  <c r="T221" i="10"/>
  <c r="T222" i="10"/>
  <c r="T223" i="10"/>
  <c r="T224" i="10"/>
  <c r="T225" i="10"/>
  <c r="T226" i="10"/>
  <c r="T227" i="10"/>
  <c r="T228" i="10"/>
  <c r="T229" i="10"/>
  <c r="T230" i="10"/>
  <c r="T231" i="10"/>
  <c r="T232" i="10"/>
  <c r="T233" i="10"/>
  <c r="T234" i="10"/>
  <c r="T235" i="10"/>
  <c r="T236" i="10"/>
  <c r="T237" i="10"/>
  <c r="T238" i="10"/>
  <c r="T239" i="10"/>
  <c r="T240" i="10"/>
  <c r="T241" i="10"/>
  <c r="T242" i="10"/>
  <c r="T243" i="10"/>
  <c r="T244" i="10"/>
  <c r="T245" i="10"/>
  <c r="T246" i="10"/>
  <c r="T247" i="10"/>
  <c r="T248" i="10"/>
  <c r="T249" i="10"/>
  <c r="T250" i="10"/>
  <c r="T251" i="10"/>
  <c r="T252" i="10"/>
  <c r="T253" i="10"/>
  <c r="T254" i="10"/>
  <c r="T255" i="10"/>
  <c r="T256" i="10"/>
  <c r="T257" i="10"/>
  <c r="T258" i="10"/>
  <c r="T259" i="10"/>
  <c r="T260" i="10"/>
  <c r="T261" i="10"/>
  <c r="T262" i="10"/>
  <c r="T263" i="10"/>
  <c r="T264" i="10"/>
  <c r="T265" i="10"/>
  <c r="T266" i="10"/>
  <c r="T267" i="10"/>
  <c r="T268" i="10"/>
  <c r="T269" i="10"/>
  <c r="T270" i="10"/>
  <c r="T271" i="10"/>
  <c r="T272" i="10"/>
  <c r="T273" i="10"/>
  <c r="T274" i="10"/>
  <c r="T275" i="10"/>
  <c r="T276" i="10"/>
  <c r="T277" i="10"/>
  <c r="T278" i="10"/>
  <c r="T279" i="10"/>
  <c r="T280" i="10"/>
  <c r="T281" i="10"/>
  <c r="T282" i="10"/>
  <c r="T283" i="10"/>
  <c r="T284" i="10"/>
  <c r="T285" i="10"/>
  <c r="T286" i="10"/>
  <c r="T287" i="10"/>
  <c r="T288" i="10"/>
  <c r="T289" i="10"/>
  <c r="T290" i="10"/>
  <c r="T291" i="10"/>
  <c r="T292" i="10"/>
  <c r="T293" i="10"/>
  <c r="T294" i="10"/>
  <c r="T295" i="10"/>
  <c r="T296" i="10"/>
  <c r="T297" i="10"/>
  <c r="T298" i="10"/>
  <c r="T299" i="10"/>
  <c r="T300" i="10"/>
  <c r="T301" i="10"/>
  <c r="T302" i="10"/>
  <c r="T303" i="10"/>
  <c r="T304" i="10"/>
  <c r="T305" i="10"/>
  <c r="T306" i="10"/>
  <c r="T307" i="10"/>
  <c r="T308" i="10"/>
  <c r="T309" i="10"/>
  <c r="T310" i="10"/>
  <c r="T311" i="10"/>
  <c r="T312" i="10"/>
  <c r="T313" i="10"/>
  <c r="T314" i="10"/>
  <c r="T315" i="10"/>
  <c r="T316" i="10"/>
  <c r="T317" i="10"/>
  <c r="T318" i="10"/>
  <c r="T319" i="10"/>
  <c r="T320" i="10"/>
  <c r="T321" i="10"/>
  <c r="T322" i="10"/>
  <c r="T323" i="10"/>
  <c r="T324" i="10"/>
  <c r="T325" i="10"/>
  <c r="T326" i="10"/>
  <c r="T327" i="10"/>
  <c r="T328" i="10"/>
  <c r="T329" i="10"/>
  <c r="T330" i="10"/>
  <c r="T331" i="10"/>
  <c r="T332" i="10"/>
  <c r="T333" i="10"/>
  <c r="T334" i="10"/>
  <c r="T335" i="10"/>
  <c r="T336" i="10"/>
  <c r="T337" i="10"/>
  <c r="T338" i="10"/>
  <c r="T339" i="10"/>
  <c r="T340" i="10"/>
  <c r="T341" i="10"/>
  <c r="T342" i="10"/>
  <c r="T343" i="10"/>
  <c r="T344" i="10"/>
  <c r="T345" i="10"/>
  <c r="T346" i="10"/>
  <c r="T347" i="10"/>
  <c r="T348" i="10"/>
  <c r="T349" i="10"/>
  <c r="T350" i="10"/>
  <c r="T351" i="10"/>
  <c r="T352" i="10"/>
  <c r="T353" i="10"/>
  <c r="T354" i="10"/>
  <c r="T355" i="10"/>
  <c r="T356" i="10"/>
  <c r="T357" i="10"/>
  <c r="T358" i="10"/>
  <c r="T359" i="10"/>
  <c r="T360" i="10"/>
  <c r="T361" i="10"/>
  <c r="T362" i="10"/>
  <c r="T363" i="10"/>
  <c r="T364" i="10"/>
  <c r="T365" i="10"/>
  <c r="T366" i="10"/>
  <c r="T367" i="10"/>
  <c r="T368" i="10"/>
  <c r="T369" i="10"/>
  <c r="T370" i="10"/>
  <c r="T371" i="10"/>
  <c r="T372" i="10"/>
  <c r="T373" i="10"/>
  <c r="T374" i="10"/>
  <c r="T375" i="10"/>
  <c r="T376" i="10"/>
  <c r="T377" i="10"/>
  <c r="T378" i="10"/>
  <c r="T379" i="10"/>
  <c r="T380" i="10"/>
  <c r="T381" i="10"/>
  <c r="T382" i="10"/>
  <c r="T383" i="10"/>
  <c r="T384" i="10"/>
  <c r="T385" i="10"/>
  <c r="T386" i="10"/>
  <c r="T387" i="10"/>
  <c r="T388" i="10"/>
  <c r="T389" i="10"/>
  <c r="T390" i="10"/>
  <c r="T391" i="10"/>
  <c r="T392" i="10"/>
  <c r="T393" i="10"/>
  <c r="T394" i="10"/>
  <c r="T395" i="10"/>
  <c r="T396" i="10"/>
  <c r="T397" i="10"/>
  <c r="T398" i="10"/>
  <c r="T399" i="10"/>
  <c r="T400" i="10"/>
  <c r="T401" i="10"/>
  <c r="T402" i="10"/>
  <c r="T403" i="10"/>
  <c r="T404" i="10"/>
  <c r="T405" i="10"/>
  <c r="T406" i="10"/>
  <c r="T407" i="10"/>
  <c r="T408" i="10"/>
  <c r="T409" i="10"/>
  <c r="T410" i="10"/>
  <c r="T411" i="10"/>
  <c r="T412" i="10"/>
  <c r="T413" i="10"/>
  <c r="T414" i="10"/>
  <c r="T415" i="10"/>
  <c r="T416" i="10"/>
  <c r="T417" i="10"/>
  <c r="T418" i="10"/>
  <c r="T419" i="10"/>
  <c r="T420" i="10"/>
  <c r="T421" i="10"/>
  <c r="T422" i="10"/>
  <c r="T423" i="10"/>
  <c r="T424" i="10"/>
  <c r="T425" i="10"/>
  <c r="T426" i="10"/>
  <c r="T427" i="10"/>
  <c r="T428" i="10"/>
  <c r="T429" i="10"/>
  <c r="T430" i="10"/>
  <c r="T431" i="10"/>
  <c r="T432" i="10"/>
  <c r="T433" i="10"/>
  <c r="T434" i="10"/>
  <c r="T435" i="10"/>
  <c r="T436" i="10"/>
  <c r="T437" i="10"/>
  <c r="T438" i="10"/>
  <c r="T439" i="10"/>
  <c r="T440" i="10"/>
  <c r="T441" i="10"/>
  <c r="T442" i="10"/>
  <c r="T443" i="10"/>
  <c r="T444" i="10"/>
  <c r="T445" i="10"/>
  <c r="T446" i="10"/>
  <c r="T447" i="10"/>
  <c r="T448" i="10"/>
  <c r="T449" i="10"/>
  <c r="T450" i="10"/>
  <c r="T451" i="10"/>
  <c r="T452" i="10"/>
  <c r="T453" i="10"/>
  <c r="T454" i="10"/>
  <c r="T455" i="10"/>
  <c r="T456" i="10"/>
  <c r="T457" i="10"/>
  <c r="T458" i="10"/>
  <c r="T459" i="10"/>
  <c r="T460" i="10"/>
  <c r="T461" i="10"/>
  <c r="T462" i="10"/>
  <c r="T463" i="10"/>
  <c r="T464" i="10"/>
  <c r="T465" i="10"/>
  <c r="T466" i="10"/>
  <c r="T467" i="10"/>
  <c r="T468" i="10"/>
  <c r="T469" i="10"/>
  <c r="T470" i="10"/>
  <c r="T471" i="10"/>
  <c r="T472" i="10"/>
  <c r="T473" i="10"/>
  <c r="T474" i="10"/>
  <c r="T475" i="10"/>
  <c r="T476" i="10"/>
  <c r="T477" i="10"/>
  <c r="T478" i="10"/>
  <c r="T479" i="10"/>
  <c r="T480" i="10"/>
  <c r="T481" i="10"/>
  <c r="T482" i="10"/>
  <c r="T483" i="10"/>
  <c r="T484" i="10"/>
  <c r="T485" i="10"/>
  <c r="T486" i="10"/>
  <c r="T487" i="10"/>
  <c r="T488" i="10"/>
  <c r="T489" i="10"/>
  <c r="T490" i="10"/>
  <c r="T491" i="10"/>
  <c r="T492" i="10"/>
  <c r="T493" i="10"/>
  <c r="T494" i="10"/>
  <c r="T495" i="10"/>
  <c r="T496" i="10"/>
  <c r="T497" i="10"/>
  <c r="T498" i="10"/>
  <c r="T499" i="10"/>
  <c r="T500" i="10"/>
  <c r="T501" i="10"/>
  <c r="T502" i="10"/>
  <c r="T503" i="10"/>
  <c r="T504" i="10"/>
  <c r="T505" i="10"/>
  <c r="T506" i="10"/>
  <c r="T507" i="10"/>
  <c r="T508" i="10"/>
  <c r="T509" i="10"/>
  <c r="T510" i="10"/>
  <c r="T511" i="10"/>
  <c r="T512" i="10"/>
  <c r="T513" i="10"/>
  <c r="T514" i="10"/>
  <c r="T515" i="10"/>
  <c r="T516" i="10"/>
  <c r="T517" i="10"/>
  <c r="T518" i="10"/>
  <c r="T519" i="10"/>
  <c r="T520" i="10"/>
  <c r="T521" i="10"/>
  <c r="T522" i="10"/>
  <c r="T523" i="10"/>
  <c r="T524" i="10"/>
  <c r="T525" i="10"/>
  <c r="T526" i="10"/>
  <c r="T527" i="10"/>
  <c r="T528" i="10"/>
  <c r="T529" i="10"/>
  <c r="T530" i="10"/>
  <c r="T531" i="10"/>
  <c r="T532" i="10"/>
  <c r="T533" i="10"/>
  <c r="T534" i="10"/>
  <c r="T535" i="10"/>
  <c r="T536" i="10"/>
  <c r="T537" i="10"/>
  <c r="T538" i="10"/>
  <c r="T539" i="10"/>
  <c r="T540" i="10"/>
  <c r="T541" i="10"/>
  <c r="T542" i="10"/>
  <c r="T543" i="10"/>
  <c r="T544" i="10"/>
  <c r="T545" i="10"/>
  <c r="T546" i="10"/>
  <c r="T547" i="10"/>
  <c r="T548" i="10"/>
  <c r="T549" i="10"/>
  <c r="T550" i="10"/>
  <c r="T551" i="10"/>
  <c r="T552" i="10"/>
  <c r="T553" i="10"/>
  <c r="T554" i="10"/>
  <c r="T555" i="10"/>
  <c r="T556" i="10"/>
  <c r="T557" i="10"/>
  <c r="T558" i="10"/>
  <c r="T559" i="10"/>
  <c r="T560" i="10"/>
  <c r="T561" i="10"/>
  <c r="T562" i="10"/>
  <c r="T563" i="10"/>
  <c r="T564" i="10"/>
  <c r="T565" i="10"/>
  <c r="T566" i="10"/>
  <c r="T567" i="10"/>
  <c r="T568" i="10"/>
  <c r="T569" i="10"/>
  <c r="T570" i="10"/>
  <c r="T571" i="10"/>
  <c r="T572" i="10"/>
  <c r="T573" i="10"/>
  <c r="T574" i="10"/>
  <c r="T575" i="10"/>
  <c r="T576" i="10"/>
  <c r="T577" i="10"/>
  <c r="T578" i="10"/>
  <c r="T579" i="10"/>
  <c r="T580" i="10"/>
  <c r="T581" i="10"/>
  <c r="T582" i="10"/>
  <c r="T583" i="10"/>
  <c r="T584" i="10"/>
  <c r="T585" i="10"/>
  <c r="T586" i="10"/>
  <c r="T587" i="10"/>
  <c r="T588" i="10"/>
  <c r="T589" i="10"/>
  <c r="T590" i="10"/>
  <c r="T591" i="10"/>
  <c r="T592" i="10"/>
  <c r="T593" i="10"/>
  <c r="T594" i="10"/>
  <c r="T595" i="10"/>
  <c r="T596" i="10"/>
  <c r="T597" i="10"/>
  <c r="T598" i="10"/>
  <c r="T599" i="10"/>
  <c r="T600" i="10"/>
  <c r="T601" i="10"/>
  <c r="T602" i="10"/>
  <c r="T603" i="10"/>
  <c r="T604" i="10"/>
  <c r="T605" i="10"/>
  <c r="T606" i="10"/>
  <c r="T607" i="10"/>
  <c r="T608" i="10"/>
  <c r="T609" i="10"/>
  <c r="T610" i="10"/>
  <c r="T611" i="10"/>
  <c r="T612" i="10"/>
  <c r="T613" i="10"/>
  <c r="T614" i="10"/>
  <c r="T615" i="10"/>
  <c r="T616" i="10"/>
  <c r="T617" i="10"/>
  <c r="T618" i="10"/>
  <c r="T619" i="10"/>
  <c r="T620" i="10"/>
  <c r="T621" i="10"/>
  <c r="T622" i="10"/>
  <c r="T623" i="10"/>
  <c r="T624" i="10"/>
  <c r="T625" i="10"/>
  <c r="T626" i="10"/>
  <c r="T627" i="10"/>
  <c r="T628" i="10"/>
  <c r="T629" i="10"/>
  <c r="T630" i="10"/>
  <c r="T631" i="10"/>
  <c r="T632" i="10"/>
  <c r="T633" i="10"/>
  <c r="T634" i="10"/>
  <c r="T635" i="10"/>
  <c r="T636" i="10"/>
  <c r="T637" i="10"/>
  <c r="T638" i="10"/>
  <c r="T639" i="10"/>
  <c r="T640" i="10"/>
  <c r="T641" i="10"/>
  <c r="T642" i="10"/>
  <c r="T643" i="10"/>
  <c r="T644" i="10"/>
  <c r="T645" i="10"/>
  <c r="T646" i="10"/>
  <c r="T647" i="10"/>
  <c r="T648" i="10"/>
  <c r="T649" i="10"/>
  <c r="T650" i="10"/>
  <c r="T651" i="10"/>
  <c r="T652" i="10"/>
  <c r="T653" i="10"/>
  <c r="T654" i="10"/>
  <c r="T655" i="10"/>
  <c r="T656" i="10"/>
  <c r="T657" i="10"/>
  <c r="T658" i="10"/>
  <c r="T659" i="10"/>
  <c r="T660" i="10"/>
  <c r="T661" i="10"/>
  <c r="T662" i="10"/>
  <c r="T663" i="10"/>
  <c r="T664" i="10"/>
  <c r="T665" i="10"/>
  <c r="T666" i="10"/>
  <c r="T667" i="10"/>
  <c r="T668" i="10"/>
  <c r="T669" i="10"/>
  <c r="T670" i="10"/>
  <c r="T671" i="10"/>
  <c r="T672" i="10"/>
  <c r="T673" i="10"/>
  <c r="T674" i="10"/>
  <c r="T675" i="10"/>
  <c r="T676" i="10"/>
  <c r="T677" i="10"/>
  <c r="T678" i="10"/>
  <c r="T679" i="10"/>
  <c r="T680" i="10"/>
  <c r="T681" i="10"/>
  <c r="T682" i="10"/>
  <c r="T683" i="10"/>
  <c r="T684" i="10"/>
  <c r="T685" i="10"/>
  <c r="T686" i="10"/>
  <c r="T687" i="10"/>
  <c r="T688" i="10"/>
  <c r="T689" i="10"/>
  <c r="T690" i="10"/>
  <c r="T691" i="10"/>
  <c r="T692" i="10"/>
  <c r="T693" i="10"/>
  <c r="T694" i="10"/>
  <c r="T695" i="10"/>
  <c r="T696" i="10"/>
  <c r="T697" i="10"/>
  <c r="T698" i="10"/>
  <c r="T699" i="10"/>
  <c r="T700" i="10"/>
  <c r="T701" i="10"/>
  <c r="T702" i="10"/>
  <c r="T703" i="10"/>
  <c r="T704" i="10"/>
  <c r="T705" i="10"/>
  <c r="T706" i="10"/>
  <c r="T707" i="10"/>
  <c r="T708" i="10"/>
  <c r="T709" i="10"/>
  <c r="T710" i="10"/>
  <c r="T711" i="10"/>
  <c r="T712" i="10"/>
  <c r="T713" i="10"/>
  <c r="T714" i="10"/>
  <c r="T715" i="10"/>
  <c r="T716" i="10"/>
  <c r="T717" i="10"/>
  <c r="T718" i="10"/>
  <c r="T719" i="10"/>
  <c r="T720" i="10"/>
  <c r="T721" i="10"/>
  <c r="T722" i="10"/>
  <c r="T723" i="10"/>
  <c r="T724" i="10"/>
  <c r="T725" i="10"/>
  <c r="T726" i="10"/>
  <c r="T727" i="10"/>
  <c r="T728" i="10"/>
  <c r="T729" i="10"/>
  <c r="T730" i="10"/>
  <c r="T731" i="10"/>
  <c r="T732" i="10"/>
  <c r="T733" i="10"/>
  <c r="T734" i="10"/>
  <c r="T735" i="10"/>
  <c r="T736" i="10"/>
  <c r="T737" i="10"/>
  <c r="T738" i="10"/>
  <c r="T739" i="10"/>
  <c r="T740" i="10"/>
  <c r="T741" i="10"/>
  <c r="T742" i="10"/>
  <c r="T743" i="10"/>
  <c r="T744" i="10"/>
  <c r="T745" i="10"/>
  <c r="T746" i="10"/>
  <c r="T747" i="10"/>
  <c r="T748" i="10"/>
  <c r="T749" i="10"/>
  <c r="T750" i="10"/>
  <c r="T751" i="10"/>
  <c r="T752" i="10"/>
  <c r="T753" i="10"/>
  <c r="T754" i="10"/>
  <c r="T755" i="10"/>
  <c r="T756" i="10"/>
  <c r="T757" i="10"/>
  <c r="T758" i="10"/>
  <c r="T759" i="10"/>
  <c r="T760" i="10"/>
  <c r="T761" i="10"/>
  <c r="T762" i="10"/>
  <c r="T763" i="10"/>
  <c r="T764" i="10"/>
  <c r="T765" i="10"/>
  <c r="T766" i="10"/>
  <c r="T767" i="10"/>
  <c r="T768" i="10"/>
  <c r="T769" i="10"/>
  <c r="T770" i="10"/>
  <c r="T771" i="10"/>
  <c r="T772" i="10"/>
  <c r="T773" i="10"/>
  <c r="T774" i="10"/>
  <c r="T775" i="10"/>
  <c r="T776" i="10"/>
  <c r="T777" i="10"/>
  <c r="T778" i="10"/>
  <c r="T779" i="10"/>
  <c r="T780" i="10"/>
  <c r="T781" i="10"/>
  <c r="T782" i="10"/>
  <c r="T783" i="10"/>
  <c r="T784" i="10"/>
  <c r="T785" i="10"/>
  <c r="T786" i="10"/>
  <c r="T787" i="10"/>
  <c r="T788" i="10"/>
  <c r="T789" i="10"/>
  <c r="T790" i="10"/>
  <c r="T791" i="10"/>
  <c r="T792" i="10"/>
  <c r="T793" i="10"/>
  <c r="T794" i="10"/>
  <c r="T795" i="10"/>
  <c r="T796" i="10"/>
  <c r="T797" i="10"/>
  <c r="T798" i="10"/>
  <c r="T799" i="10"/>
  <c r="T800" i="10"/>
  <c r="T801" i="10"/>
  <c r="T802" i="10"/>
  <c r="T803" i="10"/>
  <c r="T804" i="10"/>
  <c r="T805" i="10"/>
  <c r="T806" i="10"/>
  <c r="T807" i="10"/>
  <c r="T808" i="10"/>
  <c r="T809" i="10"/>
  <c r="T810" i="10"/>
  <c r="T811" i="10"/>
  <c r="T812" i="10"/>
  <c r="T813" i="10"/>
  <c r="T814" i="10"/>
  <c r="T815" i="10"/>
  <c r="T816" i="10"/>
  <c r="T817" i="10"/>
  <c r="T818" i="10"/>
  <c r="T819" i="10"/>
  <c r="T820" i="10"/>
  <c r="T821" i="10"/>
  <c r="T822" i="10"/>
  <c r="T823" i="10"/>
  <c r="T824" i="10"/>
  <c r="T825" i="10"/>
  <c r="T826" i="10"/>
  <c r="T827" i="10"/>
  <c r="T828" i="10"/>
  <c r="T829" i="10"/>
  <c r="T830" i="10"/>
  <c r="T831" i="10"/>
  <c r="T832" i="10"/>
  <c r="T833" i="10"/>
  <c r="T834" i="10"/>
  <c r="T835" i="10"/>
  <c r="T836" i="10"/>
  <c r="T837" i="10"/>
  <c r="T838" i="10"/>
  <c r="T839" i="10"/>
  <c r="T840" i="10"/>
  <c r="T841" i="10"/>
  <c r="T842" i="10"/>
  <c r="T843" i="10"/>
  <c r="T844" i="10"/>
  <c r="T845" i="10"/>
  <c r="T846" i="10"/>
  <c r="T847" i="10"/>
  <c r="T848" i="10"/>
  <c r="T849" i="10"/>
  <c r="T850" i="10"/>
  <c r="T851" i="10"/>
  <c r="T852" i="10"/>
  <c r="T853" i="10"/>
  <c r="T854" i="10"/>
  <c r="T855" i="10"/>
  <c r="T856" i="10"/>
  <c r="T857" i="10"/>
  <c r="T858" i="10"/>
  <c r="T859" i="10"/>
  <c r="T860" i="10"/>
  <c r="T861" i="10"/>
  <c r="T862" i="10"/>
  <c r="T863" i="10"/>
  <c r="T864" i="10"/>
  <c r="T865" i="10"/>
  <c r="T866" i="10"/>
  <c r="T867" i="10"/>
  <c r="T868" i="10"/>
  <c r="T869" i="10"/>
  <c r="T870" i="10"/>
  <c r="T871" i="10"/>
  <c r="T872" i="10"/>
  <c r="T873" i="10"/>
  <c r="T874" i="10"/>
  <c r="T875" i="10"/>
  <c r="T876" i="10"/>
  <c r="T877" i="10"/>
  <c r="T878" i="10"/>
  <c r="T879" i="10"/>
  <c r="T880" i="10"/>
  <c r="T881" i="10"/>
  <c r="T882" i="10"/>
  <c r="T883" i="10"/>
  <c r="T884" i="10"/>
  <c r="T885" i="10"/>
  <c r="T886" i="10"/>
  <c r="T887" i="10"/>
  <c r="T888" i="10"/>
  <c r="T889" i="10"/>
  <c r="T890" i="10"/>
  <c r="T891" i="10"/>
  <c r="T892" i="10"/>
  <c r="T893" i="10"/>
  <c r="T894" i="10"/>
  <c r="T895" i="10"/>
  <c r="T896" i="10"/>
  <c r="T897" i="10"/>
  <c r="T898" i="10"/>
  <c r="T899" i="10"/>
  <c r="T900" i="10"/>
  <c r="T901" i="10"/>
  <c r="T902" i="10"/>
  <c r="T903" i="10"/>
  <c r="T904" i="10"/>
  <c r="T905" i="10"/>
  <c r="T906" i="10"/>
  <c r="T907" i="10"/>
  <c r="T908" i="10"/>
  <c r="T909" i="10"/>
  <c r="T910" i="10"/>
  <c r="T911" i="10"/>
  <c r="T912" i="10"/>
  <c r="T913" i="10"/>
  <c r="T914" i="10"/>
  <c r="T915" i="10"/>
  <c r="T916" i="10"/>
  <c r="T917" i="10"/>
  <c r="T918" i="10"/>
  <c r="T919" i="10"/>
  <c r="T920" i="10"/>
  <c r="T921" i="10"/>
  <c r="T922" i="10"/>
  <c r="T923" i="10"/>
  <c r="T924" i="10"/>
  <c r="T925" i="10"/>
  <c r="T926" i="10"/>
  <c r="T927" i="10"/>
  <c r="T928" i="10"/>
  <c r="T929" i="10"/>
  <c r="T930" i="10"/>
  <c r="T931" i="10"/>
  <c r="T932" i="10"/>
  <c r="T933" i="10"/>
  <c r="T934" i="10"/>
  <c r="T935" i="10"/>
  <c r="T936" i="10"/>
  <c r="T937" i="10"/>
  <c r="T938" i="10"/>
  <c r="T939" i="10"/>
  <c r="T940" i="10"/>
  <c r="T941" i="10"/>
  <c r="T942" i="10"/>
  <c r="T943" i="10"/>
  <c r="T944" i="10"/>
  <c r="T945" i="10"/>
  <c r="T946" i="10"/>
  <c r="T947" i="10"/>
  <c r="T948" i="10"/>
  <c r="T949" i="10"/>
  <c r="T950" i="10"/>
  <c r="T951" i="10"/>
  <c r="T952" i="10"/>
  <c r="T953" i="10"/>
  <c r="T954" i="10"/>
  <c r="T955" i="10"/>
  <c r="T956" i="10"/>
  <c r="T957" i="10"/>
  <c r="T958" i="10"/>
  <c r="T959" i="10"/>
  <c r="T960" i="10"/>
  <c r="T961" i="10"/>
  <c r="T962" i="10"/>
  <c r="T963" i="10"/>
  <c r="T964" i="10"/>
  <c r="T965" i="10"/>
  <c r="T966" i="10"/>
  <c r="T967" i="10"/>
  <c r="T968" i="10"/>
  <c r="T969" i="10"/>
  <c r="T970" i="10"/>
  <c r="T971" i="10"/>
  <c r="T972" i="10"/>
  <c r="T973" i="10"/>
  <c r="T974" i="10"/>
  <c r="T975" i="10"/>
  <c r="T976" i="10"/>
  <c r="T977" i="10"/>
  <c r="T978" i="10"/>
  <c r="T979" i="10"/>
  <c r="T980" i="10"/>
  <c r="T981" i="10"/>
  <c r="T982" i="10"/>
  <c r="T983" i="10"/>
  <c r="T984" i="10"/>
  <c r="T985" i="10"/>
  <c r="T986" i="10"/>
  <c r="T987" i="10"/>
  <c r="T988" i="10"/>
  <c r="T989" i="10"/>
  <c r="T990" i="10"/>
  <c r="T991" i="10"/>
  <c r="T992" i="10"/>
  <c r="T993" i="10"/>
  <c r="T994" i="10"/>
  <c r="T995" i="10"/>
  <c r="T996" i="10"/>
  <c r="T997" i="10"/>
  <c r="T998" i="10"/>
  <c r="T999" i="10"/>
  <c r="T1000" i="10"/>
  <c r="T1001" i="10"/>
  <c r="T1002" i="10"/>
  <c r="T1003" i="10"/>
  <c r="T1004" i="10"/>
  <c r="T1005" i="10"/>
  <c r="T1006" i="10"/>
  <c r="T1007" i="10"/>
  <c r="T1008" i="10"/>
  <c r="T1009" i="10"/>
  <c r="T1010" i="10"/>
  <c r="T1011" i="10"/>
  <c r="T1012" i="10"/>
  <c r="T1013" i="10"/>
  <c r="T1014" i="10"/>
  <c r="T1015" i="10"/>
  <c r="T1016" i="10"/>
  <c r="T1017" i="10"/>
  <c r="T1018" i="10"/>
  <c r="T1019" i="10"/>
  <c r="T1020" i="10"/>
  <c r="T1021" i="10"/>
  <c r="T1022" i="10"/>
  <c r="T1023" i="10"/>
  <c r="T1024" i="10"/>
  <c r="T1025" i="10"/>
  <c r="T1026" i="10"/>
  <c r="T1027" i="10"/>
  <c r="T1028" i="10"/>
  <c r="T1029" i="10"/>
  <c r="T1030" i="10"/>
  <c r="T1031" i="10"/>
  <c r="T1032" i="10"/>
  <c r="T1033" i="10"/>
  <c r="T1034" i="10"/>
  <c r="T1035" i="10"/>
  <c r="T1036" i="10"/>
  <c r="T1037" i="10"/>
  <c r="T1038" i="10"/>
  <c r="T1039" i="10"/>
  <c r="T1040" i="10"/>
  <c r="T1041" i="10"/>
  <c r="T1042" i="10"/>
  <c r="T1043" i="10"/>
  <c r="T1044" i="10"/>
  <c r="T1045" i="10"/>
  <c r="T1046" i="10"/>
  <c r="T1047" i="10"/>
  <c r="T1048" i="10"/>
  <c r="T1049" i="10"/>
  <c r="T1050" i="10"/>
  <c r="T1051" i="10"/>
  <c r="T1052" i="10"/>
  <c r="T1053" i="10"/>
  <c r="T1054" i="10"/>
  <c r="T1055" i="10"/>
  <c r="T1056" i="10"/>
  <c r="T1057" i="10"/>
  <c r="T1058" i="10"/>
  <c r="T1059" i="10"/>
  <c r="T1060" i="10"/>
  <c r="T1061" i="10"/>
  <c r="T1062" i="10"/>
  <c r="T1063" i="10"/>
  <c r="T1064" i="10"/>
  <c r="T1065" i="10"/>
  <c r="T1066" i="10"/>
  <c r="T1067" i="10"/>
  <c r="T1068" i="10"/>
  <c r="T1069" i="10"/>
  <c r="T1070" i="10"/>
  <c r="T1071" i="10"/>
  <c r="T1072" i="10"/>
  <c r="T1073" i="10"/>
  <c r="T1074" i="10"/>
  <c r="T1075" i="10"/>
  <c r="T1076" i="10"/>
  <c r="T1077" i="10"/>
  <c r="T1078" i="10"/>
  <c r="T1079" i="10"/>
  <c r="T1080" i="10"/>
  <c r="T1081" i="10"/>
  <c r="T1082" i="10"/>
  <c r="T1083" i="10"/>
  <c r="T1084" i="10"/>
  <c r="T1085" i="10"/>
  <c r="T1086" i="10"/>
  <c r="T1087" i="10"/>
  <c r="T1088" i="10"/>
  <c r="T1089" i="10"/>
  <c r="T1090" i="10"/>
  <c r="T1091" i="10"/>
  <c r="T1092" i="10"/>
  <c r="T1093" i="10"/>
  <c r="T1094" i="10"/>
  <c r="T1095" i="10"/>
  <c r="T1096" i="10"/>
  <c r="T1097" i="10"/>
  <c r="T1098" i="10"/>
  <c r="T1099" i="10"/>
  <c r="T1100" i="10"/>
  <c r="T1101" i="10"/>
  <c r="T1102" i="10"/>
  <c r="T1103" i="10"/>
  <c r="T1104" i="10"/>
  <c r="T1105" i="10"/>
  <c r="T1106" i="10"/>
  <c r="T1107" i="10"/>
  <c r="T1108" i="10"/>
  <c r="T1109" i="10"/>
  <c r="T1110" i="10"/>
  <c r="T1111" i="10"/>
  <c r="T1112" i="10"/>
  <c r="T1113" i="10"/>
  <c r="T1114" i="10"/>
  <c r="T1115" i="10"/>
  <c r="T1116" i="10"/>
  <c r="T1117" i="10"/>
  <c r="T1118" i="10"/>
  <c r="T1119" i="10"/>
  <c r="T1120" i="10"/>
  <c r="T1121" i="10"/>
  <c r="T1122" i="10"/>
  <c r="T1123" i="10"/>
  <c r="T1124" i="10"/>
  <c r="T1125" i="10"/>
  <c r="T1126" i="10"/>
  <c r="T1127" i="10"/>
  <c r="T1128" i="10"/>
  <c r="T1129" i="10"/>
  <c r="T1130" i="10"/>
  <c r="T1131" i="10"/>
  <c r="T1132" i="10"/>
  <c r="T1133" i="10"/>
  <c r="T1134" i="10"/>
  <c r="T1135" i="10"/>
  <c r="T1136" i="10"/>
  <c r="T1137" i="10"/>
  <c r="T1138" i="10"/>
  <c r="T1139" i="10"/>
  <c r="T1140" i="10"/>
  <c r="T1141" i="10"/>
  <c r="T1142" i="10"/>
  <c r="T1143" i="10"/>
  <c r="T1144" i="10"/>
  <c r="T1145" i="10"/>
  <c r="T1146" i="10"/>
  <c r="T1147" i="10"/>
  <c r="T1148" i="10"/>
  <c r="T1149" i="10"/>
  <c r="T1150" i="10"/>
  <c r="T1151" i="10"/>
  <c r="T1152" i="10"/>
  <c r="T1153" i="10"/>
  <c r="T1154" i="10"/>
  <c r="T1155" i="10"/>
  <c r="T1156" i="10"/>
  <c r="T1157" i="10"/>
  <c r="T1158" i="10"/>
  <c r="T1159" i="10"/>
  <c r="T1160" i="10"/>
  <c r="T1161" i="10"/>
  <c r="T1162" i="10"/>
  <c r="T1163" i="10"/>
  <c r="T1164" i="10"/>
  <c r="T1165" i="10"/>
  <c r="T1166" i="10"/>
  <c r="T1167" i="10"/>
  <c r="T1168" i="10"/>
  <c r="T1169" i="10"/>
  <c r="T1170" i="10"/>
  <c r="T1171" i="10"/>
  <c r="T1172" i="10"/>
  <c r="T1173" i="10"/>
  <c r="T1174" i="10"/>
  <c r="T1175" i="10"/>
  <c r="T1176" i="10"/>
  <c r="T1177" i="10"/>
  <c r="T1178" i="10"/>
  <c r="T1179" i="10"/>
  <c r="T1180" i="10"/>
  <c r="T1181" i="10"/>
  <c r="T1182" i="10"/>
  <c r="T1183" i="10"/>
  <c r="T1184" i="10"/>
  <c r="T1185" i="10"/>
  <c r="T1186" i="10"/>
  <c r="T1187" i="10"/>
  <c r="T1188" i="10"/>
  <c r="T1189" i="10"/>
  <c r="T1190" i="10"/>
  <c r="T1191" i="10"/>
  <c r="T1192" i="10"/>
  <c r="T1193" i="10"/>
  <c r="T1194" i="10"/>
  <c r="T1195" i="10"/>
  <c r="T1196" i="10"/>
  <c r="T1197" i="10"/>
  <c r="T1198" i="10"/>
  <c r="T1199" i="10"/>
  <c r="T1200" i="10"/>
  <c r="T1201" i="10"/>
  <c r="T1202" i="10"/>
  <c r="T1203" i="10"/>
  <c r="T1204" i="10"/>
  <c r="T1205" i="10"/>
  <c r="T1206" i="10"/>
  <c r="T1207" i="10"/>
  <c r="T1208" i="10"/>
  <c r="T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2" i="10"/>
  <c r="R23" i="10"/>
  <c r="R24" i="10"/>
  <c r="R25" i="10"/>
  <c r="R26" i="10"/>
  <c r="R27" i="10"/>
  <c r="R28" i="10"/>
  <c r="R29" i="10"/>
  <c r="R30" i="10"/>
  <c r="R31" i="10"/>
  <c r="R32" i="10"/>
  <c r="R33" i="10"/>
  <c r="R34" i="10"/>
  <c r="R35" i="10"/>
  <c r="R36" i="10"/>
  <c r="R37" i="10"/>
  <c r="R38" i="10"/>
  <c r="R39" i="10"/>
  <c r="R40" i="10"/>
  <c r="R41" i="10"/>
  <c r="R42" i="10"/>
  <c r="R43" i="10"/>
  <c r="R44" i="10"/>
  <c r="R45" i="10"/>
  <c r="R46" i="10"/>
  <c r="R47" i="10"/>
  <c r="R48" i="10"/>
  <c r="R49" i="10"/>
  <c r="R50" i="10"/>
  <c r="R51" i="10"/>
  <c r="R52" i="10"/>
  <c r="R53" i="10"/>
  <c r="R54" i="10"/>
  <c r="R55" i="10"/>
  <c r="R56" i="10"/>
  <c r="R57" i="10"/>
  <c r="R58" i="10"/>
  <c r="R59" i="10"/>
  <c r="R60" i="10"/>
  <c r="R61" i="10"/>
  <c r="R62" i="10"/>
  <c r="R63" i="10"/>
  <c r="R64" i="10"/>
  <c r="R65" i="10"/>
  <c r="R66" i="10"/>
  <c r="R67" i="10"/>
  <c r="R68" i="10"/>
  <c r="R69" i="10"/>
  <c r="R70" i="10"/>
  <c r="R71" i="10"/>
  <c r="R72" i="10"/>
  <c r="R73" i="10"/>
  <c r="R74" i="10"/>
  <c r="R75" i="10"/>
  <c r="R76" i="10"/>
  <c r="R77" i="10"/>
  <c r="R78" i="10"/>
  <c r="R79" i="10"/>
  <c r="R80" i="10"/>
  <c r="R81" i="10"/>
  <c r="R82" i="10"/>
  <c r="R83" i="10"/>
  <c r="R84" i="10"/>
  <c r="R85" i="10"/>
  <c r="R86" i="10"/>
  <c r="R87" i="10"/>
  <c r="R88" i="10"/>
  <c r="R89" i="10"/>
  <c r="R90" i="10"/>
  <c r="R91" i="10"/>
  <c r="R92" i="10"/>
  <c r="R93" i="10"/>
  <c r="R94" i="10"/>
  <c r="R95" i="10"/>
  <c r="R96" i="10"/>
  <c r="R97" i="10"/>
  <c r="R98" i="10"/>
  <c r="R99" i="10"/>
  <c r="R100" i="10"/>
  <c r="R101" i="10"/>
  <c r="R102" i="10"/>
  <c r="R103" i="10"/>
  <c r="R104" i="10"/>
  <c r="R105" i="10"/>
  <c r="R106" i="10"/>
  <c r="R107" i="10"/>
  <c r="R108" i="10"/>
  <c r="R109" i="10"/>
  <c r="R110" i="10"/>
  <c r="R111" i="10"/>
  <c r="R112" i="10"/>
  <c r="R113" i="10"/>
  <c r="R114" i="10"/>
  <c r="R115" i="10"/>
  <c r="R116" i="10"/>
  <c r="R117" i="10"/>
  <c r="R118" i="10"/>
  <c r="R119" i="10"/>
  <c r="R120" i="10"/>
  <c r="R121" i="10"/>
  <c r="R122" i="10"/>
  <c r="R123" i="10"/>
  <c r="R124" i="10"/>
  <c r="R125" i="10"/>
  <c r="R126" i="10"/>
  <c r="R127" i="10"/>
  <c r="R128" i="10"/>
  <c r="R129" i="10"/>
  <c r="R130" i="10"/>
  <c r="R131" i="10"/>
  <c r="R132" i="10"/>
  <c r="R133" i="10"/>
  <c r="R134" i="10"/>
  <c r="R135" i="10"/>
  <c r="R136" i="10"/>
  <c r="R137" i="10"/>
  <c r="R138" i="10"/>
  <c r="R139" i="10"/>
  <c r="R140" i="10"/>
  <c r="R141" i="10"/>
  <c r="R142" i="10"/>
  <c r="R143" i="10"/>
  <c r="R144" i="10"/>
  <c r="R145" i="10"/>
  <c r="R146" i="10"/>
  <c r="R147" i="10"/>
  <c r="R148" i="10"/>
  <c r="R149" i="10"/>
  <c r="R150" i="10"/>
  <c r="R151" i="10"/>
  <c r="R152" i="10"/>
  <c r="R153" i="10"/>
  <c r="R154" i="10"/>
  <c r="R155" i="10"/>
  <c r="R156" i="10"/>
  <c r="R157" i="10"/>
  <c r="R158" i="10"/>
  <c r="R159" i="10"/>
  <c r="R160" i="10"/>
  <c r="R161" i="10"/>
  <c r="R162" i="10"/>
  <c r="R163" i="10"/>
  <c r="R164" i="10"/>
  <c r="R165" i="10"/>
  <c r="R166" i="10"/>
  <c r="R167" i="10"/>
  <c r="R168" i="10"/>
  <c r="R169" i="10"/>
  <c r="R170" i="10"/>
  <c r="R171" i="10"/>
  <c r="R172" i="10"/>
  <c r="R173" i="10"/>
  <c r="R174" i="10"/>
  <c r="R175" i="10"/>
  <c r="R176" i="10"/>
  <c r="R177" i="10"/>
  <c r="R178" i="10"/>
  <c r="R179" i="10"/>
  <c r="R180" i="10"/>
  <c r="R181" i="10"/>
  <c r="R182" i="10"/>
  <c r="R183" i="10"/>
  <c r="R184" i="10"/>
  <c r="R185" i="10"/>
  <c r="R186" i="10"/>
  <c r="R187" i="10"/>
  <c r="R188" i="10"/>
  <c r="R189" i="10"/>
  <c r="R190" i="10"/>
  <c r="R191" i="10"/>
  <c r="R192" i="10"/>
  <c r="R193" i="10"/>
  <c r="R194" i="10"/>
  <c r="R195" i="10"/>
  <c r="R196" i="10"/>
  <c r="R197" i="10"/>
  <c r="R198" i="10"/>
  <c r="R199" i="10"/>
  <c r="R200" i="10"/>
  <c r="R201" i="10"/>
  <c r="R202" i="10"/>
  <c r="R203" i="10"/>
  <c r="R204" i="10"/>
  <c r="R205" i="10"/>
  <c r="R206" i="10"/>
  <c r="R207" i="10"/>
  <c r="R208" i="10"/>
  <c r="R209" i="10"/>
  <c r="R210" i="10"/>
  <c r="R211" i="10"/>
  <c r="R212" i="10"/>
  <c r="R213" i="10"/>
  <c r="R214" i="10"/>
  <c r="R215" i="10"/>
  <c r="R216" i="10"/>
  <c r="R217" i="10"/>
  <c r="R218" i="10"/>
  <c r="R219" i="10"/>
  <c r="R220" i="10"/>
  <c r="R221" i="10"/>
  <c r="R222" i="10"/>
  <c r="R223" i="10"/>
  <c r="R224" i="10"/>
  <c r="R225" i="10"/>
  <c r="R226" i="10"/>
  <c r="R227" i="10"/>
  <c r="R228" i="10"/>
  <c r="R229" i="10"/>
  <c r="R230" i="10"/>
  <c r="R231" i="10"/>
  <c r="R232" i="10"/>
  <c r="R233" i="10"/>
  <c r="R234" i="10"/>
  <c r="R235" i="10"/>
  <c r="R236" i="10"/>
  <c r="R237" i="10"/>
  <c r="R238" i="10"/>
  <c r="R239" i="10"/>
  <c r="R240" i="10"/>
  <c r="R241" i="10"/>
  <c r="R242" i="10"/>
  <c r="R243" i="10"/>
  <c r="R244" i="10"/>
  <c r="R245" i="10"/>
  <c r="R246" i="10"/>
  <c r="R247" i="10"/>
  <c r="R248" i="10"/>
  <c r="R249" i="10"/>
  <c r="R250" i="10"/>
  <c r="R251" i="10"/>
  <c r="R252" i="10"/>
  <c r="R253" i="10"/>
  <c r="R254" i="10"/>
  <c r="R255" i="10"/>
  <c r="R256" i="10"/>
  <c r="R257" i="10"/>
  <c r="R258" i="10"/>
  <c r="R259" i="10"/>
  <c r="R260" i="10"/>
  <c r="R261" i="10"/>
  <c r="R262" i="10"/>
  <c r="R263" i="10"/>
  <c r="R264" i="10"/>
  <c r="R265" i="10"/>
  <c r="R266" i="10"/>
  <c r="R267" i="10"/>
  <c r="R268" i="10"/>
  <c r="R269" i="10"/>
  <c r="R270" i="10"/>
  <c r="R271" i="10"/>
  <c r="R272" i="10"/>
  <c r="R273" i="10"/>
  <c r="R274" i="10"/>
  <c r="R275" i="10"/>
  <c r="R276" i="10"/>
  <c r="R277" i="10"/>
  <c r="R278" i="10"/>
  <c r="R279" i="10"/>
  <c r="R280" i="10"/>
  <c r="R281" i="10"/>
  <c r="R282" i="10"/>
  <c r="R283" i="10"/>
  <c r="R284" i="10"/>
  <c r="R285" i="10"/>
  <c r="R286" i="10"/>
  <c r="R287" i="10"/>
  <c r="R288" i="10"/>
  <c r="R289" i="10"/>
  <c r="R290" i="10"/>
  <c r="R291" i="10"/>
  <c r="R292" i="10"/>
  <c r="R293" i="10"/>
  <c r="R294" i="10"/>
  <c r="R295" i="10"/>
  <c r="R296" i="10"/>
  <c r="R297" i="10"/>
  <c r="R298" i="10"/>
  <c r="R299" i="10"/>
  <c r="R300" i="10"/>
  <c r="R301" i="10"/>
  <c r="R302" i="10"/>
  <c r="R303" i="10"/>
  <c r="R304" i="10"/>
  <c r="R305" i="10"/>
  <c r="R306" i="10"/>
  <c r="R307" i="10"/>
  <c r="R308" i="10"/>
  <c r="R309" i="10"/>
  <c r="R310" i="10"/>
  <c r="R311" i="10"/>
  <c r="R312" i="10"/>
  <c r="R313" i="10"/>
  <c r="R314" i="10"/>
  <c r="R315" i="10"/>
  <c r="R316" i="10"/>
  <c r="R317" i="10"/>
  <c r="R318" i="10"/>
  <c r="R319" i="10"/>
  <c r="R320" i="10"/>
  <c r="R321" i="10"/>
  <c r="R322" i="10"/>
  <c r="R323" i="10"/>
  <c r="R324" i="10"/>
  <c r="R325" i="10"/>
  <c r="R326" i="10"/>
  <c r="R327" i="10"/>
  <c r="R328" i="10"/>
  <c r="R329" i="10"/>
  <c r="R330" i="10"/>
  <c r="R331" i="10"/>
  <c r="R332" i="10"/>
  <c r="R333" i="10"/>
  <c r="R334" i="10"/>
  <c r="R335" i="10"/>
  <c r="R336" i="10"/>
  <c r="R337" i="10"/>
  <c r="R338" i="10"/>
  <c r="R339" i="10"/>
  <c r="R340" i="10"/>
  <c r="R341" i="10"/>
  <c r="R342" i="10"/>
  <c r="R343" i="10"/>
  <c r="R344" i="10"/>
  <c r="R345" i="10"/>
  <c r="R346" i="10"/>
  <c r="R347" i="10"/>
  <c r="R348" i="10"/>
  <c r="R349" i="10"/>
  <c r="R350" i="10"/>
  <c r="R351" i="10"/>
  <c r="R352" i="10"/>
  <c r="R353" i="10"/>
  <c r="R354" i="10"/>
  <c r="R355" i="10"/>
  <c r="R356" i="10"/>
  <c r="R357" i="10"/>
  <c r="R358" i="10"/>
  <c r="R359" i="10"/>
  <c r="R360" i="10"/>
  <c r="R361" i="10"/>
  <c r="R362" i="10"/>
  <c r="R363" i="10"/>
  <c r="R364" i="10"/>
  <c r="R365" i="10"/>
  <c r="R366" i="10"/>
  <c r="R367" i="10"/>
  <c r="R368" i="10"/>
  <c r="R369" i="10"/>
  <c r="R370" i="10"/>
  <c r="R371" i="10"/>
  <c r="R372" i="10"/>
  <c r="R373" i="10"/>
  <c r="R374" i="10"/>
  <c r="R375" i="10"/>
  <c r="R376" i="10"/>
  <c r="R377" i="10"/>
  <c r="R378" i="10"/>
  <c r="R379" i="10"/>
  <c r="R380" i="10"/>
  <c r="R381" i="10"/>
  <c r="R382" i="10"/>
  <c r="R383" i="10"/>
  <c r="R384" i="10"/>
  <c r="R385" i="10"/>
  <c r="R386" i="10"/>
  <c r="R387" i="10"/>
  <c r="R388" i="10"/>
  <c r="R389" i="10"/>
  <c r="R390" i="10"/>
  <c r="R391" i="10"/>
  <c r="R392" i="10"/>
  <c r="R393" i="10"/>
  <c r="R394" i="10"/>
  <c r="R395" i="10"/>
  <c r="R396" i="10"/>
  <c r="R397" i="10"/>
  <c r="R398" i="10"/>
  <c r="R399" i="10"/>
  <c r="R400" i="10"/>
  <c r="R401" i="10"/>
  <c r="R402" i="10"/>
  <c r="R403" i="10"/>
  <c r="R404" i="10"/>
  <c r="R405" i="10"/>
  <c r="R406" i="10"/>
  <c r="R407" i="10"/>
  <c r="R408" i="10"/>
  <c r="R409" i="10"/>
  <c r="R410" i="10"/>
  <c r="R411" i="10"/>
  <c r="R412" i="10"/>
  <c r="R413" i="10"/>
  <c r="R414" i="10"/>
  <c r="R415" i="10"/>
  <c r="R416" i="10"/>
  <c r="R417" i="10"/>
  <c r="R418" i="10"/>
  <c r="R419" i="10"/>
  <c r="R420" i="10"/>
  <c r="R421" i="10"/>
  <c r="R422" i="10"/>
  <c r="R423" i="10"/>
  <c r="R424" i="10"/>
  <c r="R425" i="10"/>
  <c r="R426" i="10"/>
  <c r="R427" i="10"/>
  <c r="R428" i="10"/>
  <c r="R429" i="10"/>
  <c r="R430" i="10"/>
  <c r="R431" i="10"/>
  <c r="R432" i="10"/>
  <c r="R433" i="10"/>
  <c r="R434" i="10"/>
  <c r="R435" i="10"/>
  <c r="R436" i="10"/>
  <c r="R437" i="10"/>
  <c r="R438" i="10"/>
  <c r="R439" i="10"/>
  <c r="R440" i="10"/>
  <c r="R441" i="10"/>
  <c r="R442" i="10"/>
  <c r="R443" i="10"/>
  <c r="R444" i="10"/>
  <c r="R445" i="10"/>
  <c r="R446" i="10"/>
  <c r="R447" i="10"/>
  <c r="R448" i="10"/>
  <c r="R449" i="10"/>
  <c r="R450" i="10"/>
  <c r="R451" i="10"/>
  <c r="R452" i="10"/>
  <c r="R453" i="10"/>
  <c r="R454" i="10"/>
  <c r="R455" i="10"/>
  <c r="R456" i="10"/>
  <c r="R457" i="10"/>
  <c r="R458" i="10"/>
  <c r="R459" i="10"/>
  <c r="R460" i="10"/>
  <c r="R461" i="10"/>
  <c r="R462" i="10"/>
  <c r="R463" i="10"/>
  <c r="R464" i="10"/>
  <c r="R465" i="10"/>
  <c r="R466" i="10"/>
  <c r="R467" i="10"/>
  <c r="R468" i="10"/>
  <c r="R469" i="10"/>
  <c r="R470" i="10"/>
  <c r="R471" i="10"/>
  <c r="R472" i="10"/>
  <c r="R473" i="10"/>
  <c r="R474" i="10"/>
  <c r="R475" i="10"/>
  <c r="R476" i="10"/>
  <c r="R477" i="10"/>
  <c r="R478" i="10"/>
  <c r="R479" i="10"/>
  <c r="R480" i="10"/>
  <c r="R481" i="10"/>
  <c r="R482" i="10"/>
  <c r="R483" i="10"/>
  <c r="R484" i="10"/>
  <c r="R485" i="10"/>
  <c r="R486" i="10"/>
  <c r="R487" i="10"/>
  <c r="R488" i="10"/>
  <c r="R489" i="10"/>
  <c r="R490" i="10"/>
  <c r="R491" i="10"/>
  <c r="R492" i="10"/>
  <c r="R493" i="10"/>
  <c r="R494" i="10"/>
  <c r="R495" i="10"/>
  <c r="R496" i="10"/>
  <c r="R497" i="10"/>
  <c r="R498" i="10"/>
  <c r="R499" i="10"/>
  <c r="R500" i="10"/>
  <c r="R501" i="10"/>
  <c r="R502" i="10"/>
  <c r="R503" i="10"/>
  <c r="R504" i="10"/>
  <c r="R505" i="10"/>
  <c r="R506" i="10"/>
  <c r="R507" i="10"/>
  <c r="R508" i="10"/>
  <c r="R509" i="10"/>
  <c r="R510" i="10"/>
  <c r="R511" i="10"/>
  <c r="R512" i="10"/>
  <c r="R513" i="10"/>
  <c r="R514" i="10"/>
  <c r="R515" i="10"/>
  <c r="R516" i="10"/>
  <c r="R517" i="10"/>
  <c r="R518" i="10"/>
  <c r="R519" i="10"/>
  <c r="R520" i="10"/>
  <c r="R521" i="10"/>
  <c r="R522" i="10"/>
  <c r="R523" i="10"/>
  <c r="R524" i="10"/>
  <c r="R525" i="10"/>
  <c r="R526" i="10"/>
  <c r="R527" i="10"/>
  <c r="R528" i="10"/>
  <c r="R529" i="10"/>
  <c r="R530" i="10"/>
  <c r="R531" i="10"/>
  <c r="R532" i="10"/>
  <c r="R533" i="10"/>
  <c r="R534" i="10"/>
  <c r="R535" i="10"/>
  <c r="R536" i="10"/>
  <c r="R537" i="10"/>
  <c r="R538" i="10"/>
  <c r="R539" i="10"/>
  <c r="R540" i="10"/>
  <c r="R541" i="10"/>
  <c r="R542" i="10"/>
  <c r="R543" i="10"/>
  <c r="R544" i="10"/>
  <c r="R545" i="10"/>
  <c r="R546" i="10"/>
  <c r="R547" i="10"/>
  <c r="R548" i="10"/>
  <c r="R549" i="10"/>
  <c r="R550" i="10"/>
  <c r="R551" i="10"/>
  <c r="R552" i="10"/>
  <c r="R553" i="10"/>
  <c r="R554" i="10"/>
  <c r="R555" i="10"/>
  <c r="R556" i="10"/>
  <c r="R557" i="10"/>
  <c r="R558" i="10"/>
  <c r="R559" i="10"/>
  <c r="R560" i="10"/>
  <c r="R561" i="10"/>
  <c r="R562" i="10"/>
  <c r="R563" i="10"/>
  <c r="R564" i="10"/>
  <c r="R565" i="10"/>
  <c r="R566" i="10"/>
  <c r="R567" i="10"/>
  <c r="R568" i="10"/>
  <c r="R569" i="10"/>
  <c r="R570" i="10"/>
  <c r="R571" i="10"/>
  <c r="R572" i="10"/>
  <c r="R573" i="10"/>
  <c r="R574" i="10"/>
  <c r="R575" i="10"/>
  <c r="R576" i="10"/>
  <c r="R577" i="10"/>
  <c r="R578" i="10"/>
  <c r="R579" i="10"/>
  <c r="R580" i="10"/>
  <c r="R581" i="10"/>
  <c r="R582" i="10"/>
  <c r="R583" i="10"/>
  <c r="R584" i="10"/>
  <c r="R585" i="10"/>
  <c r="R586" i="10"/>
  <c r="R587" i="10"/>
  <c r="R588" i="10"/>
  <c r="R589" i="10"/>
  <c r="R590" i="10"/>
  <c r="R591" i="10"/>
  <c r="R592" i="10"/>
  <c r="R593" i="10"/>
  <c r="R594" i="10"/>
  <c r="R595" i="10"/>
  <c r="R596" i="10"/>
  <c r="R597" i="10"/>
  <c r="R598" i="10"/>
  <c r="R599" i="10"/>
  <c r="R600" i="10"/>
  <c r="R601" i="10"/>
  <c r="R602" i="10"/>
  <c r="R603" i="10"/>
  <c r="R604" i="10"/>
  <c r="R605" i="10"/>
  <c r="R606" i="10"/>
  <c r="R607" i="10"/>
  <c r="R608" i="10"/>
  <c r="R609" i="10"/>
  <c r="R610" i="10"/>
  <c r="R611" i="10"/>
  <c r="R612" i="10"/>
  <c r="R613" i="10"/>
  <c r="R614" i="10"/>
  <c r="R615" i="10"/>
  <c r="R616" i="10"/>
  <c r="R617" i="10"/>
  <c r="R618" i="10"/>
  <c r="R619" i="10"/>
  <c r="R620" i="10"/>
  <c r="R621" i="10"/>
  <c r="R622" i="10"/>
  <c r="R623" i="10"/>
  <c r="R624" i="10"/>
  <c r="R625" i="10"/>
  <c r="R626" i="10"/>
  <c r="R627" i="10"/>
  <c r="R628" i="10"/>
  <c r="R629" i="10"/>
  <c r="R630" i="10"/>
  <c r="R631" i="10"/>
  <c r="R632" i="10"/>
  <c r="R633" i="10"/>
  <c r="R634" i="10"/>
  <c r="R635" i="10"/>
  <c r="R636" i="10"/>
  <c r="R637" i="10"/>
  <c r="R638" i="10"/>
  <c r="R639" i="10"/>
  <c r="R640" i="10"/>
  <c r="R641" i="10"/>
  <c r="R642" i="10"/>
  <c r="R643" i="10"/>
  <c r="R644" i="10"/>
  <c r="R645" i="10"/>
  <c r="R646" i="10"/>
  <c r="R647" i="10"/>
  <c r="R648" i="10"/>
  <c r="R649" i="10"/>
  <c r="R650" i="10"/>
  <c r="R651" i="10"/>
  <c r="R652" i="10"/>
  <c r="R653" i="10"/>
  <c r="R654" i="10"/>
  <c r="R655" i="10"/>
  <c r="R656" i="10"/>
  <c r="R657" i="10"/>
  <c r="R658" i="10"/>
  <c r="R659" i="10"/>
  <c r="R660" i="10"/>
  <c r="R661" i="10"/>
  <c r="R662" i="10"/>
  <c r="R663" i="10"/>
  <c r="R664" i="10"/>
  <c r="R665" i="10"/>
  <c r="R666" i="10"/>
  <c r="R667" i="10"/>
  <c r="R668" i="10"/>
  <c r="R669" i="10"/>
  <c r="R670" i="10"/>
  <c r="R671" i="10"/>
  <c r="R672" i="10"/>
  <c r="R673" i="10"/>
  <c r="R674" i="10"/>
  <c r="R675" i="10"/>
  <c r="R676" i="10"/>
  <c r="R677" i="10"/>
  <c r="R678" i="10"/>
  <c r="R679" i="10"/>
  <c r="R680" i="10"/>
  <c r="R681" i="10"/>
  <c r="R682" i="10"/>
  <c r="R683" i="10"/>
  <c r="R684" i="10"/>
  <c r="R685" i="10"/>
  <c r="R686" i="10"/>
  <c r="R687" i="10"/>
  <c r="R688" i="10"/>
  <c r="R689" i="10"/>
  <c r="R690" i="10"/>
  <c r="R691" i="10"/>
  <c r="R692" i="10"/>
  <c r="R693" i="10"/>
  <c r="R694" i="10"/>
  <c r="R695" i="10"/>
  <c r="R696" i="10"/>
  <c r="R697" i="10"/>
  <c r="R698" i="10"/>
  <c r="R699" i="10"/>
  <c r="R700" i="10"/>
  <c r="R701" i="10"/>
  <c r="R702" i="10"/>
  <c r="R703" i="10"/>
  <c r="R704" i="10"/>
  <c r="R705" i="10"/>
  <c r="R706" i="10"/>
  <c r="R707" i="10"/>
  <c r="R708" i="10"/>
  <c r="R709" i="10"/>
  <c r="R710" i="10"/>
  <c r="R711" i="10"/>
  <c r="R712" i="10"/>
  <c r="R713" i="10"/>
  <c r="R714" i="10"/>
  <c r="R715" i="10"/>
  <c r="R716" i="10"/>
  <c r="R717" i="10"/>
  <c r="R718" i="10"/>
  <c r="R719" i="10"/>
  <c r="R720" i="10"/>
  <c r="R721" i="10"/>
  <c r="R722" i="10"/>
  <c r="R723" i="10"/>
  <c r="R724" i="10"/>
  <c r="R725" i="10"/>
  <c r="R726" i="10"/>
  <c r="R727" i="10"/>
  <c r="R728" i="10"/>
  <c r="R729" i="10"/>
  <c r="R730" i="10"/>
  <c r="R731" i="10"/>
  <c r="R732" i="10"/>
  <c r="R733" i="10"/>
  <c r="R734" i="10"/>
  <c r="R735" i="10"/>
  <c r="R736" i="10"/>
  <c r="R737" i="10"/>
  <c r="R738" i="10"/>
  <c r="R739" i="10"/>
  <c r="R740" i="10"/>
  <c r="R741" i="10"/>
  <c r="R742" i="10"/>
  <c r="R743" i="10"/>
  <c r="R744" i="10"/>
  <c r="R745" i="10"/>
  <c r="R746" i="10"/>
  <c r="R747" i="10"/>
  <c r="R748" i="10"/>
  <c r="R749" i="10"/>
  <c r="R750" i="10"/>
  <c r="R751" i="10"/>
  <c r="R752" i="10"/>
  <c r="R753" i="10"/>
  <c r="R754" i="10"/>
  <c r="R755" i="10"/>
  <c r="R756" i="10"/>
  <c r="R757" i="10"/>
  <c r="R758" i="10"/>
  <c r="R759" i="10"/>
  <c r="R760" i="10"/>
  <c r="R761" i="10"/>
  <c r="R762" i="10"/>
  <c r="R763" i="10"/>
  <c r="R764" i="10"/>
  <c r="R765" i="10"/>
  <c r="R766" i="10"/>
  <c r="R767" i="10"/>
  <c r="R768" i="10"/>
  <c r="R769" i="10"/>
  <c r="R770" i="10"/>
  <c r="R771" i="10"/>
  <c r="R772" i="10"/>
  <c r="R773" i="10"/>
  <c r="R774" i="10"/>
  <c r="R775" i="10"/>
  <c r="R776" i="10"/>
  <c r="R777" i="10"/>
  <c r="R778" i="10"/>
  <c r="R779" i="10"/>
  <c r="R780" i="10"/>
  <c r="R781" i="10"/>
  <c r="R782" i="10"/>
  <c r="R783" i="10"/>
  <c r="R784" i="10"/>
  <c r="R785" i="10"/>
  <c r="R786" i="10"/>
  <c r="R787" i="10"/>
  <c r="R788" i="10"/>
  <c r="R789" i="10"/>
  <c r="R790" i="10"/>
  <c r="R791" i="10"/>
  <c r="R792" i="10"/>
  <c r="R793" i="10"/>
  <c r="R794" i="10"/>
  <c r="R795" i="10"/>
  <c r="R796" i="10"/>
  <c r="R797" i="10"/>
  <c r="R798" i="10"/>
  <c r="R799" i="10"/>
  <c r="R800" i="10"/>
  <c r="R801" i="10"/>
  <c r="R802" i="10"/>
  <c r="R803" i="10"/>
  <c r="R804" i="10"/>
  <c r="R805" i="10"/>
  <c r="R806" i="10"/>
  <c r="R807" i="10"/>
  <c r="R808" i="10"/>
  <c r="R809" i="10"/>
  <c r="R810" i="10"/>
  <c r="R811" i="10"/>
  <c r="R812" i="10"/>
  <c r="R813" i="10"/>
  <c r="R814" i="10"/>
  <c r="R815" i="10"/>
  <c r="R816" i="10"/>
  <c r="R817" i="10"/>
  <c r="R818" i="10"/>
  <c r="R819" i="10"/>
  <c r="R820" i="10"/>
  <c r="R821" i="10"/>
  <c r="R822" i="10"/>
  <c r="R823" i="10"/>
  <c r="R824" i="10"/>
  <c r="R825" i="10"/>
  <c r="R826" i="10"/>
  <c r="R827" i="10"/>
  <c r="R828" i="10"/>
  <c r="R829" i="10"/>
  <c r="R830" i="10"/>
  <c r="R831" i="10"/>
  <c r="R832" i="10"/>
  <c r="R833" i="10"/>
  <c r="R834" i="10"/>
  <c r="R835" i="10"/>
  <c r="R836" i="10"/>
  <c r="R837" i="10"/>
  <c r="R838" i="10"/>
  <c r="R839" i="10"/>
  <c r="R840" i="10"/>
  <c r="R841" i="10"/>
  <c r="R842" i="10"/>
  <c r="R843" i="10"/>
  <c r="R844" i="10"/>
  <c r="R845" i="10"/>
  <c r="R846" i="10"/>
  <c r="R847" i="10"/>
  <c r="R848" i="10"/>
  <c r="R849" i="10"/>
  <c r="R850" i="10"/>
  <c r="R851" i="10"/>
  <c r="R852" i="10"/>
  <c r="R853" i="10"/>
  <c r="R854" i="10"/>
  <c r="R855" i="10"/>
  <c r="R856" i="10"/>
  <c r="R857" i="10"/>
  <c r="R858" i="10"/>
  <c r="R859" i="10"/>
  <c r="R860" i="10"/>
  <c r="R861" i="10"/>
  <c r="R862" i="10"/>
  <c r="R863" i="10"/>
  <c r="R864" i="10"/>
  <c r="R865" i="10"/>
  <c r="R866" i="10"/>
  <c r="R867" i="10"/>
  <c r="R868" i="10"/>
  <c r="R869" i="10"/>
  <c r="R870" i="10"/>
  <c r="R871" i="10"/>
  <c r="R872" i="10"/>
  <c r="R873" i="10"/>
  <c r="R874" i="10"/>
  <c r="R875" i="10"/>
  <c r="R876" i="10"/>
  <c r="R877" i="10"/>
  <c r="R878" i="10"/>
  <c r="R879" i="10"/>
  <c r="R880" i="10"/>
  <c r="R881" i="10"/>
  <c r="R882" i="10"/>
  <c r="R883" i="10"/>
  <c r="R884" i="10"/>
  <c r="R885" i="10"/>
  <c r="R886" i="10"/>
  <c r="R887" i="10"/>
  <c r="R888" i="10"/>
  <c r="R889" i="10"/>
  <c r="R890" i="10"/>
  <c r="R891" i="10"/>
  <c r="R892" i="10"/>
  <c r="R893" i="10"/>
  <c r="R894" i="10"/>
  <c r="R895" i="10"/>
  <c r="R896" i="10"/>
  <c r="R897" i="10"/>
  <c r="R898" i="10"/>
  <c r="R899" i="10"/>
  <c r="R900" i="10"/>
  <c r="R901" i="10"/>
  <c r="R902" i="10"/>
  <c r="R903" i="10"/>
  <c r="R904" i="10"/>
  <c r="R905" i="10"/>
  <c r="R906" i="10"/>
  <c r="R907" i="10"/>
  <c r="R908" i="10"/>
  <c r="R909" i="10"/>
  <c r="R910" i="10"/>
  <c r="R911" i="10"/>
  <c r="R912" i="10"/>
  <c r="R913" i="10"/>
  <c r="R914" i="10"/>
  <c r="R915" i="10"/>
  <c r="R916" i="10"/>
  <c r="R917" i="10"/>
  <c r="R918" i="10"/>
  <c r="R919" i="10"/>
  <c r="R920" i="10"/>
  <c r="R921" i="10"/>
  <c r="R922" i="10"/>
  <c r="R923" i="10"/>
  <c r="R924" i="10"/>
  <c r="R925" i="10"/>
  <c r="R926" i="10"/>
  <c r="R927" i="10"/>
  <c r="R928" i="10"/>
  <c r="R929" i="10"/>
  <c r="R930" i="10"/>
  <c r="R931" i="10"/>
  <c r="R932" i="10"/>
  <c r="R933" i="10"/>
  <c r="R934" i="10"/>
  <c r="R935" i="10"/>
  <c r="R936" i="10"/>
  <c r="R937" i="10"/>
  <c r="R938" i="10"/>
  <c r="R939" i="10"/>
  <c r="R940" i="10"/>
  <c r="R941" i="10"/>
  <c r="R942" i="10"/>
  <c r="R943" i="10"/>
  <c r="R944" i="10"/>
  <c r="R945" i="10"/>
  <c r="R946" i="10"/>
  <c r="R947" i="10"/>
  <c r="R948" i="10"/>
  <c r="R949" i="10"/>
  <c r="R950" i="10"/>
  <c r="R951" i="10"/>
  <c r="R952" i="10"/>
  <c r="R953" i="10"/>
  <c r="R954" i="10"/>
  <c r="R955" i="10"/>
  <c r="R956" i="10"/>
  <c r="R957" i="10"/>
  <c r="R958" i="10"/>
  <c r="R959" i="10"/>
  <c r="R960" i="10"/>
  <c r="R961" i="10"/>
  <c r="R962" i="10"/>
  <c r="R963" i="10"/>
  <c r="R964" i="10"/>
  <c r="R965" i="10"/>
  <c r="R966" i="10"/>
  <c r="R967" i="10"/>
  <c r="R968" i="10"/>
  <c r="R969" i="10"/>
  <c r="R970" i="10"/>
  <c r="R971" i="10"/>
  <c r="R972" i="10"/>
  <c r="R973" i="10"/>
  <c r="R974" i="10"/>
  <c r="R975" i="10"/>
  <c r="R976" i="10"/>
  <c r="R977" i="10"/>
  <c r="R978" i="10"/>
  <c r="R979" i="10"/>
  <c r="R980" i="10"/>
  <c r="R981" i="10"/>
  <c r="R982" i="10"/>
  <c r="R983" i="10"/>
  <c r="R984" i="10"/>
  <c r="R985" i="10"/>
  <c r="R986" i="10"/>
  <c r="R987" i="10"/>
  <c r="R988" i="10"/>
  <c r="R989" i="10"/>
  <c r="R990" i="10"/>
  <c r="R991" i="10"/>
  <c r="R992" i="10"/>
  <c r="R993" i="10"/>
  <c r="R994" i="10"/>
  <c r="R995" i="10"/>
  <c r="R996" i="10"/>
  <c r="R997" i="10"/>
  <c r="R998" i="10"/>
  <c r="R999" i="10"/>
  <c r="R1000" i="10"/>
  <c r="R1001" i="10"/>
  <c r="R1002" i="10"/>
  <c r="R1003" i="10"/>
  <c r="R1004" i="10"/>
  <c r="R1005" i="10"/>
  <c r="R1006" i="10"/>
  <c r="R1007" i="10"/>
  <c r="R1008" i="10"/>
  <c r="R1009" i="10"/>
  <c r="R1010" i="10"/>
  <c r="R1011" i="10"/>
  <c r="R1012" i="10"/>
  <c r="R1013" i="10"/>
  <c r="R1014" i="10"/>
  <c r="R1015" i="10"/>
  <c r="R1016" i="10"/>
  <c r="R1017" i="10"/>
  <c r="R1018" i="10"/>
  <c r="R1019" i="10"/>
  <c r="R1020" i="10"/>
  <c r="R1021" i="10"/>
  <c r="R1022" i="10"/>
  <c r="R1023" i="10"/>
  <c r="R1024" i="10"/>
  <c r="R1025" i="10"/>
  <c r="R1026" i="10"/>
  <c r="R1027" i="10"/>
  <c r="R1028" i="10"/>
  <c r="R1029" i="10"/>
  <c r="R1030" i="10"/>
  <c r="R1031" i="10"/>
  <c r="R1032" i="10"/>
  <c r="R1033" i="10"/>
  <c r="R1034" i="10"/>
  <c r="R1035" i="10"/>
  <c r="R1036" i="10"/>
  <c r="R1037" i="10"/>
  <c r="R1038" i="10"/>
  <c r="R1039" i="10"/>
  <c r="R1040" i="10"/>
  <c r="R1041" i="10"/>
  <c r="R1042" i="10"/>
  <c r="R1043" i="10"/>
  <c r="R1044" i="10"/>
  <c r="R1045" i="10"/>
  <c r="R1046" i="10"/>
  <c r="R1047" i="10"/>
  <c r="R1048" i="10"/>
  <c r="R1049" i="10"/>
  <c r="R1050" i="10"/>
  <c r="R1051" i="10"/>
  <c r="R1052" i="10"/>
  <c r="R1053" i="10"/>
  <c r="R1054" i="10"/>
  <c r="R1055" i="10"/>
  <c r="R1056" i="10"/>
  <c r="R1057" i="10"/>
  <c r="R1058" i="10"/>
  <c r="R1059" i="10"/>
  <c r="R1060" i="10"/>
  <c r="R1061" i="10"/>
  <c r="R1062" i="10"/>
  <c r="R1063" i="10"/>
  <c r="R1064" i="10"/>
  <c r="R1065" i="10"/>
  <c r="R1066" i="10"/>
  <c r="R1067" i="10"/>
  <c r="R1068" i="10"/>
  <c r="R1069" i="10"/>
  <c r="R1070" i="10"/>
  <c r="R1071" i="10"/>
  <c r="R1072" i="10"/>
  <c r="R1073" i="10"/>
  <c r="R1074" i="10"/>
  <c r="R1075" i="10"/>
  <c r="R1076" i="10"/>
  <c r="R1077" i="10"/>
  <c r="R1078" i="10"/>
  <c r="R1079" i="10"/>
  <c r="R1080" i="10"/>
  <c r="R1081" i="10"/>
  <c r="R1082" i="10"/>
  <c r="R1083" i="10"/>
  <c r="R1084" i="10"/>
  <c r="R1085" i="10"/>
  <c r="R1086" i="10"/>
  <c r="R1087" i="10"/>
  <c r="R1088" i="10"/>
  <c r="R1089" i="10"/>
  <c r="R1090" i="10"/>
  <c r="R1091" i="10"/>
  <c r="R1092" i="10"/>
  <c r="R1093" i="10"/>
  <c r="R1094" i="10"/>
  <c r="R1095" i="10"/>
  <c r="R1096" i="10"/>
  <c r="R1097" i="10"/>
  <c r="R1098" i="10"/>
  <c r="R1099" i="10"/>
  <c r="R1100" i="10"/>
  <c r="R1101" i="10"/>
  <c r="R1102" i="10"/>
  <c r="R1103" i="10"/>
  <c r="R1104" i="10"/>
  <c r="R1105" i="10"/>
  <c r="R1106" i="10"/>
  <c r="R1107" i="10"/>
  <c r="R1108" i="10"/>
  <c r="R1109" i="10"/>
  <c r="R1110" i="10"/>
  <c r="R1111" i="10"/>
  <c r="R1112" i="10"/>
  <c r="R1113" i="10"/>
  <c r="R1114" i="10"/>
  <c r="R1115" i="10"/>
  <c r="R1116" i="10"/>
  <c r="R1117" i="10"/>
  <c r="R1118" i="10"/>
  <c r="R1119" i="10"/>
  <c r="R1120" i="10"/>
  <c r="R1121" i="10"/>
  <c r="R1122" i="10"/>
  <c r="R1123" i="10"/>
  <c r="R1124" i="10"/>
  <c r="R1125" i="10"/>
  <c r="R1126" i="10"/>
  <c r="R1127" i="10"/>
  <c r="R1128" i="10"/>
  <c r="R1129" i="10"/>
  <c r="R1130" i="10"/>
  <c r="R1131" i="10"/>
  <c r="R1132" i="10"/>
  <c r="R1133" i="10"/>
  <c r="R1134" i="10"/>
  <c r="R1135" i="10"/>
  <c r="R1136" i="10"/>
  <c r="R1137" i="10"/>
  <c r="R1138" i="10"/>
  <c r="R1139" i="10"/>
  <c r="R1140" i="10"/>
  <c r="R1141" i="10"/>
  <c r="R1142" i="10"/>
  <c r="R1143" i="10"/>
  <c r="R1144" i="10"/>
  <c r="R1145" i="10"/>
  <c r="R1146" i="10"/>
  <c r="R1147" i="10"/>
  <c r="R1148" i="10"/>
  <c r="R1149" i="10"/>
  <c r="R1150" i="10"/>
  <c r="R1151" i="10"/>
  <c r="R1152" i="10"/>
  <c r="R1153" i="10"/>
  <c r="R1154" i="10"/>
  <c r="R1155" i="10"/>
  <c r="R1156" i="10"/>
  <c r="R1157" i="10"/>
  <c r="R1158" i="10"/>
  <c r="R1159" i="10"/>
  <c r="R1160" i="10"/>
  <c r="R1161" i="10"/>
  <c r="R1162" i="10"/>
  <c r="R1163" i="10"/>
  <c r="R1164" i="10"/>
  <c r="R1165" i="10"/>
  <c r="R1166" i="10"/>
  <c r="R1167" i="10"/>
  <c r="R1168" i="10"/>
  <c r="R1169" i="10"/>
  <c r="R1170" i="10"/>
  <c r="R1171" i="10"/>
  <c r="R1172" i="10"/>
  <c r="R1173" i="10"/>
  <c r="R1174" i="10"/>
  <c r="R1175" i="10"/>
  <c r="R1176" i="10"/>
  <c r="R1177" i="10"/>
  <c r="R1178" i="10"/>
  <c r="R1179" i="10"/>
  <c r="R1180" i="10"/>
  <c r="R1181" i="10"/>
  <c r="R1182" i="10"/>
  <c r="R1183" i="10"/>
  <c r="R1184" i="10"/>
  <c r="R1185" i="10"/>
  <c r="R1186" i="10"/>
  <c r="R1187" i="10"/>
  <c r="R1188" i="10"/>
  <c r="R1189" i="10"/>
  <c r="R1190" i="10"/>
  <c r="R1191" i="10"/>
  <c r="R1192" i="10"/>
  <c r="R1193" i="10"/>
  <c r="R1194" i="10"/>
  <c r="R1195" i="10"/>
  <c r="R1196" i="10"/>
  <c r="R1197" i="10"/>
  <c r="R1198" i="10"/>
  <c r="R1199" i="10"/>
  <c r="R1200" i="10"/>
  <c r="R1201" i="10"/>
  <c r="R1202" i="10"/>
  <c r="R1203" i="10"/>
  <c r="R1204" i="10"/>
  <c r="R1205" i="10"/>
  <c r="R1206" i="10"/>
  <c r="R1207" i="10"/>
  <c r="R1208" i="10"/>
  <c r="R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2" i="10"/>
  <c r="Q23" i="10"/>
  <c r="Q24" i="10"/>
  <c r="Q25" i="10"/>
  <c r="Q26" i="10"/>
  <c r="Q27" i="10"/>
  <c r="Q28" i="10"/>
  <c r="Q29" i="10"/>
  <c r="Q30" i="10"/>
  <c r="Q31" i="10"/>
  <c r="Q32" i="10"/>
  <c r="Q33" i="10"/>
  <c r="Q34" i="10"/>
  <c r="Q35" i="10"/>
  <c r="Q36" i="10"/>
  <c r="Q37" i="10"/>
  <c r="Q38" i="10"/>
  <c r="Q39" i="10"/>
  <c r="Q40" i="10"/>
  <c r="Q41" i="10"/>
  <c r="Q42" i="10"/>
  <c r="Q43" i="10"/>
  <c r="Q44" i="10"/>
  <c r="Q45" i="10"/>
  <c r="Q46" i="10"/>
  <c r="Q47" i="10"/>
  <c r="Q48" i="10"/>
  <c r="Q49" i="10"/>
  <c r="Q50" i="10"/>
  <c r="Q51" i="10"/>
  <c r="Q52" i="10"/>
  <c r="Q53" i="10"/>
  <c r="Q54" i="10"/>
  <c r="Q55" i="10"/>
  <c r="Q56" i="10"/>
  <c r="Q57" i="10"/>
  <c r="Q58" i="10"/>
  <c r="Q59" i="10"/>
  <c r="Q60" i="10"/>
  <c r="Q61" i="10"/>
  <c r="Q62" i="10"/>
  <c r="Q63" i="10"/>
  <c r="Q64" i="10"/>
  <c r="Q65" i="10"/>
  <c r="Q66" i="10"/>
  <c r="Q67" i="10"/>
  <c r="Q68" i="10"/>
  <c r="Q69" i="10"/>
  <c r="Q70" i="10"/>
  <c r="Q71" i="10"/>
  <c r="Q72" i="10"/>
  <c r="Q73" i="10"/>
  <c r="Q74" i="10"/>
  <c r="Q75" i="10"/>
  <c r="Q76" i="10"/>
  <c r="Q77" i="10"/>
  <c r="Q78" i="10"/>
  <c r="Q79" i="10"/>
  <c r="Q80" i="10"/>
  <c r="Q81" i="10"/>
  <c r="Q82" i="10"/>
  <c r="Q83" i="10"/>
  <c r="Q84" i="10"/>
  <c r="Q85" i="10"/>
  <c r="Q86" i="10"/>
  <c r="Q87" i="10"/>
  <c r="Q88" i="10"/>
  <c r="Q89" i="10"/>
  <c r="Q90" i="10"/>
  <c r="Q91" i="10"/>
  <c r="Q92" i="10"/>
  <c r="Q93" i="10"/>
  <c r="Q94" i="10"/>
  <c r="Q95" i="10"/>
  <c r="Q96" i="10"/>
  <c r="Q97" i="10"/>
  <c r="Q98" i="10"/>
  <c r="Q99" i="10"/>
  <c r="Q100" i="10"/>
  <c r="Q101" i="10"/>
  <c r="Q102" i="10"/>
  <c r="Q103" i="10"/>
  <c r="Q104" i="10"/>
  <c r="Q105" i="10"/>
  <c r="Q106" i="10"/>
  <c r="Q107" i="10"/>
  <c r="Q108" i="10"/>
  <c r="Q109" i="10"/>
  <c r="Q110" i="10"/>
  <c r="Q111" i="10"/>
  <c r="Q112" i="10"/>
  <c r="Q113" i="10"/>
  <c r="Q114" i="10"/>
  <c r="Q115" i="10"/>
  <c r="Q116" i="10"/>
  <c r="Q117" i="10"/>
  <c r="Q118" i="10"/>
  <c r="Q119" i="10"/>
  <c r="Q120" i="10"/>
  <c r="Q121" i="10"/>
  <c r="Q122" i="10"/>
  <c r="Q123" i="10"/>
  <c r="Q124" i="10"/>
  <c r="Q125" i="10"/>
  <c r="Q126" i="10"/>
  <c r="Q127" i="10"/>
  <c r="Q128" i="10"/>
  <c r="Q129" i="10"/>
  <c r="Q130" i="10"/>
  <c r="Q131" i="10"/>
  <c r="Q132" i="10"/>
  <c r="Q133" i="10"/>
  <c r="Q134" i="10"/>
  <c r="Q135" i="10"/>
  <c r="Q136" i="10"/>
  <c r="Q137" i="10"/>
  <c r="Q138" i="10"/>
  <c r="Q139" i="10"/>
  <c r="Q140" i="10"/>
  <c r="Q141" i="10"/>
  <c r="Q142" i="10"/>
  <c r="Q143" i="10"/>
  <c r="Q144" i="10"/>
  <c r="Q145" i="10"/>
  <c r="Q146" i="10"/>
  <c r="Q147" i="10"/>
  <c r="Q148" i="10"/>
  <c r="Q149" i="10"/>
  <c r="Q150" i="10"/>
  <c r="Q151" i="10"/>
  <c r="Q152" i="10"/>
  <c r="Q153" i="10"/>
  <c r="Q154" i="10"/>
  <c r="Q155" i="10"/>
  <c r="Q156" i="10"/>
  <c r="Q157" i="10"/>
  <c r="Q158" i="10"/>
  <c r="Q159" i="10"/>
  <c r="Q160" i="10"/>
  <c r="Q161" i="10"/>
  <c r="Q162" i="10"/>
  <c r="Q163" i="10"/>
  <c r="Q164" i="10"/>
  <c r="Q165" i="10"/>
  <c r="Q166" i="10"/>
  <c r="Q167" i="10"/>
  <c r="Q168" i="10"/>
  <c r="Q169" i="10"/>
  <c r="Q170" i="10"/>
  <c r="Q171" i="10"/>
  <c r="Q172" i="10"/>
  <c r="Q173" i="10"/>
  <c r="Q174" i="10"/>
  <c r="Q175" i="10"/>
  <c r="Q176" i="10"/>
  <c r="Q177" i="10"/>
  <c r="Q178" i="10"/>
  <c r="Q179" i="10"/>
  <c r="Q180" i="10"/>
  <c r="Q181" i="10"/>
  <c r="Q182" i="10"/>
  <c r="Q183" i="10"/>
  <c r="Q184" i="10"/>
  <c r="Q185" i="10"/>
  <c r="Q186" i="10"/>
  <c r="Q187" i="10"/>
  <c r="Q188" i="10"/>
  <c r="Q189" i="10"/>
  <c r="Q190" i="10"/>
  <c r="Q191" i="10"/>
  <c r="Q192" i="10"/>
  <c r="Q193" i="10"/>
  <c r="Q194" i="10"/>
  <c r="Q195" i="10"/>
  <c r="Q196" i="10"/>
  <c r="Q197" i="10"/>
  <c r="Q198" i="10"/>
  <c r="Q199" i="10"/>
  <c r="Q200" i="10"/>
  <c r="Q201" i="10"/>
  <c r="Q202" i="10"/>
  <c r="Q203" i="10"/>
  <c r="Q204" i="10"/>
  <c r="Q205" i="10"/>
  <c r="Q206" i="10"/>
  <c r="Q207" i="10"/>
  <c r="Q208" i="10"/>
  <c r="Q209" i="10"/>
  <c r="Q210" i="10"/>
  <c r="Q211" i="10"/>
  <c r="Q212" i="10"/>
  <c r="Q213" i="10"/>
  <c r="Q214" i="10"/>
  <c r="Q215" i="10"/>
  <c r="Q216" i="10"/>
  <c r="Q217" i="10"/>
  <c r="Q218" i="10"/>
  <c r="Q219" i="10"/>
  <c r="Q220" i="10"/>
  <c r="Q221" i="10"/>
  <c r="Q222" i="10"/>
  <c r="Q223" i="10"/>
  <c r="Q224" i="10"/>
  <c r="Q225" i="10"/>
  <c r="Q226" i="10"/>
  <c r="Q227" i="10"/>
  <c r="Q228" i="10"/>
  <c r="Q229" i="10"/>
  <c r="Q230" i="10"/>
  <c r="Q231" i="10"/>
  <c r="Q232" i="10"/>
  <c r="Q233" i="10"/>
  <c r="Q234" i="10"/>
  <c r="Q235" i="10"/>
  <c r="Q236" i="10"/>
  <c r="Q237" i="10"/>
  <c r="Q238" i="10"/>
  <c r="Q239" i="10"/>
  <c r="Q240" i="10"/>
  <c r="Q241" i="10"/>
  <c r="Q242" i="10"/>
  <c r="Q243" i="10"/>
  <c r="Q244" i="10"/>
  <c r="Q245" i="10"/>
  <c r="Q246" i="10"/>
  <c r="Q247" i="10"/>
  <c r="Q248" i="10"/>
  <c r="Q249" i="10"/>
  <c r="Q250" i="10"/>
  <c r="Q251" i="10"/>
  <c r="Q252" i="10"/>
  <c r="Q253" i="10"/>
  <c r="Q254" i="10"/>
  <c r="Q255" i="10"/>
  <c r="Q256" i="10"/>
  <c r="Q257" i="10"/>
  <c r="Q258" i="10"/>
  <c r="Q259" i="10"/>
  <c r="Q260" i="10"/>
  <c r="Q261" i="10"/>
  <c r="Q262" i="10"/>
  <c r="Q263" i="10"/>
  <c r="Q264" i="10"/>
  <c r="Q265" i="10"/>
  <c r="Q266" i="10"/>
  <c r="Q267" i="10"/>
  <c r="Q268" i="10"/>
  <c r="Q269" i="10"/>
  <c r="Q270" i="10"/>
  <c r="Q271" i="10"/>
  <c r="Q272" i="10"/>
  <c r="Q273" i="10"/>
  <c r="Q274" i="10"/>
  <c r="Q275" i="10"/>
  <c r="Q276" i="10"/>
  <c r="Q277" i="10"/>
  <c r="Q278" i="10"/>
  <c r="Q279" i="10"/>
  <c r="Q280" i="10"/>
  <c r="Q281" i="10"/>
  <c r="Q282" i="10"/>
  <c r="Q283" i="10"/>
  <c r="Q284" i="10"/>
  <c r="Q285" i="10"/>
  <c r="Q286" i="10"/>
  <c r="Q287" i="10"/>
  <c r="Q288" i="10"/>
  <c r="Q289" i="10"/>
  <c r="Q290" i="10"/>
  <c r="Q291" i="10"/>
  <c r="Q292" i="10"/>
  <c r="Q293" i="10"/>
  <c r="Q294" i="10"/>
  <c r="Q295" i="10"/>
  <c r="Q296" i="10"/>
  <c r="Q297" i="10"/>
  <c r="Q298" i="10"/>
  <c r="Q299" i="10"/>
  <c r="Q300" i="10"/>
  <c r="Q301" i="10"/>
  <c r="Q302" i="10"/>
  <c r="Q303" i="10"/>
  <c r="Q304" i="10"/>
  <c r="Q305" i="10"/>
  <c r="Q306" i="10"/>
  <c r="Q307" i="10"/>
  <c r="Q308" i="10"/>
  <c r="Q309" i="10"/>
  <c r="Q310" i="10"/>
  <c r="Q311" i="10"/>
  <c r="Q312" i="10"/>
  <c r="Q313" i="10"/>
  <c r="Q314" i="10"/>
  <c r="Q315" i="10"/>
  <c r="Q316" i="10"/>
  <c r="Q317" i="10"/>
  <c r="Q318" i="10"/>
  <c r="Q319" i="10"/>
  <c r="Q320" i="10"/>
  <c r="Q321" i="10"/>
  <c r="Q322" i="10"/>
  <c r="Q323" i="10"/>
  <c r="Q324" i="10"/>
  <c r="Q325" i="10"/>
  <c r="Q326" i="10"/>
  <c r="Q327" i="10"/>
  <c r="Q328" i="10"/>
  <c r="Q329" i="10"/>
  <c r="Q330" i="10"/>
  <c r="Q331" i="10"/>
  <c r="Q332" i="10"/>
  <c r="Q333" i="10"/>
  <c r="Q334" i="10"/>
  <c r="Q335" i="10"/>
  <c r="Q336" i="10"/>
  <c r="Q337" i="10"/>
  <c r="Q338" i="10"/>
  <c r="Q339" i="10"/>
  <c r="Q340" i="10"/>
  <c r="Q341" i="10"/>
  <c r="Q342" i="10"/>
  <c r="Q343" i="10"/>
  <c r="Q344" i="10"/>
  <c r="Q345" i="10"/>
  <c r="Q346" i="10"/>
  <c r="Q347" i="10"/>
  <c r="Q348" i="10"/>
  <c r="Q349" i="10"/>
  <c r="Q350" i="10"/>
  <c r="Q351" i="10"/>
  <c r="Q352" i="10"/>
  <c r="Q353" i="10"/>
  <c r="Q354" i="10"/>
  <c r="Q355" i="10"/>
  <c r="Q356" i="10"/>
  <c r="Q357" i="10"/>
  <c r="Q358" i="10"/>
  <c r="Q359" i="10"/>
  <c r="Q360" i="10"/>
  <c r="Q361" i="10"/>
  <c r="Q362" i="10"/>
  <c r="Q363" i="10"/>
  <c r="Q364" i="10"/>
  <c r="Q365" i="10"/>
  <c r="Q366" i="10"/>
  <c r="Q367" i="10"/>
  <c r="Q368" i="10"/>
  <c r="Q369" i="10"/>
  <c r="Q370" i="10"/>
  <c r="Q371" i="10"/>
  <c r="Q372" i="10"/>
  <c r="Q373" i="10"/>
  <c r="Q374" i="10"/>
  <c r="Q375" i="10"/>
  <c r="Q376" i="10"/>
  <c r="Q377" i="10"/>
  <c r="Q378" i="10"/>
  <c r="Q379" i="10"/>
  <c r="Q380" i="10"/>
  <c r="Q381" i="10"/>
  <c r="Q382" i="10"/>
  <c r="Q383" i="10"/>
  <c r="Q384" i="10"/>
  <c r="Q385" i="10"/>
  <c r="Q386" i="10"/>
  <c r="Q387" i="10"/>
  <c r="Q388" i="10"/>
  <c r="Q389" i="10"/>
  <c r="Q390" i="10"/>
  <c r="Q391" i="10"/>
  <c r="Q392" i="10"/>
  <c r="Q393" i="10"/>
  <c r="Q394" i="10"/>
  <c r="Q395" i="10"/>
  <c r="Q396" i="10"/>
  <c r="Q397" i="10"/>
  <c r="Q398" i="10"/>
  <c r="Q399" i="10"/>
  <c r="Q400" i="10"/>
  <c r="Q401" i="10"/>
  <c r="Q402" i="10"/>
  <c r="Q403" i="10"/>
  <c r="Q404" i="10"/>
  <c r="Q405" i="10"/>
  <c r="Q406" i="10"/>
  <c r="Q407" i="10"/>
  <c r="Q408" i="10"/>
  <c r="Q409" i="10"/>
  <c r="Q410" i="10"/>
  <c r="Q411" i="10"/>
  <c r="Q412" i="10"/>
  <c r="Q413" i="10"/>
  <c r="Q414" i="10"/>
  <c r="Q415" i="10"/>
  <c r="Q416" i="10"/>
  <c r="Q417" i="10"/>
  <c r="Q418" i="10"/>
  <c r="Q419" i="10"/>
  <c r="Q420" i="10"/>
  <c r="Q421" i="10"/>
  <c r="Q422" i="10"/>
  <c r="Q423" i="10"/>
  <c r="Q424" i="10"/>
  <c r="Q425" i="10"/>
  <c r="Q426" i="10"/>
  <c r="Q427" i="10"/>
  <c r="Q428" i="10"/>
  <c r="Q429" i="10"/>
  <c r="Q430" i="10"/>
  <c r="Q431" i="10"/>
  <c r="Q432" i="10"/>
  <c r="Q433" i="10"/>
  <c r="Q434" i="10"/>
  <c r="Q435" i="10"/>
  <c r="Q436" i="10"/>
  <c r="Q437" i="10"/>
  <c r="Q438" i="10"/>
  <c r="Q439" i="10"/>
  <c r="Q440" i="10"/>
  <c r="Q441" i="10"/>
  <c r="Q442" i="10"/>
  <c r="Q443" i="10"/>
  <c r="Q444" i="10"/>
  <c r="Q445" i="10"/>
  <c r="Q446" i="10"/>
  <c r="Q447" i="10"/>
  <c r="Q448" i="10"/>
  <c r="Q449" i="10"/>
  <c r="Q450" i="10"/>
  <c r="Q451" i="10"/>
  <c r="Q452" i="10"/>
  <c r="Q453" i="10"/>
  <c r="Q454" i="10"/>
  <c r="Q455" i="10"/>
  <c r="Q456" i="10"/>
  <c r="Q457" i="10"/>
  <c r="Q458" i="10"/>
  <c r="Q459" i="10"/>
  <c r="Q460" i="10"/>
  <c r="Q461" i="10"/>
  <c r="Q462" i="10"/>
  <c r="Q463" i="10"/>
  <c r="Q464" i="10"/>
  <c r="Q465" i="10"/>
  <c r="Q466" i="10"/>
  <c r="Q467" i="10"/>
  <c r="Q468" i="10"/>
  <c r="Q469" i="10"/>
  <c r="Q470" i="10"/>
  <c r="Q471" i="10"/>
  <c r="Q472" i="10"/>
  <c r="Q473" i="10"/>
  <c r="Q474" i="10"/>
  <c r="Q475" i="10"/>
  <c r="Q476" i="10"/>
  <c r="Q477" i="10"/>
  <c r="Q478" i="10"/>
  <c r="Q479" i="10"/>
  <c r="Q480" i="10"/>
  <c r="Q481" i="10"/>
  <c r="Q482" i="10"/>
  <c r="Q483" i="10"/>
  <c r="Q484" i="10"/>
  <c r="Q485" i="10"/>
  <c r="Q486" i="10"/>
  <c r="Q487" i="10"/>
  <c r="Q488" i="10"/>
  <c r="Q489" i="10"/>
  <c r="Q490" i="10"/>
  <c r="Q491" i="10"/>
  <c r="Q492" i="10"/>
  <c r="Q493" i="10"/>
  <c r="Q494" i="10"/>
  <c r="Q495" i="10"/>
  <c r="Q496" i="10"/>
  <c r="Q497" i="10"/>
  <c r="Q498" i="10"/>
  <c r="Q499" i="10"/>
  <c r="Q500" i="10"/>
  <c r="Q501" i="10"/>
  <c r="Q502" i="10"/>
  <c r="Q503" i="10"/>
  <c r="Q504" i="10"/>
  <c r="Q505" i="10"/>
  <c r="Q506" i="10"/>
  <c r="Q507" i="10"/>
  <c r="Q508" i="10"/>
  <c r="Q509" i="10"/>
  <c r="Q510" i="10"/>
  <c r="Q511" i="10"/>
  <c r="Q512" i="10"/>
  <c r="Q513" i="10"/>
  <c r="Q514" i="10"/>
  <c r="Q515" i="10"/>
  <c r="Q516" i="10"/>
  <c r="Q517" i="10"/>
  <c r="Q518" i="10"/>
  <c r="Q519" i="10"/>
  <c r="Q520" i="10"/>
  <c r="Q521" i="10"/>
  <c r="Q522" i="10"/>
  <c r="Q523" i="10"/>
  <c r="Q524" i="10"/>
  <c r="Q525" i="10"/>
  <c r="Q526" i="10"/>
  <c r="Q527" i="10"/>
  <c r="Q528" i="10"/>
  <c r="Q529" i="10"/>
  <c r="Q530" i="10"/>
  <c r="Q531" i="10"/>
  <c r="Q532" i="10"/>
  <c r="Q533" i="10"/>
  <c r="Q534" i="10"/>
  <c r="Q535" i="10"/>
  <c r="Q536" i="10"/>
  <c r="Q537" i="10"/>
  <c r="Q538" i="10"/>
  <c r="Q539" i="10"/>
  <c r="Q540" i="10"/>
  <c r="Q541" i="10"/>
  <c r="Q542" i="10"/>
  <c r="Q543" i="10"/>
  <c r="Q544" i="10"/>
  <c r="Q545" i="10"/>
  <c r="Q546" i="10"/>
  <c r="Q547" i="10"/>
  <c r="Q548" i="10"/>
  <c r="Q549" i="10"/>
  <c r="Q550" i="10"/>
  <c r="Q551" i="10"/>
  <c r="Q552" i="10"/>
  <c r="Q553" i="10"/>
  <c r="Q554" i="10"/>
  <c r="Q555" i="10"/>
  <c r="Q556" i="10"/>
  <c r="Q557" i="10"/>
  <c r="Q558" i="10"/>
  <c r="Q559" i="10"/>
  <c r="Q560" i="10"/>
  <c r="Q561" i="10"/>
  <c r="Q562" i="10"/>
  <c r="Q563" i="10"/>
  <c r="Q564" i="10"/>
  <c r="Q565" i="10"/>
  <c r="Q566" i="10"/>
  <c r="Q567" i="10"/>
  <c r="Q568" i="10"/>
  <c r="Q569" i="10"/>
  <c r="Q570" i="10"/>
  <c r="Q571" i="10"/>
  <c r="Q572" i="10"/>
  <c r="Q573" i="10"/>
  <c r="Q574" i="10"/>
  <c r="Q575" i="10"/>
  <c r="Q576" i="10"/>
  <c r="Q577" i="10"/>
  <c r="Q578" i="10"/>
  <c r="Q579" i="10"/>
  <c r="Q580" i="10"/>
  <c r="Q581" i="10"/>
  <c r="Q582" i="10"/>
  <c r="Q583" i="10"/>
  <c r="Q584" i="10"/>
  <c r="Q585" i="10"/>
  <c r="Q586" i="10"/>
  <c r="Q587" i="10"/>
  <c r="Q588" i="10"/>
  <c r="Q589" i="10"/>
  <c r="Q590" i="10"/>
  <c r="Q591" i="10"/>
  <c r="Q592" i="10"/>
  <c r="Q593" i="10"/>
  <c r="Q594" i="10"/>
  <c r="Q595" i="10"/>
  <c r="Q596" i="10"/>
  <c r="Q597" i="10"/>
  <c r="Q598" i="10"/>
  <c r="Q599" i="10"/>
  <c r="Q600" i="10"/>
  <c r="Q601" i="10"/>
  <c r="Q602" i="10"/>
  <c r="Q603" i="10"/>
  <c r="Q604" i="10"/>
  <c r="Q605" i="10"/>
  <c r="Q606" i="10"/>
  <c r="Q607" i="10"/>
  <c r="Q608" i="10"/>
  <c r="Q609" i="10"/>
  <c r="Q610" i="10"/>
  <c r="Q611" i="10"/>
  <c r="Q612" i="10"/>
  <c r="Q613" i="10"/>
  <c r="Q614" i="10"/>
  <c r="Q615" i="10"/>
  <c r="Q616" i="10"/>
  <c r="Q617" i="10"/>
  <c r="Q618" i="10"/>
  <c r="Q619" i="10"/>
  <c r="Q620" i="10"/>
  <c r="Q621" i="10"/>
  <c r="Q622" i="10"/>
  <c r="Q623" i="10"/>
  <c r="Q624" i="10"/>
  <c r="Q625" i="10"/>
  <c r="Q626" i="10"/>
  <c r="Q627" i="10"/>
  <c r="Q628" i="10"/>
  <c r="Q629" i="10"/>
  <c r="Q630" i="10"/>
  <c r="Q631" i="10"/>
  <c r="Q632" i="10"/>
  <c r="Q633" i="10"/>
  <c r="Q634" i="10"/>
  <c r="Q635" i="10"/>
  <c r="Q636" i="10"/>
  <c r="Q637" i="10"/>
  <c r="Q638" i="10"/>
  <c r="Q639" i="10"/>
  <c r="Q640" i="10"/>
  <c r="Q641" i="10"/>
  <c r="Q642" i="10"/>
  <c r="Q643" i="10"/>
  <c r="Q644" i="10"/>
  <c r="Q645" i="10"/>
  <c r="Q646" i="10"/>
  <c r="Q647" i="10"/>
  <c r="Q648" i="10"/>
  <c r="Q649" i="10"/>
  <c r="Q650" i="10"/>
  <c r="Q651" i="10"/>
  <c r="Q652" i="10"/>
  <c r="Q653" i="10"/>
  <c r="Q654" i="10"/>
  <c r="Q655" i="10"/>
  <c r="Q656" i="10"/>
  <c r="Q657" i="10"/>
  <c r="Q658" i="10"/>
  <c r="Q659" i="10"/>
  <c r="Q660" i="10"/>
  <c r="Q661" i="10"/>
  <c r="Q662" i="10"/>
  <c r="Q663" i="10"/>
  <c r="Q664" i="10"/>
  <c r="Q665" i="10"/>
  <c r="Q666" i="10"/>
  <c r="Q667" i="10"/>
  <c r="Q668" i="10"/>
  <c r="Q669" i="10"/>
  <c r="Q670" i="10"/>
  <c r="Q671" i="10"/>
  <c r="Q672" i="10"/>
  <c r="Q673" i="10"/>
  <c r="Q674" i="10"/>
  <c r="Q675" i="10"/>
  <c r="Q676" i="10"/>
  <c r="Q677" i="10"/>
  <c r="Q678" i="10"/>
  <c r="Q679" i="10"/>
  <c r="Q680" i="10"/>
  <c r="Q681" i="10"/>
  <c r="Q682" i="10"/>
  <c r="Q683" i="10"/>
  <c r="Q684" i="10"/>
  <c r="Q685" i="10"/>
  <c r="Q686" i="10"/>
  <c r="Q687" i="10"/>
  <c r="Q688" i="10"/>
  <c r="Q689" i="10"/>
  <c r="Q690" i="10"/>
  <c r="Q691" i="10"/>
  <c r="Q692" i="10"/>
  <c r="Q693" i="10"/>
  <c r="Q694" i="10"/>
  <c r="Q695" i="10"/>
  <c r="Q696" i="10"/>
  <c r="Q697" i="10"/>
  <c r="Q698" i="10"/>
  <c r="Q699" i="10"/>
  <c r="Q700" i="10"/>
  <c r="Q701" i="10"/>
  <c r="Q702" i="10"/>
  <c r="Q703" i="10"/>
  <c r="Q704" i="10"/>
  <c r="Q705" i="10"/>
  <c r="Q706" i="10"/>
  <c r="Q707" i="10"/>
  <c r="Q708" i="10"/>
  <c r="Q709" i="10"/>
  <c r="Q710" i="10"/>
  <c r="Q711" i="10"/>
  <c r="Q712" i="10"/>
  <c r="Q713" i="10"/>
  <c r="Q714" i="10"/>
  <c r="Q715" i="10"/>
  <c r="Q716" i="10"/>
  <c r="Q717" i="10"/>
  <c r="Q718" i="10"/>
  <c r="Q719" i="10"/>
  <c r="Q720" i="10"/>
  <c r="Q721" i="10"/>
  <c r="Q722" i="10"/>
  <c r="Q723" i="10"/>
  <c r="Q724" i="10"/>
  <c r="Q725" i="10"/>
  <c r="Q726" i="10"/>
  <c r="Q727" i="10"/>
  <c r="Q728" i="10"/>
  <c r="Q729" i="10"/>
  <c r="Q730" i="10"/>
  <c r="Q731" i="10"/>
  <c r="Q732" i="10"/>
  <c r="Q733" i="10"/>
  <c r="Q734" i="10"/>
  <c r="Q735" i="10"/>
  <c r="Q736" i="10"/>
  <c r="Q737" i="10"/>
  <c r="Q738" i="10"/>
  <c r="Q739" i="10"/>
  <c r="Q740" i="10"/>
  <c r="Q741" i="10"/>
  <c r="Q742" i="10"/>
  <c r="Q743" i="10"/>
  <c r="Q744" i="10"/>
  <c r="Q745" i="10"/>
  <c r="Q746" i="10"/>
  <c r="Q747" i="10"/>
  <c r="Q748" i="10"/>
  <c r="Q749" i="10"/>
  <c r="Q750" i="10"/>
  <c r="Q751" i="10"/>
  <c r="Q752" i="10"/>
  <c r="Q753" i="10"/>
  <c r="Q754" i="10"/>
  <c r="Q755" i="10"/>
  <c r="Q756" i="10"/>
  <c r="Q757" i="10"/>
  <c r="Q758" i="10"/>
  <c r="Q759" i="10"/>
  <c r="Q760" i="10"/>
  <c r="Q761" i="10"/>
  <c r="Q762" i="10"/>
  <c r="Q763" i="10"/>
  <c r="Q764" i="10"/>
  <c r="Q765" i="10"/>
  <c r="Q766" i="10"/>
  <c r="Q767" i="10"/>
  <c r="Q768" i="10"/>
  <c r="Q769" i="10"/>
  <c r="Q770" i="10"/>
  <c r="Q771" i="10"/>
  <c r="Q772" i="10"/>
  <c r="Q773" i="10"/>
  <c r="Q774" i="10"/>
  <c r="Q775" i="10"/>
  <c r="Q776" i="10"/>
  <c r="Q777" i="10"/>
  <c r="Q778" i="10"/>
  <c r="Q779" i="10"/>
  <c r="Q780" i="10"/>
  <c r="Q781" i="10"/>
  <c r="Q782" i="10"/>
  <c r="Q783" i="10"/>
  <c r="Q784" i="10"/>
  <c r="Q785" i="10"/>
  <c r="Q786" i="10"/>
  <c r="Q787" i="10"/>
  <c r="Q788" i="10"/>
  <c r="Q789" i="10"/>
  <c r="Q790" i="10"/>
  <c r="Q791" i="10"/>
  <c r="Q792" i="10"/>
  <c r="Q793" i="10"/>
  <c r="Q794" i="10"/>
  <c r="Q795" i="10"/>
  <c r="Q796" i="10"/>
  <c r="Q797" i="10"/>
  <c r="Q798" i="10"/>
  <c r="Q799" i="10"/>
  <c r="Q800" i="10"/>
  <c r="Q801" i="10"/>
  <c r="Q802" i="10"/>
  <c r="Q803" i="10"/>
  <c r="Q804" i="10"/>
  <c r="Q805" i="10"/>
  <c r="Q806" i="10"/>
  <c r="Q807" i="10"/>
  <c r="Q808" i="10"/>
  <c r="Q809" i="10"/>
  <c r="Q810" i="10"/>
  <c r="Q811" i="10"/>
  <c r="Q812" i="10"/>
  <c r="Q813" i="10"/>
  <c r="Q814" i="10"/>
  <c r="Q815" i="10"/>
  <c r="Q816" i="10"/>
  <c r="Q817" i="10"/>
  <c r="Q818" i="10"/>
  <c r="Q819" i="10"/>
  <c r="Q820" i="10"/>
  <c r="Q821" i="10"/>
  <c r="Q822" i="10"/>
  <c r="Q823" i="10"/>
  <c r="Q824" i="10"/>
  <c r="Q825" i="10"/>
  <c r="Q826" i="10"/>
  <c r="Q827" i="10"/>
  <c r="Q828" i="10"/>
  <c r="Q829" i="10"/>
  <c r="Q830" i="10"/>
  <c r="Q831" i="10"/>
  <c r="Q832" i="10"/>
  <c r="Q833" i="10"/>
  <c r="Q834" i="10"/>
  <c r="Q835" i="10"/>
  <c r="Q836" i="10"/>
  <c r="Q837" i="10"/>
  <c r="Q838" i="10"/>
  <c r="Q839" i="10"/>
  <c r="Q840" i="10"/>
  <c r="Q841" i="10"/>
  <c r="Q842" i="10"/>
  <c r="Q843" i="10"/>
  <c r="Q844" i="10"/>
  <c r="Q845" i="10"/>
  <c r="Q846" i="10"/>
  <c r="Q847" i="10"/>
  <c r="Q848" i="10"/>
  <c r="Q849" i="10"/>
  <c r="Q850" i="10"/>
  <c r="Q851" i="10"/>
  <c r="Q852" i="10"/>
  <c r="Q853" i="10"/>
  <c r="Q854" i="10"/>
  <c r="Q855" i="10"/>
  <c r="Q856" i="10"/>
  <c r="Q857" i="10"/>
  <c r="Q858" i="10"/>
  <c r="Q859" i="10"/>
  <c r="Q860" i="10"/>
  <c r="Q861" i="10"/>
  <c r="Q862" i="10"/>
  <c r="Q863" i="10"/>
  <c r="Q864" i="10"/>
  <c r="Q865" i="10"/>
  <c r="Q866" i="10"/>
  <c r="Q867" i="10"/>
  <c r="Q868" i="10"/>
  <c r="Q869" i="10"/>
  <c r="Q870" i="10"/>
  <c r="Q871" i="10"/>
  <c r="Q872" i="10"/>
  <c r="Q873" i="10"/>
  <c r="Q874" i="10"/>
  <c r="Q875" i="10"/>
  <c r="Q876" i="10"/>
  <c r="Q877" i="10"/>
  <c r="Q878" i="10"/>
  <c r="Q879" i="10"/>
  <c r="Q880" i="10"/>
  <c r="Q881" i="10"/>
  <c r="Q882" i="10"/>
  <c r="Q883" i="10"/>
  <c r="Q884" i="10"/>
  <c r="Q885" i="10"/>
  <c r="Q886" i="10"/>
  <c r="Q887" i="10"/>
  <c r="Q888" i="10"/>
  <c r="Q889" i="10"/>
  <c r="Q890" i="10"/>
  <c r="Q891" i="10"/>
  <c r="Q892" i="10"/>
  <c r="Q893" i="10"/>
  <c r="Q894" i="10"/>
  <c r="Q895" i="10"/>
  <c r="Q896" i="10"/>
  <c r="Q897" i="10"/>
  <c r="Q898" i="10"/>
  <c r="Q899" i="10"/>
  <c r="Q900" i="10"/>
  <c r="Q901" i="10"/>
  <c r="Q902" i="10"/>
  <c r="Q903" i="10"/>
  <c r="Q904" i="10"/>
  <c r="Q905" i="10"/>
  <c r="Q906" i="10"/>
  <c r="Q907" i="10"/>
  <c r="Q908" i="10"/>
  <c r="Q909" i="10"/>
  <c r="Q910" i="10"/>
  <c r="Q911" i="10"/>
  <c r="Q912" i="10"/>
  <c r="Q913" i="10"/>
  <c r="Q914" i="10"/>
  <c r="Q915" i="10"/>
  <c r="Q916" i="10"/>
  <c r="Q917" i="10"/>
  <c r="Q918" i="10"/>
  <c r="Q919" i="10"/>
  <c r="Q920" i="10"/>
  <c r="Q921" i="10"/>
  <c r="Q922" i="10"/>
  <c r="Q923" i="10"/>
  <c r="Q924" i="10"/>
  <c r="Q925" i="10"/>
  <c r="Q926" i="10"/>
  <c r="Q927" i="10"/>
  <c r="Q928" i="10"/>
  <c r="Q929" i="10"/>
  <c r="Q930" i="10"/>
  <c r="Q931" i="10"/>
  <c r="Q932" i="10"/>
  <c r="Q933" i="10"/>
  <c r="Q934" i="10"/>
  <c r="Q935" i="10"/>
  <c r="Q936" i="10"/>
  <c r="Q937" i="10"/>
  <c r="Q938" i="10"/>
  <c r="Q939" i="10"/>
  <c r="Q940" i="10"/>
  <c r="Q941" i="10"/>
  <c r="Q942" i="10"/>
  <c r="Q943" i="10"/>
  <c r="Q944" i="10"/>
  <c r="Q945" i="10"/>
  <c r="Q946" i="10"/>
  <c r="Q947" i="10"/>
  <c r="Q948" i="10"/>
  <c r="Q949" i="10"/>
  <c r="Q950" i="10"/>
  <c r="Q951" i="10"/>
  <c r="Q952" i="10"/>
  <c r="Q953" i="10"/>
  <c r="Q954" i="10"/>
  <c r="Q955" i="10"/>
  <c r="Q956" i="10"/>
  <c r="Q957" i="10"/>
  <c r="Q958" i="10"/>
  <c r="Q959" i="10"/>
  <c r="Q960" i="10"/>
  <c r="Q961" i="10"/>
  <c r="Q962" i="10"/>
  <c r="Q963" i="10"/>
  <c r="Q964" i="10"/>
  <c r="Q965" i="10"/>
  <c r="Q966" i="10"/>
  <c r="Q967" i="10"/>
  <c r="Q968" i="10"/>
  <c r="Q969" i="10"/>
  <c r="Q970" i="10"/>
  <c r="Q971" i="10"/>
  <c r="Q972" i="10"/>
  <c r="Q973" i="10"/>
  <c r="Q974" i="10"/>
  <c r="Q975" i="10"/>
  <c r="Q976" i="10"/>
  <c r="Q977" i="10"/>
  <c r="Q978" i="10"/>
  <c r="Q979" i="10"/>
  <c r="Q980" i="10"/>
  <c r="Q981" i="10"/>
  <c r="Q982" i="10"/>
  <c r="Q983" i="10"/>
  <c r="Q984" i="10"/>
  <c r="Q985" i="10"/>
  <c r="Q986" i="10"/>
  <c r="Q987" i="10"/>
  <c r="Q988" i="10"/>
  <c r="Q989" i="10"/>
  <c r="Q990" i="10"/>
  <c r="Q991" i="10"/>
  <c r="Q992" i="10"/>
  <c r="Q993" i="10"/>
  <c r="Q994" i="10"/>
  <c r="Q995" i="10"/>
  <c r="Q996" i="10"/>
  <c r="Q997" i="10"/>
  <c r="Q998" i="10"/>
  <c r="Q999" i="10"/>
  <c r="Q1000" i="10"/>
  <c r="Q1001" i="10"/>
  <c r="Q1002" i="10"/>
  <c r="Q1003" i="10"/>
  <c r="Q1004" i="10"/>
  <c r="Q1005" i="10"/>
  <c r="Q1006" i="10"/>
  <c r="Q1007" i="10"/>
  <c r="Q1008" i="10"/>
  <c r="Q1009" i="10"/>
  <c r="Q1010" i="10"/>
  <c r="Q1011" i="10"/>
  <c r="Q1012" i="10"/>
  <c r="Q1013" i="10"/>
  <c r="Q1014" i="10"/>
  <c r="Q1015" i="10"/>
  <c r="Q1016" i="10"/>
  <c r="Q1017" i="10"/>
  <c r="Q1018" i="10"/>
  <c r="Q1019" i="10"/>
  <c r="Q1020" i="10"/>
  <c r="Q1021" i="10"/>
  <c r="Q1022" i="10"/>
  <c r="Q1023" i="10"/>
  <c r="Q1024" i="10"/>
  <c r="Q1025" i="10"/>
  <c r="Q1026" i="10"/>
  <c r="Q1027" i="10"/>
  <c r="Q1028" i="10"/>
  <c r="Q1029" i="10"/>
  <c r="Q1030" i="10"/>
  <c r="Q1031" i="10"/>
  <c r="Q1032" i="10"/>
  <c r="Q1033" i="10"/>
  <c r="Q1034" i="10"/>
  <c r="Q1035" i="10"/>
  <c r="Q1036" i="10"/>
  <c r="Q1037" i="10"/>
  <c r="Q1038" i="10"/>
  <c r="Q1039" i="10"/>
  <c r="Q1040" i="10"/>
  <c r="Q1041" i="10"/>
  <c r="Q1042" i="10"/>
  <c r="Q1043" i="10"/>
  <c r="Q1044" i="10"/>
  <c r="Q1045" i="10"/>
  <c r="Q1046" i="10"/>
  <c r="Q1047" i="10"/>
  <c r="Q1048" i="10"/>
  <c r="Q1049" i="10"/>
  <c r="Q1050" i="10"/>
  <c r="Q1051" i="10"/>
  <c r="Q1052" i="10"/>
  <c r="Q1053" i="10"/>
  <c r="Q1054" i="10"/>
  <c r="Q1055" i="10"/>
  <c r="Q1056" i="10"/>
  <c r="Q1057" i="10"/>
  <c r="Q1058" i="10"/>
  <c r="Q1059" i="10"/>
  <c r="Q1060" i="10"/>
  <c r="Q1061" i="10"/>
  <c r="Q1062" i="10"/>
  <c r="Q1063" i="10"/>
  <c r="Q1064" i="10"/>
  <c r="Q1065" i="10"/>
  <c r="Q1066" i="10"/>
  <c r="Q1067" i="10"/>
  <c r="Q1068" i="10"/>
  <c r="Q1069" i="10"/>
  <c r="Q1070" i="10"/>
  <c r="Q1071" i="10"/>
  <c r="Q1072" i="10"/>
  <c r="Q1073" i="10"/>
  <c r="Q1074" i="10"/>
  <c r="Q1075" i="10"/>
  <c r="Q1076" i="10"/>
  <c r="Q1077" i="10"/>
  <c r="Q1078" i="10"/>
  <c r="Q1079" i="10"/>
  <c r="Q1080" i="10"/>
  <c r="Q1081" i="10"/>
  <c r="Q1082" i="10"/>
  <c r="Q1083" i="10"/>
  <c r="Q1084" i="10"/>
  <c r="Q1085" i="10"/>
  <c r="Q1086" i="10"/>
  <c r="Q1087" i="10"/>
  <c r="Q1088" i="10"/>
  <c r="Q1089" i="10"/>
  <c r="Q1090" i="10"/>
  <c r="Q1091" i="10"/>
  <c r="Q1092" i="10"/>
  <c r="Q1093" i="10"/>
  <c r="Q1094" i="10"/>
  <c r="Q1095" i="10"/>
  <c r="Q1096" i="10"/>
  <c r="Q1097" i="10"/>
  <c r="Q1098" i="10"/>
  <c r="Q1099" i="10"/>
  <c r="Q1100" i="10"/>
  <c r="Q1101" i="10"/>
  <c r="Q1102" i="10"/>
  <c r="Q1103" i="10"/>
  <c r="Q1104" i="10"/>
  <c r="Q1105" i="10"/>
  <c r="Q1106" i="10"/>
  <c r="Q1107" i="10"/>
  <c r="Q1108" i="10"/>
  <c r="Q1109" i="10"/>
  <c r="Q1110" i="10"/>
  <c r="Q1111" i="10"/>
  <c r="Q1112" i="10"/>
  <c r="Q1113" i="10"/>
  <c r="Q1114" i="10"/>
  <c r="Q1115" i="10"/>
  <c r="Q1116" i="10"/>
  <c r="Q1117" i="10"/>
  <c r="Q1118" i="10"/>
  <c r="Q1119" i="10"/>
  <c r="Q1120" i="10"/>
  <c r="Q1121" i="10"/>
  <c r="Q1122" i="10"/>
  <c r="Q1123" i="10"/>
  <c r="Q1124" i="10"/>
  <c r="Q1125" i="10"/>
  <c r="Q1126" i="10"/>
  <c r="Q1127" i="10"/>
  <c r="Q1128" i="10"/>
  <c r="Q1129" i="10"/>
  <c r="Q1130" i="10"/>
  <c r="Q1131" i="10"/>
  <c r="Q1132" i="10"/>
  <c r="Q1133" i="10"/>
  <c r="Q1134" i="10"/>
  <c r="Q1135" i="10"/>
  <c r="Q1136" i="10"/>
  <c r="Q1137" i="10"/>
  <c r="Q1138" i="10"/>
  <c r="Q1139" i="10"/>
  <c r="Q1140" i="10"/>
  <c r="Q1141" i="10"/>
  <c r="Q1142" i="10"/>
  <c r="Q1143" i="10"/>
  <c r="Q1144" i="10"/>
  <c r="Q1145" i="10"/>
  <c r="Q1146" i="10"/>
  <c r="Q1147" i="10"/>
  <c r="Q1148" i="10"/>
  <c r="Q1149" i="10"/>
  <c r="Q1150" i="10"/>
  <c r="Q1151" i="10"/>
  <c r="Q1152" i="10"/>
  <c r="Q1153" i="10"/>
  <c r="Q1154" i="10"/>
  <c r="Q1155" i="10"/>
  <c r="Q1156" i="10"/>
  <c r="Q1157" i="10"/>
  <c r="Q1158" i="10"/>
  <c r="Q1159" i="10"/>
  <c r="Q1160" i="10"/>
  <c r="Q1161" i="10"/>
  <c r="Q1162" i="10"/>
  <c r="Q1163" i="10"/>
  <c r="Q1164" i="10"/>
  <c r="Q1165" i="10"/>
  <c r="Q1166" i="10"/>
  <c r="Q1167" i="10"/>
  <c r="Q1168" i="10"/>
  <c r="Q1169" i="10"/>
  <c r="Q1170" i="10"/>
  <c r="Q1171" i="10"/>
  <c r="Q1172" i="10"/>
  <c r="Q1173" i="10"/>
  <c r="Q1174" i="10"/>
  <c r="Q1175" i="10"/>
  <c r="Q1176" i="10"/>
  <c r="Q1177" i="10"/>
  <c r="Q1178" i="10"/>
  <c r="Q1179" i="10"/>
  <c r="Q1180" i="10"/>
  <c r="Q1181" i="10"/>
  <c r="Q1182" i="10"/>
  <c r="Q1183" i="10"/>
  <c r="Q1184" i="10"/>
  <c r="Q1185" i="10"/>
  <c r="Q1186" i="10"/>
  <c r="Q1187" i="10"/>
  <c r="Q1188" i="10"/>
  <c r="Q1189" i="10"/>
  <c r="Q1190" i="10"/>
  <c r="Q1191" i="10"/>
  <c r="Q1192" i="10"/>
  <c r="Q1193" i="10"/>
  <c r="Q1194" i="10"/>
  <c r="Q1195" i="10"/>
  <c r="Q1196" i="10"/>
  <c r="Q1197" i="10"/>
  <c r="Q1198" i="10"/>
  <c r="Q1199" i="10"/>
  <c r="Q1200" i="10"/>
  <c r="Q1201" i="10"/>
  <c r="Q1202" i="10"/>
  <c r="Q1203" i="10"/>
  <c r="Q1204" i="10"/>
  <c r="Q1205" i="10"/>
  <c r="Q1206" i="10"/>
  <c r="Q1207" i="10"/>
  <c r="Q1208" i="10"/>
  <c r="Q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35" i="10"/>
  <c r="O36" i="10"/>
  <c r="O37" i="10"/>
  <c r="O38" i="10"/>
  <c r="O39" i="10"/>
  <c r="O40" i="10"/>
  <c r="O41" i="10"/>
  <c r="O42" i="10"/>
  <c r="O43" i="10"/>
  <c r="O44" i="10"/>
  <c r="O45" i="10"/>
  <c r="O46" i="10"/>
  <c r="O47" i="10"/>
  <c r="O48" i="10"/>
  <c r="O49" i="10"/>
  <c r="O50" i="10"/>
  <c r="O51" i="10"/>
  <c r="O52" i="10"/>
  <c r="O53" i="10"/>
  <c r="O54" i="10"/>
  <c r="O55" i="10"/>
  <c r="O56" i="10"/>
  <c r="O57" i="10"/>
  <c r="O58" i="10"/>
  <c r="O59" i="10"/>
  <c r="O60" i="10"/>
  <c r="O61" i="10"/>
  <c r="O62" i="10"/>
  <c r="O63" i="10"/>
  <c r="O64" i="10"/>
  <c r="O65" i="10"/>
  <c r="O66" i="10"/>
  <c r="O67" i="10"/>
  <c r="O68" i="10"/>
  <c r="O69" i="10"/>
  <c r="O70" i="10"/>
  <c r="O71" i="10"/>
  <c r="O72" i="10"/>
  <c r="O73" i="10"/>
  <c r="O74" i="10"/>
  <c r="O75" i="10"/>
  <c r="O76" i="10"/>
  <c r="O77" i="10"/>
  <c r="O78" i="10"/>
  <c r="O79" i="10"/>
  <c r="O80" i="10"/>
  <c r="O81" i="10"/>
  <c r="O82" i="10"/>
  <c r="O83" i="10"/>
  <c r="O84" i="10"/>
  <c r="O85" i="10"/>
  <c r="O86" i="10"/>
  <c r="O87" i="10"/>
  <c r="O88" i="10"/>
  <c r="O89" i="10"/>
  <c r="O90" i="10"/>
  <c r="O91" i="10"/>
  <c r="O92" i="10"/>
  <c r="O93" i="10"/>
  <c r="O94" i="10"/>
  <c r="O95" i="10"/>
  <c r="O96" i="10"/>
  <c r="O97" i="10"/>
  <c r="O98" i="10"/>
  <c r="O99" i="10"/>
  <c r="O100" i="10"/>
  <c r="O101" i="10"/>
  <c r="O102" i="10"/>
  <c r="O103" i="10"/>
  <c r="O104" i="10"/>
  <c r="O105" i="10"/>
  <c r="O106" i="10"/>
  <c r="O107" i="10"/>
  <c r="O108" i="10"/>
  <c r="O109" i="10"/>
  <c r="O110" i="10"/>
  <c r="O111" i="10"/>
  <c r="O112" i="10"/>
  <c r="O113" i="10"/>
  <c r="O114" i="10"/>
  <c r="O115" i="10"/>
  <c r="O116" i="10"/>
  <c r="O117" i="10"/>
  <c r="O118" i="10"/>
  <c r="O119" i="10"/>
  <c r="O120" i="10"/>
  <c r="O121" i="10"/>
  <c r="O122" i="10"/>
  <c r="O123" i="10"/>
  <c r="O124" i="10"/>
  <c r="O125" i="10"/>
  <c r="O126" i="10"/>
  <c r="O127" i="10"/>
  <c r="O128" i="10"/>
  <c r="O129" i="10"/>
  <c r="O130" i="10"/>
  <c r="O131" i="10"/>
  <c r="O132" i="10"/>
  <c r="O133" i="10"/>
  <c r="O134" i="10"/>
  <c r="O135" i="10"/>
  <c r="O136" i="10"/>
  <c r="O137" i="10"/>
  <c r="O138" i="10"/>
  <c r="O139" i="10"/>
  <c r="O140" i="10"/>
  <c r="O141" i="10"/>
  <c r="O142" i="10"/>
  <c r="O143" i="10"/>
  <c r="O144" i="10"/>
  <c r="O145" i="10"/>
  <c r="O146" i="10"/>
  <c r="O147" i="10"/>
  <c r="O148" i="10"/>
  <c r="O149" i="10"/>
  <c r="O150" i="10"/>
  <c r="O151" i="10"/>
  <c r="O152" i="10"/>
  <c r="O153" i="10"/>
  <c r="O154" i="10"/>
  <c r="O155" i="10"/>
  <c r="O156" i="10"/>
  <c r="O157" i="10"/>
  <c r="O158" i="10"/>
  <c r="O159" i="10"/>
  <c r="O160" i="10"/>
  <c r="O161" i="10"/>
  <c r="O162" i="10"/>
  <c r="O163" i="10"/>
  <c r="O164" i="10"/>
  <c r="O165" i="10"/>
  <c r="O166" i="10"/>
  <c r="O167" i="10"/>
  <c r="O168" i="10"/>
  <c r="O169" i="10"/>
  <c r="O170" i="10"/>
  <c r="O171" i="10"/>
  <c r="O172" i="10"/>
  <c r="O173" i="10"/>
  <c r="O174" i="10"/>
  <c r="O175" i="10"/>
  <c r="O176" i="10"/>
  <c r="O177" i="10"/>
  <c r="O178" i="10"/>
  <c r="O179" i="10"/>
  <c r="O180" i="10"/>
  <c r="O181" i="10"/>
  <c r="O182" i="10"/>
  <c r="O183" i="10"/>
  <c r="O184" i="10"/>
  <c r="O185" i="10"/>
  <c r="O186" i="10"/>
  <c r="O187" i="10"/>
  <c r="O188" i="10"/>
  <c r="O189" i="10"/>
  <c r="O190" i="10"/>
  <c r="O191" i="10"/>
  <c r="O192" i="10"/>
  <c r="O193" i="10"/>
  <c r="O194" i="10"/>
  <c r="O195" i="10"/>
  <c r="O196" i="10"/>
  <c r="O197" i="10"/>
  <c r="O198" i="10"/>
  <c r="O199" i="10"/>
  <c r="O200" i="10"/>
  <c r="O201" i="10"/>
  <c r="O202" i="10"/>
  <c r="O203" i="10"/>
  <c r="O204" i="10"/>
  <c r="O205" i="10"/>
  <c r="O206" i="10"/>
  <c r="O207" i="10"/>
  <c r="O208" i="10"/>
  <c r="O209" i="10"/>
  <c r="O210" i="10"/>
  <c r="O211" i="10"/>
  <c r="O212" i="10"/>
  <c r="O213" i="10"/>
  <c r="O214" i="10"/>
  <c r="O215" i="10"/>
  <c r="O216" i="10"/>
  <c r="O217" i="10"/>
  <c r="O218" i="10"/>
  <c r="O219" i="10"/>
  <c r="O220" i="10"/>
  <c r="O221" i="10"/>
  <c r="O222" i="10"/>
  <c r="O223" i="10"/>
  <c r="O224" i="10"/>
  <c r="O225" i="10"/>
  <c r="O226" i="10"/>
  <c r="O227" i="10"/>
  <c r="O228" i="10"/>
  <c r="O229" i="10"/>
  <c r="O230" i="10"/>
  <c r="O231" i="10"/>
  <c r="O232" i="10"/>
  <c r="O233" i="10"/>
  <c r="O234" i="10"/>
  <c r="O235" i="10"/>
  <c r="O236" i="10"/>
  <c r="O237" i="10"/>
  <c r="O238" i="10"/>
  <c r="O239" i="10"/>
  <c r="O240" i="10"/>
  <c r="O241" i="10"/>
  <c r="O242" i="10"/>
  <c r="O243" i="10"/>
  <c r="O244" i="10"/>
  <c r="O245" i="10"/>
  <c r="O246" i="10"/>
  <c r="O247" i="10"/>
  <c r="O248" i="10"/>
  <c r="O249" i="10"/>
  <c r="O250" i="10"/>
  <c r="O251" i="10"/>
  <c r="O252" i="10"/>
  <c r="O253" i="10"/>
  <c r="O254" i="10"/>
  <c r="O255" i="10"/>
  <c r="O256" i="10"/>
  <c r="O257" i="10"/>
  <c r="O258" i="10"/>
  <c r="O259" i="10"/>
  <c r="O260" i="10"/>
  <c r="O261" i="10"/>
  <c r="O262" i="10"/>
  <c r="O263" i="10"/>
  <c r="O264" i="10"/>
  <c r="O265" i="10"/>
  <c r="O266" i="10"/>
  <c r="O267" i="10"/>
  <c r="O268" i="10"/>
  <c r="O269" i="10"/>
  <c r="O270" i="10"/>
  <c r="O271" i="10"/>
  <c r="O272" i="10"/>
  <c r="O273" i="10"/>
  <c r="O274" i="10"/>
  <c r="O275" i="10"/>
  <c r="O276" i="10"/>
  <c r="O277" i="10"/>
  <c r="O278" i="10"/>
  <c r="O279" i="10"/>
  <c r="O280" i="10"/>
  <c r="O281" i="10"/>
  <c r="O282" i="10"/>
  <c r="O283" i="10"/>
  <c r="O284" i="10"/>
  <c r="O285" i="10"/>
  <c r="O286" i="10"/>
  <c r="O287" i="10"/>
  <c r="O288" i="10"/>
  <c r="O289" i="10"/>
  <c r="O290" i="10"/>
  <c r="O291" i="10"/>
  <c r="O292" i="10"/>
  <c r="O293" i="10"/>
  <c r="O294" i="10"/>
  <c r="O295" i="10"/>
  <c r="O296" i="10"/>
  <c r="O297" i="10"/>
  <c r="O298" i="10"/>
  <c r="O299" i="10"/>
  <c r="O300" i="10"/>
  <c r="O301" i="10"/>
  <c r="O302" i="10"/>
  <c r="O303" i="10"/>
  <c r="O304" i="10"/>
  <c r="O305" i="10"/>
  <c r="O306" i="10"/>
  <c r="O307" i="10"/>
  <c r="O308" i="10"/>
  <c r="O309" i="10"/>
  <c r="O310" i="10"/>
  <c r="O311" i="10"/>
  <c r="O312" i="10"/>
  <c r="O313" i="10"/>
  <c r="O314" i="10"/>
  <c r="O315" i="10"/>
  <c r="O316" i="10"/>
  <c r="O317" i="10"/>
  <c r="O318" i="10"/>
  <c r="O319" i="10"/>
  <c r="O320" i="10"/>
  <c r="O321" i="10"/>
  <c r="O322" i="10"/>
  <c r="O323" i="10"/>
  <c r="O324" i="10"/>
  <c r="O325" i="10"/>
  <c r="O326" i="10"/>
  <c r="O327" i="10"/>
  <c r="O328" i="10"/>
  <c r="O329" i="10"/>
  <c r="O330" i="10"/>
  <c r="O331" i="10"/>
  <c r="O332" i="10"/>
  <c r="O333" i="10"/>
  <c r="O334" i="10"/>
  <c r="O335" i="10"/>
  <c r="O336" i="10"/>
  <c r="O337" i="10"/>
  <c r="O338" i="10"/>
  <c r="O339" i="10"/>
  <c r="O340" i="10"/>
  <c r="O341" i="10"/>
  <c r="O342" i="10"/>
  <c r="O343" i="10"/>
  <c r="O344" i="10"/>
  <c r="O345" i="10"/>
  <c r="O346" i="10"/>
  <c r="O347" i="10"/>
  <c r="O348" i="10"/>
  <c r="O349" i="10"/>
  <c r="O350" i="10"/>
  <c r="O351" i="10"/>
  <c r="O352" i="10"/>
  <c r="O353" i="10"/>
  <c r="O354" i="10"/>
  <c r="O355" i="10"/>
  <c r="O356" i="10"/>
  <c r="O357" i="10"/>
  <c r="O358" i="10"/>
  <c r="O359" i="10"/>
  <c r="O360" i="10"/>
  <c r="O361" i="10"/>
  <c r="O362" i="10"/>
  <c r="O363" i="10"/>
  <c r="O364" i="10"/>
  <c r="O365" i="10"/>
  <c r="O366" i="10"/>
  <c r="O367" i="10"/>
  <c r="O368" i="10"/>
  <c r="O369" i="10"/>
  <c r="O370" i="10"/>
  <c r="O371" i="10"/>
  <c r="O372" i="10"/>
  <c r="O373" i="10"/>
  <c r="O374" i="10"/>
  <c r="O375" i="10"/>
  <c r="O376" i="10"/>
  <c r="O377" i="10"/>
  <c r="O378" i="10"/>
  <c r="O379" i="10"/>
  <c r="O380" i="10"/>
  <c r="O381" i="10"/>
  <c r="O382" i="10"/>
  <c r="O383" i="10"/>
  <c r="O384" i="10"/>
  <c r="O385" i="10"/>
  <c r="O386" i="10"/>
  <c r="O387" i="10"/>
  <c r="O388" i="10"/>
  <c r="O389" i="10"/>
  <c r="O390" i="10"/>
  <c r="O391" i="10"/>
  <c r="O392" i="10"/>
  <c r="O393" i="10"/>
  <c r="O394" i="10"/>
  <c r="O395" i="10"/>
  <c r="O396" i="10"/>
  <c r="O397" i="10"/>
  <c r="O398" i="10"/>
  <c r="O399" i="10"/>
  <c r="O400" i="10"/>
  <c r="O401" i="10"/>
  <c r="O402" i="10"/>
  <c r="O403" i="10"/>
  <c r="O404" i="10"/>
  <c r="O405" i="10"/>
  <c r="O406" i="10"/>
  <c r="O407" i="10"/>
  <c r="O408" i="10"/>
  <c r="O409" i="10"/>
  <c r="O410" i="10"/>
  <c r="O411" i="10"/>
  <c r="O412" i="10"/>
  <c r="O413" i="10"/>
  <c r="O414" i="10"/>
  <c r="O415" i="10"/>
  <c r="O416" i="10"/>
  <c r="O417" i="10"/>
  <c r="O418" i="10"/>
  <c r="O419" i="10"/>
  <c r="O420" i="10"/>
  <c r="O421" i="10"/>
  <c r="O422" i="10"/>
  <c r="O423" i="10"/>
  <c r="O424" i="10"/>
  <c r="O425" i="10"/>
  <c r="O426" i="10"/>
  <c r="O427" i="10"/>
  <c r="O428" i="10"/>
  <c r="O429" i="10"/>
  <c r="O430" i="10"/>
  <c r="O431" i="10"/>
  <c r="O432" i="10"/>
  <c r="O433" i="10"/>
  <c r="O434" i="10"/>
  <c r="O435" i="10"/>
  <c r="O436" i="10"/>
  <c r="O437" i="10"/>
  <c r="O438" i="10"/>
  <c r="O439" i="10"/>
  <c r="O440" i="10"/>
  <c r="O441" i="10"/>
  <c r="O442" i="10"/>
  <c r="O443" i="10"/>
  <c r="O444" i="10"/>
  <c r="O445" i="10"/>
  <c r="O446" i="10"/>
  <c r="O447" i="10"/>
  <c r="O448" i="10"/>
  <c r="O449" i="10"/>
  <c r="O450" i="10"/>
  <c r="O451" i="10"/>
  <c r="O452" i="10"/>
  <c r="O453" i="10"/>
  <c r="O454" i="10"/>
  <c r="O455" i="10"/>
  <c r="O456" i="10"/>
  <c r="O457" i="10"/>
  <c r="O458" i="10"/>
  <c r="O459" i="10"/>
  <c r="O460" i="10"/>
  <c r="O461" i="10"/>
  <c r="O462" i="10"/>
  <c r="O463" i="10"/>
  <c r="O464" i="10"/>
  <c r="O465" i="10"/>
  <c r="O466" i="10"/>
  <c r="O467" i="10"/>
  <c r="O468" i="10"/>
  <c r="O469" i="10"/>
  <c r="O470" i="10"/>
  <c r="O471" i="10"/>
  <c r="O472" i="10"/>
  <c r="O473" i="10"/>
  <c r="O474" i="10"/>
  <c r="O475" i="10"/>
  <c r="O476" i="10"/>
  <c r="O477" i="10"/>
  <c r="O478" i="10"/>
  <c r="O479" i="10"/>
  <c r="O480" i="10"/>
  <c r="O481" i="10"/>
  <c r="O482" i="10"/>
  <c r="O483" i="10"/>
  <c r="O484" i="10"/>
  <c r="O485" i="10"/>
  <c r="O486" i="10"/>
  <c r="O487" i="10"/>
  <c r="O488" i="10"/>
  <c r="O489" i="10"/>
  <c r="O490" i="10"/>
  <c r="O491" i="10"/>
  <c r="O492" i="10"/>
  <c r="O493" i="10"/>
  <c r="O494" i="10"/>
  <c r="O495" i="10"/>
  <c r="O496" i="10"/>
  <c r="O497" i="10"/>
  <c r="O498" i="10"/>
  <c r="O499" i="10"/>
  <c r="O500" i="10"/>
  <c r="O501" i="10"/>
  <c r="O502" i="10"/>
  <c r="O503" i="10"/>
  <c r="O504" i="10"/>
  <c r="O505" i="10"/>
  <c r="O506" i="10"/>
  <c r="O507" i="10"/>
  <c r="O508" i="10"/>
  <c r="O509" i="10"/>
  <c r="O510" i="10"/>
  <c r="O511" i="10"/>
  <c r="O512" i="10"/>
  <c r="O513" i="10"/>
  <c r="O514" i="10"/>
  <c r="O515" i="10"/>
  <c r="O516" i="10"/>
  <c r="O517" i="10"/>
  <c r="O518" i="10"/>
  <c r="O519" i="10"/>
  <c r="O520" i="10"/>
  <c r="O521" i="10"/>
  <c r="O522" i="10"/>
  <c r="O523" i="10"/>
  <c r="O524" i="10"/>
  <c r="O525" i="10"/>
  <c r="O526" i="10"/>
  <c r="O527" i="10"/>
  <c r="O528" i="10"/>
  <c r="O529" i="10"/>
  <c r="O530" i="10"/>
  <c r="O531" i="10"/>
  <c r="O532" i="10"/>
  <c r="O533" i="10"/>
  <c r="O534" i="10"/>
  <c r="O535" i="10"/>
  <c r="O536" i="10"/>
  <c r="O537" i="10"/>
  <c r="O538" i="10"/>
  <c r="O539" i="10"/>
  <c r="O540" i="10"/>
  <c r="O541" i="10"/>
  <c r="O542" i="10"/>
  <c r="O543" i="10"/>
  <c r="O544" i="10"/>
  <c r="O545" i="10"/>
  <c r="O546" i="10"/>
  <c r="O547" i="10"/>
  <c r="O548" i="10"/>
  <c r="O549" i="10"/>
  <c r="O550" i="10"/>
  <c r="O551" i="10"/>
  <c r="O552" i="10"/>
  <c r="O553" i="10"/>
  <c r="O554" i="10"/>
  <c r="O555" i="10"/>
  <c r="O556" i="10"/>
  <c r="O557" i="10"/>
  <c r="O558" i="10"/>
  <c r="O559" i="10"/>
  <c r="O560" i="10"/>
  <c r="O561" i="10"/>
  <c r="O562" i="10"/>
  <c r="O563" i="10"/>
  <c r="O564" i="10"/>
  <c r="O565" i="10"/>
  <c r="O566" i="10"/>
  <c r="O567" i="10"/>
  <c r="O568" i="10"/>
  <c r="O569" i="10"/>
  <c r="O570" i="10"/>
  <c r="O571" i="10"/>
  <c r="O572" i="10"/>
  <c r="O573" i="10"/>
  <c r="O574" i="10"/>
  <c r="O575" i="10"/>
  <c r="O576" i="10"/>
  <c r="O577" i="10"/>
  <c r="O578" i="10"/>
  <c r="O579" i="10"/>
  <c r="O580" i="10"/>
  <c r="O581" i="10"/>
  <c r="O582" i="10"/>
  <c r="O583" i="10"/>
  <c r="O584" i="10"/>
  <c r="O585" i="10"/>
  <c r="O586" i="10"/>
  <c r="O587" i="10"/>
  <c r="O588" i="10"/>
  <c r="O589" i="10"/>
  <c r="O590" i="10"/>
  <c r="O591" i="10"/>
  <c r="O592" i="10"/>
  <c r="O593" i="10"/>
  <c r="O594" i="10"/>
  <c r="O595" i="10"/>
  <c r="O596" i="10"/>
  <c r="O597" i="10"/>
  <c r="O598" i="10"/>
  <c r="O599" i="10"/>
  <c r="O600" i="10"/>
  <c r="O601" i="10"/>
  <c r="O602" i="10"/>
  <c r="O603" i="10"/>
  <c r="O604" i="10"/>
  <c r="O605" i="10"/>
  <c r="O606" i="10"/>
  <c r="O607" i="10"/>
  <c r="O608" i="10"/>
  <c r="O609" i="10"/>
  <c r="O610" i="10"/>
  <c r="O611" i="10"/>
  <c r="O612" i="10"/>
  <c r="O613" i="10"/>
  <c r="O614" i="10"/>
  <c r="O615" i="10"/>
  <c r="O616" i="10"/>
  <c r="O617" i="10"/>
  <c r="O618" i="10"/>
  <c r="O619" i="10"/>
  <c r="O620" i="10"/>
  <c r="O621" i="10"/>
  <c r="O622" i="10"/>
  <c r="O623" i="10"/>
  <c r="O624" i="10"/>
  <c r="O625" i="10"/>
  <c r="O626" i="10"/>
  <c r="O627" i="10"/>
  <c r="O628" i="10"/>
  <c r="O629" i="10"/>
  <c r="O630" i="10"/>
  <c r="O631" i="10"/>
  <c r="O632" i="10"/>
  <c r="O633" i="10"/>
  <c r="O634" i="10"/>
  <c r="O635" i="10"/>
  <c r="O636" i="10"/>
  <c r="O637" i="10"/>
  <c r="O638" i="10"/>
  <c r="O639" i="10"/>
  <c r="O640" i="10"/>
  <c r="O641" i="10"/>
  <c r="O642" i="10"/>
  <c r="O643" i="10"/>
  <c r="O644" i="10"/>
  <c r="O645" i="10"/>
  <c r="O646" i="10"/>
  <c r="O647" i="10"/>
  <c r="O648" i="10"/>
  <c r="O649" i="10"/>
  <c r="O650" i="10"/>
  <c r="O651" i="10"/>
  <c r="O652" i="10"/>
  <c r="O653" i="10"/>
  <c r="O654" i="10"/>
  <c r="O655" i="10"/>
  <c r="O656" i="10"/>
  <c r="O657" i="10"/>
  <c r="O658" i="10"/>
  <c r="O659" i="10"/>
  <c r="O660" i="10"/>
  <c r="O661" i="10"/>
  <c r="O662" i="10"/>
  <c r="O663" i="10"/>
  <c r="O664" i="10"/>
  <c r="O665" i="10"/>
  <c r="O666" i="10"/>
  <c r="O667" i="10"/>
  <c r="O668" i="10"/>
  <c r="O669" i="10"/>
  <c r="O670" i="10"/>
  <c r="O671" i="10"/>
  <c r="O672" i="10"/>
  <c r="O673" i="10"/>
  <c r="O674" i="10"/>
  <c r="O675" i="10"/>
  <c r="O676" i="10"/>
  <c r="O677" i="10"/>
  <c r="O678" i="10"/>
  <c r="O679" i="10"/>
  <c r="O680" i="10"/>
  <c r="O681" i="10"/>
  <c r="O682" i="10"/>
  <c r="O683" i="10"/>
  <c r="O684" i="10"/>
  <c r="O685" i="10"/>
  <c r="O686" i="10"/>
  <c r="O687" i="10"/>
  <c r="O688" i="10"/>
  <c r="O689" i="10"/>
  <c r="O690" i="10"/>
  <c r="O691" i="10"/>
  <c r="O692" i="10"/>
  <c r="O693" i="10"/>
  <c r="O694" i="10"/>
  <c r="O695" i="10"/>
  <c r="O696" i="10"/>
  <c r="O697" i="10"/>
  <c r="O698" i="10"/>
  <c r="O699" i="10"/>
  <c r="O700" i="10"/>
  <c r="O701" i="10"/>
  <c r="O702" i="10"/>
  <c r="O703" i="10"/>
  <c r="O704" i="10"/>
  <c r="O705" i="10"/>
  <c r="O706" i="10"/>
  <c r="O707" i="10"/>
  <c r="O708" i="10"/>
  <c r="O709" i="10"/>
  <c r="O710" i="10"/>
  <c r="O711" i="10"/>
  <c r="O712" i="10"/>
  <c r="O713" i="10"/>
  <c r="O714" i="10"/>
  <c r="O715" i="10"/>
  <c r="O716" i="10"/>
  <c r="O717" i="10"/>
  <c r="O718" i="10"/>
  <c r="O719" i="10"/>
  <c r="O720" i="10"/>
  <c r="O721" i="10"/>
  <c r="O722" i="10"/>
  <c r="O723" i="10"/>
  <c r="O724" i="10"/>
  <c r="O725" i="10"/>
  <c r="O726" i="10"/>
  <c r="O727" i="10"/>
  <c r="O728" i="10"/>
  <c r="O729" i="10"/>
  <c r="O730" i="10"/>
  <c r="O731" i="10"/>
  <c r="O732" i="10"/>
  <c r="O733" i="10"/>
  <c r="O734" i="10"/>
  <c r="O735" i="10"/>
  <c r="O736" i="10"/>
  <c r="O737" i="10"/>
  <c r="O738" i="10"/>
  <c r="O739" i="10"/>
  <c r="O740" i="10"/>
  <c r="O741" i="10"/>
  <c r="O742" i="10"/>
  <c r="O743" i="10"/>
  <c r="O744" i="10"/>
  <c r="O745" i="10"/>
  <c r="O746" i="10"/>
  <c r="O747" i="10"/>
  <c r="O748" i="10"/>
  <c r="O749" i="10"/>
  <c r="O750" i="10"/>
  <c r="O751" i="10"/>
  <c r="O752" i="10"/>
  <c r="O753" i="10"/>
  <c r="O754" i="10"/>
  <c r="O755" i="10"/>
  <c r="O756" i="10"/>
  <c r="O757" i="10"/>
  <c r="O758" i="10"/>
  <c r="O759" i="10"/>
  <c r="O760" i="10"/>
  <c r="O761" i="10"/>
  <c r="O762" i="10"/>
  <c r="O763" i="10"/>
  <c r="O764" i="10"/>
  <c r="O765" i="10"/>
  <c r="O766" i="10"/>
  <c r="O767" i="10"/>
  <c r="O768" i="10"/>
  <c r="O769" i="10"/>
  <c r="O770" i="10"/>
  <c r="O771" i="10"/>
  <c r="O772" i="10"/>
  <c r="O773" i="10"/>
  <c r="O774" i="10"/>
  <c r="O775" i="10"/>
  <c r="O776" i="10"/>
  <c r="O777" i="10"/>
  <c r="O778" i="10"/>
  <c r="O779" i="10"/>
  <c r="O780" i="10"/>
  <c r="O781" i="10"/>
  <c r="O782" i="10"/>
  <c r="O783" i="10"/>
  <c r="O784" i="10"/>
  <c r="O785" i="10"/>
  <c r="O786" i="10"/>
  <c r="O787" i="10"/>
  <c r="O788" i="10"/>
  <c r="O789" i="10"/>
  <c r="O790" i="10"/>
  <c r="O791" i="10"/>
  <c r="O792" i="10"/>
  <c r="O793" i="10"/>
  <c r="O794" i="10"/>
  <c r="O795" i="10"/>
  <c r="O796" i="10"/>
  <c r="O797" i="10"/>
  <c r="O798" i="10"/>
  <c r="O799" i="10"/>
  <c r="O800" i="10"/>
  <c r="O801" i="10"/>
  <c r="O802" i="10"/>
  <c r="O803" i="10"/>
  <c r="O804" i="10"/>
  <c r="O805" i="10"/>
  <c r="O806" i="10"/>
  <c r="O807" i="10"/>
  <c r="O808" i="10"/>
  <c r="O809" i="10"/>
  <c r="O810" i="10"/>
  <c r="O811" i="10"/>
  <c r="O812" i="10"/>
  <c r="O813" i="10"/>
  <c r="O814" i="10"/>
  <c r="O815" i="10"/>
  <c r="O816" i="10"/>
  <c r="O817" i="10"/>
  <c r="O818" i="10"/>
  <c r="O819" i="10"/>
  <c r="O820" i="10"/>
  <c r="O821" i="10"/>
  <c r="O822" i="10"/>
  <c r="O823" i="10"/>
  <c r="O824" i="10"/>
  <c r="O825" i="10"/>
  <c r="O826" i="10"/>
  <c r="O827" i="10"/>
  <c r="O828" i="10"/>
  <c r="O829" i="10"/>
  <c r="O830" i="10"/>
  <c r="O831" i="10"/>
  <c r="O832" i="10"/>
  <c r="O833" i="10"/>
  <c r="O834" i="10"/>
  <c r="O835" i="10"/>
  <c r="O836" i="10"/>
  <c r="O837" i="10"/>
  <c r="O838" i="10"/>
  <c r="O839" i="10"/>
  <c r="O840" i="10"/>
  <c r="O841" i="10"/>
  <c r="O842" i="10"/>
  <c r="O843" i="10"/>
  <c r="O844" i="10"/>
  <c r="O845" i="10"/>
  <c r="O846" i="10"/>
  <c r="O847" i="10"/>
  <c r="O848" i="10"/>
  <c r="O849" i="10"/>
  <c r="O850" i="10"/>
  <c r="O851" i="10"/>
  <c r="O852" i="10"/>
  <c r="O853" i="10"/>
  <c r="O854" i="10"/>
  <c r="O855" i="10"/>
  <c r="O856" i="10"/>
  <c r="O857" i="10"/>
  <c r="O858" i="10"/>
  <c r="O859" i="10"/>
  <c r="O860" i="10"/>
  <c r="O861" i="10"/>
  <c r="O862" i="10"/>
  <c r="O863" i="10"/>
  <c r="O864" i="10"/>
  <c r="O865" i="10"/>
  <c r="O866" i="10"/>
  <c r="O867" i="10"/>
  <c r="O868" i="10"/>
  <c r="O869" i="10"/>
  <c r="O870" i="10"/>
  <c r="O871" i="10"/>
  <c r="O872" i="10"/>
  <c r="O873" i="10"/>
  <c r="O874" i="10"/>
  <c r="O875" i="10"/>
  <c r="O876" i="10"/>
  <c r="O877" i="10"/>
  <c r="O878" i="10"/>
  <c r="O879" i="10"/>
  <c r="O880" i="10"/>
  <c r="O881" i="10"/>
  <c r="O882" i="10"/>
  <c r="O883" i="10"/>
  <c r="O884" i="10"/>
  <c r="O885" i="10"/>
  <c r="O886" i="10"/>
  <c r="O887" i="10"/>
  <c r="O888" i="10"/>
  <c r="O889" i="10"/>
  <c r="O890" i="10"/>
  <c r="O891" i="10"/>
  <c r="O892" i="10"/>
  <c r="O893" i="10"/>
  <c r="O894" i="10"/>
  <c r="O895" i="10"/>
  <c r="O896" i="10"/>
  <c r="O897" i="10"/>
  <c r="O898" i="10"/>
  <c r="O899" i="10"/>
  <c r="O900" i="10"/>
  <c r="O901" i="10"/>
  <c r="O902" i="10"/>
  <c r="O903" i="10"/>
  <c r="O904" i="10"/>
  <c r="O905" i="10"/>
  <c r="O906" i="10"/>
  <c r="O907" i="10"/>
  <c r="O908" i="10"/>
  <c r="O909" i="10"/>
  <c r="O910" i="10"/>
  <c r="O911" i="10"/>
  <c r="O912" i="10"/>
  <c r="O913" i="10"/>
  <c r="O914" i="10"/>
  <c r="O915" i="10"/>
  <c r="O916" i="10"/>
  <c r="O917" i="10"/>
  <c r="O918" i="10"/>
  <c r="O919" i="10"/>
  <c r="O920" i="10"/>
  <c r="O921" i="10"/>
  <c r="O922" i="10"/>
  <c r="O923" i="10"/>
  <c r="O924" i="10"/>
  <c r="O925" i="10"/>
  <c r="O926" i="10"/>
  <c r="O927" i="10"/>
  <c r="O928" i="10"/>
  <c r="O929" i="10"/>
  <c r="O930" i="10"/>
  <c r="O931" i="10"/>
  <c r="O932" i="10"/>
  <c r="O933" i="10"/>
  <c r="O934" i="10"/>
  <c r="O935" i="10"/>
  <c r="O936" i="10"/>
  <c r="O937" i="10"/>
  <c r="O938" i="10"/>
  <c r="O939" i="10"/>
  <c r="O940" i="10"/>
  <c r="O941" i="10"/>
  <c r="O942" i="10"/>
  <c r="O943" i="10"/>
  <c r="O944" i="10"/>
  <c r="O945" i="10"/>
  <c r="O946" i="10"/>
  <c r="O947" i="10"/>
  <c r="O948" i="10"/>
  <c r="O949" i="10"/>
  <c r="O950" i="10"/>
  <c r="O951" i="10"/>
  <c r="O952" i="10"/>
  <c r="O953" i="10"/>
  <c r="O954" i="10"/>
  <c r="O955" i="10"/>
  <c r="O956" i="10"/>
  <c r="O957" i="10"/>
  <c r="O958" i="10"/>
  <c r="O959" i="10"/>
  <c r="O960" i="10"/>
  <c r="O961" i="10"/>
  <c r="O962" i="10"/>
  <c r="O963" i="10"/>
  <c r="O964" i="10"/>
  <c r="O965" i="10"/>
  <c r="O966" i="10"/>
  <c r="O967" i="10"/>
  <c r="O968" i="10"/>
  <c r="O969" i="10"/>
  <c r="O970" i="10"/>
  <c r="O971" i="10"/>
  <c r="O972" i="10"/>
  <c r="O973" i="10"/>
  <c r="O974" i="10"/>
  <c r="O975" i="10"/>
  <c r="O976" i="10"/>
  <c r="O977" i="10"/>
  <c r="O978" i="10"/>
  <c r="O979" i="10"/>
  <c r="O980" i="10"/>
  <c r="O981" i="10"/>
  <c r="O982" i="10"/>
  <c r="O983" i="10"/>
  <c r="O984" i="10"/>
  <c r="O985" i="10"/>
  <c r="O986" i="10"/>
  <c r="O987" i="10"/>
  <c r="O988" i="10"/>
  <c r="O989" i="10"/>
  <c r="O990" i="10"/>
  <c r="O991" i="10"/>
  <c r="O992" i="10"/>
  <c r="O993" i="10"/>
  <c r="O994" i="10"/>
  <c r="O995" i="10"/>
  <c r="O996" i="10"/>
  <c r="O997" i="10"/>
  <c r="O998" i="10"/>
  <c r="O999" i="10"/>
  <c r="O1000" i="10"/>
  <c r="O1001" i="10"/>
  <c r="O1002" i="10"/>
  <c r="O1003" i="10"/>
  <c r="O1004" i="10"/>
  <c r="O1005" i="10"/>
  <c r="O1006" i="10"/>
  <c r="O1007" i="10"/>
  <c r="O1008" i="10"/>
  <c r="O1009" i="10"/>
  <c r="O1010" i="10"/>
  <c r="O1011" i="10"/>
  <c r="O1012" i="10"/>
  <c r="O1013" i="10"/>
  <c r="O1014" i="10"/>
  <c r="O1015" i="10"/>
  <c r="O1016" i="10"/>
  <c r="O1017" i="10"/>
  <c r="O1018" i="10"/>
  <c r="O1019" i="10"/>
  <c r="O1020" i="10"/>
  <c r="O1021" i="10"/>
  <c r="O1022" i="10"/>
  <c r="O1023" i="10"/>
  <c r="O1024" i="10"/>
  <c r="O1025" i="10"/>
  <c r="O1026" i="10"/>
  <c r="O1027" i="10"/>
  <c r="O1028" i="10"/>
  <c r="O1029" i="10"/>
  <c r="O1030" i="10"/>
  <c r="O1031" i="10"/>
  <c r="O1032" i="10"/>
  <c r="O1033" i="10"/>
  <c r="O1034" i="10"/>
  <c r="O1035" i="10"/>
  <c r="O1036" i="10"/>
  <c r="O1037" i="10"/>
  <c r="O1038" i="10"/>
  <c r="O1039" i="10"/>
  <c r="O1040" i="10"/>
  <c r="O1041" i="10"/>
  <c r="O1042" i="10"/>
  <c r="O1043" i="10"/>
  <c r="O1044" i="10"/>
  <c r="O1045" i="10"/>
  <c r="O1046" i="10"/>
  <c r="O1047" i="10"/>
  <c r="O1048" i="10"/>
  <c r="O1049" i="10"/>
  <c r="O1050" i="10"/>
  <c r="O1051" i="10"/>
  <c r="O1052" i="10"/>
  <c r="O1053" i="10"/>
  <c r="O1054" i="10"/>
  <c r="O1055" i="10"/>
  <c r="O1056" i="10"/>
  <c r="O1057" i="10"/>
  <c r="O1058" i="10"/>
  <c r="O1059" i="10"/>
  <c r="O1060" i="10"/>
  <c r="O1061" i="10"/>
  <c r="O1062" i="10"/>
  <c r="O1063" i="10"/>
  <c r="O1064" i="10"/>
  <c r="O1065" i="10"/>
  <c r="O1066" i="10"/>
  <c r="O1067" i="10"/>
  <c r="O1068" i="10"/>
  <c r="O1069" i="10"/>
  <c r="O1070" i="10"/>
  <c r="O1071" i="10"/>
  <c r="O1072" i="10"/>
  <c r="O1073" i="10"/>
  <c r="O1074" i="10"/>
  <c r="O1075" i="10"/>
  <c r="O1076" i="10"/>
  <c r="O1077" i="10"/>
  <c r="O1078" i="10"/>
  <c r="O1079" i="10"/>
  <c r="O1080" i="10"/>
  <c r="O1081" i="10"/>
  <c r="O1082" i="10"/>
  <c r="O1083" i="10"/>
  <c r="O1084" i="10"/>
  <c r="O1085" i="10"/>
  <c r="O1086" i="10"/>
  <c r="O1087" i="10"/>
  <c r="O1088" i="10"/>
  <c r="O1089" i="10"/>
  <c r="O1090" i="10"/>
  <c r="O1091" i="10"/>
  <c r="O1092" i="10"/>
  <c r="O1093" i="10"/>
  <c r="O1094" i="10"/>
  <c r="O1095" i="10"/>
  <c r="O1096" i="10"/>
  <c r="O1097" i="10"/>
  <c r="O1098" i="10"/>
  <c r="O1099" i="10"/>
  <c r="O1100" i="10"/>
  <c r="O1101" i="10"/>
  <c r="O1102" i="10"/>
  <c r="O1103" i="10"/>
  <c r="O1104" i="10"/>
  <c r="O1105" i="10"/>
  <c r="O1106" i="10"/>
  <c r="O1107" i="10"/>
  <c r="O1108" i="10"/>
  <c r="O1109" i="10"/>
  <c r="O1110" i="10"/>
  <c r="O1111" i="10"/>
  <c r="O1112" i="10"/>
  <c r="O1113" i="10"/>
  <c r="O1114" i="10"/>
  <c r="O1115" i="10"/>
  <c r="O1116" i="10"/>
  <c r="O1117" i="10"/>
  <c r="O1118" i="10"/>
  <c r="O1119" i="10"/>
  <c r="O1120" i="10"/>
  <c r="O1121" i="10"/>
  <c r="O1122" i="10"/>
  <c r="O1123" i="10"/>
  <c r="O1124" i="10"/>
  <c r="O1125" i="10"/>
  <c r="O1126" i="10"/>
  <c r="O1127" i="10"/>
  <c r="O1128" i="10"/>
  <c r="O1129" i="10"/>
  <c r="O1130" i="10"/>
  <c r="O1131" i="10"/>
  <c r="O1132" i="10"/>
  <c r="O1133" i="10"/>
  <c r="O1134" i="10"/>
  <c r="O1135" i="10"/>
  <c r="O1136" i="10"/>
  <c r="O1137" i="10"/>
  <c r="O1138" i="10"/>
  <c r="O1139" i="10"/>
  <c r="O1140" i="10"/>
  <c r="O1141" i="10"/>
  <c r="O1142" i="10"/>
  <c r="O1143" i="10"/>
  <c r="O1144" i="10"/>
  <c r="O1145" i="10"/>
  <c r="O1146" i="10"/>
  <c r="O1147" i="10"/>
  <c r="O1148" i="10"/>
  <c r="O1149" i="10"/>
  <c r="O1150" i="10"/>
  <c r="O1151" i="10"/>
  <c r="O1152" i="10"/>
  <c r="O1153" i="10"/>
  <c r="O1154" i="10"/>
  <c r="O1155" i="10"/>
  <c r="O1156" i="10"/>
  <c r="O1157" i="10"/>
  <c r="O1158" i="10"/>
  <c r="O1159" i="10"/>
  <c r="O1160" i="10"/>
  <c r="O1161" i="10"/>
  <c r="O1162" i="10"/>
  <c r="O1163" i="10"/>
  <c r="O1164" i="10"/>
  <c r="O1165" i="10"/>
  <c r="O1166" i="10"/>
  <c r="O1167" i="10"/>
  <c r="O1168" i="10"/>
  <c r="O1169" i="10"/>
  <c r="O1170" i="10"/>
  <c r="O1171" i="10"/>
  <c r="O1172" i="10"/>
  <c r="O1173" i="10"/>
  <c r="O1174" i="10"/>
  <c r="O1175" i="10"/>
  <c r="O1176" i="10"/>
  <c r="O1177" i="10"/>
  <c r="O1178" i="10"/>
  <c r="O1179" i="10"/>
  <c r="O1180" i="10"/>
  <c r="O1181" i="10"/>
  <c r="O1182" i="10"/>
  <c r="O1183" i="10"/>
  <c r="O1184" i="10"/>
  <c r="O1185" i="10"/>
  <c r="O1186" i="10"/>
  <c r="O1187" i="10"/>
  <c r="O1188" i="10"/>
  <c r="O1189" i="10"/>
  <c r="O1190" i="10"/>
  <c r="O1191" i="10"/>
  <c r="O1192" i="10"/>
  <c r="O1193" i="10"/>
  <c r="O1194" i="10"/>
  <c r="O1195" i="10"/>
  <c r="O1196" i="10"/>
  <c r="O1197" i="10"/>
  <c r="O1198" i="10"/>
  <c r="O1199" i="10"/>
  <c r="O1200" i="10"/>
  <c r="O1201" i="10"/>
  <c r="O1202" i="10"/>
  <c r="O1203" i="10"/>
  <c r="O1204" i="10"/>
  <c r="O1205" i="10"/>
  <c r="O1206" i="10"/>
  <c r="O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N45" i="10"/>
  <c r="N46" i="10"/>
  <c r="N47" i="10"/>
  <c r="N48" i="10"/>
  <c r="N49" i="10"/>
  <c r="N50" i="10"/>
  <c r="N51" i="10"/>
  <c r="N52" i="10"/>
  <c r="N53" i="10"/>
  <c r="N54" i="10"/>
  <c r="N55" i="10"/>
  <c r="N56" i="10"/>
  <c r="N57" i="10"/>
  <c r="N58" i="10"/>
  <c r="N59" i="10"/>
  <c r="N60" i="10"/>
  <c r="N61" i="10"/>
  <c r="N62" i="10"/>
  <c r="N63" i="10"/>
  <c r="N64" i="10"/>
  <c r="N65" i="10"/>
  <c r="N66" i="10"/>
  <c r="N67" i="10"/>
  <c r="N68" i="10"/>
  <c r="N69" i="10"/>
  <c r="N70" i="10"/>
  <c r="N71" i="10"/>
  <c r="N72" i="10"/>
  <c r="N73" i="10"/>
  <c r="N74" i="10"/>
  <c r="N75" i="10"/>
  <c r="N76" i="10"/>
  <c r="N77" i="10"/>
  <c r="N78" i="10"/>
  <c r="N79" i="10"/>
  <c r="N80" i="10"/>
  <c r="N81" i="10"/>
  <c r="N82" i="10"/>
  <c r="N83" i="10"/>
  <c r="N84" i="10"/>
  <c r="N85" i="10"/>
  <c r="N86" i="10"/>
  <c r="N87" i="10"/>
  <c r="N88" i="10"/>
  <c r="N89" i="10"/>
  <c r="N90" i="10"/>
  <c r="N91" i="10"/>
  <c r="N92" i="10"/>
  <c r="N93" i="10"/>
  <c r="N94" i="10"/>
  <c r="N95" i="10"/>
  <c r="N96" i="10"/>
  <c r="N97" i="10"/>
  <c r="N98" i="10"/>
  <c r="N99" i="10"/>
  <c r="N100" i="10"/>
  <c r="N101" i="10"/>
  <c r="N102" i="10"/>
  <c r="N103" i="10"/>
  <c r="N104" i="10"/>
  <c r="N105" i="10"/>
  <c r="N106" i="10"/>
  <c r="N107" i="10"/>
  <c r="N108" i="10"/>
  <c r="N109" i="10"/>
  <c r="N110" i="10"/>
  <c r="N111" i="10"/>
  <c r="N112" i="10"/>
  <c r="N113" i="10"/>
  <c r="N114" i="10"/>
  <c r="N115" i="10"/>
  <c r="N116" i="10"/>
  <c r="N117" i="10"/>
  <c r="N118" i="10"/>
  <c r="N119" i="10"/>
  <c r="N120" i="10"/>
  <c r="N121" i="10"/>
  <c r="N122" i="10"/>
  <c r="N123" i="10"/>
  <c r="N124" i="10"/>
  <c r="N125" i="10"/>
  <c r="N126" i="10"/>
  <c r="N127" i="10"/>
  <c r="N128" i="10"/>
  <c r="N129" i="10"/>
  <c r="N130" i="10"/>
  <c r="N131" i="10"/>
  <c r="N132" i="10"/>
  <c r="N133" i="10"/>
  <c r="N134" i="10"/>
  <c r="N135" i="10"/>
  <c r="N136" i="10"/>
  <c r="N137" i="10"/>
  <c r="N138" i="10"/>
  <c r="N139" i="10"/>
  <c r="N140" i="10"/>
  <c r="N141" i="10"/>
  <c r="N142" i="10"/>
  <c r="N143" i="10"/>
  <c r="N144" i="10"/>
  <c r="N145" i="10"/>
  <c r="N146" i="10"/>
  <c r="N147" i="10"/>
  <c r="N148" i="10"/>
  <c r="N149" i="10"/>
  <c r="N150" i="10"/>
  <c r="N151" i="10"/>
  <c r="N152" i="10"/>
  <c r="N153" i="10"/>
  <c r="N154" i="10"/>
  <c r="N155" i="10"/>
  <c r="N156" i="10"/>
  <c r="N157" i="10"/>
  <c r="N158" i="10"/>
  <c r="N159" i="10"/>
  <c r="N160" i="10"/>
  <c r="N161" i="10"/>
  <c r="N162" i="10"/>
  <c r="N163" i="10"/>
  <c r="N164" i="10"/>
  <c r="N165" i="10"/>
  <c r="N166" i="10"/>
  <c r="N167" i="10"/>
  <c r="N168" i="10"/>
  <c r="N169" i="10"/>
  <c r="N170" i="10"/>
  <c r="N171" i="10"/>
  <c r="N172" i="10"/>
  <c r="N173" i="10"/>
  <c r="N174" i="10"/>
  <c r="N175" i="10"/>
  <c r="N176" i="10"/>
  <c r="N177" i="10"/>
  <c r="N178" i="10"/>
  <c r="N179" i="10"/>
  <c r="N180" i="10"/>
  <c r="N181" i="10"/>
  <c r="N182" i="10"/>
  <c r="N183" i="10"/>
  <c r="N184" i="10"/>
  <c r="N185" i="10"/>
  <c r="N186" i="10"/>
  <c r="N187" i="10"/>
  <c r="N188" i="10"/>
  <c r="N189" i="10"/>
  <c r="N190" i="10"/>
  <c r="N191" i="10"/>
  <c r="N192" i="10"/>
  <c r="N193" i="10"/>
  <c r="N194" i="10"/>
  <c r="N195" i="10"/>
  <c r="N196" i="10"/>
  <c r="N197" i="10"/>
  <c r="N198" i="10"/>
  <c r="N199" i="10"/>
  <c r="N200" i="10"/>
  <c r="N201" i="10"/>
  <c r="N202" i="10"/>
  <c r="N203" i="10"/>
  <c r="N204" i="10"/>
  <c r="N205" i="10"/>
  <c r="N206" i="10"/>
  <c r="N207" i="10"/>
  <c r="N208" i="10"/>
  <c r="N209" i="10"/>
  <c r="N210" i="10"/>
  <c r="N211" i="10"/>
  <c r="N212" i="10"/>
  <c r="N213" i="10"/>
  <c r="N214" i="10"/>
  <c r="N215" i="10"/>
  <c r="N216" i="10"/>
  <c r="N217" i="10"/>
  <c r="N218" i="10"/>
  <c r="N219" i="10"/>
  <c r="N220" i="10"/>
  <c r="N221" i="10"/>
  <c r="N222" i="10"/>
  <c r="N223" i="10"/>
  <c r="N224" i="10"/>
  <c r="N225" i="10"/>
  <c r="N226" i="10"/>
  <c r="N227" i="10"/>
  <c r="N228" i="10"/>
  <c r="N229" i="10"/>
  <c r="N230" i="10"/>
  <c r="N231" i="10"/>
  <c r="N232" i="10"/>
  <c r="N233" i="10"/>
  <c r="N234" i="10"/>
  <c r="N235" i="10"/>
  <c r="N236" i="10"/>
  <c r="N237" i="10"/>
  <c r="N238" i="10"/>
  <c r="N239" i="10"/>
  <c r="N240" i="10"/>
  <c r="N241" i="10"/>
  <c r="N242" i="10"/>
  <c r="N243" i="10"/>
  <c r="N244" i="10"/>
  <c r="N245" i="10"/>
  <c r="N246" i="10"/>
  <c r="N247" i="10"/>
  <c r="N248" i="10"/>
  <c r="N249" i="10"/>
  <c r="N250" i="10"/>
  <c r="N251" i="10"/>
  <c r="N252" i="10"/>
  <c r="N253" i="10"/>
  <c r="N254" i="10"/>
  <c r="N255" i="10"/>
  <c r="N256" i="10"/>
  <c r="N257" i="10"/>
  <c r="N258" i="10"/>
  <c r="N259" i="10"/>
  <c r="N260" i="10"/>
  <c r="N261" i="10"/>
  <c r="N262" i="10"/>
  <c r="N263" i="10"/>
  <c r="N264" i="10"/>
  <c r="N265" i="10"/>
  <c r="N266" i="10"/>
  <c r="N267" i="10"/>
  <c r="N268" i="10"/>
  <c r="N269" i="10"/>
  <c r="N270" i="10"/>
  <c r="N271" i="10"/>
  <c r="N272" i="10"/>
  <c r="N273" i="10"/>
  <c r="N274" i="10"/>
  <c r="N275" i="10"/>
  <c r="N276" i="10"/>
  <c r="N277" i="10"/>
  <c r="N278" i="10"/>
  <c r="N279" i="10"/>
  <c r="N280" i="10"/>
  <c r="N281" i="10"/>
  <c r="N282" i="10"/>
  <c r="N283" i="10"/>
  <c r="N284" i="10"/>
  <c r="N285" i="10"/>
  <c r="N286" i="10"/>
  <c r="N287" i="10"/>
  <c r="N288" i="10"/>
  <c r="N289" i="10"/>
  <c r="N290" i="10"/>
  <c r="N291" i="10"/>
  <c r="N292" i="10"/>
  <c r="N293" i="10"/>
  <c r="N294" i="10"/>
  <c r="N295" i="10"/>
  <c r="N296" i="10"/>
  <c r="N297" i="10"/>
  <c r="N298" i="10"/>
  <c r="N299" i="10"/>
  <c r="N300" i="10"/>
  <c r="N301" i="10"/>
  <c r="N302" i="10"/>
  <c r="N303" i="10"/>
  <c r="N304" i="10"/>
  <c r="N305" i="10"/>
  <c r="N306" i="10"/>
  <c r="N307" i="10"/>
  <c r="N308" i="10"/>
  <c r="N309" i="10"/>
  <c r="N310" i="10"/>
  <c r="N311" i="10"/>
  <c r="N312" i="10"/>
  <c r="N313" i="10"/>
  <c r="N314" i="10"/>
  <c r="N315" i="10"/>
  <c r="N316" i="10"/>
  <c r="N317" i="10"/>
  <c r="N318" i="10"/>
  <c r="N319" i="10"/>
  <c r="N320" i="10"/>
  <c r="N321" i="10"/>
  <c r="N322" i="10"/>
  <c r="N323" i="10"/>
  <c r="N324" i="10"/>
  <c r="N325" i="10"/>
  <c r="N326" i="10"/>
  <c r="N327" i="10"/>
  <c r="N328" i="10"/>
  <c r="N329" i="10"/>
  <c r="N330" i="10"/>
  <c r="N331" i="10"/>
  <c r="N332" i="10"/>
  <c r="N333" i="10"/>
  <c r="N334" i="10"/>
  <c r="N335" i="10"/>
  <c r="N336" i="10"/>
  <c r="N337" i="10"/>
  <c r="N338" i="10"/>
  <c r="N339" i="10"/>
  <c r="N340" i="10"/>
  <c r="N341" i="10"/>
  <c r="N342" i="10"/>
  <c r="N343" i="10"/>
  <c r="N344" i="10"/>
  <c r="N345" i="10"/>
  <c r="N346" i="10"/>
  <c r="N347" i="10"/>
  <c r="N348" i="10"/>
  <c r="N349" i="10"/>
  <c r="N350" i="10"/>
  <c r="N351" i="10"/>
  <c r="N352" i="10"/>
  <c r="N353" i="10"/>
  <c r="N354" i="10"/>
  <c r="N355" i="10"/>
  <c r="N356" i="10"/>
  <c r="N357" i="10"/>
  <c r="N358" i="10"/>
  <c r="N359" i="10"/>
  <c r="N360" i="10"/>
  <c r="N361" i="10"/>
  <c r="N362" i="10"/>
  <c r="N363" i="10"/>
  <c r="N364" i="10"/>
  <c r="N365" i="10"/>
  <c r="N366" i="10"/>
  <c r="N367" i="10"/>
  <c r="N368" i="10"/>
  <c r="N369" i="10"/>
  <c r="N370" i="10"/>
  <c r="N371" i="10"/>
  <c r="N372" i="10"/>
  <c r="N373" i="10"/>
  <c r="N374" i="10"/>
  <c r="N375" i="10"/>
  <c r="N376" i="10"/>
  <c r="N377" i="10"/>
  <c r="N378" i="10"/>
  <c r="N379" i="10"/>
  <c r="N380" i="10"/>
  <c r="N381" i="10"/>
  <c r="N382" i="10"/>
  <c r="N383" i="10"/>
  <c r="N384" i="10"/>
  <c r="N385" i="10"/>
  <c r="N386" i="10"/>
  <c r="N387" i="10"/>
  <c r="N388" i="10"/>
  <c r="N389" i="10"/>
  <c r="N390" i="10"/>
  <c r="N391" i="10"/>
  <c r="N392" i="10"/>
  <c r="N393" i="10"/>
  <c r="N394" i="10"/>
  <c r="N395" i="10"/>
  <c r="N396" i="10"/>
  <c r="N397" i="10"/>
  <c r="N398" i="10"/>
  <c r="N399" i="10"/>
  <c r="N400" i="10"/>
  <c r="N401" i="10"/>
  <c r="N402" i="10"/>
  <c r="N403" i="10"/>
  <c r="N404" i="10"/>
  <c r="N405" i="10"/>
  <c r="N406" i="10"/>
  <c r="N407" i="10"/>
  <c r="N408" i="10"/>
  <c r="N409" i="10"/>
  <c r="N410" i="10"/>
  <c r="N411" i="10"/>
  <c r="N412" i="10"/>
  <c r="N413" i="10"/>
  <c r="N414" i="10"/>
  <c r="N415" i="10"/>
  <c r="N416" i="10"/>
  <c r="N417" i="10"/>
  <c r="N418" i="10"/>
  <c r="N419" i="10"/>
  <c r="N420" i="10"/>
  <c r="N421" i="10"/>
  <c r="N422" i="10"/>
  <c r="N423" i="10"/>
  <c r="N424" i="10"/>
  <c r="N425" i="10"/>
  <c r="N426" i="10"/>
  <c r="N427" i="10"/>
  <c r="N428" i="10"/>
  <c r="N429" i="10"/>
  <c r="N430" i="10"/>
  <c r="N431" i="10"/>
  <c r="N432" i="10"/>
  <c r="N433" i="10"/>
  <c r="N434" i="10"/>
  <c r="N435" i="10"/>
  <c r="N436" i="10"/>
  <c r="N437" i="10"/>
  <c r="N438" i="10"/>
  <c r="N439" i="10"/>
  <c r="N440" i="10"/>
  <c r="N441" i="10"/>
  <c r="N442" i="10"/>
  <c r="N443" i="10"/>
  <c r="N444" i="10"/>
  <c r="N445" i="10"/>
  <c r="N446" i="10"/>
  <c r="N447" i="10"/>
  <c r="N448" i="10"/>
  <c r="N449" i="10"/>
  <c r="N450" i="10"/>
  <c r="N451" i="10"/>
  <c r="N452" i="10"/>
  <c r="N453" i="10"/>
  <c r="N454" i="10"/>
  <c r="N455" i="10"/>
  <c r="N456" i="10"/>
  <c r="N457" i="10"/>
  <c r="N458" i="10"/>
  <c r="N459" i="10"/>
  <c r="N460" i="10"/>
  <c r="N461" i="10"/>
  <c r="N462" i="10"/>
  <c r="N463" i="10"/>
  <c r="N464" i="10"/>
  <c r="N465" i="10"/>
  <c r="N466" i="10"/>
  <c r="N467" i="10"/>
  <c r="N468" i="10"/>
  <c r="N469" i="10"/>
  <c r="N470" i="10"/>
  <c r="N471" i="10"/>
  <c r="N472" i="10"/>
  <c r="N473" i="10"/>
  <c r="N474" i="10"/>
  <c r="N475" i="10"/>
  <c r="N476" i="10"/>
  <c r="N477" i="10"/>
  <c r="N478" i="10"/>
  <c r="N479" i="10"/>
  <c r="N480" i="10"/>
  <c r="N481" i="10"/>
  <c r="N482" i="10"/>
  <c r="N483" i="10"/>
  <c r="N484" i="10"/>
  <c r="N485" i="10"/>
  <c r="N486" i="10"/>
  <c r="N487" i="10"/>
  <c r="N488" i="10"/>
  <c r="N489" i="10"/>
  <c r="N490" i="10"/>
  <c r="N491" i="10"/>
  <c r="N492" i="10"/>
  <c r="N493" i="10"/>
  <c r="N494" i="10"/>
  <c r="N495" i="10"/>
  <c r="N496" i="10"/>
  <c r="N497" i="10"/>
  <c r="N498" i="10"/>
  <c r="N499" i="10"/>
  <c r="N500" i="10"/>
  <c r="N501" i="10"/>
  <c r="N502" i="10"/>
  <c r="N503" i="10"/>
  <c r="N504" i="10"/>
  <c r="N505" i="10"/>
  <c r="N506" i="10"/>
  <c r="N507" i="10"/>
  <c r="N508" i="10"/>
  <c r="N509" i="10"/>
  <c r="N510" i="10"/>
  <c r="N511" i="10"/>
  <c r="N512" i="10"/>
  <c r="N513" i="10"/>
  <c r="N514" i="10"/>
  <c r="N515" i="10"/>
  <c r="N516" i="10"/>
  <c r="N517" i="10"/>
  <c r="N518" i="10"/>
  <c r="N519" i="10"/>
  <c r="N520" i="10"/>
  <c r="N521" i="10"/>
  <c r="N522" i="10"/>
  <c r="N523" i="10"/>
  <c r="N524" i="10"/>
  <c r="N525" i="10"/>
  <c r="N526" i="10"/>
  <c r="N527" i="10"/>
  <c r="N528" i="10"/>
  <c r="N529" i="10"/>
  <c r="N530" i="10"/>
  <c r="N531" i="10"/>
  <c r="N532" i="10"/>
  <c r="N533" i="10"/>
  <c r="N534" i="10"/>
  <c r="N535" i="10"/>
  <c r="N536" i="10"/>
  <c r="N537" i="10"/>
  <c r="N538" i="10"/>
  <c r="N539" i="10"/>
  <c r="N540" i="10"/>
  <c r="N541" i="10"/>
  <c r="N542" i="10"/>
  <c r="N543" i="10"/>
  <c r="N544" i="10"/>
  <c r="N545" i="10"/>
  <c r="N546" i="10"/>
  <c r="N547" i="10"/>
  <c r="N548" i="10"/>
  <c r="N549" i="10"/>
  <c r="N550" i="10"/>
  <c r="N551" i="10"/>
  <c r="N552" i="10"/>
  <c r="N553" i="10"/>
  <c r="N554" i="10"/>
  <c r="N555" i="10"/>
  <c r="N556" i="10"/>
  <c r="N557" i="10"/>
  <c r="N558" i="10"/>
  <c r="N559" i="10"/>
  <c r="N560" i="10"/>
  <c r="N561" i="10"/>
  <c r="N562" i="10"/>
  <c r="N563" i="10"/>
  <c r="N564" i="10"/>
  <c r="N565" i="10"/>
  <c r="N566" i="10"/>
  <c r="N567" i="10"/>
  <c r="N568" i="10"/>
  <c r="N569" i="10"/>
  <c r="N570" i="10"/>
  <c r="N571" i="10"/>
  <c r="N572" i="10"/>
  <c r="N573" i="10"/>
  <c r="N574" i="10"/>
  <c r="N575" i="10"/>
  <c r="N576" i="10"/>
  <c r="N577" i="10"/>
  <c r="N578" i="10"/>
  <c r="N579" i="10"/>
  <c r="N580" i="10"/>
  <c r="N581" i="10"/>
  <c r="N582" i="10"/>
  <c r="N583" i="10"/>
  <c r="N584" i="10"/>
  <c r="N585" i="10"/>
  <c r="N586" i="10"/>
  <c r="N587" i="10"/>
  <c r="N588" i="10"/>
  <c r="N589" i="10"/>
  <c r="N590" i="10"/>
  <c r="N591" i="10"/>
  <c r="N592" i="10"/>
  <c r="N593" i="10"/>
  <c r="N594" i="10"/>
  <c r="N595" i="10"/>
  <c r="N596" i="10"/>
  <c r="N597" i="10"/>
  <c r="N598" i="10"/>
  <c r="N599" i="10"/>
  <c r="N600" i="10"/>
  <c r="N601" i="10"/>
  <c r="N602" i="10"/>
  <c r="N603" i="10"/>
  <c r="N604" i="10"/>
  <c r="N605" i="10"/>
  <c r="N606" i="10"/>
  <c r="N607" i="10"/>
  <c r="N608" i="10"/>
  <c r="N609" i="10"/>
  <c r="N610" i="10"/>
  <c r="N611" i="10"/>
  <c r="N612" i="10"/>
  <c r="N613" i="10"/>
  <c r="N614" i="10"/>
  <c r="N615" i="10"/>
  <c r="N616" i="10"/>
  <c r="N617" i="10"/>
  <c r="N618" i="10"/>
  <c r="N619" i="10"/>
  <c r="N620" i="10"/>
  <c r="N621" i="10"/>
  <c r="N622" i="10"/>
  <c r="N623" i="10"/>
  <c r="N624" i="10"/>
  <c r="N625" i="10"/>
  <c r="N626" i="10"/>
  <c r="N627" i="10"/>
  <c r="N628" i="10"/>
  <c r="N629" i="10"/>
  <c r="N630" i="10"/>
  <c r="N631" i="10"/>
  <c r="N632" i="10"/>
  <c r="N633" i="10"/>
  <c r="N634" i="10"/>
  <c r="N635" i="10"/>
  <c r="N636" i="10"/>
  <c r="N637" i="10"/>
  <c r="N638" i="10"/>
  <c r="N639" i="10"/>
  <c r="N640" i="10"/>
  <c r="N641" i="10"/>
  <c r="N642" i="10"/>
  <c r="N643" i="10"/>
  <c r="N644" i="10"/>
  <c r="N645" i="10"/>
  <c r="N646" i="10"/>
  <c r="N647" i="10"/>
  <c r="N648" i="10"/>
  <c r="N649" i="10"/>
  <c r="N650" i="10"/>
  <c r="N651" i="10"/>
  <c r="N652" i="10"/>
  <c r="N653" i="10"/>
  <c r="N654" i="10"/>
  <c r="N655" i="10"/>
  <c r="N656" i="10"/>
  <c r="N657" i="10"/>
  <c r="N658" i="10"/>
  <c r="N659" i="10"/>
  <c r="N660" i="10"/>
  <c r="N661" i="10"/>
  <c r="N662" i="10"/>
  <c r="N663" i="10"/>
  <c r="N664" i="10"/>
  <c r="N665" i="10"/>
  <c r="N666" i="10"/>
  <c r="N667" i="10"/>
  <c r="N668" i="10"/>
  <c r="N669" i="10"/>
  <c r="N670" i="10"/>
  <c r="N671" i="10"/>
  <c r="N672" i="10"/>
  <c r="N673" i="10"/>
  <c r="N674" i="10"/>
  <c r="N675" i="10"/>
  <c r="N676" i="10"/>
  <c r="N677" i="10"/>
  <c r="N678" i="10"/>
  <c r="N679" i="10"/>
  <c r="N680" i="10"/>
  <c r="N681" i="10"/>
  <c r="N682" i="10"/>
  <c r="N683" i="10"/>
  <c r="N684" i="10"/>
  <c r="N685" i="10"/>
  <c r="N686" i="10"/>
  <c r="N687" i="10"/>
  <c r="N688" i="10"/>
  <c r="N689" i="10"/>
  <c r="N690" i="10"/>
  <c r="N691" i="10"/>
  <c r="N692" i="10"/>
  <c r="N693" i="10"/>
  <c r="N694" i="10"/>
  <c r="N695" i="10"/>
  <c r="N696" i="10"/>
  <c r="N697" i="10"/>
  <c r="N698" i="10"/>
  <c r="N699" i="10"/>
  <c r="N700" i="10"/>
  <c r="N701" i="10"/>
  <c r="N702" i="10"/>
  <c r="N703" i="10"/>
  <c r="N704" i="10"/>
  <c r="N705" i="10"/>
  <c r="N706" i="10"/>
  <c r="N707" i="10"/>
  <c r="N708" i="10"/>
  <c r="N709" i="10"/>
  <c r="N710" i="10"/>
  <c r="N711" i="10"/>
  <c r="N712" i="10"/>
  <c r="N713" i="10"/>
  <c r="N714" i="10"/>
  <c r="N715" i="10"/>
  <c r="N716" i="10"/>
  <c r="N717" i="10"/>
  <c r="N718" i="10"/>
  <c r="N719" i="10"/>
  <c r="N720" i="10"/>
  <c r="N721" i="10"/>
  <c r="N722" i="10"/>
  <c r="N723" i="10"/>
  <c r="N724" i="10"/>
  <c r="N725" i="10"/>
  <c r="N726" i="10"/>
  <c r="N727" i="10"/>
  <c r="N728" i="10"/>
  <c r="N729" i="10"/>
  <c r="N730" i="10"/>
  <c r="N731" i="10"/>
  <c r="N732" i="10"/>
  <c r="N733" i="10"/>
  <c r="N734" i="10"/>
  <c r="N735" i="10"/>
  <c r="N736" i="10"/>
  <c r="N737" i="10"/>
  <c r="N738" i="10"/>
  <c r="N739" i="10"/>
  <c r="N740" i="10"/>
  <c r="N741" i="10"/>
  <c r="N742" i="10"/>
  <c r="N743" i="10"/>
  <c r="N744" i="10"/>
  <c r="N745" i="10"/>
  <c r="N746" i="10"/>
  <c r="N747" i="10"/>
  <c r="N748" i="10"/>
  <c r="N749" i="10"/>
  <c r="N750" i="10"/>
  <c r="N751" i="10"/>
  <c r="N752" i="10"/>
  <c r="N753" i="10"/>
  <c r="N754" i="10"/>
  <c r="N755" i="10"/>
  <c r="N756" i="10"/>
  <c r="N757" i="10"/>
  <c r="N758" i="10"/>
  <c r="N759" i="10"/>
  <c r="N760" i="10"/>
  <c r="N761" i="10"/>
  <c r="N762" i="10"/>
  <c r="N763" i="10"/>
  <c r="N764" i="10"/>
  <c r="N765" i="10"/>
  <c r="N766" i="10"/>
  <c r="N767" i="10"/>
  <c r="N768" i="10"/>
  <c r="N769" i="10"/>
  <c r="N770" i="10"/>
  <c r="N771" i="10"/>
  <c r="N772" i="10"/>
  <c r="N773" i="10"/>
  <c r="N774" i="10"/>
  <c r="N775" i="10"/>
  <c r="N776" i="10"/>
  <c r="N777" i="10"/>
  <c r="N778" i="10"/>
  <c r="N779" i="10"/>
  <c r="N780" i="10"/>
  <c r="N781" i="10"/>
  <c r="N782" i="10"/>
  <c r="N783" i="10"/>
  <c r="N784" i="10"/>
  <c r="N785" i="10"/>
  <c r="N786" i="10"/>
  <c r="N787" i="10"/>
  <c r="N788" i="10"/>
  <c r="N789" i="10"/>
  <c r="N790" i="10"/>
  <c r="N791" i="10"/>
  <c r="N792" i="10"/>
  <c r="N793" i="10"/>
  <c r="N794" i="10"/>
  <c r="N795" i="10"/>
  <c r="N796" i="10"/>
  <c r="N797" i="10"/>
  <c r="N798" i="10"/>
  <c r="N799" i="10"/>
  <c r="N800" i="10"/>
  <c r="N801" i="10"/>
  <c r="N802" i="10"/>
  <c r="N803" i="10"/>
  <c r="N804" i="10"/>
  <c r="N805" i="10"/>
  <c r="N806" i="10"/>
  <c r="N807" i="10"/>
  <c r="N808" i="10"/>
  <c r="N809" i="10"/>
  <c r="N810" i="10"/>
  <c r="N811" i="10"/>
  <c r="N812" i="10"/>
  <c r="N813" i="10"/>
  <c r="N814" i="10"/>
  <c r="N815" i="10"/>
  <c r="N816" i="10"/>
  <c r="N817" i="10"/>
  <c r="N818" i="10"/>
  <c r="N819" i="10"/>
  <c r="N820" i="10"/>
  <c r="N821" i="10"/>
  <c r="N822" i="10"/>
  <c r="N823" i="10"/>
  <c r="N824" i="10"/>
  <c r="N825" i="10"/>
  <c r="N826" i="10"/>
  <c r="N827" i="10"/>
  <c r="N828" i="10"/>
  <c r="N829" i="10"/>
  <c r="N830" i="10"/>
  <c r="N831" i="10"/>
  <c r="N832" i="10"/>
  <c r="N833" i="10"/>
  <c r="N834" i="10"/>
  <c r="N835" i="10"/>
  <c r="N836" i="10"/>
  <c r="N837" i="10"/>
  <c r="N838" i="10"/>
  <c r="N839" i="10"/>
  <c r="N840" i="10"/>
  <c r="N841" i="10"/>
  <c r="N842" i="10"/>
  <c r="N843" i="10"/>
  <c r="N844" i="10"/>
  <c r="N845" i="10"/>
  <c r="N846" i="10"/>
  <c r="N847" i="10"/>
  <c r="N848" i="10"/>
  <c r="N849" i="10"/>
  <c r="N850" i="10"/>
  <c r="N851" i="10"/>
  <c r="N852" i="10"/>
  <c r="N853" i="10"/>
  <c r="N854" i="10"/>
  <c r="N855" i="10"/>
  <c r="N856" i="10"/>
  <c r="N857" i="10"/>
  <c r="N858" i="10"/>
  <c r="N859" i="10"/>
  <c r="N860" i="10"/>
  <c r="N861" i="10"/>
  <c r="N862" i="10"/>
  <c r="N863" i="10"/>
  <c r="N864" i="10"/>
  <c r="N865" i="10"/>
  <c r="N866" i="10"/>
  <c r="N867" i="10"/>
  <c r="N868" i="10"/>
  <c r="N869" i="10"/>
  <c r="N870" i="10"/>
  <c r="N871" i="10"/>
  <c r="N872" i="10"/>
  <c r="N873" i="10"/>
  <c r="N874" i="10"/>
  <c r="N875" i="10"/>
  <c r="N876" i="10"/>
  <c r="N877" i="10"/>
  <c r="N878" i="10"/>
  <c r="N879" i="10"/>
  <c r="N880" i="10"/>
  <c r="N881" i="10"/>
  <c r="N882" i="10"/>
  <c r="N883" i="10"/>
  <c r="N884" i="10"/>
  <c r="N885" i="10"/>
  <c r="N886" i="10"/>
  <c r="N887" i="10"/>
  <c r="N888" i="10"/>
  <c r="N889" i="10"/>
  <c r="N890" i="10"/>
  <c r="N891" i="10"/>
  <c r="N892" i="10"/>
  <c r="N893" i="10"/>
  <c r="N894" i="10"/>
  <c r="N895" i="10"/>
  <c r="N896" i="10"/>
  <c r="N897" i="10"/>
  <c r="N898" i="10"/>
  <c r="N899" i="10"/>
  <c r="N900" i="10"/>
  <c r="N901" i="10"/>
  <c r="N902" i="10"/>
  <c r="N903" i="10"/>
  <c r="N904" i="10"/>
  <c r="N905" i="10"/>
  <c r="N906" i="10"/>
  <c r="N907" i="10"/>
  <c r="N908" i="10"/>
  <c r="N909" i="10"/>
  <c r="N910" i="10"/>
  <c r="N911" i="10"/>
  <c r="N912" i="10"/>
  <c r="N913" i="10"/>
  <c r="N914" i="10"/>
  <c r="N915" i="10"/>
  <c r="N916" i="10"/>
  <c r="N917" i="10"/>
  <c r="N918" i="10"/>
  <c r="N919" i="10"/>
  <c r="N920" i="10"/>
  <c r="N921" i="10"/>
  <c r="N922" i="10"/>
  <c r="N923" i="10"/>
  <c r="N924" i="10"/>
  <c r="N925" i="10"/>
  <c r="N926" i="10"/>
  <c r="N927" i="10"/>
  <c r="N928" i="10"/>
  <c r="N929" i="10"/>
  <c r="N930" i="10"/>
  <c r="N931" i="10"/>
  <c r="N932" i="10"/>
  <c r="N933" i="10"/>
  <c r="N934" i="10"/>
  <c r="N935" i="10"/>
  <c r="N936" i="10"/>
  <c r="N937" i="10"/>
  <c r="N938" i="10"/>
  <c r="N939" i="10"/>
  <c r="N940" i="10"/>
  <c r="N941" i="10"/>
  <c r="N942" i="10"/>
  <c r="N943" i="10"/>
  <c r="N944" i="10"/>
  <c r="N945" i="10"/>
  <c r="N946" i="10"/>
  <c r="N947" i="10"/>
  <c r="N948" i="10"/>
  <c r="N949" i="10"/>
  <c r="N950" i="10"/>
  <c r="N951" i="10"/>
  <c r="N952" i="10"/>
  <c r="N953" i="10"/>
  <c r="N954" i="10"/>
  <c r="N955" i="10"/>
  <c r="N956" i="10"/>
  <c r="N957" i="10"/>
  <c r="N958" i="10"/>
  <c r="N959" i="10"/>
  <c r="N960" i="10"/>
  <c r="N961" i="10"/>
  <c r="N962" i="10"/>
  <c r="N963" i="10"/>
  <c r="N964" i="10"/>
  <c r="N965" i="10"/>
  <c r="N966" i="10"/>
  <c r="N967" i="10"/>
  <c r="N968" i="10"/>
  <c r="N969" i="10"/>
  <c r="N970" i="10"/>
  <c r="N971" i="10"/>
  <c r="N972" i="10"/>
  <c r="N973" i="10"/>
  <c r="N974" i="10"/>
  <c r="N975" i="10"/>
  <c r="N976" i="10"/>
  <c r="N977" i="10"/>
  <c r="N978" i="10"/>
  <c r="N979" i="10"/>
  <c r="N980" i="10"/>
  <c r="N981" i="10"/>
  <c r="N982" i="10"/>
  <c r="N983" i="10"/>
  <c r="N984" i="10"/>
  <c r="N985" i="10"/>
  <c r="N986" i="10"/>
  <c r="N987" i="10"/>
  <c r="N988" i="10"/>
  <c r="N989" i="10"/>
  <c r="N990" i="10"/>
  <c r="N991" i="10"/>
  <c r="N992" i="10"/>
  <c r="N993" i="10"/>
  <c r="N994" i="10"/>
  <c r="N995" i="10"/>
  <c r="N996" i="10"/>
  <c r="N997" i="10"/>
  <c r="N998" i="10"/>
  <c r="N999" i="10"/>
  <c r="N1000" i="10"/>
  <c r="N1001" i="10"/>
  <c r="N1002" i="10"/>
  <c r="N1003" i="10"/>
  <c r="N1004" i="10"/>
  <c r="N1005" i="10"/>
  <c r="N1006" i="10"/>
  <c r="N1007" i="10"/>
  <c r="N1008" i="10"/>
  <c r="N1009" i="10"/>
  <c r="N1010" i="10"/>
  <c r="N1011" i="10"/>
  <c r="N1012" i="10"/>
  <c r="N1013" i="10"/>
  <c r="N1014" i="10"/>
  <c r="N1015" i="10"/>
  <c r="N1016" i="10"/>
  <c r="N1017" i="10"/>
  <c r="N1018" i="10"/>
  <c r="N1019" i="10"/>
  <c r="N1020" i="10"/>
  <c r="N1021" i="10"/>
  <c r="N1022" i="10"/>
  <c r="N1023" i="10"/>
  <c r="N1024" i="10"/>
  <c r="N1025" i="10"/>
  <c r="N1026" i="10"/>
  <c r="N1027" i="10"/>
  <c r="N1028" i="10"/>
  <c r="N1029" i="10"/>
  <c r="N1030" i="10"/>
  <c r="N1031" i="10"/>
  <c r="N1032" i="10"/>
  <c r="N1033" i="10"/>
  <c r="N1034" i="10"/>
  <c r="N1035" i="10"/>
  <c r="N1036" i="10"/>
  <c r="N1037" i="10"/>
  <c r="N1038" i="10"/>
  <c r="N1039" i="10"/>
  <c r="N1040" i="10"/>
  <c r="N1041" i="10"/>
  <c r="N1042" i="10"/>
  <c r="N1043" i="10"/>
  <c r="N1044" i="10"/>
  <c r="N1045" i="10"/>
  <c r="N1046" i="10"/>
  <c r="N1047" i="10"/>
  <c r="N1048" i="10"/>
  <c r="N1049" i="10"/>
  <c r="N1050" i="10"/>
  <c r="N1051" i="10"/>
  <c r="N1052" i="10"/>
  <c r="N1053" i="10"/>
  <c r="N1054" i="10"/>
  <c r="N1055" i="10"/>
  <c r="N1056" i="10"/>
  <c r="N1057" i="10"/>
  <c r="N1058" i="10"/>
  <c r="N1059" i="10"/>
  <c r="N1060" i="10"/>
  <c r="N1061" i="10"/>
  <c r="N1062" i="10"/>
  <c r="N1063" i="10"/>
  <c r="N1064" i="10"/>
  <c r="N1065" i="10"/>
  <c r="N1066" i="10"/>
  <c r="N1067" i="10"/>
  <c r="N1068" i="10"/>
  <c r="N1069" i="10"/>
  <c r="N1070" i="10"/>
  <c r="N1071" i="10"/>
  <c r="N1072" i="10"/>
  <c r="N1073" i="10"/>
  <c r="N1074" i="10"/>
  <c r="N1075" i="10"/>
  <c r="N1076" i="10"/>
  <c r="N1077" i="10"/>
  <c r="N1078" i="10"/>
  <c r="N1079" i="10"/>
  <c r="N1080" i="10"/>
  <c r="N1081" i="10"/>
  <c r="N1082" i="10"/>
  <c r="N1083" i="10"/>
  <c r="N1084" i="10"/>
  <c r="N1085" i="10"/>
  <c r="N1086" i="10"/>
  <c r="N1087" i="10"/>
  <c r="N1088" i="10"/>
  <c r="N1089" i="10"/>
  <c r="N1090" i="10"/>
  <c r="N1091" i="10"/>
  <c r="N1092" i="10"/>
  <c r="N1093" i="10"/>
  <c r="N1094" i="10"/>
  <c r="N1095" i="10"/>
  <c r="N1096" i="10"/>
  <c r="N1097" i="10"/>
  <c r="N1098" i="10"/>
  <c r="N1099" i="10"/>
  <c r="N1100" i="10"/>
  <c r="N1101" i="10"/>
  <c r="N1102" i="10"/>
  <c r="N1103" i="10"/>
  <c r="N1104" i="10"/>
  <c r="N1105" i="10"/>
  <c r="N1106" i="10"/>
  <c r="N1107" i="10"/>
  <c r="N1108" i="10"/>
  <c r="N1109" i="10"/>
  <c r="N1110" i="10"/>
  <c r="N1111" i="10"/>
  <c r="N1112" i="10"/>
  <c r="N1113" i="10"/>
  <c r="N1114" i="10"/>
  <c r="N1115" i="10"/>
  <c r="N1116" i="10"/>
  <c r="N1117" i="10"/>
  <c r="N1118" i="10"/>
  <c r="N1119" i="10"/>
  <c r="N1120" i="10"/>
  <c r="N1121" i="10"/>
  <c r="N1122" i="10"/>
  <c r="N1123" i="10"/>
  <c r="N1124" i="10"/>
  <c r="N1125" i="10"/>
  <c r="N1126" i="10"/>
  <c r="N1127" i="10"/>
  <c r="N1128" i="10"/>
  <c r="N1129" i="10"/>
  <c r="N1130" i="10"/>
  <c r="N1131" i="10"/>
  <c r="N1132" i="10"/>
  <c r="N1133" i="10"/>
  <c r="N1134" i="10"/>
  <c r="N1135" i="10"/>
  <c r="N1136" i="10"/>
  <c r="N1137" i="10"/>
  <c r="N1138" i="10"/>
  <c r="N1139" i="10"/>
  <c r="N1140" i="10"/>
  <c r="N1141" i="10"/>
  <c r="N1142" i="10"/>
  <c r="N1143" i="10"/>
  <c r="N1144" i="10"/>
  <c r="N1145" i="10"/>
  <c r="N1146" i="10"/>
  <c r="N1147" i="10"/>
  <c r="N1148" i="10"/>
  <c r="N1149" i="10"/>
  <c r="N1150" i="10"/>
  <c r="N1151" i="10"/>
  <c r="N1152" i="10"/>
  <c r="N1153" i="10"/>
  <c r="N1154" i="10"/>
  <c r="N1155" i="10"/>
  <c r="N1156" i="10"/>
  <c r="N1157" i="10"/>
  <c r="N1158" i="10"/>
  <c r="N1159" i="10"/>
  <c r="N1160" i="10"/>
  <c r="N1161" i="10"/>
  <c r="N1162" i="10"/>
  <c r="N1163" i="10"/>
  <c r="N1164" i="10"/>
  <c r="N1165" i="10"/>
  <c r="N1166" i="10"/>
  <c r="N1167" i="10"/>
  <c r="N1168" i="10"/>
  <c r="N1169" i="10"/>
  <c r="N1170" i="10"/>
  <c r="N1171" i="10"/>
  <c r="N1172" i="10"/>
  <c r="N1173" i="10"/>
  <c r="N1174" i="10"/>
  <c r="N1175" i="10"/>
  <c r="N1176" i="10"/>
  <c r="N1177" i="10"/>
  <c r="N1178" i="10"/>
  <c r="N1179" i="10"/>
  <c r="N1180" i="10"/>
  <c r="N1181" i="10"/>
  <c r="N1182" i="10"/>
  <c r="N1183" i="10"/>
  <c r="N1184" i="10"/>
  <c r="N1185" i="10"/>
  <c r="N1186" i="10"/>
  <c r="N1187" i="10"/>
  <c r="N1188" i="10"/>
  <c r="N1189" i="10"/>
  <c r="N1190" i="10"/>
  <c r="N1191" i="10"/>
  <c r="N1192" i="10"/>
  <c r="N1193" i="10"/>
  <c r="N1194" i="10"/>
  <c r="N1195" i="10"/>
  <c r="N1196" i="10"/>
  <c r="N1197" i="10"/>
  <c r="N1198" i="10"/>
  <c r="N1199" i="10"/>
  <c r="N1200" i="10"/>
  <c r="N1201" i="10"/>
  <c r="N1202" i="10"/>
  <c r="N1203" i="10"/>
  <c r="N1204" i="10"/>
  <c r="N1205" i="10"/>
  <c r="N1206" i="10"/>
  <c r="N6" i="10"/>
  <c r="H6" i="10"/>
  <c r="P1207" i="10"/>
  <c r="P1208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J45" i="10" s="1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J61" i="10" s="1"/>
  <c r="H62" i="10"/>
  <c r="H63" i="10"/>
  <c r="H64" i="10"/>
  <c r="H65" i="10"/>
  <c r="H66" i="10"/>
  <c r="H67" i="10"/>
  <c r="H68" i="10"/>
  <c r="H69" i="10"/>
  <c r="J69" i="10" s="1"/>
  <c r="H70" i="10"/>
  <c r="H71" i="10"/>
  <c r="H72" i="10"/>
  <c r="H73" i="10"/>
  <c r="H74" i="10"/>
  <c r="H75" i="10"/>
  <c r="H76" i="10"/>
  <c r="H77" i="10"/>
  <c r="J77" i="10" s="1"/>
  <c r="H78" i="10"/>
  <c r="H79" i="10"/>
  <c r="H80" i="10"/>
  <c r="H81" i="10"/>
  <c r="H82" i="10"/>
  <c r="H83" i="10"/>
  <c r="H84" i="10"/>
  <c r="H85" i="10"/>
  <c r="J85" i="10" s="1"/>
  <c r="H86" i="10"/>
  <c r="H87" i="10"/>
  <c r="H88" i="10"/>
  <c r="H89" i="10"/>
  <c r="H90" i="10"/>
  <c r="H91" i="10"/>
  <c r="H92" i="10"/>
  <c r="H93" i="10"/>
  <c r="J93" i="10" s="1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301" i="10"/>
  <c r="H302" i="10"/>
  <c r="H303" i="10"/>
  <c r="H304" i="10"/>
  <c r="H305" i="10"/>
  <c r="H306" i="10"/>
  <c r="H307" i="10"/>
  <c r="H308" i="10"/>
  <c r="H309" i="10"/>
  <c r="H310" i="10"/>
  <c r="H311" i="10"/>
  <c r="H312" i="10"/>
  <c r="H313" i="10"/>
  <c r="H314" i="10"/>
  <c r="H315" i="10"/>
  <c r="H316" i="10"/>
  <c r="H317" i="10"/>
  <c r="H318" i="10"/>
  <c r="H319" i="10"/>
  <c r="H320" i="10"/>
  <c r="H321" i="10"/>
  <c r="H322" i="10"/>
  <c r="H323" i="10"/>
  <c r="H324" i="10"/>
  <c r="H325" i="10"/>
  <c r="H326" i="10"/>
  <c r="H327" i="10"/>
  <c r="H328" i="10"/>
  <c r="H329" i="10"/>
  <c r="H330" i="10"/>
  <c r="H331" i="10"/>
  <c r="H332" i="10"/>
  <c r="H333" i="10"/>
  <c r="H334" i="10"/>
  <c r="H335" i="10"/>
  <c r="H336" i="10"/>
  <c r="H337" i="10"/>
  <c r="H338" i="10"/>
  <c r="H339" i="10"/>
  <c r="H340" i="10"/>
  <c r="H341" i="10"/>
  <c r="H342" i="10"/>
  <c r="H343" i="10"/>
  <c r="H344" i="10"/>
  <c r="H345" i="10"/>
  <c r="H346" i="10"/>
  <c r="H347" i="10"/>
  <c r="H348" i="10"/>
  <c r="H349" i="10"/>
  <c r="H350" i="10"/>
  <c r="H351" i="10"/>
  <c r="H352" i="10"/>
  <c r="H353" i="10"/>
  <c r="H354" i="10"/>
  <c r="H355" i="10"/>
  <c r="H356" i="10"/>
  <c r="H357" i="10"/>
  <c r="H358" i="10"/>
  <c r="H359" i="10"/>
  <c r="H360" i="10"/>
  <c r="H361" i="10"/>
  <c r="H362" i="10"/>
  <c r="H363" i="10"/>
  <c r="H364" i="10"/>
  <c r="H365" i="10"/>
  <c r="H366" i="10"/>
  <c r="H367" i="10"/>
  <c r="H368" i="10"/>
  <c r="H369" i="10"/>
  <c r="H370" i="10"/>
  <c r="H371" i="10"/>
  <c r="H372" i="10"/>
  <c r="H373" i="10"/>
  <c r="H374" i="10"/>
  <c r="H375" i="10"/>
  <c r="H376" i="10"/>
  <c r="H377" i="10"/>
  <c r="H378" i="10"/>
  <c r="H379" i="10"/>
  <c r="H380" i="10"/>
  <c r="H381" i="10"/>
  <c r="H382" i="10"/>
  <c r="H383" i="10"/>
  <c r="H384" i="10"/>
  <c r="H385" i="10"/>
  <c r="H386" i="10"/>
  <c r="H387" i="10"/>
  <c r="H388" i="10"/>
  <c r="H389" i="10"/>
  <c r="H390" i="10"/>
  <c r="H391" i="10"/>
  <c r="H392" i="10"/>
  <c r="H393" i="10"/>
  <c r="H394" i="10"/>
  <c r="H395" i="10"/>
  <c r="H396" i="10"/>
  <c r="H397" i="10"/>
  <c r="H398" i="10"/>
  <c r="H399" i="10"/>
  <c r="H400" i="10"/>
  <c r="H401" i="10"/>
  <c r="H402" i="10"/>
  <c r="H403" i="10"/>
  <c r="H404" i="10"/>
  <c r="H405" i="10"/>
  <c r="H406" i="10"/>
  <c r="H407" i="10"/>
  <c r="H408" i="10"/>
  <c r="H409" i="10"/>
  <c r="H410" i="10"/>
  <c r="H411" i="10"/>
  <c r="H412" i="10"/>
  <c r="H413" i="10"/>
  <c r="H414" i="10"/>
  <c r="H415" i="10"/>
  <c r="H416" i="10"/>
  <c r="H417" i="10"/>
  <c r="H418" i="10"/>
  <c r="H419" i="10"/>
  <c r="H420" i="10"/>
  <c r="H421" i="10"/>
  <c r="H422" i="10"/>
  <c r="H423" i="10"/>
  <c r="H424" i="10"/>
  <c r="H425" i="10"/>
  <c r="H426" i="10"/>
  <c r="H427" i="10"/>
  <c r="H428" i="10"/>
  <c r="H429" i="10"/>
  <c r="H430" i="10"/>
  <c r="H431" i="10"/>
  <c r="H432" i="10"/>
  <c r="H433" i="10"/>
  <c r="H434" i="10"/>
  <c r="H435" i="10"/>
  <c r="H436" i="10"/>
  <c r="H437" i="10"/>
  <c r="H438" i="10"/>
  <c r="H439" i="10"/>
  <c r="H440" i="10"/>
  <c r="H441" i="10"/>
  <c r="H442" i="10"/>
  <c r="H443" i="10"/>
  <c r="H444" i="10"/>
  <c r="H445" i="10"/>
  <c r="H446" i="10"/>
  <c r="H447" i="10"/>
  <c r="H448" i="10"/>
  <c r="H449" i="10"/>
  <c r="H450" i="10"/>
  <c r="H451" i="10"/>
  <c r="H452" i="10"/>
  <c r="H453" i="10"/>
  <c r="H454" i="10"/>
  <c r="H455" i="10"/>
  <c r="H456" i="10"/>
  <c r="H457" i="10"/>
  <c r="H458" i="10"/>
  <c r="H459" i="10"/>
  <c r="H460" i="10"/>
  <c r="H461" i="10"/>
  <c r="H462" i="10"/>
  <c r="H463" i="10"/>
  <c r="H464" i="10"/>
  <c r="H465" i="10"/>
  <c r="H466" i="10"/>
  <c r="H467" i="10"/>
  <c r="H468" i="10"/>
  <c r="H469" i="10"/>
  <c r="H470" i="10"/>
  <c r="H471" i="10"/>
  <c r="H472" i="10"/>
  <c r="H473" i="10"/>
  <c r="H474" i="10"/>
  <c r="H475" i="10"/>
  <c r="H476" i="10"/>
  <c r="H477" i="10"/>
  <c r="H478" i="10"/>
  <c r="H479" i="10"/>
  <c r="H480" i="10"/>
  <c r="H481" i="10"/>
  <c r="H482" i="10"/>
  <c r="H483" i="10"/>
  <c r="H484" i="10"/>
  <c r="H485" i="10"/>
  <c r="H486" i="10"/>
  <c r="H487" i="10"/>
  <c r="H488" i="10"/>
  <c r="H489" i="10"/>
  <c r="H490" i="10"/>
  <c r="H491" i="10"/>
  <c r="H492" i="10"/>
  <c r="H493" i="10"/>
  <c r="H494" i="10"/>
  <c r="H495" i="10"/>
  <c r="H496" i="10"/>
  <c r="H497" i="10"/>
  <c r="H498" i="10"/>
  <c r="H499" i="10"/>
  <c r="H500" i="10"/>
  <c r="H501" i="10"/>
  <c r="H502" i="10"/>
  <c r="H503" i="10"/>
  <c r="H504" i="10"/>
  <c r="H505" i="10"/>
  <c r="H506" i="10"/>
  <c r="H507" i="10"/>
  <c r="H508" i="10"/>
  <c r="H509" i="10"/>
  <c r="H510" i="10"/>
  <c r="H511" i="10"/>
  <c r="H512" i="10"/>
  <c r="H513" i="10"/>
  <c r="H514" i="10"/>
  <c r="H515" i="10"/>
  <c r="H516" i="10"/>
  <c r="H517" i="10"/>
  <c r="H518" i="10"/>
  <c r="H519" i="10"/>
  <c r="H520" i="10"/>
  <c r="H521" i="10"/>
  <c r="H522" i="10"/>
  <c r="H523" i="10"/>
  <c r="H524" i="10"/>
  <c r="H525" i="10"/>
  <c r="H526" i="10"/>
  <c r="H527" i="10"/>
  <c r="H528" i="10"/>
  <c r="H529" i="10"/>
  <c r="H530" i="10"/>
  <c r="H531" i="10"/>
  <c r="H532" i="10"/>
  <c r="H533" i="10"/>
  <c r="H534" i="10"/>
  <c r="H535" i="10"/>
  <c r="H536" i="10"/>
  <c r="H537" i="10"/>
  <c r="H538" i="10"/>
  <c r="H539" i="10"/>
  <c r="H540" i="10"/>
  <c r="H541" i="10"/>
  <c r="H542" i="10"/>
  <c r="H543" i="10"/>
  <c r="H544" i="10"/>
  <c r="H545" i="10"/>
  <c r="H546" i="10"/>
  <c r="H547" i="10"/>
  <c r="H548" i="10"/>
  <c r="H549" i="10"/>
  <c r="H550" i="10"/>
  <c r="H551" i="10"/>
  <c r="H552" i="10"/>
  <c r="H553" i="10"/>
  <c r="H554" i="10"/>
  <c r="H555" i="10"/>
  <c r="H556" i="10"/>
  <c r="H557" i="10"/>
  <c r="H558" i="10"/>
  <c r="H559" i="10"/>
  <c r="H560" i="10"/>
  <c r="H561" i="10"/>
  <c r="H562" i="10"/>
  <c r="H563" i="10"/>
  <c r="H564" i="10"/>
  <c r="H565" i="10"/>
  <c r="H566" i="10"/>
  <c r="H567" i="10"/>
  <c r="H568" i="10"/>
  <c r="H569" i="10"/>
  <c r="H570" i="10"/>
  <c r="H571" i="10"/>
  <c r="H572" i="10"/>
  <c r="H573" i="10"/>
  <c r="H574" i="10"/>
  <c r="H575" i="10"/>
  <c r="H576" i="10"/>
  <c r="H577" i="10"/>
  <c r="H578" i="10"/>
  <c r="H579" i="10"/>
  <c r="H580" i="10"/>
  <c r="H581" i="10"/>
  <c r="H582" i="10"/>
  <c r="H583" i="10"/>
  <c r="H584" i="10"/>
  <c r="H585" i="10"/>
  <c r="H586" i="10"/>
  <c r="H587" i="10"/>
  <c r="H588" i="10"/>
  <c r="H589" i="10"/>
  <c r="H590" i="10"/>
  <c r="H591" i="10"/>
  <c r="H592" i="10"/>
  <c r="H593" i="10"/>
  <c r="H594" i="10"/>
  <c r="H595" i="10"/>
  <c r="H596" i="10"/>
  <c r="H597" i="10"/>
  <c r="H598" i="10"/>
  <c r="H599" i="10"/>
  <c r="H600" i="10"/>
  <c r="H601" i="10"/>
  <c r="H602" i="10"/>
  <c r="H603" i="10"/>
  <c r="H604" i="10"/>
  <c r="H605" i="10"/>
  <c r="H606" i="10"/>
  <c r="H607" i="10"/>
  <c r="H608" i="10"/>
  <c r="H609" i="10"/>
  <c r="H610" i="10"/>
  <c r="H611" i="10"/>
  <c r="H612" i="10"/>
  <c r="H613" i="10"/>
  <c r="H614" i="10"/>
  <c r="H615" i="10"/>
  <c r="H616" i="10"/>
  <c r="H617" i="10"/>
  <c r="H618" i="10"/>
  <c r="H619" i="10"/>
  <c r="H620" i="10"/>
  <c r="H621" i="10"/>
  <c r="H622" i="10"/>
  <c r="H623" i="10"/>
  <c r="H624" i="10"/>
  <c r="H625" i="10"/>
  <c r="H626" i="10"/>
  <c r="H627" i="10"/>
  <c r="H628" i="10"/>
  <c r="H629" i="10"/>
  <c r="H630" i="10"/>
  <c r="H631" i="10"/>
  <c r="H632" i="10"/>
  <c r="H633" i="10"/>
  <c r="H634" i="10"/>
  <c r="H635" i="10"/>
  <c r="H636" i="10"/>
  <c r="H637" i="10"/>
  <c r="H638" i="10"/>
  <c r="H639" i="10"/>
  <c r="H640" i="10"/>
  <c r="H641" i="10"/>
  <c r="H642" i="10"/>
  <c r="H643" i="10"/>
  <c r="H644" i="10"/>
  <c r="H645" i="10"/>
  <c r="H646" i="10"/>
  <c r="H647" i="10"/>
  <c r="H648" i="10"/>
  <c r="H649" i="10"/>
  <c r="H650" i="10"/>
  <c r="H651" i="10"/>
  <c r="H652" i="10"/>
  <c r="H653" i="10"/>
  <c r="H654" i="10"/>
  <c r="H655" i="10"/>
  <c r="H656" i="10"/>
  <c r="H657" i="10"/>
  <c r="H658" i="10"/>
  <c r="H659" i="10"/>
  <c r="H660" i="10"/>
  <c r="H661" i="10"/>
  <c r="H662" i="10"/>
  <c r="H663" i="10"/>
  <c r="H664" i="10"/>
  <c r="H665" i="10"/>
  <c r="H666" i="10"/>
  <c r="H667" i="10"/>
  <c r="H668" i="10"/>
  <c r="H669" i="10"/>
  <c r="H670" i="10"/>
  <c r="H671" i="10"/>
  <c r="H672" i="10"/>
  <c r="H673" i="10"/>
  <c r="H674" i="10"/>
  <c r="H675" i="10"/>
  <c r="H676" i="10"/>
  <c r="H677" i="10"/>
  <c r="H678" i="10"/>
  <c r="H679" i="10"/>
  <c r="H680" i="10"/>
  <c r="H681" i="10"/>
  <c r="H682" i="10"/>
  <c r="H683" i="10"/>
  <c r="H684" i="10"/>
  <c r="H685" i="10"/>
  <c r="H686" i="10"/>
  <c r="H687" i="10"/>
  <c r="H688" i="10"/>
  <c r="H689" i="10"/>
  <c r="H690" i="10"/>
  <c r="H691" i="10"/>
  <c r="H692" i="10"/>
  <c r="H693" i="10"/>
  <c r="H694" i="10"/>
  <c r="H695" i="10"/>
  <c r="H696" i="10"/>
  <c r="H697" i="10"/>
  <c r="H698" i="10"/>
  <c r="H699" i="10"/>
  <c r="H700" i="10"/>
  <c r="H701" i="10"/>
  <c r="H702" i="10"/>
  <c r="H703" i="10"/>
  <c r="H704" i="10"/>
  <c r="H705" i="10"/>
  <c r="H706" i="10"/>
  <c r="H707" i="10"/>
  <c r="H708" i="10"/>
  <c r="H709" i="10"/>
  <c r="H710" i="10"/>
  <c r="H711" i="10"/>
  <c r="H712" i="10"/>
  <c r="H713" i="10"/>
  <c r="H714" i="10"/>
  <c r="H715" i="10"/>
  <c r="H716" i="10"/>
  <c r="H717" i="10"/>
  <c r="H718" i="10"/>
  <c r="H719" i="10"/>
  <c r="H720" i="10"/>
  <c r="H721" i="10"/>
  <c r="H722" i="10"/>
  <c r="H723" i="10"/>
  <c r="H724" i="10"/>
  <c r="H725" i="10"/>
  <c r="H726" i="10"/>
  <c r="H727" i="10"/>
  <c r="H728" i="10"/>
  <c r="H729" i="10"/>
  <c r="H730" i="10"/>
  <c r="H731" i="10"/>
  <c r="H732" i="10"/>
  <c r="H733" i="10"/>
  <c r="H734" i="10"/>
  <c r="H735" i="10"/>
  <c r="H736" i="10"/>
  <c r="H737" i="10"/>
  <c r="H738" i="10"/>
  <c r="H739" i="10"/>
  <c r="H740" i="10"/>
  <c r="H741" i="10"/>
  <c r="H742" i="10"/>
  <c r="H743" i="10"/>
  <c r="H744" i="10"/>
  <c r="H745" i="10"/>
  <c r="H746" i="10"/>
  <c r="H747" i="10"/>
  <c r="H748" i="10"/>
  <c r="H749" i="10"/>
  <c r="H750" i="10"/>
  <c r="H751" i="10"/>
  <c r="H752" i="10"/>
  <c r="H753" i="10"/>
  <c r="H754" i="10"/>
  <c r="H755" i="10"/>
  <c r="H756" i="10"/>
  <c r="H757" i="10"/>
  <c r="H758" i="10"/>
  <c r="H759" i="10"/>
  <c r="H760" i="10"/>
  <c r="H761" i="10"/>
  <c r="H762" i="10"/>
  <c r="H763" i="10"/>
  <c r="H764" i="10"/>
  <c r="H765" i="10"/>
  <c r="H766" i="10"/>
  <c r="H767" i="10"/>
  <c r="H768" i="10"/>
  <c r="H769" i="10"/>
  <c r="H770" i="10"/>
  <c r="H771" i="10"/>
  <c r="H772" i="10"/>
  <c r="H773" i="10"/>
  <c r="H774" i="10"/>
  <c r="H775" i="10"/>
  <c r="H776" i="10"/>
  <c r="H777" i="10"/>
  <c r="H778" i="10"/>
  <c r="H779" i="10"/>
  <c r="H780" i="10"/>
  <c r="H781" i="10"/>
  <c r="H782" i="10"/>
  <c r="H783" i="10"/>
  <c r="H784" i="10"/>
  <c r="H785" i="10"/>
  <c r="H786" i="10"/>
  <c r="H787" i="10"/>
  <c r="H788" i="10"/>
  <c r="H789" i="10"/>
  <c r="H790" i="10"/>
  <c r="H791" i="10"/>
  <c r="H792" i="10"/>
  <c r="H793" i="10"/>
  <c r="H794" i="10"/>
  <c r="H795" i="10"/>
  <c r="H796" i="10"/>
  <c r="H797" i="10"/>
  <c r="H798" i="10"/>
  <c r="H799" i="10"/>
  <c r="H800" i="10"/>
  <c r="H801" i="10"/>
  <c r="H802" i="10"/>
  <c r="H803" i="10"/>
  <c r="H804" i="10"/>
  <c r="H805" i="10"/>
  <c r="H806" i="10"/>
  <c r="H807" i="10"/>
  <c r="H808" i="10"/>
  <c r="H809" i="10"/>
  <c r="H810" i="10"/>
  <c r="H811" i="10"/>
  <c r="H812" i="10"/>
  <c r="H813" i="10"/>
  <c r="H814" i="10"/>
  <c r="H815" i="10"/>
  <c r="H816" i="10"/>
  <c r="H817" i="10"/>
  <c r="H818" i="10"/>
  <c r="H819" i="10"/>
  <c r="H820" i="10"/>
  <c r="H821" i="10"/>
  <c r="H822" i="10"/>
  <c r="H823" i="10"/>
  <c r="H824" i="10"/>
  <c r="H825" i="10"/>
  <c r="H826" i="10"/>
  <c r="H827" i="10"/>
  <c r="H828" i="10"/>
  <c r="H829" i="10"/>
  <c r="H830" i="10"/>
  <c r="H831" i="10"/>
  <c r="H832" i="10"/>
  <c r="H833" i="10"/>
  <c r="H834" i="10"/>
  <c r="H835" i="10"/>
  <c r="H836" i="10"/>
  <c r="H837" i="10"/>
  <c r="H838" i="10"/>
  <c r="H839" i="10"/>
  <c r="H840" i="10"/>
  <c r="H841" i="10"/>
  <c r="H842" i="10"/>
  <c r="H843" i="10"/>
  <c r="H844" i="10"/>
  <c r="H845" i="10"/>
  <c r="H846" i="10"/>
  <c r="H847" i="10"/>
  <c r="H848" i="10"/>
  <c r="H849" i="10"/>
  <c r="H850" i="10"/>
  <c r="H851" i="10"/>
  <c r="H852" i="10"/>
  <c r="H853" i="10"/>
  <c r="H854" i="10"/>
  <c r="H855" i="10"/>
  <c r="H856" i="10"/>
  <c r="H857" i="10"/>
  <c r="H858" i="10"/>
  <c r="H859" i="10"/>
  <c r="H860" i="10"/>
  <c r="H861" i="10"/>
  <c r="H862" i="10"/>
  <c r="H863" i="10"/>
  <c r="H864" i="10"/>
  <c r="H865" i="10"/>
  <c r="H866" i="10"/>
  <c r="H867" i="10"/>
  <c r="H868" i="10"/>
  <c r="H869" i="10"/>
  <c r="H870" i="10"/>
  <c r="H871" i="10"/>
  <c r="H872" i="10"/>
  <c r="H873" i="10"/>
  <c r="H874" i="10"/>
  <c r="H875" i="10"/>
  <c r="H876" i="10"/>
  <c r="H877" i="10"/>
  <c r="H878" i="10"/>
  <c r="H879" i="10"/>
  <c r="H880" i="10"/>
  <c r="H881" i="10"/>
  <c r="H882" i="10"/>
  <c r="H883" i="10"/>
  <c r="H884" i="10"/>
  <c r="H885" i="10"/>
  <c r="H886" i="10"/>
  <c r="H887" i="10"/>
  <c r="H888" i="10"/>
  <c r="H889" i="10"/>
  <c r="H890" i="10"/>
  <c r="H891" i="10"/>
  <c r="H892" i="10"/>
  <c r="H893" i="10"/>
  <c r="H894" i="10"/>
  <c r="H895" i="10"/>
  <c r="H896" i="10"/>
  <c r="H897" i="10"/>
  <c r="H898" i="10"/>
  <c r="H899" i="10"/>
  <c r="H900" i="10"/>
  <c r="H901" i="10"/>
  <c r="H902" i="10"/>
  <c r="H903" i="10"/>
  <c r="H904" i="10"/>
  <c r="H905" i="10"/>
  <c r="H906" i="10"/>
  <c r="H907" i="10"/>
  <c r="H908" i="10"/>
  <c r="H909" i="10"/>
  <c r="H910" i="10"/>
  <c r="H911" i="10"/>
  <c r="H912" i="10"/>
  <c r="H913" i="10"/>
  <c r="H914" i="10"/>
  <c r="H915" i="10"/>
  <c r="H916" i="10"/>
  <c r="H917" i="10"/>
  <c r="H918" i="10"/>
  <c r="H919" i="10"/>
  <c r="H920" i="10"/>
  <c r="H921" i="10"/>
  <c r="H922" i="10"/>
  <c r="H923" i="10"/>
  <c r="H924" i="10"/>
  <c r="H925" i="10"/>
  <c r="H926" i="10"/>
  <c r="H927" i="10"/>
  <c r="H928" i="10"/>
  <c r="H929" i="10"/>
  <c r="H930" i="10"/>
  <c r="H931" i="10"/>
  <c r="H932" i="10"/>
  <c r="H933" i="10"/>
  <c r="H934" i="10"/>
  <c r="H935" i="10"/>
  <c r="H936" i="10"/>
  <c r="H937" i="10"/>
  <c r="H938" i="10"/>
  <c r="H939" i="10"/>
  <c r="H940" i="10"/>
  <c r="H941" i="10"/>
  <c r="H942" i="10"/>
  <c r="H943" i="10"/>
  <c r="H944" i="10"/>
  <c r="H945" i="10"/>
  <c r="H946" i="10"/>
  <c r="H947" i="10"/>
  <c r="H948" i="10"/>
  <c r="H949" i="10"/>
  <c r="H950" i="10"/>
  <c r="H951" i="10"/>
  <c r="H952" i="10"/>
  <c r="H953" i="10"/>
  <c r="H954" i="10"/>
  <c r="H955" i="10"/>
  <c r="H956" i="10"/>
  <c r="H957" i="10"/>
  <c r="H958" i="10"/>
  <c r="H959" i="10"/>
  <c r="H960" i="10"/>
  <c r="H961" i="10"/>
  <c r="H962" i="10"/>
  <c r="H963" i="10"/>
  <c r="H964" i="10"/>
  <c r="H965" i="10"/>
  <c r="H966" i="10"/>
  <c r="H967" i="10"/>
  <c r="H968" i="10"/>
  <c r="H969" i="10"/>
  <c r="H970" i="10"/>
  <c r="H971" i="10"/>
  <c r="H972" i="10"/>
  <c r="H973" i="10"/>
  <c r="H974" i="10"/>
  <c r="H975" i="10"/>
  <c r="H976" i="10"/>
  <c r="H977" i="10"/>
  <c r="H978" i="10"/>
  <c r="H979" i="10"/>
  <c r="H980" i="10"/>
  <c r="H981" i="10"/>
  <c r="H982" i="10"/>
  <c r="H983" i="10"/>
  <c r="H984" i="10"/>
  <c r="H985" i="10"/>
  <c r="H986" i="10"/>
  <c r="H987" i="10"/>
  <c r="H988" i="10"/>
  <c r="H989" i="10"/>
  <c r="H990" i="10"/>
  <c r="H991" i="10"/>
  <c r="H992" i="10"/>
  <c r="H993" i="10"/>
  <c r="H994" i="10"/>
  <c r="H995" i="10"/>
  <c r="H996" i="10"/>
  <c r="H997" i="10"/>
  <c r="H998" i="10"/>
  <c r="H999" i="10"/>
  <c r="H1000" i="10"/>
  <c r="H1001" i="10"/>
  <c r="H1002" i="10"/>
  <c r="H1003" i="10"/>
  <c r="H1004" i="10"/>
  <c r="H1005" i="10"/>
  <c r="H1006" i="10"/>
  <c r="H1007" i="10"/>
  <c r="H1008" i="10"/>
  <c r="H1009" i="10"/>
  <c r="H1010" i="10"/>
  <c r="H1011" i="10"/>
  <c r="H1012" i="10"/>
  <c r="H1013" i="10"/>
  <c r="H1014" i="10"/>
  <c r="H1015" i="10"/>
  <c r="H1016" i="10"/>
  <c r="H1017" i="10"/>
  <c r="H1018" i="10"/>
  <c r="H1019" i="10"/>
  <c r="H1020" i="10"/>
  <c r="H1021" i="10"/>
  <c r="H1022" i="10"/>
  <c r="H1023" i="10"/>
  <c r="H1024" i="10"/>
  <c r="H1025" i="10"/>
  <c r="H1026" i="10"/>
  <c r="H1027" i="10"/>
  <c r="H1028" i="10"/>
  <c r="H1029" i="10"/>
  <c r="H1030" i="10"/>
  <c r="H1031" i="10"/>
  <c r="H1032" i="10"/>
  <c r="H1033" i="10"/>
  <c r="H1034" i="10"/>
  <c r="H1035" i="10"/>
  <c r="H1036" i="10"/>
  <c r="H1037" i="10"/>
  <c r="H1038" i="10"/>
  <c r="H1039" i="10"/>
  <c r="H1040" i="10"/>
  <c r="H1041" i="10"/>
  <c r="H1042" i="10"/>
  <c r="H1043" i="10"/>
  <c r="H1044" i="10"/>
  <c r="H1045" i="10"/>
  <c r="H1046" i="10"/>
  <c r="H1047" i="10"/>
  <c r="H1048" i="10"/>
  <c r="H1049" i="10"/>
  <c r="H1050" i="10"/>
  <c r="H1051" i="10"/>
  <c r="H1052" i="10"/>
  <c r="H1053" i="10"/>
  <c r="H1054" i="10"/>
  <c r="H1055" i="10"/>
  <c r="H1056" i="10"/>
  <c r="H1057" i="10"/>
  <c r="H1058" i="10"/>
  <c r="H1059" i="10"/>
  <c r="H1060" i="10"/>
  <c r="H1061" i="10"/>
  <c r="H1062" i="10"/>
  <c r="H1063" i="10"/>
  <c r="H1064" i="10"/>
  <c r="H1065" i="10"/>
  <c r="H1066" i="10"/>
  <c r="H1067" i="10"/>
  <c r="H1068" i="10"/>
  <c r="H1069" i="10"/>
  <c r="H1070" i="10"/>
  <c r="H1071" i="10"/>
  <c r="H1072" i="10"/>
  <c r="H1073" i="10"/>
  <c r="H1074" i="10"/>
  <c r="H1075" i="10"/>
  <c r="H1076" i="10"/>
  <c r="H1077" i="10"/>
  <c r="H1078" i="10"/>
  <c r="H1079" i="10"/>
  <c r="H1080" i="10"/>
  <c r="H1081" i="10"/>
  <c r="H1082" i="10"/>
  <c r="H1083" i="10"/>
  <c r="H1084" i="10"/>
  <c r="H1085" i="10"/>
  <c r="H1086" i="10"/>
  <c r="H1087" i="10"/>
  <c r="H1088" i="10"/>
  <c r="H1089" i="10"/>
  <c r="H1090" i="10"/>
  <c r="H1091" i="10"/>
  <c r="H1092" i="10"/>
  <c r="H1093" i="10"/>
  <c r="H1094" i="10"/>
  <c r="H1095" i="10"/>
  <c r="H1096" i="10"/>
  <c r="H1097" i="10"/>
  <c r="H1098" i="10"/>
  <c r="H1099" i="10"/>
  <c r="H1100" i="10"/>
  <c r="H1101" i="10"/>
  <c r="H1102" i="10"/>
  <c r="H1103" i="10"/>
  <c r="H1104" i="10"/>
  <c r="H1105" i="10"/>
  <c r="H1106" i="10"/>
  <c r="H1107" i="10"/>
  <c r="H1108" i="10"/>
  <c r="H1109" i="10"/>
  <c r="H1110" i="10"/>
  <c r="H1111" i="10"/>
  <c r="H1112" i="10"/>
  <c r="H1113" i="10"/>
  <c r="H1114" i="10"/>
  <c r="H1115" i="10"/>
  <c r="H1116" i="10"/>
  <c r="H1117" i="10"/>
  <c r="H1118" i="10"/>
  <c r="H1119" i="10"/>
  <c r="H1120" i="10"/>
  <c r="H1121" i="10"/>
  <c r="H1122" i="10"/>
  <c r="H1123" i="10"/>
  <c r="H1124" i="10"/>
  <c r="H1125" i="10"/>
  <c r="H1126" i="10"/>
  <c r="H1127" i="10"/>
  <c r="H1128" i="10"/>
  <c r="H1129" i="10"/>
  <c r="H1130" i="10"/>
  <c r="H1131" i="10"/>
  <c r="H1132" i="10"/>
  <c r="H1133" i="10"/>
  <c r="H1134" i="10"/>
  <c r="H1135" i="10"/>
  <c r="H1136" i="10"/>
  <c r="H1137" i="10"/>
  <c r="H1138" i="10"/>
  <c r="H1139" i="10"/>
  <c r="H1140" i="10"/>
  <c r="H1141" i="10"/>
  <c r="H1142" i="10"/>
  <c r="H1143" i="10"/>
  <c r="H1144" i="10"/>
  <c r="H1145" i="10"/>
  <c r="H1146" i="10"/>
  <c r="H1147" i="10"/>
  <c r="H1148" i="10"/>
  <c r="H1149" i="10"/>
  <c r="H1150" i="10"/>
  <c r="H1151" i="10"/>
  <c r="H1152" i="10"/>
  <c r="H1153" i="10"/>
  <c r="H1154" i="10"/>
  <c r="H1155" i="10"/>
  <c r="H1156" i="10"/>
  <c r="H1157" i="10"/>
  <c r="H1158" i="10"/>
  <c r="H1159" i="10"/>
  <c r="H1160" i="10"/>
  <c r="H1161" i="10"/>
  <c r="H1162" i="10"/>
  <c r="H1163" i="10"/>
  <c r="H1164" i="10"/>
  <c r="H1165" i="10"/>
  <c r="H1166" i="10"/>
  <c r="H1167" i="10"/>
  <c r="H1168" i="10"/>
  <c r="H1169" i="10"/>
  <c r="H1170" i="10"/>
  <c r="H1171" i="10"/>
  <c r="H1172" i="10"/>
  <c r="H1173" i="10"/>
  <c r="H1174" i="10"/>
  <c r="H1175" i="10"/>
  <c r="H1176" i="10"/>
  <c r="H1177" i="10"/>
  <c r="H1178" i="10"/>
  <c r="H1179" i="10"/>
  <c r="H1180" i="10"/>
  <c r="H1181" i="10"/>
  <c r="H1182" i="10"/>
  <c r="H1183" i="10"/>
  <c r="H1184" i="10"/>
  <c r="H1185" i="10"/>
  <c r="H1186" i="10"/>
  <c r="H1187" i="10"/>
  <c r="H1188" i="10"/>
  <c r="H1189" i="10"/>
  <c r="H1190" i="10"/>
  <c r="H1191" i="10"/>
  <c r="H1192" i="10"/>
  <c r="H1193" i="10"/>
  <c r="H1194" i="10"/>
  <c r="H1195" i="10"/>
  <c r="H1196" i="10"/>
  <c r="H1197" i="10"/>
  <c r="H1198" i="10"/>
  <c r="H1199" i="10"/>
  <c r="H1200" i="10"/>
  <c r="H1201" i="10"/>
  <c r="H1202" i="10"/>
  <c r="H1203" i="10"/>
  <c r="H1204" i="10"/>
  <c r="H1205" i="10"/>
  <c r="H1206" i="10"/>
  <c r="H1207" i="10"/>
  <c r="H1208" i="10"/>
  <c r="H6" i="14" l="1"/>
  <c r="H15" i="14"/>
  <c r="F17" i="14"/>
  <c r="C17" i="14"/>
  <c r="E17" i="14"/>
  <c r="D17" i="14"/>
  <c r="H7" i="14"/>
  <c r="H9" i="14"/>
  <c r="J4" i="14"/>
  <c r="K4" i="14"/>
  <c r="H4" i="14"/>
  <c r="I7" i="14"/>
  <c r="H12" i="14"/>
  <c r="I15" i="14"/>
  <c r="G17" i="14"/>
  <c r="I4" i="14"/>
  <c r="H14" i="14"/>
  <c r="H11" i="14"/>
  <c r="H8" i="14"/>
  <c r="H16" i="14"/>
  <c r="H5" i="14"/>
  <c r="H13" i="14"/>
  <c r="H10" i="14"/>
  <c r="J6" i="10"/>
  <c r="J1029" i="10"/>
  <c r="J1182" i="10"/>
  <c r="J1189" i="10"/>
  <c r="J1178" i="10"/>
  <c r="J1170" i="10"/>
  <c r="J1146" i="10"/>
  <c r="J1138" i="10"/>
  <c r="J1082" i="10"/>
  <c r="J1074" i="10"/>
  <c r="J1058" i="10"/>
  <c r="J1050" i="10"/>
  <c r="J1193" i="10"/>
  <c r="J1185" i="10"/>
  <c r="J1153" i="10"/>
  <c r="J1145" i="10"/>
  <c r="J1137" i="10"/>
  <c r="J1190" i="10"/>
  <c r="J1150" i="10"/>
  <c r="J1176" i="10"/>
  <c r="J1160" i="10"/>
  <c r="J1144" i="10"/>
  <c r="J1088" i="10"/>
  <c r="J1080" i="10"/>
  <c r="J1072" i="10"/>
  <c r="J1064" i="10"/>
  <c r="J1048" i="10"/>
  <c r="J1040" i="10"/>
  <c r="J1032" i="10"/>
  <c r="J1174" i="10"/>
  <c r="J1200" i="10"/>
  <c r="J1184" i="10"/>
  <c r="J1168" i="10"/>
  <c r="J1152" i="10"/>
  <c r="J1136" i="10"/>
  <c r="J1112" i="10"/>
  <c r="J1096" i="10"/>
  <c r="J1207" i="10"/>
  <c r="J1199" i="10"/>
  <c r="J1191" i="10"/>
  <c r="J1151" i="10"/>
  <c r="J1143" i="10"/>
  <c r="J1127" i="10"/>
  <c r="J1070" i="10"/>
  <c r="J1062" i="10"/>
  <c r="J1206" i="10"/>
  <c r="J1166" i="10"/>
  <c r="J1158" i="10"/>
  <c r="J1086" i="10"/>
  <c r="J1165" i="10"/>
  <c r="J1101" i="10"/>
  <c r="J1126" i="10"/>
  <c r="J1141" i="10"/>
  <c r="J1093" i="10"/>
  <c r="J1085" i="10"/>
  <c r="J1069" i="10"/>
  <c r="J1053" i="10"/>
  <c r="J1045" i="10"/>
  <c r="J1203" i="10"/>
  <c r="J1195" i="10"/>
  <c r="J1163" i="10"/>
  <c r="J1155" i="10"/>
  <c r="J1147" i="10"/>
  <c r="J1139" i="10"/>
  <c r="J1123" i="10"/>
  <c r="J1107" i="10"/>
  <c r="J1091" i="10"/>
  <c r="J1075" i="10"/>
  <c r="J1043" i="10"/>
  <c r="J1027" i="10"/>
  <c r="J1019" i="10"/>
  <c r="J1011" i="10"/>
  <c r="J987" i="10"/>
  <c r="J979" i="10"/>
  <c r="J963" i="10"/>
  <c r="J947" i="10"/>
  <c r="J931" i="10"/>
  <c r="J915" i="10"/>
  <c r="J899" i="10"/>
  <c r="J891" i="10"/>
  <c r="J883" i="10"/>
  <c r="J867" i="10"/>
  <c r="J859" i="10"/>
  <c r="J851" i="10"/>
  <c r="J827" i="10"/>
  <c r="J819" i="10"/>
  <c r="J811" i="10"/>
  <c r="J795" i="10"/>
  <c r="J763" i="10"/>
  <c r="J739" i="10"/>
  <c r="J715" i="10"/>
  <c r="J707" i="10"/>
  <c r="J691" i="10"/>
  <c r="J683" i="10"/>
  <c r="J675" i="10"/>
  <c r="J667" i="10"/>
  <c r="J659" i="10"/>
  <c r="J651" i="10"/>
  <c r="J643" i="10"/>
  <c r="J627" i="10"/>
  <c r="J603" i="10"/>
  <c r="J595" i="10"/>
  <c r="J587" i="10"/>
  <c r="J579" i="10"/>
  <c r="J571" i="10"/>
  <c r="J563" i="10"/>
  <c r="J555" i="10"/>
  <c r="J547" i="10"/>
  <c r="J531" i="10"/>
  <c r="J523" i="10"/>
  <c r="J515" i="10"/>
  <c r="J507" i="10"/>
  <c r="J499" i="10"/>
  <c r="J491" i="10"/>
  <c r="J475" i="10"/>
  <c r="J467" i="10"/>
  <c r="J459" i="10"/>
  <c r="J451" i="10"/>
  <c r="J443" i="10"/>
  <c r="J419" i="10"/>
  <c r="J411" i="10"/>
  <c r="J395" i="10"/>
  <c r="J387" i="10"/>
  <c r="J371" i="10"/>
  <c r="J355" i="10"/>
  <c r="J339" i="10"/>
  <c r="J331" i="10"/>
  <c r="J323" i="10"/>
  <c r="J315" i="10"/>
  <c r="J307" i="10"/>
  <c r="J283" i="10"/>
  <c r="J275" i="10"/>
  <c r="J267" i="10"/>
  <c r="J251" i="10"/>
  <c r="J243" i="10"/>
  <c r="J219" i="10"/>
  <c r="J211" i="10"/>
  <c r="J187" i="10"/>
  <c r="J171" i="10"/>
  <c r="J155" i="10"/>
  <c r="J147" i="10"/>
  <c r="J139" i="10"/>
  <c r="J131" i="10"/>
  <c r="J123" i="10"/>
  <c r="J115" i="10"/>
  <c r="J107" i="10"/>
  <c r="J1018" i="10"/>
  <c r="J994" i="10"/>
  <c r="J954" i="10"/>
  <c r="J938" i="10"/>
  <c r="J930" i="10"/>
  <c r="J914" i="10"/>
  <c r="J906" i="10"/>
  <c r="J898" i="10"/>
  <c r="J882" i="10"/>
  <c r="J874" i="10"/>
  <c r="J866" i="10"/>
  <c r="J842" i="10"/>
  <c r="J834" i="10"/>
  <c r="J826" i="10"/>
  <c r="J802" i="10"/>
  <c r="J786" i="10"/>
  <c r="J778" i="10"/>
  <c r="J770" i="10"/>
  <c r="J762" i="10"/>
  <c r="J754" i="10"/>
  <c r="J730" i="10"/>
  <c r="J722" i="10"/>
  <c r="J714" i="10"/>
  <c r="J698" i="10"/>
  <c r="J658" i="10"/>
  <c r="J650" i="10"/>
  <c r="J634" i="10"/>
  <c r="J626" i="10"/>
  <c r="J618" i="10"/>
  <c r="J610" i="10"/>
  <c r="J602" i="10"/>
  <c r="J594" i="10"/>
  <c r="J586" i="10"/>
  <c r="J570" i="10"/>
  <c r="J554" i="10"/>
  <c r="J546" i="10"/>
  <c r="J538" i="10"/>
  <c r="J530" i="10"/>
  <c r="J514" i="10"/>
  <c r="J482" i="10"/>
  <c r="J90" i="10"/>
  <c r="J82" i="10"/>
  <c r="J50" i="10"/>
  <c r="J1121" i="10"/>
  <c r="J1105" i="10"/>
  <c r="J1081" i="10"/>
  <c r="J1073" i="10"/>
  <c r="J1041" i="10"/>
  <c r="J1033" i="10"/>
  <c r="J1025" i="10"/>
  <c r="J1009" i="10"/>
  <c r="J1001" i="10"/>
  <c r="J993" i="10"/>
  <c r="J985" i="10"/>
  <c r="J977" i="10"/>
  <c r="J961" i="10"/>
  <c r="J953" i="10"/>
  <c r="J945" i="10"/>
  <c r="J937" i="10"/>
  <c r="J929" i="10"/>
  <c r="J921" i="10"/>
  <c r="J913" i="10"/>
  <c r="J889" i="10"/>
  <c r="J873" i="10"/>
  <c r="J865" i="10"/>
  <c r="J857" i="10"/>
  <c r="J849" i="10"/>
  <c r="J841" i="10"/>
  <c r="J817" i="10"/>
  <c r="J801" i="10"/>
  <c r="J793" i="10"/>
  <c r="J769" i="10"/>
  <c r="J745" i="10"/>
  <c r="J737" i="10"/>
  <c r="J729" i="10"/>
  <c r="J721" i="10"/>
  <c r="J713" i="10"/>
  <c r="J705" i="10"/>
  <c r="J665" i="10"/>
  <c r="J641" i="10"/>
  <c r="J625" i="10"/>
  <c r="J609" i="10"/>
  <c r="J601" i="10"/>
  <c r="J585" i="10"/>
  <c r="J577" i="10"/>
  <c r="J569" i="10"/>
  <c r="J561" i="10"/>
  <c r="J553" i="10"/>
  <c r="J545" i="10"/>
  <c r="J529" i="10"/>
  <c r="J521" i="10"/>
  <c r="J513" i="10"/>
  <c r="J489" i="10"/>
  <c r="J481" i="10"/>
  <c r="J473" i="10"/>
  <c r="J465" i="10"/>
  <c r="J457" i="10"/>
  <c r="J409" i="10"/>
  <c r="J393" i="10"/>
  <c r="J369" i="10"/>
  <c r="J361" i="10"/>
  <c r="J353" i="10"/>
  <c r="J345" i="10"/>
  <c r="J337" i="10"/>
  <c r="J321" i="10"/>
  <c r="J313" i="10"/>
  <c r="J265" i="10"/>
  <c r="J241" i="10"/>
  <c r="J225" i="10"/>
  <c r="J217" i="10"/>
  <c r="J209" i="10"/>
  <c r="J201" i="10"/>
  <c r="J185" i="10"/>
  <c r="J161" i="10"/>
  <c r="J153" i="10"/>
  <c r="J121" i="10"/>
  <c r="J113" i="10"/>
  <c r="J97" i="10"/>
  <c r="J992" i="10"/>
  <c r="J976" i="10"/>
  <c r="J952" i="10"/>
  <c r="J920" i="10"/>
  <c r="J912" i="10"/>
  <c r="J904" i="10"/>
  <c r="J896" i="10"/>
  <c r="J888" i="10"/>
  <c r="J880" i="10"/>
  <c r="J848" i="10"/>
  <c r="J832" i="10"/>
  <c r="J792" i="10"/>
  <c r="J784" i="10"/>
  <c r="J776" i="10"/>
  <c r="J752" i="10"/>
  <c r="J744" i="10"/>
  <c r="J736" i="10"/>
  <c r="J728" i="10"/>
  <c r="J704" i="10"/>
  <c r="J680" i="10"/>
  <c r="J672" i="10"/>
  <c r="J664" i="10"/>
  <c r="J656" i="10"/>
  <c r="J648" i="10"/>
  <c r="J632" i="10"/>
  <c r="J624" i="10"/>
  <c r="J616" i="10"/>
  <c r="J608" i="10"/>
  <c r="J592" i="10"/>
  <c r="J584" i="10"/>
  <c r="J560" i="10"/>
  <c r="J552" i="10"/>
  <c r="J544" i="10"/>
  <c r="J536" i="10"/>
  <c r="J528" i="10"/>
  <c r="J496" i="10"/>
  <c r="J488" i="10"/>
  <c r="J480" i="10"/>
  <c r="J472" i="10"/>
  <c r="J464" i="10"/>
  <c r="J456" i="10"/>
  <c r="J448" i="10"/>
  <c r="J432" i="10"/>
  <c r="J336" i="10"/>
  <c r="J272" i="10"/>
  <c r="J248" i="10"/>
  <c r="J240" i="10"/>
  <c r="J112" i="10"/>
  <c r="J88" i="10"/>
  <c r="J72" i="10"/>
  <c r="J64" i="10"/>
  <c r="J1119" i="10"/>
  <c r="J1111" i="10"/>
  <c r="J1103" i="10"/>
  <c r="J1087" i="10"/>
  <c r="J1079" i="10"/>
  <c r="J1071" i="10"/>
  <c r="J1063" i="10"/>
  <c r="J1031" i="10"/>
  <c r="J1015" i="10"/>
  <c r="J1007" i="10"/>
  <c r="J999" i="10"/>
  <c r="J991" i="10"/>
  <c r="J983" i="10"/>
  <c r="J975" i="10"/>
  <c r="J967" i="10"/>
  <c r="J935" i="10"/>
  <c r="J919" i="10"/>
  <c r="J911" i="10"/>
  <c r="J903" i="10"/>
  <c r="J895" i="10"/>
  <c r="J887" i="10"/>
  <c r="J879" i="10"/>
  <c r="J871" i="10"/>
  <c r="J863" i="10"/>
  <c r="J855" i="10"/>
  <c r="J847" i="10"/>
  <c r="J839" i="10"/>
  <c r="J831" i="10"/>
  <c r="J823" i="10"/>
  <c r="J815" i="10"/>
  <c r="J799" i="10"/>
  <c r="J791" i="10"/>
  <c r="J783" i="10"/>
  <c r="J767" i="10"/>
  <c r="J759" i="10"/>
  <c r="J751" i="10"/>
  <c r="J735" i="10"/>
  <c r="J719" i="10"/>
  <c r="J679" i="10"/>
  <c r="J663" i="10"/>
  <c r="J655" i="10"/>
  <c r="J647" i="10"/>
  <c r="J639" i="10"/>
  <c r="J623" i="10"/>
  <c r="J615" i="10"/>
  <c r="J599" i="10"/>
  <c r="J591" i="10"/>
  <c r="J583" i="10"/>
  <c r="J575" i="10"/>
  <c r="J567" i="10"/>
  <c r="J559" i="10"/>
  <c r="J551" i="10"/>
  <c r="J543" i="10"/>
  <c r="J535" i="10"/>
  <c r="J527" i="10"/>
  <c r="J479" i="10"/>
  <c r="J471" i="10"/>
  <c r="J1038" i="10"/>
  <c r="J1022" i="10"/>
  <c r="J998" i="10"/>
  <c r="J974" i="10"/>
  <c r="J958" i="10"/>
  <c r="J942" i="10"/>
  <c r="J934" i="10"/>
  <c r="J894" i="10"/>
  <c r="J870" i="10"/>
  <c r="J846" i="10"/>
  <c r="J838" i="10"/>
  <c r="J830" i="10"/>
  <c r="J822" i="10"/>
  <c r="J814" i="10"/>
  <c r="J806" i="10"/>
  <c r="J774" i="10"/>
  <c r="J766" i="10"/>
  <c r="J758" i="10"/>
  <c r="J750" i="10"/>
  <c r="J734" i="10"/>
  <c r="J726" i="10"/>
  <c r="J718" i="10"/>
  <c r="J710" i="10"/>
  <c r="J702" i="10"/>
  <c r="J694" i="10"/>
  <c r="J686" i="10"/>
  <c r="J670" i="10"/>
  <c r="J654" i="10"/>
  <c r="J614" i="10"/>
  <c r="J606" i="10"/>
  <c r="J598" i="10"/>
  <c r="J590" i="10"/>
  <c r="J582" i="10"/>
  <c r="J566" i="10"/>
  <c r="J550" i="10"/>
  <c r="J542" i="10"/>
  <c r="J534" i="10"/>
  <c r="J502" i="10"/>
  <c r="J494" i="10"/>
  <c r="J478" i="10"/>
  <c r="J454" i="10"/>
  <c r="J430" i="10"/>
  <c r="J422" i="10"/>
  <c r="J390" i="10"/>
  <c r="J374" i="10"/>
  <c r="J358" i="10"/>
  <c r="J326" i="10"/>
  <c r="J294" i="10"/>
  <c r="J254" i="10"/>
  <c r="J246" i="10"/>
  <c r="J230" i="10"/>
  <c r="J206" i="10"/>
  <c r="J198" i="10"/>
  <c r="J182" i="10"/>
  <c r="J174" i="10"/>
  <c r="J166" i="10"/>
  <c r="J150" i="10"/>
  <c r="J142" i="10"/>
  <c r="J118" i="10"/>
  <c r="J102" i="10"/>
  <c r="J94" i="10"/>
  <c r="J989" i="10"/>
  <c r="J973" i="10"/>
  <c r="J965" i="10"/>
  <c r="J949" i="10"/>
  <c r="J941" i="10"/>
  <c r="J933" i="10"/>
  <c r="J925" i="10"/>
  <c r="J885" i="10"/>
  <c r="J877" i="10"/>
  <c r="J861" i="10"/>
  <c r="J853" i="10"/>
  <c r="J837" i="10"/>
  <c r="J813" i="10"/>
  <c r="J797" i="10"/>
  <c r="J789" i="10"/>
  <c r="J781" i="10"/>
  <c r="J757" i="10"/>
  <c r="J749" i="10"/>
  <c r="J733" i="10"/>
  <c r="J725" i="10"/>
  <c r="J709" i="10"/>
  <c r="J685" i="10"/>
  <c r="J677" i="10"/>
  <c r="J669" i="10"/>
  <c r="J661" i="10"/>
  <c r="J653" i="10"/>
  <c r="J645" i="10"/>
  <c r="J637" i="10"/>
  <c r="J629" i="10"/>
  <c r="J621" i="10"/>
  <c r="J613" i="10"/>
  <c r="J605" i="10"/>
  <c r="J597" i="10"/>
  <c r="J589" i="10"/>
  <c r="J573" i="10"/>
  <c r="J565" i="10"/>
  <c r="J557" i="10"/>
  <c r="J549" i="10"/>
  <c r="J541" i="10"/>
  <c r="J533" i="10"/>
  <c r="J501" i="10"/>
  <c r="J485" i="10"/>
  <c r="J1164" i="10"/>
  <c r="J1148" i="10"/>
  <c r="J1116" i="10"/>
  <c r="J1108" i="10"/>
  <c r="J1100" i="10"/>
  <c r="J1060" i="10"/>
  <c r="J1036" i="10"/>
  <c r="J1028" i="10"/>
  <c r="J1020" i="10"/>
  <c r="J1004" i="10"/>
  <c r="J996" i="10"/>
  <c r="J988" i="10"/>
  <c r="J972" i="10"/>
  <c r="J948" i="10"/>
  <c r="J940" i="10"/>
  <c r="J932" i="10"/>
  <c r="J884" i="10"/>
  <c r="J868" i="10"/>
  <c r="J844" i="10"/>
  <c r="J836" i="10"/>
  <c r="J828" i="10"/>
  <c r="J820" i="10"/>
  <c r="J804" i="10"/>
  <c r="J796" i="10"/>
  <c r="J788" i="10"/>
  <c r="J772" i="10"/>
  <c r="J756" i="10"/>
  <c r="J740" i="10"/>
  <c r="J732" i="10"/>
  <c r="J724" i="10"/>
  <c r="J716" i="10"/>
  <c r="J708" i="10"/>
  <c r="J700" i="10"/>
  <c r="J692" i="10"/>
  <c r="J684" i="10"/>
  <c r="J668" i="10"/>
  <c r="J660" i="10"/>
  <c r="J652" i="10"/>
  <c r="J644" i="10"/>
  <c r="J636" i="10"/>
  <c r="J612" i="10"/>
  <c r="J604" i="10"/>
  <c r="J596" i="10"/>
  <c r="J580" i="10"/>
  <c r="J572" i="10"/>
  <c r="J564" i="10"/>
  <c r="J556" i="10"/>
  <c r="J548" i="10"/>
  <c r="J532" i="10"/>
  <c r="J524" i="10"/>
  <c r="J468" i="10"/>
  <c r="J460" i="10"/>
  <c r="J452" i="10"/>
  <c r="J444" i="10"/>
  <c r="J436" i="10"/>
  <c r="J412" i="10"/>
  <c r="J404" i="10"/>
  <c r="J396" i="10"/>
  <c r="J388" i="10"/>
  <c r="J364" i="10"/>
  <c r="J356" i="10"/>
  <c r="J348" i="10"/>
  <c r="J332" i="10"/>
  <c r="J300" i="10"/>
  <c r="J292" i="10"/>
  <c r="J244" i="10"/>
  <c r="J228" i="10"/>
  <c r="J220" i="10"/>
  <c r="J212" i="10"/>
  <c r="J204" i="10"/>
  <c r="J196" i="10"/>
  <c r="J188" i="10"/>
  <c r="J180" i="10"/>
  <c r="J172" i="10"/>
  <c r="J164" i="10"/>
  <c r="J156" i="10"/>
  <c r="J148" i="10"/>
  <c r="J140" i="10"/>
  <c r="J124" i="10"/>
  <c r="J108" i="10"/>
  <c r="J100" i="10"/>
  <c r="J39" i="10"/>
  <c r="J31" i="10"/>
  <c r="J7" i="10"/>
  <c r="J36" i="10"/>
  <c r="J83" i="10"/>
  <c r="J75" i="10"/>
  <c r="J67" i="10"/>
  <c r="J59" i="10"/>
  <c r="J51" i="10"/>
  <c r="J43" i="10"/>
  <c r="J34" i="10"/>
  <c r="J18" i="10"/>
  <c r="J33" i="10"/>
  <c r="J25" i="10"/>
  <c r="J9" i="10"/>
  <c r="J168" i="10"/>
  <c r="J136" i="10"/>
  <c r="J96" i="10"/>
  <c r="J1024" i="10"/>
  <c r="J968" i="10"/>
  <c r="J696" i="10"/>
  <c r="J638" i="10"/>
  <c r="J576" i="10"/>
  <c r="J526" i="10"/>
  <c r="J406" i="10"/>
  <c r="J158" i="10"/>
  <c r="J80" i="10"/>
  <c r="J519" i="10"/>
  <c r="J511" i="10"/>
  <c r="J463" i="10"/>
  <c r="J455" i="10"/>
  <c r="J423" i="10"/>
  <c r="J415" i="10"/>
  <c r="J351" i="10"/>
  <c r="J343" i="10"/>
  <c r="J335" i="10"/>
  <c r="J327" i="10"/>
  <c r="J311" i="10"/>
  <c r="J303" i="10"/>
  <c r="J295" i="10"/>
  <c r="J287" i="10"/>
  <c r="J271" i="10"/>
  <c r="J263" i="10"/>
  <c r="J247" i="10"/>
  <c r="J231" i="10"/>
  <c r="J223" i="10"/>
  <c r="J215" i="10"/>
  <c r="J183" i="10"/>
  <c r="J175" i="10"/>
  <c r="J159" i="10"/>
  <c r="J135" i="10"/>
  <c r="J127" i="10"/>
  <c r="J111" i="10"/>
  <c r="J103" i="10"/>
  <c r="J95" i="10"/>
  <c r="J87" i="10"/>
  <c r="J63" i="10"/>
  <c r="J55" i="10"/>
  <c r="J47" i="10"/>
  <c r="J1162" i="10"/>
  <c r="J1117" i="10"/>
  <c r="J1098" i="10"/>
  <c r="J1076" i="10"/>
  <c r="J1046" i="10"/>
  <c r="J1021" i="10"/>
  <c r="J512" i="10"/>
  <c r="J318" i="10"/>
  <c r="J384" i="10"/>
  <c r="J264" i="10"/>
  <c r="J70" i="10"/>
  <c r="J1014" i="10"/>
  <c r="J398" i="10"/>
  <c r="J222" i="10"/>
  <c r="J477" i="10"/>
  <c r="J469" i="10"/>
  <c r="J429" i="10"/>
  <c r="J381" i="10"/>
  <c r="J373" i="10"/>
  <c r="J365" i="10"/>
  <c r="J357" i="10"/>
  <c r="J349" i="10"/>
  <c r="J341" i="10"/>
  <c r="J325" i="10"/>
  <c r="J309" i="10"/>
  <c r="J301" i="10"/>
  <c r="J285" i="10"/>
  <c r="J277" i="10"/>
  <c r="J269" i="10"/>
  <c r="J261" i="10"/>
  <c r="J237" i="10"/>
  <c r="J181" i="10"/>
  <c r="J157" i="10"/>
  <c r="J149" i="10"/>
  <c r="J141" i="10"/>
  <c r="J133" i="10"/>
  <c r="J109" i="10"/>
  <c r="J37" i="10"/>
  <c r="J29" i="10"/>
  <c r="J21" i="10"/>
  <c r="J1197" i="10"/>
  <c r="J1156" i="10"/>
  <c r="J1114" i="10"/>
  <c r="J1092" i="10"/>
  <c r="J1067" i="10"/>
  <c r="J1042" i="10"/>
  <c r="J1013" i="10"/>
  <c r="J957" i="10"/>
  <c r="J843" i="10"/>
  <c r="J504" i="10"/>
  <c r="J382" i="10"/>
  <c r="J400" i="10"/>
  <c r="J224" i="10"/>
  <c r="J200" i="10"/>
  <c r="J104" i="10"/>
  <c r="J14" i="10"/>
  <c r="J516" i="10"/>
  <c r="J508" i="10"/>
  <c r="J500" i="10"/>
  <c r="J492" i="10"/>
  <c r="J484" i="10"/>
  <c r="J92" i="10"/>
  <c r="J60" i="10"/>
  <c r="J44" i="10"/>
  <c r="J20" i="10"/>
  <c r="J12" i="10"/>
  <c r="J1196" i="10"/>
  <c r="J1154" i="10"/>
  <c r="J1090" i="10"/>
  <c r="J1066" i="10"/>
  <c r="J923" i="10"/>
  <c r="J120" i="10"/>
  <c r="J30" i="10"/>
  <c r="J416" i="10"/>
  <c r="J160" i="10"/>
  <c r="J128" i="10"/>
  <c r="J32" i="10"/>
  <c r="J78" i="10"/>
  <c r="J144" i="10"/>
  <c r="J35" i="10"/>
  <c r="J27" i="10"/>
  <c r="J11" i="10"/>
  <c r="J1172" i="10"/>
  <c r="J1130" i="10"/>
  <c r="J1003" i="10"/>
  <c r="J280" i="10"/>
  <c r="J190" i="10"/>
  <c r="J24" i="10"/>
  <c r="J320" i="10"/>
  <c r="J256" i="10"/>
  <c r="J192" i="10"/>
  <c r="J38" i="10"/>
  <c r="J474" i="10"/>
  <c r="J458" i="10"/>
  <c r="J442" i="10"/>
  <c r="J426" i="10"/>
  <c r="J418" i="10"/>
  <c r="J410" i="10"/>
  <c r="J402" i="10"/>
  <c r="J386" i="10"/>
  <c r="J362" i="10"/>
  <c r="J354" i="10"/>
  <c r="J346" i="10"/>
  <c r="J322" i="10"/>
  <c r="J306" i="10"/>
  <c r="J298" i="10"/>
  <c r="J290" i="10"/>
  <c r="J282" i="10"/>
  <c r="J274" i="10"/>
  <c r="J266" i="10"/>
  <c r="J258" i="10"/>
  <c r="J242" i="10"/>
  <c r="J234" i="10"/>
  <c r="J218" i="10"/>
  <c r="J194" i="10"/>
  <c r="J186" i="10"/>
  <c r="J178" i="10"/>
  <c r="J162" i="10"/>
  <c r="J154" i="10"/>
  <c r="J146" i="10"/>
  <c r="J138" i="10"/>
  <c r="J130" i="10"/>
  <c r="J106" i="10"/>
  <c r="J98" i="10"/>
  <c r="J1002" i="10"/>
  <c r="J424" i="10"/>
  <c r="J360" i="10"/>
  <c r="J328" i="10"/>
  <c r="J86" i="10"/>
  <c r="J22" i="10"/>
  <c r="J89" i="10"/>
  <c r="J65" i="10"/>
  <c r="J57" i="10"/>
  <c r="J49" i="10"/>
  <c r="J41" i="10"/>
  <c r="J176" i="10"/>
  <c r="AH7" i="10"/>
  <c r="AH8" i="10"/>
  <c r="AH9" i="10"/>
  <c r="AH10" i="10"/>
  <c r="AH11" i="10"/>
  <c r="AH12" i="10"/>
  <c r="AH13" i="10"/>
  <c r="AH14" i="10"/>
  <c r="AH15" i="10"/>
  <c r="AH16" i="10"/>
  <c r="AH17" i="10"/>
  <c r="AH18" i="10"/>
  <c r="AH19" i="10"/>
  <c r="AH20" i="10"/>
  <c r="AH21" i="10"/>
  <c r="AH22" i="10"/>
  <c r="AH23" i="10"/>
  <c r="AH24" i="10"/>
  <c r="AH25" i="10"/>
  <c r="AH26" i="10"/>
  <c r="AH27" i="10"/>
  <c r="AH28" i="10"/>
  <c r="AH29" i="10"/>
  <c r="AH30" i="10"/>
  <c r="AH32" i="10"/>
  <c r="AH33" i="10"/>
  <c r="AH34" i="10"/>
  <c r="AH35" i="10"/>
  <c r="AH36" i="10"/>
  <c r="AH37" i="10"/>
  <c r="AH38" i="10"/>
  <c r="AH39" i="10"/>
  <c r="AH40" i="10"/>
  <c r="AH41" i="10"/>
  <c r="AH42" i="10"/>
  <c r="AH43" i="10"/>
  <c r="AH44" i="10"/>
  <c r="AH45" i="10"/>
  <c r="AH46" i="10"/>
  <c r="AH47" i="10"/>
  <c r="AH48" i="10"/>
  <c r="AH49" i="10"/>
  <c r="AH50" i="10"/>
  <c r="AH51" i="10"/>
  <c r="AH52" i="10"/>
  <c r="AH53" i="10"/>
  <c r="AH54" i="10"/>
  <c r="AH55" i="10"/>
  <c r="AH56" i="10"/>
  <c r="AH57" i="10"/>
  <c r="AH58" i="10"/>
  <c r="AH59" i="10"/>
  <c r="AH60" i="10"/>
  <c r="AH61" i="10"/>
  <c r="AH62" i="10"/>
  <c r="AH63" i="10"/>
  <c r="AH64" i="10"/>
  <c r="AH65" i="10"/>
  <c r="AH66" i="10"/>
  <c r="AH67" i="10"/>
  <c r="AH68" i="10"/>
  <c r="AH69" i="10"/>
  <c r="AH70" i="10"/>
  <c r="AH71" i="10"/>
  <c r="AH72" i="10"/>
  <c r="AH73" i="10"/>
  <c r="AH74" i="10"/>
  <c r="AH75" i="10"/>
  <c r="AH76" i="10"/>
  <c r="AH77" i="10"/>
  <c r="AH78" i="10"/>
  <c r="AH79" i="10"/>
  <c r="AH80" i="10"/>
  <c r="AH81" i="10"/>
  <c r="AH82" i="10"/>
  <c r="AH83" i="10"/>
  <c r="AH84" i="10"/>
  <c r="AH85" i="10"/>
  <c r="AH86" i="10"/>
  <c r="AH87" i="10"/>
  <c r="AH88" i="10"/>
  <c r="AH89" i="10"/>
  <c r="AH90" i="10"/>
  <c r="AH91" i="10"/>
  <c r="AH92" i="10"/>
  <c r="AH93" i="10"/>
  <c r="AH94" i="10"/>
  <c r="AH95" i="10"/>
  <c r="AH96" i="10"/>
  <c r="AH97" i="10"/>
  <c r="AH98" i="10"/>
  <c r="AH99" i="10"/>
  <c r="AH100" i="10"/>
  <c r="AH101" i="10"/>
  <c r="AH102" i="10"/>
  <c r="AH103" i="10"/>
  <c r="AH104" i="10"/>
  <c r="AH105" i="10"/>
  <c r="AH106" i="10"/>
  <c r="AH107" i="10"/>
  <c r="AH108" i="10"/>
  <c r="AH109" i="10"/>
  <c r="AH110" i="10"/>
  <c r="AH111" i="10"/>
  <c r="AH112" i="10"/>
  <c r="AH113" i="10"/>
  <c r="AH114" i="10"/>
  <c r="AH115" i="10"/>
  <c r="AH116" i="10"/>
  <c r="AH117" i="10"/>
  <c r="AH118" i="10"/>
  <c r="AH119" i="10"/>
  <c r="AH120" i="10"/>
  <c r="AH121" i="10"/>
  <c r="AH122" i="10"/>
  <c r="AH123" i="10"/>
  <c r="AH124" i="10"/>
  <c r="AH125" i="10"/>
  <c r="AH126" i="10"/>
  <c r="AH127" i="10"/>
  <c r="AH128" i="10"/>
  <c r="AH129" i="10"/>
  <c r="AH130" i="10"/>
  <c r="AH131" i="10"/>
  <c r="AH132" i="10"/>
  <c r="AH133" i="10"/>
  <c r="AH134" i="10"/>
  <c r="AH135" i="10"/>
  <c r="AH136" i="10"/>
  <c r="AH137" i="10"/>
  <c r="AH138" i="10"/>
  <c r="AH139" i="10"/>
  <c r="AH140" i="10"/>
  <c r="AH141" i="10"/>
  <c r="AH142" i="10"/>
  <c r="AH143" i="10"/>
  <c r="AH144" i="10"/>
  <c r="AH145" i="10"/>
  <c r="AH147" i="10"/>
  <c r="AH148" i="10"/>
  <c r="AH149" i="10"/>
  <c r="AH150" i="10"/>
  <c r="AH151" i="10"/>
  <c r="AH152" i="10"/>
  <c r="AH153" i="10"/>
  <c r="AH154" i="10"/>
  <c r="AH155" i="10"/>
  <c r="AH156" i="10"/>
  <c r="AH157" i="10"/>
  <c r="AH158" i="10"/>
  <c r="AH159" i="10"/>
  <c r="AH160" i="10"/>
  <c r="AH161" i="10"/>
  <c r="AH162" i="10"/>
  <c r="AH163" i="10"/>
  <c r="AH164" i="10"/>
  <c r="AH165" i="10"/>
  <c r="AH166" i="10"/>
  <c r="AH167" i="10"/>
  <c r="AH168" i="10"/>
  <c r="AH169" i="10"/>
  <c r="AH170" i="10"/>
  <c r="AH171" i="10"/>
  <c r="AH172" i="10"/>
  <c r="AH173" i="10"/>
  <c r="AH174" i="10"/>
  <c r="AH175" i="10"/>
  <c r="AH176" i="10"/>
  <c r="AH177" i="10"/>
  <c r="AH178" i="10"/>
  <c r="AH179" i="10"/>
  <c r="AH180" i="10"/>
  <c r="AH181" i="10"/>
  <c r="AH182" i="10"/>
  <c r="AH183" i="10"/>
  <c r="AH184" i="10"/>
  <c r="AH185" i="10"/>
  <c r="AH186" i="10"/>
  <c r="AH187" i="10"/>
  <c r="AH188" i="10"/>
  <c r="AH189" i="10"/>
  <c r="AH190" i="10"/>
  <c r="AH191" i="10"/>
  <c r="AH192" i="10"/>
  <c r="AH193" i="10"/>
  <c r="AH194" i="10"/>
  <c r="AH195" i="10"/>
  <c r="AH196" i="10"/>
  <c r="AH197" i="10"/>
  <c r="AH198" i="10"/>
  <c r="AH199" i="10"/>
  <c r="AH200" i="10"/>
  <c r="AH201" i="10"/>
  <c r="AH202" i="10"/>
  <c r="AH203" i="10"/>
  <c r="AH204" i="10"/>
  <c r="AH205" i="10"/>
  <c r="AH206" i="10"/>
  <c r="AH207" i="10"/>
  <c r="AH208" i="10"/>
  <c r="AH209" i="10"/>
  <c r="AH210" i="10"/>
  <c r="AH211" i="10"/>
  <c r="AH212" i="10"/>
  <c r="AH213" i="10"/>
  <c r="AH214" i="10"/>
  <c r="AH215" i="10"/>
  <c r="AH216" i="10"/>
  <c r="AH217" i="10"/>
  <c r="AH218" i="10"/>
  <c r="AH219" i="10"/>
  <c r="AH220" i="10"/>
  <c r="AH221" i="10"/>
  <c r="AH222" i="10"/>
  <c r="AH223" i="10"/>
  <c r="AH224" i="10"/>
  <c r="AH225" i="10"/>
  <c r="AH226" i="10"/>
  <c r="AH227" i="10"/>
  <c r="AH228" i="10"/>
  <c r="AH229" i="10"/>
  <c r="AH230" i="10"/>
  <c r="AH231" i="10"/>
  <c r="AH232" i="10"/>
  <c r="AH233" i="10"/>
  <c r="AH234" i="10"/>
  <c r="AH235" i="10"/>
  <c r="AH236" i="10"/>
  <c r="AH237" i="10"/>
  <c r="AH238" i="10"/>
  <c r="AH239" i="10"/>
  <c r="AH240" i="10"/>
  <c r="AH241" i="10"/>
  <c r="AH242" i="10"/>
  <c r="AH243" i="10"/>
  <c r="AH244" i="10"/>
  <c r="AH245" i="10"/>
  <c r="AH246" i="10"/>
  <c r="AH247" i="10"/>
  <c r="AH248" i="10"/>
  <c r="AH249" i="10"/>
  <c r="AH250" i="10"/>
  <c r="AH251" i="10"/>
  <c r="AH252" i="10"/>
  <c r="AH253" i="10"/>
  <c r="AH254" i="10"/>
  <c r="AH255" i="10"/>
  <c r="AH256" i="10"/>
  <c r="AH257" i="10"/>
  <c r="AH258" i="10"/>
  <c r="AH259" i="10"/>
  <c r="AH260" i="10"/>
  <c r="AH261" i="10"/>
  <c r="AH262" i="10"/>
  <c r="AH263" i="10"/>
  <c r="AH264" i="10"/>
  <c r="AH265" i="10"/>
  <c r="AH266" i="10"/>
  <c r="AH267" i="10"/>
  <c r="AH268" i="10"/>
  <c r="AH269" i="10"/>
  <c r="AH270" i="10"/>
  <c r="AH271" i="10"/>
  <c r="AH272" i="10"/>
  <c r="AH273" i="10"/>
  <c r="AH274" i="10"/>
  <c r="AH275" i="10"/>
  <c r="AH276" i="10"/>
  <c r="AH277" i="10"/>
  <c r="AH278" i="10"/>
  <c r="AH279" i="10"/>
  <c r="AH280" i="10"/>
  <c r="AH281" i="10"/>
  <c r="AH282" i="10"/>
  <c r="AH283" i="10"/>
  <c r="AH284" i="10"/>
  <c r="AH285" i="10"/>
  <c r="AH286" i="10"/>
  <c r="AH287" i="10"/>
  <c r="AH288" i="10"/>
  <c r="AH289" i="10"/>
  <c r="AH290" i="10"/>
  <c r="AH291" i="10"/>
  <c r="AH292" i="10"/>
  <c r="AH293" i="10"/>
  <c r="AH294" i="10"/>
  <c r="AH295" i="10"/>
  <c r="AH296" i="10"/>
  <c r="AH297" i="10"/>
  <c r="AH298" i="10"/>
  <c r="AH299" i="10"/>
  <c r="AH300" i="10"/>
  <c r="AH301" i="10"/>
  <c r="AH302" i="10"/>
  <c r="AH303" i="10"/>
  <c r="AH304" i="10"/>
  <c r="AH305" i="10"/>
  <c r="AH306" i="10"/>
  <c r="AH307" i="10"/>
  <c r="AH308" i="10"/>
  <c r="AH309" i="10"/>
  <c r="AH310" i="10"/>
  <c r="AH311" i="10"/>
  <c r="AH312" i="10"/>
  <c r="AH313" i="10"/>
  <c r="AH314" i="10"/>
  <c r="AH315" i="10"/>
  <c r="AH316" i="10"/>
  <c r="AH317" i="10"/>
  <c r="AH318" i="10"/>
  <c r="AH319" i="10"/>
  <c r="AH320" i="10"/>
  <c r="AH321" i="10"/>
  <c r="AH322" i="10"/>
  <c r="AH323" i="10"/>
  <c r="AH324" i="10"/>
  <c r="AH325" i="10"/>
  <c r="AH326" i="10"/>
  <c r="AH327" i="10"/>
  <c r="AH328" i="10"/>
  <c r="AH329" i="10"/>
  <c r="AH330" i="10"/>
  <c r="AH331" i="10"/>
  <c r="AH332" i="10"/>
  <c r="AH333" i="10"/>
  <c r="AH334" i="10"/>
  <c r="AH335" i="10"/>
  <c r="AH336" i="10"/>
  <c r="AH337" i="10"/>
  <c r="AH338" i="10"/>
  <c r="AH339" i="10"/>
  <c r="AH340" i="10"/>
  <c r="AH341" i="10"/>
  <c r="AH342" i="10"/>
  <c r="AH343" i="10"/>
  <c r="AH344" i="10"/>
  <c r="AH345" i="10"/>
  <c r="AH346" i="10"/>
  <c r="AH347" i="10"/>
  <c r="AH348" i="10"/>
  <c r="AH349" i="10"/>
  <c r="AH350" i="10"/>
  <c r="AH351" i="10"/>
  <c r="AH352" i="10"/>
  <c r="AH353" i="10"/>
  <c r="AH354" i="10"/>
  <c r="AH355" i="10"/>
  <c r="AH356" i="10"/>
  <c r="AH357" i="10"/>
  <c r="AH358" i="10"/>
  <c r="AH359" i="10"/>
  <c r="AH360" i="10"/>
  <c r="AH361" i="10"/>
  <c r="AH362" i="10"/>
  <c r="AH363" i="10"/>
  <c r="AH364" i="10"/>
  <c r="AH365" i="10"/>
  <c r="AH366" i="10"/>
  <c r="AH367" i="10"/>
  <c r="AH368" i="10"/>
  <c r="AH369" i="10"/>
  <c r="AH370" i="10"/>
  <c r="AH371" i="10"/>
  <c r="AH372" i="10"/>
  <c r="AH373" i="10"/>
  <c r="AH374" i="10"/>
  <c r="AH375" i="10"/>
  <c r="AH376" i="10"/>
  <c r="AH377" i="10"/>
  <c r="AH378" i="10"/>
  <c r="AH379" i="10"/>
  <c r="AH380" i="10"/>
  <c r="AH381" i="10"/>
  <c r="AH382" i="10"/>
  <c r="AH383" i="10"/>
  <c r="AH384" i="10"/>
  <c r="AH385" i="10"/>
  <c r="AH386" i="10"/>
  <c r="AH387" i="10"/>
  <c r="AH388" i="10"/>
  <c r="AH389" i="10"/>
  <c r="AH390" i="10"/>
  <c r="AH391" i="10"/>
  <c r="AH392" i="10"/>
  <c r="AH393" i="10"/>
  <c r="AH394" i="10"/>
  <c r="AH395" i="10"/>
  <c r="AH396" i="10"/>
  <c r="AH397" i="10"/>
  <c r="AH398" i="10"/>
  <c r="AH399" i="10"/>
  <c r="AH400" i="10"/>
  <c r="AH401" i="10"/>
  <c r="AH402" i="10"/>
  <c r="AH403" i="10"/>
  <c r="AH404" i="10"/>
  <c r="AH405" i="10"/>
  <c r="AH406" i="10"/>
  <c r="AH407" i="10"/>
  <c r="AH408" i="10"/>
  <c r="AH409" i="10"/>
  <c r="AH410" i="10"/>
  <c r="AH411" i="10"/>
  <c r="AH412" i="10"/>
  <c r="AH413" i="10"/>
  <c r="AH414" i="10"/>
  <c r="AH415" i="10"/>
  <c r="AH416" i="10"/>
  <c r="AH417" i="10"/>
  <c r="AH418" i="10"/>
  <c r="AH419" i="10"/>
  <c r="AH420" i="10"/>
  <c r="AH421" i="10"/>
  <c r="AH422" i="10"/>
  <c r="AH423" i="10"/>
  <c r="AH424" i="10"/>
  <c r="AH425" i="10"/>
  <c r="AH426" i="10"/>
  <c r="AH427" i="10"/>
  <c r="AH428" i="10"/>
  <c r="AH429" i="10"/>
  <c r="AH430" i="10"/>
  <c r="AH431" i="10"/>
  <c r="AH432" i="10"/>
  <c r="AH433" i="10"/>
  <c r="AH434" i="10"/>
  <c r="AH435" i="10"/>
  <c r="AH436" i="10"/>
  <c r="AH437" i="10"/>
  <c r="AH438" i="10"/>
  <c r="AH439" i="10"/>
  <c r="AH440" i="10"/>
  <c r="AH441" i="10"/>
  <c r="AH442" i="10"/>
  <c r="AH443" i="10"/>
  <c r="AH444" i="10"/>
  <c r="AH445" i="10"/>
  <c r="AH446" i="10"/>
  <c r="AH447" i="10"/>
  <c r="AH448" i="10"/>
  <c r="AH449" i="10"/>
  <c r="AH450" i="10"/>
  <c r="AH451" i="10"/>
  <c r="AH452" i="10"/>
  <c r="AH453" i="10"/>
  <c r="AH454" i="10"/>
  <c r="AH455" i="10"/>
  <c r="AH457" i="10"/>
  <c r="AH458" i="10"/>
  <c r="AH459" i="10"/>
  <c r="AH460" i="10"/>
  <c r="AH461" i="10"/>
  <c r="AH462" i="10"/>
  <c r="AH463" i="10"/>
  <c r="AH464" i="10"/>
  <c r="AH465" i="10"/>
  <c r="AH466" i="10"/>
  <c r="AH467" i="10"/>
  <c r="AH468" i="10"/>
  <c r="AH469" i="10"/>
  <c r="AH470" i="10"/>
  <c r="AH471" i="10"/>
  <c r="AH472" i="10"/>
  <c r="AH473" i="10"/>
  <c r="AH474" i="10"/>
  <c r="AH475" i="10"/>
  <c r="AH476" i="10"/>
  <c r="AH477" i="10"/>
  <c r="AH478" i="10"/>
  <c r="AH479" i="10"/>
  <c r="AH480" i="10"/>
  <c r="AH481" i="10"/>
  <c r="AH482" i="10"/>
  <c r="AH483" i="10"/>
  <c r="AH484" i="10"/>
  <c r="AH485" i="10"/>
  <c r="AH486" i="10"/>
  <c r="AH487" i="10"/>
  <c r="AH488" i="10"/>
  <c r="AH489" i="10"/>
  <c r="AH490" i="10"/>
  <c r="AH491" i="10"/>
  <c r="AH492" i="10"/>
  <c r="AH493" i="10"/>
  <c r="AH494" i="10"/>
  <c r="AH495" i="10"/>
  <c r="AH496" i="10"/>
  <c r="AH497" i="10"/>
  <c r="AH498" i="10"/>
  <c r="AH499" i="10"/>
  <c r="AH500" i="10"/>
  <c r="AH501" i="10"/>
  <c r="AH502" i="10"/>
  <c r="AH503" i="10"/>
  <c r="AH504" i="10"/>
  <c r="AH505" i="10"/>
  <c r="AH506" i="10"/>
  <c r="AH507" i="10"/>
  <c r="AH508" i="10"/>
  <c r="AH509" i="10"/>
  <c r="AH510" i="10"/>
  <c r="AH511" i="10"/>
  <c r="AH512" i="10"/>
  <c r="AH513" i="10"/>
  <c r="AH514" i="10"/>
  <c r="AH515" i="10"/>
  <c r="AH516" i="10"/>
  <c r="AH517" i="10"/>
  <c r="AH518" i="10"/>
  <c r="AH519" i="10"/>
  <c r="AH520" i="10"/>
  <c r="AH521" i="10"/>
  <c r="AH522" i="10"/>
  <c r="AH523" i="10"/>
  <c r="AH524" i="10"/>
  <c r="AH525" i="10"/>
  <c r="AH526" i="10"/>
  <c r="AH527" i="10"/>
  <c r="AH528" i="10"/>
  <c r="AH529" i="10"/>
  <c r="AH530" i="10"/>
  <c r="AH531" i="10"/>
  <c r="AH532" i="10"/>
  <c r="AH533" i="10"/>
  <c r="AH534" i="10"/>
  <c r="AH535" i="10"/>
  <c r="AH536" i="10"/>
  <c r="AH537" i="10"/>
  <c r="AH538" i="10"/>
  <c r="AH539" i="10"/>
  <c r="AH540" i="10"/>
  <c r="AH541" i="10"/>
  <c r="AH543" i="10"/>
  <c r="AH544" i="10"/>
  <c r="AH545" i="10"/>
  <c r="AH546" i="10"/>
  <c r="AH547" i="10"/>
  <c r="AH548" i="10"/>
  <c r="AH549" i="10"/>
  <c r="AH550" i="10"/>
  <c r="AH551" i="10"/>
  <c r="AH552" i="10"/>
  <c r="AH553" i="10"/>
  <c r="AH554" i="10"/>
  <c r="AH555" i="10"/>
  <c r="AH556" i="10"/>
  <c r="AH557" i="10"/>
  <c r="AH558" i="10"/>
  <c r="AH559" i="10"/>
  <c r="AH560" i="10"/>
  <c r="AH561" i="10"/>
  <c r="AH562" i="10"/>
  <c r="AH563" i="10"/>
  <c r="AH564" i="10"/>
  <c r="AH565" i="10"/>
  <c r="AH566" i="10"/>
  <c r="AH567" i="10"/>
  <c r="AH568" i="10"/>
  <c r="AH569" i="10"/>
  <c r="AH570" i="10"/>
  <c r="AH571" i="10"/>
  <c r="AH572" i="10"/>
  <c r="AH573" i="10"/>
  <c r="AH574" i="10"/>
  <c r="AH575" i="10"/>
  <c r="AH576" i="10"/>
  <c r="AH577" i="10"/>
  <c r="AH578" i="10"/>
  <c r="AH579" i="10"/>
  <c r="AH580" i="10"/>
  <c r="AH581" i="10"/>
  <c r="AH582" i="10"/>
  <c r="AH583" i="10"/>
  <c r="AH584" i="10"/>
  <c r="AH585" i="10"/>
  <c r="AH586" i="10"/>
  <c r="AH587" i="10"/>
  <c r="AH588" i="10"/>
  <c r="AH589" i="10"/>
  <c r="AH590" i="10"/>
  <c r="AH591" i="10"/>
  <c r="AH592" i="10"/>
  <c r="AH593" i="10"/>
  <c r="AH594" i="10"/>
  <c r="AH595" i="10"/>
  <c r="AH596" i="10"/>
  <c r="AH597" i="10"/>
  <c r="AH598" i="10"/>
  <c r="AH599" i="10"/>
  <c r="AH600" i="10"/>
  <c r="AH601" i="10"/>
  <c r="AH602" i="10"/>
  <c r="AH603" i="10"/>
  <c r="AH604" i="10"/>
  <c r="AH605" i="10"/>
  <c r="AH606" i="10"/>
  <c r="AH607" i="10"/>
  <c r="AH608" i="10"/>
  <c r="AH609" i="10"/>
  <c r="AH610" i="10"/>
  <c r="AH611" i="10"/>
  <c r="AH612" i="10"/>
  <c r="AH613" i="10"/>
  <c r="AH614" i="10"/>
  <c r="AH615" i="10"/>
  <c r="AH616" i="10"/>
  <c r="AH617" i="10"/>
  <c r="AH618" i="10"/>
  <c r="AH619" i="10"/>
  <c r="AH620" i="10"/>
  <c r="AH621" i="10"/>
  <c r="AH622" i="10"/>
  <c r="AH624" i="10"/>
  <c r="AH625" i="10"/>
  <c r="AH626" i="10"/>
  <c r="AH627" i="10"/>
  <c r="AH628" i="10"/>
  <c r="AH629" i="10"/>
  <c r="AH630" i="10"/>
  <c r="AH631" i="10"/>
  <c r="AH632" i="10"/>
  <c r="AH633" i="10"/>
  <c r="AH634" i="10"/>
  <c r="AH635" i="10"/>
  <c r="AH636" i="10"/>
  <c r="AH637" i="10"/>
  <c r="AH638" i="10"/>
  <c r="AH639" i="10"/>
  <c r="AH640" i="10"/>
  <c r="AH641" i="10"/>
  <c r="AH642" i="10"/>
  <c r="AH643" i="10"/>
  <c r="AH644" i="10"/>
  <c r="AH645" i="10"/>
  <c r="AH646" i="10"/>
  <c r="AH647" i="10"/>
  <c r="AH648" i="10"/>
  <c r="AH649" i="10"/>
  <c r="AH650" i="10"/>
  <c r="AH651" i="10"/>
  <c r="AH652" i="10"/>
  <c r="AH653" i="10"/>
  <c r="AH654" i="10"/>
  <c r="AH655" i="10"/>
  <c r="AH656" i="10"/>
  <c r="AH657" i="10"/>
  <c r="AH658" i="10"/>
  <c r="AH659" i="10"/>
  <c r="AH660" i="10"/>
  <c r="AH661" i="10"/>
  <c r="AH662" i="10"/>
  <c r="AH663" i="10"/>
  <c r="AH664" i="10"/>
  <c r="AH665" i="10"/>
  <c r="AH666" i="10"/>
  <c r="AH667" i="10"/>
  <c r="AH668" i="10"/>
  <c r="AH669" i="10"/>
  <c r="AH670" i="10"/>
  <c r="AH671" i="10"/>
  <c r="AH672" i="10"/>
  <c r="AH673" i="10"/>
  <c r="AH674" i="10"/>
  <c r="AH675" i="10"/>
  <c r="AH676" i="10"/>
  <c r="AH677" i="10"/>
  <c r="AH678" i="10"/>
  <c r="AH679" i="10"/>
  <c r="AH680" i="10"/>
  <c r="AH681" i="10"/>
  <c r="AH682" i="10"/>
  <c r="AH683" i="10"/>
  <c r="AH684" i="10"/>
  <c r="AH685" i="10"/>
  <c r="AH686" i="10"/>
  <c r="AH687" i="10"/>
  <c r="AH688" i="10"/>
  <c r="AH689" i="10"/>
  <c r="AH690" i="10"/>
  <c r="AH691" i="10"/>
  <c r="AH692" i="10"/>
  <c r="AH693" i="10"/>
  <c r="AH694" i="10"/>
  <c r="AH695" i="10"/>
  <c r="AH696" i="10"/>
  <c r="AH697" i="10"/>
  <c r="AH698" i="10"/>
  <c r="AH699" i="10"/>
  <c r="AH700" i="10"/>
  <c r="AH701" i="10"/>
  <c r="AH702" i="10"/>
  <c r="AH703" i="10"/>
  <c r="AH704" i="10"/>
  <c r="AH705" i="10"/>
  <c r="AH706" i="10"/>
  <c r="AH707" i="10"/>
  <c r="AH708" i="10"/>
  <c r="AH709" i="10"/>
  <c r="AH710" i="10"/>
  <c r="AH711" i="10"/>
  <c r="AH712" i="10"/>
  <c r="AH714" i="10"/>
  <c r="AH715" i="10"/>
  <c r="AH716" i="10"/>
  <c r="AH717" i="10"/>
  <c r="AH718" i="10"/>
  <c r="AH719" i="10"/>
  <c r="AH720" i="10"/>
  <c r="AH721" i="10"/>
  <c r="AH722" i="10"/>
  <c r="AH723" i="10"/>
  <c r="AH724" i="10"/>
  <c r="AH725" i="10"/>
  <c r="AH726" i="10"/>
  <c r="AH727" i="10"/>
  <c r="AH728" i="10"/>
  <c r="AH729" i="10"/>
  <c r="AH730" i="10"/>
  <c r="AH731" i="10"/>
  <c r="AH732" i="10"/>
  <c r="AH733" i="10"/>
  <c r="AH734" i="10"/>
  <c r="AH735" i="10"/>
  <c r="AH736" i="10"/>
  <c r="AH737" i="10"/>
  <c r="AH738" i="10"/>
  <c r="AH739" i="10"/>
  <c r="AH740" i="10"/>
  <c r="AH741" i="10"/>
  <c r="AH742" i="10"/>
  <c r="AH743" i="10"/>
  <c r="AH744" i="10"/>
  <c r="AH745" i="10"/>
  <c r="AH746" i="10"/>
  <c r="AH747" i="10"/>
  <c r="AH748" i="10"/>
  <c r="AH749" i="10"/>
  <c r="AH750" i="10"/>
  <c r="AH751" i="10"/>
  <c r="AH752" i="10"/>
  <c r="AH753" i="10"/>
  <c r="AH754" i="10"/>
  <c r="AH755" i="10"/>
  <c r="AH756" i="10"/>
  <c r="AH757" i="10"/>
  <c r="AH758" i="10"/>
  <c r="AH759" i="10"/>
  <c r="AH760" i="10"/>
  <c r="AH761" i="10"/>
  <c r="AH762" i="10"/>
  <c r="AH763" i="10"/>
  <c r="AH764" i="10"/>
  <c r="AH765" i="10"/>
  <c r="AH766" i="10"/>
  <c r="AH767" i="10"/>
  <c r="AH768" i="10"/>
  <c r="AH769" i="10"/>
  <c r="AH770" i="10"/>
  <c r="AH771" i="10"/>
  <c r="AH772" i="10"/>
  <c r="AH773" i="10"/>
  <c r="AH774" i="10"/>
  <c r="AH775" i="10"/>
  <c r="AH776" i="10"/>
  <c r="AH777" i="10"/>
  <c r="AH778" i="10"/>
  <c r="AH779" i="10"/>
  <c r="AH780" i="10"/>
  <c r="AH781" i="10"/>
  <c r="AH782" i="10"/>
  <c r="AH783" i="10"/>
  <c r="AH784" i="10"/>
  <c r="AH785" i="10"/>
  <c r="AH786" i="10"/>
  <c r="AH787" i="10"/>
  <c r="AH788" i="10"/>
  <c r="AH789" i="10"/>
  <c r="AH790" i="10"/>
  <c r="AH792" i="10"/>
  <c r="AH793" i="10"/>
  <c r="AH794" i="10"/>
  <c r="AH795" i="10"/>
  <c r="AH796" i="10"/>
  <c r="AH797" i="10"/>
  <c r="AH798" i="10"/>
  <c r="AH799" i="10"/>
  <c r="AH800" i="10"/>
  <c r="AH801" i="10"/>
  <c r="AH802" i="10"/>
  <c r="AH803" i="10"/>
  <c r="AH804" i="10"/>
  <c r="AH805" i="10"/>
  <c r="AH806" i="10"/>
  <c r="AH807" i="10"/>
  <c r="AH808" i="10"/>
  <c r="AH809" i="10"/>
  <c r="AH810" i="10"/>
  <c r="AH811" i="10"/>
  <c r="AH812" i="10"/>
  <c r="AH813" i="10"/>
  <c r="AH814" i="10"/>
  <c r="AH815" i="10"/>
  <c r="AH816" i="10"/>
  <c r="AH817" i="10"/>
  <c r="AH818" i="10"/>
  <c r="AH819" i="10"/>
  <c r="AH820" i="10"/>
  <c r="AH821" i="10"/>
  <c r="AH822" i="10"/>
  <c r="AH823" i="10"/>
  <c r="AH824" i="10"/>
  <c r="AH825" i="10"/>
  <c r="AH826" i="10"/>
  <c r="AH828" i="10"/>
  <c r="AH829" i="10"/>
  <c r="AH831" i="10"/>
  <c r="AH832" i="10"/>
  <c r="AH833" i="10"/>
  <c r="AH834" i="10"/>
  <c r="AH835" i="10"/>
  <c r="AH836" i="10"/>
  <c r="AH837" i="10"/>
  <c r="AH838" i="10"/>
  <c r="AH839" i="10"/>
  <c r="AH840" i="10"/>
  <c r="AH841" i="10"/>
  <c r="AH842" i="10"/>
  <c r="AH843" i="10"/>
  <c r="AH844" i="10"/>
  <c r="AH845" i="10"/>
  <c r="AH846" i="10"/>
  <c r="AH847" i="10"/>
  <c r="AH848" i="10"/>
  <c r="AH849" i="10"/>
  <c r="AH850" i="10"/>
  <c r="AH851" i="10"/>
  <c r="AH852" i="10"/>
  <c r="AH853" i="10"/>
  <c r="AH854" i="10"/>
  <c r="AH855" i="10"/>
  <c r="AH856" i="10"/>
  <c r="AH857" i="10"/>
  <c r="AH858" i="10"/>
  <c r="AH859" i="10"/>
  <c r="AH860" i="10"/>
  <c r="AH861" i="10"/>
  <c r="AH862" i="10"/>
  <c r="AH863" i="10"/>
  <c r="AH864" i="10"/>
  <c r="AH865" i="10"/>
  <c r="AH866" i="10"/>
  <c r="AH867" i="10"/>
  <c r="AH868" i="10"/>
  <c r="AH869" i="10"/>
  <c r="AH870" i="10"/>
  <c r="AH871" i="10"/>
  <c r="AH872" i="10"/>
  <c r="AH873" i="10"/>
  <c r="AH874" i="10"/>
  <c r="AH875" i="10"/>
  <c r="AH876" i="10"/>
  <c r="AH877" i="10"/>
  <c r="AH878" i="10"/>
  <c r="AH879" i="10"/>
  <c r="AH880" i="10"/>
  <c r="AH881" i="10"/>
  <c r="AH883" i="10"/>
  <c r="AH884" i="10"/>
  <c r="AH885" i="10"/>
  <c r="AH886" i="10"/>
  <c r="AH887" i="10"/>
  <c r="AH888" i="10"/>
  <c r="AH889" i="10"/>
  <c r="AH890" i="10"/>
  <c r="AH891" i="10"/>
  <c r="AH892" i="10"/>
  <c r="AH893" i="10"/>
  <c r="AH894" i="10"/>
  <c r="AH896" i="10"/>
  <c r="AH897" i="10"/>
  <c r="AH898" i="10"/>
  <c r="AH899" i="10"/>
  <c r="AH900" i="10"/>
  <c r="AH901" i="10"/>
  <c r="AH902" i="10"/>
  <c r="AH903" i="10"/>
  <c r="AH904" i="10"/>
  <c r="AH905" i="10"/>
  <c r="AH906" i="10"/>
  <c r="AH907" i="10"/>
  <c r="AH908" i="10"/>
  <c r="AH909" i="10"/>
  <c r="AH910" i="10"/>
  <c r="AH911" i="10"/>
  <c r="AH913" i="10"/>
  <c r="AH914" i="10"/>
  <c r="AH915" i="10"/>
  <c r="AH916" i="10"/>
  <c r="AH917" i="10"/>
  <c r="AH918" i="10"/>
  <c r="AH919" i="10"/>
  <c r="AH920" i="10"/>
  <c r="AH921" i="10"/>
  <c r="AH922" i="10"/>
  <c r="AH923" i="10"/>
  <c r="AH924" i="10"/>
  <c r="AH925" i="10"/>
  <c r="AH926" i="10"/>
  <c r="AH927" i="10"/>
  <c r="AH928" i="10"/>
  <c r="AH929" i="10"/>
  <c r="AH930" i="10"/>
  <c r="AH931" i="10"/>
  <c r="AH932" i="10"/>
  <c r="AH933" i="10"/>
  <c r="AH934" i="10"/>
  <c r="AH935" i="10"/>
  <c r="AH936" i="10"/>
  <c r="AH937" i="10"/>
  <c r="AH938" i="10"/>
  <c r="AH939" i="10"/>
  <c r="AH940" i="10"/>
  <c r="AH941" i="10"/>
  <c r="AH942" i="10"/>
  <c r="AH943" i="10"/>
  <c r="AH944" i="10"/>
  <c r="AH945" i="10"/>
  <c r="AH946" i="10"/>
  <c r="AH947" i="10"/>
  <c r="AH948" i="10"/>
  <c r="AH949" i="10"/>
  <c r="AH950" i="10"/>
  <c r="AH951" i="10"/>
  <c r="AH952" i="10"/>
  <c r="AH953" i="10"/>
  <c r="AH954" i="10"/>
  <c r="AH955" i="10"/>
  <c r="AH956" i="10"/>
  <c r="AH957" i="10"/>
  <c r="AH958" i="10"/>
  <c r="AH959" i="10"/>
  <c r="AH960" i="10"/>
  <c r="AH961" i="10"/>
  <c r="AH962" i="10"/>
  <c r="AH963" i="10"/>
  <c r="AH964" i="10"/>
  <c r="AH965" i="10"/>
  <c r="AH966" i="10"/>
  <c r="AH967" i="10"/>
  <c r="AH968" i="10"/>
  <c r="AH969" i="10"/>
  <c r="AH970" i="10"/>
  <c r="AH971" i="10"/>
  <c r="AH972" i="10"/>
  <c r="AH973" i="10"/>
  <c r="AH974" i="10"/>
  <c r="AH975" i="10"/>
  <c r="AH976" i="10"/>
  <c r="AH977" i="10"/>
  <c r="AH978" i="10"/>
  <c r="AH979" i="10"/>
  <c r="AH980" i="10"/>
  <c r="AH981" i="10"/>
  <c r="AH982" i="10"/>
  <c r="AH983" i="10"/>
  <c r="AH984" i="10"/>
  <c r="AH985" i="10"/>
  <c r="AH986" i="10"/>
  <c r="AH987" i="10"/>
  <c r="AH988" i="10"/>
  <c r="AH989" i="10"/>
  <c r="AH990" i="10"/>
  <c r="AH991" i="10"/>
  <c r="AH992" i="10"/>
  <c r="AH993" i="10"/>
  <c r="AH994" i="10"/>
  <c r="AH995" i="10"/>
  <c r="AH996" i="10"/>
  <c r="AH997" i="10"/>
  <c r="AH998" i="10"/>
  <c r="AH999" i="10"/>
  <c r="AH1000" i="10"/>
  <c r="AH1001" i="10"/>
  <c r="AH1002" i="10"/>
  <c r="AH1003" i="10"/>
  <c r="AH1004" i="10"/>
  <c r="AH1005" i="10"/>
  <c r="AH1006" i="10"/>
  <c r="AH1007" i="10"/>
  <c r="AH1008" i="10"/>
  <c r="AH1009" i="10"/>
  <c r="AH1010" i="10"/>
  <c r="AH1011" i="10"/>
  <c r="AH1012" i="10"/>
  <c r="AH1013" i="10"/>
  <c r="AH1014" i="10"/>
  <c r="AH1015" i="10"/>
  <c r="AH1016" i="10"/>
  <c r="AH1017" i="10"/>
  <c r="AH1018" i="10"/>
  <c r="AH1019" i="10"/>
  <c r="AH1020" i="10"/>
  <c r="AH1021" i="10"/>
  <c r="AH1022" i="10"/>
  <c r="AH1023" i="10"/>
  <c r="AH1024" i="10"/>
  <c r="AH1025" i="10"/>
  <c r="AH1026" i="10"/>
  <c r="AH1027" i="10"/>
  <c r="AH1028" i="10"/>
  <c r="AH1029" i="10"/>
  <c r="AH1030" i="10"/>
  <c r="AH1031" i="10"/>
  <c r="AH1032" i="10"/>
  <c r="AH1033" i="10"/>
  <c r="AH1034" i="10"/>
  <c r="AH1035" i="10"/>
  <c r="AH1036" i="10"/>
  <c r="AH1037" i="10"/>
  <c r="AH1038" i="10"/>
  <c r="AH1039" i="10"/>
  <c r="AH1040" i="10"/>
  <c r="AH1041" i="10"/>
  <c r="AH1042" i="10"/>
  <c r="AH1043" i="10"/>
  <c r="AH1044" i="10"/>
  <c r="AH1045" i="10"/>
  <c r="AH1046" i="10"/>
  <c r="AH1047" i="10"/>
  <c r="AH1048" i="10"/>
  <c r="AH1049" i="10"/>
  <c r="AH1050" i="10"/>
  <c r="AH1051" i="10"/>
  <c r="AH1052" i="10"/>
  <c r="AH1053" i="10"/>
  <c r="AH1054" i="10"/>
  <c r="AH1055" i="10"/>
  <c r="AH1056" i="10"/>
  <c r="AH1057" i="10"/>
  <c r="AH1058" i="10"/>
  <c r="AH1059" i="10"/>
  <c r="AH1060" i="10"/>
  <c r="AH1061" i="10"/>
  <c r="AH1062" i="10"/>
  <c r="AH1063" i="10"/>
  <c r="AH1064" i="10"/>
  <c r="AH1065" i="10"/>
  <c r="AH1066" i="10"/>
  <c r="AH1067" i="10"/>
  <c r="AH1068" i="10"/>
  <c r="AH1069" i="10"/>
  <c r="AH1070" i="10"/>
  <c r="AH1071" i="10"/>
  <c r="AH1072" i="10"/>
  <c r="AH1073" i="10"/>
  <c r="AH1074" i="10"/>
  <c r="AH1075" i="10"/>
  <c r="AH1076" i="10"/>
  <c r="AH1077" i="10"/>
  <c r="AH1078" i="10"/>
  <c r="AH1079" i="10"/>
  <c r="AH1080" i="10"/>
  <c r="AH1081" i="10"/>
  <c r="AH1082" i="10"/>
  <c r="AH1083" i="10"/>
  <c r="AH1084" i="10"/>
  <c r="AH1085" i="10"/>
  <c r="AH1086" i="10"/>
  <c r="AH1087" i="10"/>
  <c r="AH1088" i="10"/>
  <c r="AH1089" i="10"/>
  <c r="AH1090" i="10"/>
  <c r="AH1091" i="10"/>
  <c r="AH1092" i="10"/>
  <c r="AH1093" i="10"/>
  <c r="AH1094" i="10"/>
  <c r="AH1095" i="10"/>
  <c r="AH1096" i="10"/>
  <c r="AH1097" i="10"/>
  <c r="AH1098" i="10"/>
  <c r="AH1099" i="10"/>
  <c r="AH1100" i="10"/>
  <c r="AH1101" i="10"/>
  <c r="AH1102" i="10"/>
  <c r="AH1103" i="10"/>
  <c r="AH1104" i="10"/>
  <c r="AH1105" i="10"/>
  <c r="AH1106" i="10"/>
  <c r="AH1107" i="10"/>
  <c r="AH1108" i="10"/>
  <c r="AH1109" i="10"/>
  <c r="AH1110" i="10"/>
  <c r="AH1111" i="10"/>
  <c r="AH1112" i="10"/>
  <c r="AH1113" i="10"/>
  <c r="AH1114" i="10"/>
  <c r="AH1115" i="10"/>
  <c r="AH1116" i="10"/>
  <c r="AH1117" i="10"/>
  <c r="AH1118" i="10"/>
  <c r="AH1119" i="10"/>
  <c r="AH1120" i="10"/>
  <c r="AH1121" i="10"/>
  <c r="AH1122" i="10"/>
  <c r="AH1123" i="10"/>
  <c r="AH1124" i="10"/>
  <c r="AH1125" i="10"/>
  <c r="AH1126" i="10"/>
  <c r="AH1127" i="10"/>
  <c r="AH1128" i="10"/>
  <c r="AH1129" i="10"/>
  <c r="AH1130" i="10"/>
  <c r="AH1131" i="10"/>
  <c r="AH1132" i="10"/>
  <c r="AH1133" i="10"/>
  <c r="AH1134" i="10"/>
  <c r="AH1135" i="10"/>
  <c r="AH1136" i="10"/>
  <c r="AH1137" i="10"/>
  <c r="AH1138" i="10"/>
  <c r="AH1139" i="10"/>
  <c r="AH1140" i="10"/>
  <c r="AH1141" i="10"/>
  <c r="AH1142" i="10"/>
  <c r="AH1143" i="10"/>
  <c r="AH1144" i="10"/>
  <c r="AH1145" i="10"/>
  <c r="AH1146" i="10"/>
  <c r="AH1147" i="10"/>
  <c r="AH1148" i="10"/>
  <c r="AH1149" i="10"/>
  <c r="AH1150" i="10"/>
  <c r="AH1151" i="10"/>
  <c r="AH1152" i="10"/>
  <c r="AH1153" i="10"/>
  <c r="AH1154" i="10"/>
  <c r="AH1155" i="10"/>
  <c r="AH1156" i="10"/>
  <c r="AH1157" i="10"/>
  <c r="AH1158" i="10"/>
  <c r="AH1159" i="10"/>
  <c r="AH1160" i="10"/>
  <c r="AH1161" i="10"/>
  <c r="AH1162" i="10"/>
  <c r="AH1163" i="10"/>
  <c r="AH1164" i="10"/>
  <c r="AH1165" i="10"/>
  <c r="AH1166" i="10"/>
  <c r="AH1167" i="10"/>
  <c r="AH1168" i="10"/>
  <c r="AH1169" i="10"/>
  <c r="AH1170" i="10"/>
  <c r="AH1171" i="10"/>
  <c r="AH1172" i="10"/>
  <c r="AH1173" i="10"/>
  <c r="AH1174" i="10"/>
  <c r="AH1175" i="10"/>
  <c r="AH1176" i="10"/>
  <c r="AH1177" i="10"/>
  <c r="AH1178" i="10"/>
  <c r="AH1179" i="10"/>
  <c r="AH1180" i="10"/>
  <c r="AH1181" i="10"/>
  <c r="AH1182" i="10"/>
  <c r="AH1183" i="10"/>
  <c r="AH1184" i="10"/>
  <c r="AH1185" i="10"/>
  <c r="AH1186" i="10"/>
  <c r="AH1187" i="10"/>
  <c r="AH1188" i="10"/>
  <c r="AH1189" i="10"/>
  <c r="AH1190" i="10"/>
  <c r="AH1191" i="10"/>
  <c r="AH1192" i="10"/>
  <c r="AH1193" i="10"/>
  <c r="AH1194" i="10"/>
  <c r="AH1195" i="10"/>
  <c r="AH1196" i="10"/>
  <c r="AH1197" i="10"/>
  <c r="AH1198" i="10"/>
  <c r="AH1199" i="10"/>
  <c r="AH1200" i="10"/>
  <c r="AH1201" i="10"/>
  <c r="AH1202" i="10"/>
  <c r="AH1203" i="10"/>
  <c r="AH1204" i="10"/>
  <c r="AH1205" i="10"/>
  <c r="AH1206" i="10"/>
  <c r="AH1207" i="10"/>
  <c r="AH1208" i="10"/>
  <c r="AH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48" i="10"/>
  <c r="L49" i="10"/>
  <c r="L50" i="10"/>
  <c r="L51" i="10"/>
  <c r="L52" i="10"/>
  <c r="L53" i="10"/>
  <c r="L54" i="10"/>
  <c r="L55" i="10"/>
  <c r="L56" i="10"/>
  <c r="L57" i="10"/>
  <c r="L58" i="10"/>
  <c r="L59" i="10"/>
  <c r="L60" i="10"/>
  <c r="L61" i="10"/>
  <c r="L62" i="10"/>
  <c r="L63" i="10"/>
  <c r="L64" i="10"/>
  <c r="L65" i="10"/>
  <c r="L66" i="10"/>
  <c r="L67" i="10"/>
  <c r="L68" i="10"/>
  <c r="L69" i="10"/>
  <c r="L70" i="10"/>
  <c r="L71" i="10"/>
  <c r="L72" i="10"/>
  <c r="L73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95" i="10"/>
  <c r="L96" i="10"/>
  <c r="L97" i="10"/>
  <c r="L98" i="10"/>
  <c r="L99" i="10"/>
  <c r="L100" i="10"/>
  <c r="L101" i="10"/>
  <c r="L102" i="10"/>
  <c r="L103" i="10"/>
  <c r="L104" i="10"/>
  <c r="L105" i="10"/>
  <c r="L106" i="10"/>
  <c r="L107" i="10"/>
  <c r="L108" i="10"/>
  <c r="L109" i="10"/>
  <c r="L110" i="10"/>
  <c r="L111" i="10"/>
  <c r="L112" i="10"/>
  <c r="L113" i="10"/>
  <c r="L114" i="10"/>
  <c r="L115" i="10"/>
  <c r="L116" i="10"/>
  <c r="L117" i="10"/>
  <c r="L118" i="10"/>
  <c r="L119" i="10"/>
  <c r="L120" i="10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52" i="10"/>
  <c r="L153" i="10"/>
  <c r="L154" i="10"/>
  <c r="L155" i="10"/>
  <c r="L156" i="10"/>
  <c r="L157" i="10"/>
  <c r="L158" i="10"/>
  <c r="L159" i="10"/>
  <c r="L160" i="10"/>
  <c r="L161" i="10"/>
  <c r="L162" i="10"/>
  <c r="L163" i="10"/>
  <c r="L164" i="10"/>
  <c r="L165" i="10"/>
  <c r="L166" i="10"/>
  <c r="L167" i="10"/>
  <c r="L168" i="10"/>
  <c r="L169" i="10"/>
  <c r="L170" i="10"/>
  <c r="L171" i="10"/>
  <c r="L172" i="10"/>
  <c r="L173" i="10"/>
  <c r="L174" i="10"/>
  <c r="L175" i="10"/>
  <c r="L176" i="10"/>
  <c r="L177" i="10"/>
  <c r="L178" i="10"/>
  <c r="L179" i="10"/>
  <c r="L180" i="10"/>
  <c r="L181" i="10"/>
  <c r="L182" i="10"/>
  <c r="L183" i="10"/>
  <c r="L184" i="10"/>
  <c r="L185" i="10"/>
  <c r="L186" i="10"/>
  <c r="L187" i="10"/>
  <c r="L188" i="10"/>
  <c r="L189" i="10"/>
  <c r="L190" i="10"/>
  <c r="L191" i="10"/>
  <c r="L192" i="10"/>
  <c r="L193" i="10"/>
  <c r="L194" i="10"/>
  <c r="L195" i="10"/>
  <c r="L196" i="10"/>
  <c r="L197" i="10"/>
  <c r="L198" i="10"/>
  <c r="L199" i="10"/>
  <c r="L200" i="10"/>
  <c r="L201" i="10"/>
  <c r="L202" i="10"/>
  <c r="L203" i="10"/>
  <c r="L204" i="10"/>
  <c r="L205" i="10"/>
  <c r="L206" i="10"/>
  <c r="L207" i="10"/>
  <c r="L208" i="10"/>
  <c r="L209" i="10"/>
  <c r="L210" i="10"/>
  <c r="L211" i="10"/>
  <c r="L212" i="10"/>
  <c r="L213" i="10"/>
  <c r="L214" i="10"/>
  <c r="L215" i="10"/>
  <c r="L216" i="10"/>
  <c r="L217" i="10"/>
  <c r="L218" i="10"/>
  <c r="L219" i="10"/>
  <c r="L220" i="10"/>
  <c r="L221" i="10"/>
  <c r="L222" i="10"/>
  <c r="L223" i="10"/>
  <c r="L224" i="10"/>
  <c r="L225" i="10"/>
  <c r="L226" i="10"/>
  <c r="L227" i="10"/>
  <c r="L228" i="10"/>
  <c r="L229" i="10"/>
  <c r="L230" i="10"/>
  <c r="L231" i="10"/>
  <c r="L232" i="10"/>
  <c r="L233" i="10"/>
  <c r="L234" i="10"/>
  <c r="L235" i="10"/>
  <c r="L236" i="10"/>
  <c r="L237" i="10"/>
  <c r="L238" i="10"/>
  <c r="L239" i="10"/>
  <c r="L240" i="10"/>
  <c r="L241" i="10"/>
  <c r="L242" i="10"/>
  <c r="L243" i="10"/>
  <c r="L244" i="10"/>
  <c r="L245" i="10"/>
  <c r="L246" i="10"/>
  <c r="L247" i="10"/>
  <c r="L248" i="10"/>
  <c r="L249" i="10"/>
  <c r="L250" i="10"/>
  <c r="L251" i="10"/>
  <c r="L252" i="10"/>
  <c r="L253" i="10"/>
  <c r="L254" i="10"/>
  <c r="L255" i="10"/>
  <c r="L256" i="10"/>
  <c r="L257" i="10"/>
  <c r="L258" i="10"/>
  <c r="L259" i="10"/>
  <c r="L260" i="10"/>
  <c r="L261" i="10"/>
  <c r="L262" i="10"/>
  <c r="L263" i="10"/>
  <c r="L264" i="10"/>
  <c r="L265" i="10"/>
  <c r="L266" i="10"/>
  <c r="L267" i="10"/>
  <c r="L268" i="10"/>
  <c r="L269" i="10"/>
  <c r="L270" i="10"/>
  <c r="L271" i="10"/>
  <c r="L272" i="10"/>
  <c r="L273" i="10"/>
  <c r="L274" i="10"/>
  <c r="L275" i="10"/>
  <c r="L276" i="10"/>
  <c r="L277" i="10"/>
  <c r="L278" i="10"/>
  <c r="L279" i="10"/>
  <c r="L280" i="10"/>
  <c r="L281" i="10"/>
  <c r="L282" i="10"/>
  <c r="L283" i="10"/>
  <c r="L284" i="10"/>
  <c r="L285" i="10"/>
  <c r="L286" i="10"/>
  <c r="L287" i="10"/>
  <c r="L288" i="10"/>
  <c r="L289" i="10"/>
  <c r="L290" i="10"/>
  <c r="L291" i="10"/>
  <c r="L292" i="10"/>
  <c r="L293" i="10"/>
  <c r="L294" i="10"/>
  <c r="L295" i="10"/>
  <c r="L296" i="10"/>
  <c r="L297" i="10"/>
  <c r="L298" i="10"/>
  <c r="L299" i="10"/>
  <c r="L300" i="10"/>
  <c r="L301" i="10"/>
  <c r="L302" i="10"/>
  <c r="L303" i="10"/>
  <c r="L304" i="10"/>
  <c r="L305" i="10"/>
  <c r="L306" i="10"/>
  <c r="L307" i="10"/>
  <c r="L308" i="10"/>
  <c r="L309" i="10"/>
  <c r="L310" i="10"/>
  <c r="L311" i="10"/>
  <c r="L312" i="10"/>
  <c r="L313" i="10"/>
  <c r="L314" i="10"/>
  <c r="L315" i="10"/>
  <c r="L316" i="10"/>
  <c r="L317" i="10"/>
  <c r="L318" i="10"/>
  <c r="L319" i="10"/>
  <c r="L320" i="10"/>
  <c r="L321" i="10"/>
  <c r="L322" i="10"/>
  <c r="L323" i="10"/>
  <c r="L324" i="10"/>
  <c r="L325" i="10"/>
  <c r="L326" i="10"/>
  <c r="L327" i="10"/>
  <c r="L328" i="10"/>
  <c r="L329" i="10"/>
  <c r="L330" i="10"/>
  <c r="L331" i="10"/>
  <c r="L332" i="10"/>
  <c r="L333" i="10"/>
  <c r="L334" i="10"/>
  <c r="L335" i="10"/>
  <c r="L336" i="10"/>
  <c r="L337" i="10"/>
  <c r="L338" i="10"/>
  <c r="L339" i="10"/>
  <c r="L340" i="10"/>
  <c r="L341" i="10"/>
  <c r="L342" i="10"/>
  <c r="L343" i="10"/>
  <c r="L344" i="10"/>
  <c r="L345" i="10"/>
  <c r="L346" i="10"/>
  <c r="L347" i="10"/>
  <c r="L348" i="10"/>
  <c r="L349" i="10"/>
  <c r="L350" i="10"/>
  <c r="L351" i="10"/>
  <c r="L352" i="10"/>
  <c r="L353" i="10"/>
  <c r="L354" i="10"/>
  <c r="L355" i="10"/>
  <c r="L356" i="10"/>
  <c r="L357" i="10"/>
  <c r="L358" i="10"/>
  <c r="L359" i="10"/>
  <c r="L360" i="10"/>
  <c r="L361" i="10"/>
  <c r="L362" i="10"/>
  <c r="L363" i="10"/>
  <c r="L364" i="10"/>
  <c r="L365" i="10"/>
  <c r="L366" i="10"/>
  <c r="L367" i="10"/>
  <c r="L368" i="10"/>
  <c r="L369" i="10"/>
  <c r="L370" i="10"/>
  <c r="L371" i="10"/>
  <c r="L372" i="10"/>
  <c r="L373" i="10"/>
  <c r="L374" i="10"/>
  <c r="L375" i="10"/>
  <c r="L376" i="10"/>
  <c r="L377" i="10"/>
  <c r="L378" i="10"/>
  <c r="L379" i="10"/>
  <c r="L380" i="10"/>
  <c r="L381" i="10"/>
  <c r="L382" i="10"/>
  <c r="L383" i="10"/>
  <c r="L384" i="10"/>
  <c r="L385" i="10"/>
  <c r="L386" i="10"/>
  <c r="L387" i="10"/>
  <c r="L388" i="10"/>
  <c r="L389" i="10"/>
  <c r="L390" i="10"/>
  <c r="L391" i="10"/>
  <c r="L392" i="10"/>
  <c r="L393" i="10"/>
  <c r="L394" i="10"/>
  <c r="L395" i="10"/>
  <c r="L396" i="10"/>
  <c r="L397" i="10"/>
  <c r="L398" i="10"/>
  <c r="L399" i="10"/>
  <c r="L400" i="10"/>
  <c r="L401" i="10"/>
  <c r="L402" i="10"/>
  <c r="L403" i="10"/>
  <c r="L404" i="10"/>
  <c r="L405" i="10"/>
  <c r="L406" i="10"/>
  <c r="L407" i="10"/>
  <c r="L408" i="10"/>
  <c r="L409" i="10"/>
  <c r="L410" i="10"/>
  <c r="L411" i="10"/>
  <c r="L412" i="10"/>
  <c r="L413" i="10"/>
  <c r="L414" i="10"/>
  <c r="L415" i="10"/>
  <c r="L416" i="10"/>
  <c r="L417" i="10"/>
  <c r="L418" i="10"/>
  <c r="L419" i="10"/>
  <c r="L420" i="10"/>
  <c r="L421" i="10"/>
  <c r="L422" i="10"/>
  <c r="L423" i="10"/>
  <c r="L424" i="10"/>
  <c r="L425" i="10"/>
  <c r="L426" i="10"/>
  <c r="L427" i="10"/>
  <c r="L428" i="10"/>
  <c r="L429" i="10"/>
  <c r="L430" i="10"/>
  <c r="L431" i="10"/>
  <c r="L432" i="10"/>
  <c r="L433" i="10"/>
  <c r="L434" i="10"/>
  <c r="L435" i="10"/>
  <c r="L436" i="10"/>
  <c r="L437" i="10"/>
  <c r="L438" i="10"/>
  <c r="L439" i="10"/>
  <c r="L440" i="10"/>
  <c r="L441" i="10"/>
  <c r="L442" i="10"/>
  <c r="L443" i="10"/>
  <c r="L444" i="10"/>
  <c r="L445" i="10"/>
  <c r="L446" i="10"/>
  <c r="L447" i="10"/>
  <c r="L448" i="10"/>
  <c r="L449" i="10"/>
  <c r="L450" i="10"/>
  <c r="L451" i="10"/>
  <c r="L452" i="10"/>
  <c r="L453" i="10"/>
  <c r="L454" i="10"/>
  <c r="L455" i="10"/>
  <c r="L456" i="10"/>
  <c r="L457" i="10"/>
  <c r="L458" i="10"/>
  <c r="L459" i="10"/>
  <c r="L460" i="10"/>
  <c r="L461" i="10"/>
  <c r="L462" i="10"/>
  <c r="L463" i="10"/>
  <c r="L464" i="10"/>
  <c r="L465" i="10"/>
  <c r="L466" i="10"/>
  <c r="L467" i="10"/>
  <c r="L468" i="10"/>
  <c r="L469" i="10"/>
  <c r="L470" i="10"/>
  <c r="L471" i="10"/>
  <c r="L472" i="10"/>
  <c r="L473" i="10"/>
  <c r="L474" i="10"/>
  <c r="L475" i="10"/>
  <c r="L476" i="10"/>
  <c r="L477" i="10"/>
  <c r="L478" i="10"/>
  <c r="L479" i="10"/>
  <c r="L480" i="10"/>
  <c r="L481" i="10"/>
  <c r="L482" i="10"/>
  <c r="L483" i="10"/>
  <c r="L484" i="10"/>
  <c r="L485" i="10"/>
  <c r="L486" i="10"/>
  <c r="L487" i="10"/>
  <c r="L488" i="10"/>
  <c r="L489" i="10"/>
  <c r="L490" i="10"/>
  <c r="L491" i="10"/>
  <c r="L492" i="10"/>
  <c r="L493" i="10"/>
  <c r="L494" i="10"/>
  <c r="L495" i="10"/>
  <c r="L496" i="10"/>
  <c r="L497" i="10"/>
  <c r="L498" i="10"/>
  <c r="L499" i="10"/>
  <c r="L500" i="10"/>
  <c r="L501" i="10"/>
  <c r="L502" i="10"/>
  <c r="L503" i="10"/>
  <c r="L504" i="10"/>
  <c r="L505" i="10"/>
  <c r="L506" i="10"/>
  <c r="L507" i="10"/>
  <c r="L508" i="10"/>
  <c r="L509" i="10"/>
  <c r="L510" i="10"/>
  <c r="L511" i="10"/>
  <c r="L512" i="10"/>
  <c r="L513" i="10"/>
  <c r="L514" i="10"/>
  <c r="L515" i="10"/>
  <c r="L516" i="10"/>
  <c r="L517" i="10"/>
  <c r="L518" i="10"/>
  <c r="L519" i="10"/>
  <c r="L520" i="10"/>
  <c r="L521" i="10"/>
  <c r="L522" i="10"/>
  <c r="L523" i="10"/>
  <c r="L524" i="10"/>
  <c r="L525" i="10"/>
  <c r="L526" i="10"/>
  <c r="L527" i="10"/>
  <c r="L528" i="10"/>
  <c r="L529" i="10"/>
  <c r="L530" i="10"/>
  <c r="L531" i="10"/>
  <c r="L532" i="10"/>
  <c r="L533" i="10"/>
  <c r="L534" i="10"/>
  <c r="L535" i="10"/>
  <c r="L536" i="10"/>
  <c r="L537" i="10"/>
  <c r="L538" i="10"/>
  <c r="L539" i="10"/>
  <c r="L540" i="10"/>
  <c r="L541" i="10"/>
  <c r="L542" i="10"/>
  <c r="L543" i="10"/>
  <c r="L544" i="10"/>
  <c r="L545" i="10"/>
  <c r="L546" i="10"/>
  <c r="L547" i="10"/>
  <c r="L548" i="10"/>
  <c r="L549" i="10"/>
  <c r="L550" i="10"/>
  <c r="L551" i="10"/>
  <c r="L552" i="10"/>
  <c r="L553" i="10"/>
  <c r="L554" i="10"/>
  <c r="L555" i="10"/>
  <c r="L556" i="10"/>
  <c r="L557" i="10"/>
  <c r="L558" i="10"/>
  <c r="L559" i="10"/>
  <c r="L560" i="10"/>
  <c r="L561" i="10"/>
  <c r="L562" i="10"/>
  <c r="L563" i="10"/>
  <c r="L564" i="10"/>
  <c r="L565" i="10"/>
  <c r="L566" i="10"/>
  <c r="L567" i="10"/>
  <c r="L568" i="10"/>
  <c r="L569" i="10"/>
  <c r="L570" i="10"/>
  <c r="L571" i="10"/>
  <c r="L572" i="10"/>
  <c r="L573" i="10"/>
  <c r="L574" i="10"/>
  <c r="L575" i="10"/>
  <c r="L576" i="10"/>
  <c r="L577" i="10"/>
  <c r="L578" i="10"/>
  <c r="L579" i="10"/>
  <c r="L580" i="10"/>
  <c r="L581" i="10"/>
  <c r="L582" i="10"/>
  <c r="L583" i="10"/>
  <c r="L584" i="10"/>
  <c r="L585" i="10"/>
  <c r="L586" i="10"/>
  <c r="L587" i="10"/>
  <c r="L588" i="10"/>
  <c r="L589" i="10"/>
  <c r="L590" i="10"/>
  <c r="L591" i="10"/>
  <c r="L592" i="10"/>
  <c r="L593" i="10"/>
  <c r="L594" i="10"/>
  <c r="L595" i="10"/>
  <c r="L596" i="10"/>
  <c r="L597" i="10"/>
  <c r="L598" i="10"/>
  <c r="L599" i="10"/>
  <c r="L600" i="10"/>
  <c r="L601" i="10"/>
  <c r="L602" i="10"/>
  <c r="L603" i="10"/>
  <c r="L604" i="10"/>
  <c r="L605" i="10"/>
  <c r="L606" i="10"/>
  <c r="L607" i="10"/>
  <c r="L608" i="10"/>
  <c r="L609" i="10"/>
  <c r="L610" i="10"/>
  <c r="L611" i="10"/>
  <c r="L612" i="10"/>
  <c r="L613" i="10"/>
  <c r="L614" i="10"/>
  <c r="L615" i="10"/>
  <c r="L616" i="10"/>
  <c r="L617" i="10"/>
  <c r="L618" i="10"/>
  <c r="L619" i="10"/>
  <c r="L620" i="10"/>
  <c r="L621" i="10"/>
  <c r="L622" i="10"/>
  <c r="L623" i="10"/>
  <c r="L624" i="10"/>
  <c r="L625" i="10"/>
  <c r="L626" i="10"/>
  <c r="L627" i="10"/>
  <c r="L628" i="10"/>
  <c r="L629" i="10"/>
  <c r="L630" i="10"/>
  <c r="L631" i="10"/>
  <c r="L632" i="10"/>
  <c r="L633" i="10"/>
  <c r="L634" i="10"/>
  <c r="L635" i="10"/>
  <c r="L636" i="10"/>
  <c r="L637" i="10"/>
  <c r="L638" i="10"/>
  <c r="L639" i="10"/>
  <c r="L640" i="10"/>
  <c r="L641" i="10"/>
  <c r="L642" i="10"/>
  <c r="L643" i="10"/>
  <c r="L644" i="10"/>
  <c r="L645" i="10"/>
  <c r="L646" i="10"/>
  <c r="L647" i="10"/>
  <c r="L648" i="10"/>
  <c r="L649" i="10"/>
  <c r="L650" i="10"/>
  <c r="L651" i="10"/>
  <c r="L652" i="10"/>
  <c r="L653" i="10"/>
  <c r="L654" i="10"/>
  <c r="L655" i="10"/>
  <c r="L656" i="10"/>
  <c r="L657" i="10"/>
  <c r="L658" i="10"/>
  <c r="L659" i="10"/>
  <c r="L660" i="10"/>
  <c r="L661" i="10"/>
  <c r="L662" i="10"/>
  <c r="L663" i="10"/>
  <c r="L664" i="10"/>
  <c r="L665" i="10"/>
  <c r="L666" i="10"/>
  <c r="L667" i="10"/>
  <c r="L668" i="10"/>
  <c r="L669" i="10"/>
  <c r="L670" i="10"/>
  <c r="L671" i="10"/>
  <c r="L672" i="10"/>
  <c r="L673" i="10"/>
  <c r="L674" i="10"/>
  <c r="L675" i="10"/>
  <c r="L676" i="10"/>
  <c r="L677" i="10"/>
  <c r="L678" i="10"/>
  <c r="L679" i="10"/>
  <c r="L680" i="10"/>
  <c r="L681" i="10"/>
  <c r="L682" i="10"/>
  <c r="L683" i="10"/>
  <c r="L684" i="10"/>
  <c r="L685" i="10"/>
  <c r="L686" i="10"/>
  <c r="L687" i="10"/>
  <c r="L688" i="10"/>
  <c r="L689" i="10"/>
  <c r="L690" i="10"/>
  <c r="L691" i="10"/>
  <c r="L692" i="10"/>
  <c r="L693" i="10"/>
  <c r="L694" i="10"/>
  <c r="L695" i="10"/>
  <c r="L696" i="10"/>
  <c r="L697" i="10"/>
  <c r="L698" i="10"/>
  <c r="L699" i="10"/>
  <c r="L700" i="10"/>
  <c r="L701" i="10"/>
  <c r="L702" i="10"/>
  <c r="L703" i="10"/>
  <c r="L704" i="10"/>
  <c r="L705" i="10"/>
  <c r="L706" i="10"/>
  <c r="L707" i="10"/>
  <c r="L708" i="10"/>
  <c r="L709" i="10"/>
  <c r="L710" i="10"/>
  <c r="L711" i="10"/>
  <c r="L712" i="10"/>
  <c r="L713" i="10"/>
  <c r="L714" i="10"/>
  <c r="L715" i="10"/>
  <c r="L716" i="10"/>
  <c r="L717" i="10"/>
  <c r="L718" i="10"/>
  <c r="L719" i="10"/>
  <c r="L720" i="10"/>
  <c r="L721" i="10"/>
  <c r="L722" i="10"/>
  <c r="L723" i="10"/>
  <c r="L724" i="10"/>
  <c r="L725" i="10"/>
  <c r="L726" i="10"/>
  <c r="L727" i="10"/>
  <c r="L728" i="10"/>
  <c r="L729" i="10"/>
  <c r="L730" i="10"/>
  <c r="L731" i="10"/>
  <c r="L732" i="10"/>
  <c r="L733" i="10"/>
  <c r="L734" i="10"/>
  <c r="L735" i="10"/>
  <c r="L736" i="10"/>
  <c r="L737" i="10"/>
  <c r="L738" i="10"/>
  <c r="L739" i="10"/>
  <c r="L740" i="10"/>
  <c r="L741" i="10"/>
  <c r="L742" i="10"/>
  <c r="L743" i="10"/>
  <c r="L744" i="10"/>
  <c r="L745" i="10"/>
  <c r="L746" i="10"/>
  <c r="L747" i="10"/>
  <c r="L748" i="10"/>
  <c r="L749" i="10"/>
  <c r="L750" i="10"/>
  <c r="L751" i="10"/>
  <c r="L752" i="10"/>
  <c r="L753" i="10"/>
  <c r="L754" i="10"/>
  <c r="L755" i="10"/>
  <c r="L756" i="10"/>
  <c r="L757" i="10"/>
  <c r="L758" i="10"/>
  <c r="L759" i="10"/>
  <c r="L760" i="10"/>
  <c r="L761" i="10"/>
  <c r="L762" i="10"/>
  <c r="L763" i="10"/>
  <c r="L764" i="10"/>
  <c r="L765" i="10"/>
  <c r="L766" i="10"/>
  <c r="L767" i="10"/>
  <c r="L768" i="10"/>
  <c r="L769" i="10"/>
  <c r="L770" i="10"/>
  <c r="L771" i="10"/>
  <c r="L772" i="10"/>
  <c r="L773" i="10"/>
  <c r="L774" i="10"/>
  <c r="L775" i="10"/>
  <c r="L776" i="10"/>
  <c r="L777" i="10"/>
  <c r="L778" i="10"/>
  <c r="L779" i="10"/>
  <c r="L780" i="10"/>
  <c r="L781" i="10"/>
  <c r="L782" i="10"/>
  <c r="L783" i="10"/>
  <c r="L784" i="10"/>
  <c r="L785" i="10"/>
  <c r="L786" i="10"/>
  <c r="L787" i="10"/>
  <c r="L788" i="10"/>
  <c r="L789" i="10"/>
  <c r="L790" i="10"/>
  <c r="L791" i="10"/>
  <c r="L792" i="10"/>
  <c r="L793" i="10"/>
  <c r="L794" i="10"/>
  <c r="L795" i="10"/>
  <c r="L796" i="10"/>
  <c r="L797" i="10"/>
  <c r="L798" i="10"/>
  <c r="L799" i="10"/>
  <c r="L800" i="10"/>
  <c r="L801" i="10"/>
  <c r="L802" i="10"/>
  <c r="L803" i="10"/>
  <c r="L804" i="10"/>
  <c r="L805" i="10"/>
  <c r="L806" i="10"/>
  <c r="L807" i="10"/>
  <c r="L808" i="10"/>
  <c r="L809" i="10"/>
  <c r="L810" i="10"/>
  <c r="L811" i="10"/>
  <c r="L812" i="10"/>
  <c r="L813" i="10"/>
  <c r="L814" i="10"/>
  <c r="L815" i="10"/>
  <c r="L816" i="10"/>
  <c r="L817" i="10"/>
  <c r="L818" i="10"/>
  <c r="L819" i="10"/>
  <c r="L820" i="10"/>
  <c r="L821" i="10"/>
  <c r="L822" i="10"/>
  <c r="L823" i="10"/>
  <c r="L824" i="10"/>
  <c r="L825" i="10"/>
  <c r="L826" i="10"/>
  <c r="L827" i="10"/>
  <c r="L828" i="10"/>
  <c r="L829" i="10"/>
  <c r="L830" i="10"/>
  <c r="L831" i="10"/>
  <c r="L832" i="10"/>
  <c r="L833" i="10"/>
  <c r="L834" i="10"/>
  <c r="L835" i="10"/>
  <c r="L836" i="10"/>
  <c r="L837" i="10"/>
  <c r="L838" i="10"/>
  <c r="L839" i="10"/>
  <c r="L840" i="10"/>
  <c r="L841" i="10"/>
  <c r="L842" i="10"/>
  <c r="L843" i="10"/>
  <c r="L844" i="10"/>
  <c r="L845" i="10"/>
  <c r="L846" i="10"/>
  <c r="L847" i="10"/>
  <c r="L848" i="10"/>
  <c r="L849" i="10"/>
  <c r="L850" i="10"/>
  <c r="L851" i="10"/>
  <c r="L852" i="10"/>
  <c r="L853" i="10"/>
  <c r="L854" i="10"/>
  <c r="L855" i="10"/>
  <c r="L856" i="10"/>
  <c r="L857" i="10"/>
  <c r="L858" i="10"/>
  <c r="L859" i="10"/>
  <c r="L860" i="10"/>
  <c r="L861" i="10"/>
  <c r="L862" i="10"/>
  <c r="L863" i="10"/>
  <c r="L864" i="10"/>
  <c r="L865" i="10"/>
  <c r="L866" i="10"/>
  <c r="L867" i="10"/>
  <c r="L868" i="10"/>
  <c r="L869" i="10"/>
  <c r="L870" i="10"/>
  <c r="L871" i="10"/>
  <c r="L872" i="10"/>
  <c r="L873" i="10"/>
  <c r="L874" i="10"/>
  <c r="L875" i="10"/>
  <c r="L876" i="10"/>
  <c r="L877" i="10"/>
  <c r="L878" i="10"/>
  <c r="L879" i="10"/>
  <c r="L880" i="10"/>
  <c r="L881" i="10"/>
  <c r="L882" i="10"/>
  <c r="L883" i="10"/>
  <c r="L884" i="10"/>
  <c r="L885" i="10"/>
  <c r="L886" i="10"/>
  <c r="L887" i="10"/>
  <c r="L888" i="10"/>
  <c r="L889" i="10"/>
  <c r="L890" i="10"/>
  <c r="L891" i="10"/>
  <c r="L892" i="10"/>
  <c r="L893" i="10"/>
  <c r="L894" i="10"/>
  <c r="L895" i="10"/>
  <c r="L896" i="10"/>
  <c r="L897" i="10"/>
  <c r="L898" i="10"/>
  <c r="L899" i="10"/>
  <c r="L900" i="10"/>
  <c r="L901" i="10"/>
  <c r="L902" i="10"/>
  <c r="L903" i="10"/>
  <c r="L904" i="10"/>
  <c r="L905" i="10"/>
  <c r="L906" i="10"/>
  <c r="L907" i="10"/>
  <c r="L908" i="10"/>
  <c r="L909" i="10"/>
  <c r="L910" i="10"/>
  <c r="L911" i="10"/>
  <c r="L912" i="10"/>
  <c r="L913" i="10"/>
  <c r="L914" i="10"/>
  <c r="L915" i="10"/>
  <c r="L916" i="10"/>
  <c r="L917" i="10"/>
  <c r="L918" i="10"/>
  <c r="L919" i="10"/>
  <c r="L920" i="10"/>
  <c r="L921" i="10"/>
  <c r="L922" i="10"/>
  <c r="L923" i="10"/>
  <c r="L924" i="10"/>
  <c r="L925" i="10"/>
  <c r="L926" i="10"/>
  <c r="L927" i="10"/>
  <c r="L928" i="10"/>
  <c r="L929" i="10"/>
  <c r="L930" i="10"/>
  <c r="L931" i="10"/>
  <c r="L932" i="10"/>
  <c r="L933" i="10"/>
  <c r="L934" i="10"/>
  <c r="L935" i="10"/>
  <c r="L936" i="10"/>
  <c r="L937" i="10"/>
  <c r="L938" i="10"/>
  <c r="L939" i="10"/>
  <c r="L940" i="10"/>
  <c r="L941" i="10"/>
  <c r="L942" i="10"/>
  <c r="L943" i="10"/>
  <c r="L944" i="10"/>
  <c r="L945" i="10"/>
  <c r="L946" i="10"/>
  <c r="L947" i="10"/>
  <c r="L948" i="10"/>
  <c r="L949" i="10"/>
  <c r="L950" i="10"/>
  <c r="L951" i="10"/>
  <c r="L952" i="10"/>
  <c r="L953" i="10"/>
  <c r="L954" i="10"/>
  <c r="L955" i="10"/>
  <c r="L956" i="10"/>
  <c r="L957" i="10"/>
  <c r="L958" i="10"/>
  <c r="L959" i="10"/>
  <c r="L960" i="10"/>
  <c r="L961" i="10"/>
  <c r="L962" i="10"/>
  <c r="L963" i="10"/>
  <c r="L964" i="10"/>
  <c r="L965" i="10"/>
  <c r="L966" i="10"/>
  <c r="L967" i="10"/>
  <c r="L968" i="10"/>
  <c r="L969" i="10"/>
  <c r="L970" i="10"/>
  <c r="L971" i="10"/>
  <c r="L972" i="10"/>
  <c r="L973" i="10"/>
  <c r="L974" i="10"/>
  <c r="L975" i="10"/>
  <c r="L976" i="10"/>
  <c r="L977" i="10"/>
  <c r="L978" i="10"/>
  <c r="L979" i="10"/>
  <c r="L980" i="10"/>
  <c r="L981" i="10"/>
  <c r="L982" i="10"/>
  <c r="L983" i="10"/>
  <c r="L984" i="10"/>
  <c r="L985" i="10"/>
  <c r="L986" i="10"/>
  <c r="L987" i="10"/>
  <c r="L988" i="10"/>
  <c r="L989" i="10"/>
  <c r="L990" i="10"/>
  <c r="L991" i="10"/>
  <c r="L992" i="10"/>
  <c r="L993" i="10"/>
  <c r="L994" i="10"/>
  <c r="L995" i="10"/>
  <c r="L996" i="10"/>
  <c r="L997" i="10"/>
  <c r="L998" i="10"/>
  <c r="L999" i="10"/>
  <c r="L1000" i="10"/>
  <c r="L1001" i="10"/>
  <c r="L1002" i="10"/>
  <c r="L1003" i="10"/>
  <c r="L1004" i="10"/>
  <c r="L1005" i="10"/>
  <c r="L1006" i="10"/>
  <c r="L1007" i="10"/>
  <c r="L1008" i="10"/>
  <c r="L1009" i="10"/>
  <c r="L1010" i="10"/>
  <c r="L1011" i="10"/>
  <c r="L1012" i="10"/>
  <c r="L1013" i="10"/>
  <c r="L1014" i="10"/>
  <c r="L1015" i="10"/>
  <c r="L1016" i="10"/>
  <c r="L1017" i="10"/>
  <c r="L1018" i="10"/>
  <c r="L1019" i="10"/>
  <c r="L1020" i="10"/>
  <c r="L1021" i="10"/>
  <c r="L1022" i="10"/>
  <c r="L1023" i="10"/>
  <c r="L1024" i="10"/>
  <c r="L1025" i="10"/>
  <c r="L1026" i="10"/>
  <c r="L1027" i="10"/>
  <c r="L1028" i="10"/>
  <c r="L1029" i="10"/>
  <c r="L1030" i="10"/>
  <c r="L1031" i="10"/>
  <c r="L1032" i="10"/>
  <c r="L1033" i="10"/>
  <c r="L1034" i="10"/>
  <c r="L1035" i="10"/>
  <c r="L1036" i="10"/>
  <c r="L1037" i="10"/>
  <c r="L1038" i="10"/>
  <c r="L1039" i="10"/>
  <c r="L1040" i="10"/>
  <c r="L1041" i="10"/>
  <c r="L1042" i="10"/>
  <c r="L1043" i="10"/>
  <c r="L1044" i="10"/>
  <c r="L1045" i="10"/>
  <c r="L1046" i="10"/>
  <c r="L1047" i="10"/>
  <c r="L1048" i="10"/>
  <c r="L1049" i="10"/>
  <c r="L1050" i="10"/>
  <c r="L1051" i="10"/>
  <c r="L1052" i="10"/>
  <c r="L1053" i="10"/>
  <c r="L1054" i="10"/>
  <c r="L1055" i="10"/>
  <c r="L1056" i="10"/>
  <c r="L1057" i="10"/>
  <c r="L1058" i="10"/>
  <c r="L1059" i="10"/>
  <c r="L1060" i="10"/>
  <c r="L1061" i="10"/>
  <c r="L1062" i="10"/>
  <c r="L1063" i="10"/>
  <c r="L1064" i="10"/>
  <c r="L1065" i="10"/>
  <c r="L1066" i="10"/>
  <c r="L1067" i="10"/>
  <c r="L1068" i="10"/>
  <c r="L1069" i="10"/>
  <c r="L1070" i="10"/>
  <c r="L1071" i="10"/>
  <c r="L1072" i="10"/>
  <c r="L1073" i="10"/>
  <c r="L1074" i="10"/>
  <c r="L1075" i="10"/>
  <c r="L1076" i="10"/>
  <c r="L1077" i="10"/>
  <c r="L1078" i="10"/>
  <c r="L1079" i="10"/>
  <c r="L1080" i="10"/>
  <c r="L1081" i="10"/>
  <c r="L1082" i="10"/>
  <c r="L1083" i="10"/>
  <c r="L1084" i="10"/>
  <c r="L1085" i="10"/>
  <c r="L1086" i="10"/>
  <c r="L1087" i="10"/>
  <c r="L1088" i="10"/>
  <c r="L1089" i="10"/>
  <c r="L1090" i="10"/>
  <c r="L1091" i="10"/>
  <c r="L1092" i="10"/>
  <c r="L1093" i="10"/>
  <c r="L1094" i="10"/>
  <c r="L1095" i="10"/>
  <c r="L1096" i="10"/>
  <c r="L1097" i="10"/>
  <c r="L1098" i="10"/>
  <c r="L1099" i="10"/>
  <c r="L1100" i="10"/>
  <c r="L1101" i="10"/>
  <c r="L1102" i="10"/>
  <c r="L1103" i="10"/>
  <c r="L1104" i="10"/>
  <c r="L1105" i="10"/>
  <c r="L1106" i="10"/>
  <c r="L1107" i="10"/>
  <c r="L1108" i="10"/>
  <c r="L1109" i="10"/>
  <c r="L1110" i="10"/>
  <c r="L1111" i="10"/>
  <c r="L1112" i="10"/>
  <c r="L1113" i="10"/>
  <c r="L1114" i="10"/>
  <c r="L1115" i="10"/>
  <c r="L1116" i="10"/>
  <c r="L1117" i="10"/>
  <c r="L1118" i="10"/>
  <c r="L1119" i="10"/>
  <c r="L1120" i="10"/>
  <c r="L1121" i="10"/>
  <c r="L1122" i="10"/>
  <c r="L1123" i="10"/>
  <c r="L1124" i="10"/>
  <c r="L1125" i="10"/>
  <c r="L1126" i="10"/>
  <c r="L1127" i="10"/>
  <c r="L1128" i="10"/>
  <c r="L1129" i="10"/>
  <c r="L1130" i="10"/>
  <c r="L1131" i="10"/>
  <c r="L1132" i="10"/>
  <c r="L1133" i="10"/>
  <c r="L1134" i="10"/>
  <c r="L1135" i="10"/>
  <c r="L1136" i="10"/>
  <c r="L1137" i="10"/>
  <c r="L1138" i="10"/>
  <c r="L1139" i="10"/>
  <c r="L1140" i="10"/>
  <c r="L1141" i="10"/>
  <c r="L1142" i="10"/>
  <c r="L1143" i="10"/>
  <c r="L1144" i="10"/>
  <c r="L1145" i="10"/>
  <c r="L1146" i="10"/>
  <c r="L1147" i="10"/>
  <c r="L1148" i="10"/>
  <c r="L1149" i="10"/>
  <c r="L1150" i="10"/>
  <c r="L1151" i="10"/>
  <c r="L1152" i="10"/>
  <c r="L1153" i="10"/>
  <c r="L1154" i="10"/>
  <c r="L1155" i="10"/>
  <c r="L1156" i="10"/>
  <c r="L1157" i="10"/>
  <c r="L1158" i="10"/>
  <c r="L1159" i="10"/>
  <c r="L1160" i="10"/>
  <c r="L1161" i="10"/>
  <c r="L1162" i="10"/>
  <c r="L1163" i="10"/>
  <c r="L1164" i="10"/>
  <c r="L1165" i="10"/>
  <c r="L1166" i="10"/>
  <c r="L1167" i="10"/>
  <c r="L1168" i="10"/>
  <c r="L1169" i="10"/>
  <c r="L1170" i="10"/>
  <c r="L1171" i="10"/>
  <c r="L1172" i="10"/>
  <c r="L1173" i="10"/>
  <c r="L1174" i="10"/>
  <c r="L1175" i="10"/>
  <c r="L1176" i="10"/>
  <c r="L1177" i="10"/>
  <c r="L1178" i="10"/>
  <c r="L1179" i="10"/>
  <c r="L1180" i="10"/>
  <c r="L1181" i="10"/>
  <c r="L1182" i="10"/>
  <c r="L1183" i="10"/>
  <c r="L1184" i="10"/>
  <c r="L1185" i="10"/>
  <c r="L1186" i="10"/>
  <c r="L1187" i="10"/>
  <c r="L1188" i="10"/>
  <c r="L1189" i="10"/>
  <c r="L1190" i="10"/>
  <c r="L1191" i="10"/>
  <c r="L1192" i="10"/>
  <c r="L1193" i="10"/>
  <c r="L1194" i="10"/>
  <c r="L1195" i="10"/>
  <c r="L1196" i="10"/>
  <c r="L1197" i="10"/>
  <c r="L1198" i="10"/>
  <c r="L1199" i="10"/>
  <c r="L1200" i="10"/>
  <c r="L1201" i="10"/>
  <c r="L1202" i="10"/>
  <c r="L1203" i="10"/>
  <c r="L1204" i="10"/>
  <c r="L1205" i="10"/>
  <c r="L1206" i="10"/>
  <c r="L1207" i="10"/>
  <c r="L1208" i="10"/>
  <c r="L6" i="10"/>
  <c r="K7" i="10"/>
  <c r="K8" i="10"/>
  <c r="M8" i="10" s="1"/>
  <c r="K9" i="10"/>
  <c r="K10" i="10"/>
  <c r="M10" i="10" s="1"/>
  <c r="K11" i="10"/>
  <c r="K12" i="10"/>
  <c r="K13" i="10"/>
  <c r="K14" i="10"/>
  <c r="K15" i="10"/>
  <c r="K16" i="10"/>
  <c r="K17" i="10"/>
  <c r="K18" i="10"/>
  <c r="K19" i="10"/>
  <c r="M19" i="10" s="1"/>
  <c r="K20" i="10"/>
  <c r="K21" i="10"/>
  <c r="K22" i="10"/>
  <c r="K23" i="10"/>
  <c r="K24" i="10"/>
  <c r="K25" i="10"/>
  <c r="K26" i="10"/>
  <c r="M26" i="10" s="1"/>
  <c r="K27" i="10"/>
  <c r="K28" i="10"/>
  <c r="K29" i="10"/>
  <c r="K30" i="10"/>
  <c r="K31" i="10"/>
  <c r="M31" i="10" s="1"/>
  <c r="K32" i="10"/>
  <c r="K33" i="10"/>
  <c r="M33" i="10" s="1"/>
  <c r="K34" i="10"/>
  <c r="K35" i="10"/>
  <c r="M35" i="10" s="1"/>
  <c r="K36" i="10"/>
  <c r="K37" i="10"/>
  <c r="K38" i="10"/>
  <c r="K39" i="10"/>
  <c r="K40" i="10"/>
  <c r="K41" i="10"/>
  <c r="M41" i="10" s="1"/>
  <c r="K42" i="10"/>
  <c r="K43" i="10"/>
  <c r="M43" i="10" s="1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M61" i="10" s="1"/>
  <c r="K62" i="10"/>
  <c r="M62" i="10" s="1"/>
  <c r="K63" i="10"/>
  <c r="K64" i="10"/>
  <c r="K65" i="10"/>
  <c r="K66" i="10"/>
  <c r="K67" i="10"/>
  <c r="K68" i="10"/>
  <c r="K69" i="10"/>
  <c r="K70" i="10"/>
  <c r="K71" i="10"/>
  <c r="K72" i="10"/>
  <c r="K73" i="10"/>
  <c r="M73" i="10" s="1"/>
  <c r="K74" i="10"/>
  <c r="K75" i="10"/>
  <c r="K76" i="10"/>
  <c r="K77" i="10"/>
  <c r="K78" i="10"/>
  <c r="K79" i="10"/>
  <c r="K80" i="10"/>
  <c r="K81" i="10"/>
  <c r="M81" i="10" s="1"/>
  <c r="K82" i="10"/>
  <c r="K83" i="10"/>
  <c r="K84" i="10"/>
  <c r="K85" i="10"/>
  <c r="K86" i="10"/>
  <c r="K87" i="10"/>
  <c r="K88" i="10"/>
  <c r="K89" i="10"/>
  <c r="K90" i="10"/>
  <c r="K91" i="10"/>
  <c r="M91" i="10" s="1"/>
  <c r="K92" i="10"/>
  <c r="K93" i="10"/>
  <c r="K94" i="10"/>
  <c r="M94" i="10" s="1"/>
  <c r="K95" i="10"/>
  <c r="K96" i="10"/>
  <c r="K97" i="10"/>
  <c r="M97" i="10" s="1"/>
  <c r="K98" i="10"/>
  <c r="M98" i="10" s="1"/>
  <c r="K99" i="10"/>
  <c r="K100" i="10"/>
  <c r="K101" i="10"/>
  <c r="K102" i="10"/>
  <c r="K103" i="10"/>
  <c r="K104" i="10"/>
  <c r="K105" i="10"/>
  <c r="K106" i="10"/>
  <c r="M106" i="10" s="1"/>
  <c r="K107" i="10"/>
  <c r="K108" i="10"/>
  <c r="K109" i="10"/>
  <c r="K110" i="10"/>
  <c r="K111" i="10"/>
  <c r="K112" i="10"/>
  <c r="K113" i="10"/>
  <c r="K114" i="10"/>
  <c r="M114" i="10" s="1"/>
  <c r="K115" i="10"/>
  <c r="K116" i="10"/>
  <c r="M116" i="10" s="1"/>
  <c r="K117" i="10"/>
  <c r="K118" i="10"/>
  <c r="K119" i="10"/>
  <c r="K120" i="10"/>
  <c r="K121" i="10"/>
  <c r="K122" i="10"/>
  <c r="M122" i="10" s="1"/>
  <c r="K123" i="10"/>
  <c r="K124" i="10"/>
  <c r="K125" i="10"/>
  <c r="K126" i="10"/>
  <c r="K127" i="10"/>
  <c r="K128" i="10"/>
  <c r="K129" i="10"/>
  <c r="K130" i="10"/>
  <c r="K131" i="10"/>
  <c r="K132" i="10"/>
  <c r="K133" i="10"/>
  <c r="K134" i="10"/>
  <c r="K135" i="10"/>
  <c r="K136" i="10"/>
  <c r="K137" i="10"/>
  <c r="K138" i="10"/>
  <c r="K139" i="10"/>
  <c r="K140" i="10"/>
  <c r="K141" i="10"/>
  <c r="K142" i="10"/>
  <c r="K143" i="10"/>
  <c r="K144" i="10"/>
  <c r="K145" i="10"/>
  <c r="K146" i="10"/>
  <c r="M146" i="10" s="1"/>
  <c r="K147" i="10"/>
  <c r="M147" i="10" s="1"/>
  <c r="K148" i="10"/>
  <c r="K149" i="10"/>
  <c r="K150" i="10"/>
  <c r="K151" i="10"/>
  <c r="K152" i="10"/>
  <c r="M152" i="10" s="1"/>
  <c r="K153" i="10"/>
  <c r="K154" i="10"/>
  <c r="M154" i="10" s="1"/>
  <c r="K155" i="10"/>
  <c r="K156" i="10"/>
  <c r="K157" i="10"/>
  <c r="K158" i="10"/>
  <c r="K159" i="10"/>
  <c r="K160" i="10"/>
  <c r="M160" i="10" s="1"/>
  <c r="K161" i="10"/>
  <c r="K162" i="10"/>
  <c r="K163" i="10"/>
  <c r="K164" i="10"/>
  <c r="K165" i="10"/>
  <c r="K166" i="10"/>
  <c r="K167" i="10"/>
  <c r="K168" i="10"/>
  <c r="K169" i="10"/>
  <c r="K170" i="10"/>
  <c r="M170" i="10" s="1"/>
  <c r="K171" i="10"/>
  <c r="K172" i="10"/>
  <c r="K173" i="10"/>
  <c r="K174" i="10"/>
  <c r="K175" i="10"/>
  <c r="K176" i="10"/>
  <c r="K177" i="10"/>
  <c r="M177" i="10" s="1"/>
  <c r="K178" i="10"/>
  <c r="K179" i="10"/>
  <c r="K180" i="10"/>
  <c r="K181" i="10"/>
  <c r="K182" i="10"/>
  <c r="K183" i="10"/>
  <c r="K184" i="10"/>
  <c r="M184" i="10" s="1"/>
  <c r="K185" i="10"/>
  <c r="K186" i="10"/>
  <c r="K187" i="10"/>
  <c r="K188" i="10"/>
  <c r="K189" i="10"/>
  <c r="K190" i="10"/>
  <c r="K191" i="10"/>
  <c r="K192" i="10"/>
  <c r="K193" i="10"/>
  <c r="K194" i="10"/>
  <c r="K195" i="10"/>
  <c r="M195" i="10" s="1"/>
  <c r="K196" i="10"/>
  <c r="K197" i="10"/>
  <c r="K198" i="10"/>
  <c r="K199" i="10"/>
  <c r="K200" i="10"/>
  <c r="K201" i="10"/>
  <c r="K202" i="10"/>
  <c r="M202" i="10" s="1"/>
  <c r="K203" i="10"/>
  <c r="K204" i="10"/>
  <c r="K205" i="10"/>
  <c r="K206" i="10"/>
  <c r="K207" i="10"/>
  <c r="K208" i="10"/>
  <c r="K209" i="10"/>
  <c r="K210" i="10"/>
  <c r="M210" i="10" s="1"/>
  <c r="K211" i="10"/>
  <c r="K212" i="10"/>
  <c r="K213" i="10"/>
  <c r="K214" i="10"/>
  <c r="M214" i="10" s="1"/>
  <c r="K215" i="10"/>
  <c r="K216" i="10"/>
  <c r="M216" i="10" s="1"/>
  <c r="K217" i="10"/>
  <c r="K218" i="10"/>
  <c r="K219" i="10"/>
  <c r="K220" i="10"/>
  <c r="K221" i="10"/>
  <c r="K222" i="10"/>
  <c r="K223" i="10"/>
  <c r="K224" i="10"/>
  <c r="K225" i="10"/>
  <c r="K226" i="10"/>
  <c r="M226" i="10" s="1"/>
  <c r="K227" i="10"/>
  <c r="K228" i="10"/>
  <c r="K229" i="10"/>
  <c r="K230" i="10"/>
  <c r="K231" i="10"/>
  <c r="K232" i="10"/>
  <c r="K233" i="10"/>
  <c r="K234" i="10"/>
  <c r="K235" i="10"/>
  <c r="K236" i="10"/>
  <c r="K237" i="10"/>
  <c r="K238" i="10"/>
  <c r="K239" i="10"/>
  <c r="K240" i="10"/>
  <c r="K241" i="10"/>
  <c r="K242" i="10"/>
  <c r="K243" i="10"/>
  <c r="K244" i="10"/>
  <c r="K245" i="10"/>
  <c r="K246" i="10"/>
  <c r="K247" i="10"/>
  <c r="K248" i="10"/>
  <c r="K249" i="10"/>
  <c r="K250" i="10"/>
  <c r="K251" i="10"/>
  <c r="K252" i="10"/>
  <c r="K253" i="10"/>
  <c r="K254" i="10"/>
  <c r="K255" i="10"/>
  <c r="K256" i="10"/>
  <c r="K257" i="10"/>
  <c r="K258" i="10"/>
  <c r="K259" i="10"/>
  <c r="K260" i="10"/>
  <c r="K261" i="10"/>
  <c r="K262" i="10"/>
  <c r="K263" i="10"/>
  <c r="K264" i="10"/>
  <c r="K265" i="10"/>
  <c r="K266" i="10"/>
  <c r="K267" i="10"/>
  <c r="K268" i="10"/>
  <c r="M268" i="10" s="1"/>
  <c r="K269" i="10"/>
  <c r="K270" i="10"/>
  <c r="K271" i="10"/>
  <c r="K272" i="10"/>
  <c r="K273" i="10"/>
  <c r="K274" i="10"/>
  <c r="K275" i="10"/>
  <c r="K276" i="10"/>
  <c r="K277" i="10"/>
  <c r="K278" i="10"/>
  <c r="K279" i="10"/>
  <c r="K280" i="10"/>
  <c r="K281" i="10"/>
  <c r="K282" i="10"/>
  <c r="K283" i="10"/>
  <c r="K284" i="10"/>
  <c r="K285" i="10"/>
  <c r="K286" i="10"/>
  <c r="K287" i="10"/>
  <c r="K288" i="10"/>
  <c r="M288" i="10" s="1"/>
  <c r="K289" i="10"/>
  <c r="K290" i="10"/>
  <c r="K291" i="10"/>
  <c r="K292" i="10"/>
  <c r="K293" i="10"/>
  <c r="K294" i="10"/>
  <c r="K295" i="10"/>
  <c r="K296" i="10"/>
  <c r="M296" i="10" s="1"/>
  <c r="K297" i="10"/>
  <c r="K298" i="10"/>
  <c r="K299" i="10"/>
  <c r="K300" i="10"/>
  <c r="K301" i="10"/>
  <c r="K302" i="10"/>
  <c r="M302" i="10" s="1"/>
  <c r="K303" i="10"/>
  <c r="K304" i="10"/>
  <c r="K305" i="10"/>
  <c r="K306" i="10"/>
  <c r="K307" i="10"/>
  <c r="K308" i="10"/>
  <c r="K309" i="10"/>
  <c r="K310" i="10"/>
  <c r="K311" i="10"/>
  <c r="K312" i="10"/>
  <c r="K313" i="10"/>
  <c r="K314" i="10"/>
  <c r="K315" i="10"/>
  <c r="K316" i="10"/>
  <c r="M316" i="10" s="1"/>
  <c r="K317" i="10"/>
  <c r="K318" i="10"/>
  <c r="K319" i="10"/>
  <c r="K320" i="10"/>
  <c r="K321" i="10"/>
  <c r="K322" i="10"/>
  <c r="K323" i="10"/>
  <c r="K324" i="10"/>
  <c r="K325" i="10"/>
  <c r="K326" i="10"/>
  <c r="K327" i="10"/>
  <c r="K328" i="10"/>
  <c r="K329" i="10"/>
  <c r="K330" i="10"/>
  <c r="K331" i="10"/>
  <c r="K332" i="10"/>
  <c r="K333" i="10"/>
  <c r="K334" i="10"/>
  <c r="K335" i="10"/>
  <c r="K336" i="10"/>
  <c r="K337" i="10"/>
  <c r="K338" i="10"/>
  <c r="K339" i="10"/>
  <c r="K340" i="10"/>
  <c r="K341" i="10"/>
  <c r="K342" i="10"/>
  <c r="K343" i="10"/>
  <c r="K344" i="10"/>
  <c r="K345" i="10"/>
  <c r="K346" i="10"/>
  <c r="K347" i="10"/>
  <c r="K348" i="10"/>
  <c r="K349" i="10"/>
  <c r="K350" i="10"/>
  <c r="K351" i="10"/>
  <c r="K352" i="10"/>
  <c r="K353" i="10"/>
  <c r="K354" i="10"/>
  <c r="K355" i="10"/>
  <c r="K356" i="10"/>
  <c r="K357" i="10"/>
  <c r="K358" i="10"/>
  <c r="K359" i="10"/>
  <c r="K360" i="10"/>
  <c r="K361" i="10"/>
  <c r="K362" i="10"/>
  <c r="K363" i="10"/>
  <c r="K364" i="10"/>
  <c r="K365" i="10"/>
  <c r="K366" i="10"/>
  <c r="K367" i="10"/>
  <c r="K368" i="10"/>
  <c r="K369" i="10"/>
  <c r="K370" i="10"/>
  <c r="K371" i="10"/>
  <c r="K372" i="10"/>
  <c r="K373" i="10"/>
  <c r="K374" i="10"/>
  <c r="K375" i="10"/>
  <c r="K376" i="10"/>
  <c r="K377" i="10"/>
  <c r="K378" i="10"/>
  <c r="K379" i="10"/>
  <c r="K380" i="10"/>
  <c r="K381" i="10"/>
  <c r="K382" i="10"/>
  <c r="K383" i="10"/>
  <c r="K384" i="10"/>
  <c r="K385" i="10"/>
  <c r="K386" i="10"/>
  <c r="K387" i="10"/>
  <c r="K388" i="10"/>
  <c r="K389" i="10"/>
  <c r="K390" i="10"/>
  <c r="K391" i="10"/>
  <c r="K392" i="10"/>
  <c r="M392" i="10" s="1"/>
  <c r="K393" i="10"/>
  <c r="K394" i="10"/>
  <c r="K395" i="10"/>
  <c r="K396" i="10"/>
  <c r="K397" i="10"/>
  <c r="K398" i="10"/>
  <c r="K399" i="10"/>
  <c r="K400" i="10"/>
  <c r="K401" i="10"/>
  <c r="K402" i="10"/>
  <c r="K403" i="10"/>
  <c r="K404" i="10"/>
  <c r="K405" i="10"/>
  <c r="K406" i="10"/>
  <c r="K407" i="10"/>
  <c r="K408" i="10"/>
  <c r="K409" i="10"/>
  <c r="K410" i="10"/>
  <c r="K411" i="10"/>
  <c r="K412" i="10"/>
  <c r="K413" i="10"/>
  <c r="K414" i="10"/>
  <c r="K415" i="10"/>
  <c r="K416" i="10"/>
  <c r="K417" i="10"/>
  <c r="K418" i="10"/>
  <c r="K419" i="10"/>
  <c r="K420" i="10"/>
  <c r="K421" i="10"/>
  <c r="K422" i="10"/>
  <c r="K423" i="10"/>
  <c r="K424" i="10"/>
  <c r="K425" i="10"/>
  <c r="K426" i="10"/>
  <c r="K427" i="10"/>
  <c r="K428" i="10"/>
  <c r="K429" i="10"/>
  <c r="K430" i="10"/>
  <c r="K431" i="10"/>
  <c r="K432" i="10"/>
  <c r="K433" i="10"/>
  <c r="K434" i="10"/>
  <c r="K435" i="10"/>
  <c r="K436" i="10"/>
  <c r="K437" i="10"/>
  <c r="K438" i="10"/>
  <c r="K439" i="10"/>
  <c r="K440" i="10"/>
  <c r="K441" i="10"/>
  <c r="K442" i="10"/>
  <c r="K443" i="10"/>
  <c r="K444" i="10"/>
  <c r="K445" i="10"/>
  <c r="K446" i="10"/>
  <c r="K447" i="10"/>
  <c r="K448" i="10"/>
  <c r="K449" i="10"/>
  <c r="K450" i="10"/>
  <c r="K451" i="10"/>
  <c r="K452" i="10"/>
  <c r="K453" i="10"/>
  <c r="K454" i="10"/>
  <c r="K455" i="10"/>
  <c r="K456" i="10"/>
  <c r="K457" i="10"/>
  <c r="K458" i="10"/>
  <c r="K459" i="10"/>
  <c r="K460" i="10"/>
  <c r="K461" i="10"/>
  <c r="K462" i="10"/>
  <c r="K463" i="10"/>
  <c r="K464" i="10"/>
  <c r="K465" i="10"/>
  <c r="K466" i="10"/>
  <c r="K467" i="10"/>
  <c r="K468" i="10"/>
  <c r="M468" i="10" s="1"/>
  <c r="K469" i="10"/>
  <c r="K470" i="10"/>
  <c r="K471" i="10"/>
  <c r="K472" i="10"/>
  <c r="K473" i="10"/>
  <c r="K474" i="10"/>
  <c r="M474" i="10" s="1"/>
  <c r="K475" i="10"/>
  <c r="K476" i="10"/>
  <c r="K477" i="10"/>
  <c r="K478" i="10"/>
  <c r="K479" i="10"/>
  <c r="K480" i="10"/>
  <c r="M480" i="10" s="1"/>
  <c r="K481" i="10"/>
  <c r="K482" i="10"/>
  <c r="K483" i="10"/>
  <c r="K484" i="10"/>
  <c r="K485" i="10"/>
  <c r="K486" i="10"/>
  <c r="K487" i="10"/>
  <c r="K488" i="10"/>
  <c r="K489" i="10"/>
  <c r="K490" i="10"/>
  <c r="K491" i="10"/>
  <c r="K492" i="10"/>
  <c r="K493" i="10"/>
  <c r="K494" i="10"/>
  <c r="K495" i="10"/>
  <c r="K496" i="10"/>
  <c r="K497" i="10"/>
  <c r="K498" i="10"/>
  <c r="K499" i="10"/>
  <c r="K500" i="10"/>
  <c r="K501" i="10"/>
  <c r="K502" i="10"/>
  <c r="K503" i="10"/>
  <c r="K504" i="10"/>
  <c r="K505" i="10"/>
  <c r="K506" i="10"/>
  <c r="K507" i="10"/>
  <c r="K508" i="10"/>
  <c r="K509" i="10"/>
  <c r="K510" i="10"/>
  <c r="K511" i="10"/>
  <c r="K512" i="10"/>
  <c r="K513" i="10"/>
  <c r="K514" i="10"/>
  <c r="K515" i="10"/>
  <c r="K516" i="10"/>
  <c r="K517" i="10"/>
  <c r="K518" i="10"/>
  <c r="K519" i="10"/>
  <c r="K520" i="10"/>
  <c r="K521" i="10"/>
  <c r="K522" i="10"/>
  <c r="M522" i="10" s="1"/>
  <c r="K523" i="10"/>
  <c r="K524" i="10"/>
  <c r="K525" i="10"/>
  <c r="M525" i="10" s="1"/>
  <c r="K526" i="10"/>
  <c r="K527" i="10"/>
  <c r="K528" i="10"/>
  <c r="K529" i="10"/>
  <c r="K530" i="10"/>
  <c r="K531" i="10"/>
  <c r="M531" i="10" s="1"/>
  <c r="K532" i="10"/>
  <c r="K533" i="10"/>
  <c r="K534" i="10"/>
  <c r="K535" i="10"/>
  <c r="K536" i="10"/>
  <c r="K537" i="10"/>
  <c r="K538" i="10"/>
  <c r="K539" i="10"/>
  <c r="K540" i="10"/>
  <c r="K541" i="10"/>
  <c r="K542" i="10"/>
  <c r="K543" i="10"/>
  <c r="K544" i="10"/>
  <c r="K545" i="10"/>
  <c r="K546" i="10"/>
  <c r="K547" i="10"/>
  <c r="K548" i="10"/>
  <c r="K549" i="10"/>
  <c r="K550" i="10"/>
  <c r="K551" i="10"/>
  <c r="K552" i="10"/>
  <c r="M552" i="10" s="1"/>
  <c r="K553" i="10"/>
  <c r="K554" i="10"/>
  <c r="K555" i="10"/>
  <c r="K556" i="10"/>
  <c r="K557" i="10"/>
  <c r="K558" i="10"/>
  <c r="K559" i="10"/>
  <c r="K560" i="10"/>
  <c r="K561" i="10"/>
  <c r="K562" i="10"/>
  <c r="K563" i="10"/>
  <c r="K564" i="10"/>
  <c r="M564" i="10" s="1"/>
  <c r="K565" i="10"/>
  <c r="K566" i="10"/>
  <c r="K567" i="10"/>
  <c r="K568" i="10"/>
  <c r="K569" i="10"/>
  <c r="K570" i="10"/>
  <c r="K571" i="10"/>
  <c r="K572" i="10"/>
  <c r="K573" i="10"/>
  <c r="K574" i="10"/>
  <c r="K575" i="10"/>
  <c r="K576" i="10"/>
  <c r="K577" i="10"/>
  <c r="K578" i="10"/>
  <c r="K579" i="10"/>
  <c r="K580" i="10"/>
  <c r="K581" i="10"/>
  <c r="K582" i="10"/>
  <c r="K583" i="10"/>
  <c r="K584" i="10"/>
  <c r="K585" i="10"/>
  <c r="K586" i="10"/>
  <c r="K587" i="10"/>
  <c r="K588" i="10"/>
  <c r="K589" i="10"/>
  <c r="K590" i="10"/>
  <c r="K591" i="10"/>
  <c r="K592" i="10"/>
  <c r="K593" i="10"/>
  <c r="K594" i="10"/>
  <c r="K595" i="10"/>
  <c r="K596" i="10"/>
  <c r="M596" i="10" s="1"/>
  <c r="K597" i="10"/>
  <c r="M597" i="10" s="1"/>
  <c r="K598" i="10"/>
  <c r="K599" i="10"/>
  <c r="K600" i="10"/>
  <c r="K601" i="10"/>
  <c r="K602" i="10"/>
  <c r="K603" i="10"/>
  <c r="K604" i="10"/>
  <c r="K605" i="10"/>
  <c r="K606" i="10"/>
  <c r="K607" i="10"/>
  <c r="K608" i="10"/>
  <c r="K609" i="10"/>
  <c r="K610" i="10"/>
  <c r="K611" i="10"/>
  <c r="K612" i="10"/>
  <c r="K613" i="10"/>
  <c r="K614" i="10"/>
  <c r="M614" i="10" s="1"/>
  <c r="K615" i="10"/>
  <c r="K616" i="10"/>
  <c r="K617" i="10"/>
  <c r="K618" i="10"/>
  <c r="K619" i="10"/>
  <c r="K620" i="10"/>
  <c r="K621" i="10"/>
  <c r="K622" i="10"/>
  <c r="K623" i="10"/>
  <c r="K624" i="10"/>
  <c r="K625" i="10"/>
  <c r="K626" i="10"/>
  <c r="K627" i="10"/>
  <c r="K628" i="10"/>
  <c r="K629" i="10"/>
  <c r="K630" i="10"/>
  <c r="K631" i="10"/>
  <c r="K632" i="10"/>
  <c r="K633" i="10"/>
  <c r="K634" i="10"/>
  <c r="K635" i="10"/>
  <c r="K636" i="10"/>
  <c r="K637" i="10"/>
  <c r="K638" i="10"/>
  <c r="K639" i="10"/>
  <c r="K640" i="10"/>
  <c r="K641" i="10"/>
  <c r="K642" i="10"/>
  <c r="K643" i="10"/>
  <c r="K644" i="10"/>
  <c r="K645" i="10"/>
  <c r="K646" i="10"/>
  <c r="K647" i="10"/>
  <c r="K648" i="10"/>
  <c r="K649" i="10"/>
  <c r="K650" i="10"/>
  <c r="K651" i="10"/>
  <c r="K652" i="10"/>
  <c r="K653" i="10"/>
  <c r="K654" i="10"/>
  <c r="K655" i="10"/>
  <c r="K656" i="10"/>
  <c r="K657" i="10"/>
  <c r="K658" i="10"/>
  <c r="K659" i="10"/>
  <c r="K660" i="10"/>
  <c r="K661" i="10"/>
  <c r="K662" i="10"/>
  <c r="K663" i="10"/>
  <c r="K664" i="10"/>
  <c r="K665" i="10"/>
  <c r="K666" i="10"/>
  <c r="M666" i="10" s="1"/>
  <c r="K667" i="10"/>
  <c r="K668" i="10"/>
  <c r="M668" i="10" s="1"/>
  <c r="K669" i="10"/>
  <c r="K670" i="10"/>
  <c r="K671" i="10"/>
  <c r="K672" i="10"/>
  <c r="K673" i="10"/>
  <c r="K674" i="10"/>
  <c r="K675" i="10"/>
  <c r="K676" i="10"/>
  <c r="K677" i="10"/>
  <c r="K678" i="10"/>
  <c r="K679" i="10"/>
  <c r="K680" i="10"/>
  <c r="K681" i="10"/>
  <c r="K682" i="10"/>
  <c r="K683" i="10"/>
  <c r="K684" i="10"/>
  <c r="K685" i="10"/>
  <c r="K686" i="10"/>
  <c r="K687" i="10"/>
  <c r="K688" i="10"/>
  <c r="K689" i="10"/>
  <c r="K690" i="10"/>
  <c r="K691" i="10"/>
  <c r="K692" i="10"/>
  <c r="K693" i="10"/>
  <c r="K694" i="10"/>
  <c r="K695" i="10"/>
  <c r="K696" i="10"/>
  <c r="K697" i="10"/>
  <c r="K698" i="10"/>
  <c r="K699" i="10"/>
  <c r="K700" i="10"/>
  <c r="K701" i="10"/>
  <c r="K702" i="10"/>
  <c r="K703" i="10"/>
  <c r="K704" i="10"/>
  <c r="K705" i="10"/>
  <c r="K706" i="10"/>
  <c r="K707" i="10"/>
  <c r="K708" i="10"/>
  <c r="K709" i="10"/>
  <c r="K710" i="10"/>
  <c r="K711" i="10"/>
  <c r="K712" i="10"/>
  <c r="K713" i="10"/>
  <c r="K714" i="10"/>
  <c r="K715" i="10"/>
  <c r="K716" i="10"/>
  <c r="K717" i="10"/>
  <c r="K718" i="10"/>
  <c r="K719" i="10"/>
  <c r="K720" i="10"/>
  <c r="K721" i="10"/>
  <c r="K722" i="10"/>
  <c r="K723" i="10"/>
  <c r="K724" i="10"/>
  <c r="K725" i="10"/>
  <c r="K726" i="10"/>
  <c r="K727" i="10"/>
  <c r="K728" i="10"/>
  <c r="K729" i="10"/>
  <c r="K730" i="10"/>
  <c r="K731" i="10"/>
  <c r="K732" i="10"/>
  <c r="K733" i="10"/>
  <c r="K734" i="10"/>
  <c r="K735" i="10"/>
  <c r="K736" i="10"/>
  <c r="K737" i="10"/>
  <c r="K738" i="10"/>
  <c r="K739" i="10"/>
  <c r="K740" i="10"/>
  <c r="K741" i="10"/>
  <c r="K742" i="10"/>
  <c r="K743" i="10"/>
  <c r="K744" i="10"/>
  <c r="K745" i="10"/>
  <c r="K746" i="10"/>
  <c r="K747" i="10"/>
  <c r="K748" i="10"/>
  <c r="K749" i="10"/>
  <c r="K750" i="10"/>
  <c r="K751" i="10"/>
  <c r="K752" i="10"/>
  <c r="K753" i="10"/>
  <c r="K754" i="10"/>
  <c r="K755" i="10"/>
  <c r="M755" i="10" s="1"/>
  <c r="K756" i="10"/>
  <c r="K757" i="10"/>
  <c r="K758" i="10"/>
  <c r="K759" i="10"/>
  <c r="K760" i="10"/>
  <c r="K761" i="10"/>
  <c r="K762" i="10"/>
  <c r="K763" i="10"/>
  <c r="K764" i="10"/>
  <c r="K765" i="10"/>
  <c r="K766" i="10"/>
  <c r="K767" i="10"/>
  <c r="K768" i="10"/>
  <c r="K769" i="10"/>
  <c r="K770" i="10"/>
  <c r="K771" i="10"/>
  <c r="K772" i="10"/>
  <c r="K773" i="10"/>
  <c r="K774" i="10"/>
  <c r="K775" i="10"/>
  <c r="K776" i="10"/>
  <c r="K777" i="10"/>
  <c r="K778" i="10"/>
  <c r="K779" i="10"/>
  <c r="K780" i="10"/>
  <c r="M780" i="10" s="1"/>
  <c r="K781" i="10"/>
  <c r="K782" i="10"/>
  <c r="K783" i="10"/>
  <c r="K784" i="10"/>
  <c r="K785" i="10"/>
  <c r="K786" i="10"/>
  <c r="K787" i="10"/>
  <c r="K788" i="10"/>
  <c r="K789" i="10"/>
  <c r="K790" i="10"/>
  <c r="K791" i="10"/>
  <c r="K792" i="10"/>
  <c r="K793" i="10"/>
  <c r="K794" i="10"/>
  <c r="K795" i="10"/>
  <c r="K796" i="10"/>
  <c r="K797" i="10"/>
  <c r="K798" i="10"/>
  <c r="K799" i="10"/>
  <c r="K800" i="10"/>
  <c r="K801" i="10"/>
  <c r="K802" i="10"/>
  <c r="K803" i="10"/>
  <c r="M803" i="10" s="1"/>
  <c r="K804" i="10"/>
  <c r="K805" i="10"/>
  <c r="K806" i="10"/>
  <c r="K807" i="10"/>
  <c r="K808" i="10"/>
  <c r="K809" i="10"/>
  <c r="K810" i="10"/>
  <c r="K811" i="10"/>
  <c r="K812" i="10"/>
  <c r="M812" i="10" s="1"/>
  <c r="K813" i="10"/>
  <c r="K814" i="10"/>
  <c r="K815" i="10"/>
  <c r="K816" i="10"/>
  <c r="K817" i="10"/>
  <c r="K818" i="10"/>
  <c r="K819" i="10"/>
  <c r="K820" i="10"/>
  <c r="K821" i="10"/>
  <c r="K822" i="10"/>
  <c r="K823" i="10"/>
  <c r="K824" i="10"/>
  <c r="K825" i="10"/>
  <c r="K826" i="10"/>
  <c r="K827" i="10"/>
  <c r="K828" i="10"/>
  <c r="K829" i="10"/>
  <c r="K830" i="10"/>
  <c r="K831" i="10"/>
  <c r="K832" i="10"/>
  <c r="K833" i="10"/>
  <c r="K834" i="10"/>
  <c r="K835" i="10"/>
  <c r="K836" i="10"/>
  <c r="K837" i="10"/>
  <c r="K838" i="10"/>
  <c r="K839" i="10"/>
  <c r="K840" i="10"/>
  <c r="K841" i="10"/>
  <c r="K842" i="10"/>
  <c r="K843" i="10"/>
  <c r="K844" i="10"/>
  <c r="K845" i="10"/>
  <c r="K846" i="10"/>
  <c r="K847" i="10"/>
  <c r="K848" i="10"/>
  <c r="K849" i="10"/>
  <c r="K850" i="10"/>
  <c r="K851" i="10"/>
  <c r="K852" i="10"/>
  <c r="M852" i="10" s="1"/>
  <c r="K853" i="10"/>
  <c r="K854" i="10"/>
  <c r="K855" i="10"/>
  <c r="K856" i="10"/>
  <c r="K857" i="10"/>
  <c r="K858" i="10"/>
  <c r="K859" i="10"/>
  <c r="K860" i="10"/>
  <c r="K861" i="10"/>
  <c r="K862" i="10"/>
  <c r="K863" i="10"/>
  <c r="K864" i="10"/>
  <c r="K865" i="10"/>
  <c r="K866" i="10"/>
  <c r="K867" i="10"/>
  <c r="K868" i="10"/>
  <c r="K869" i="10"/>
  <c r="K870" i="10"/>
  <c r="K871" i="10"/>
  <c r="K872" i="10"/>
  <c r="K873" i="10"/>
  <c r="K874" i="10"/>
  <c r="K875" i="10"/>
  <c r="K876" i="10"/>
  <c r="K877" i="10"/>
  <c r="K878" i="10"/>
  <c r="K879" i="10"/>
  <c r="K880" i="10"/>
  <c r="K881" i="10"/>
  <c r="K882" i="10"/>
  <c r="K883" i="10"/>
  <c r="M883" i="10" s="1"/>
  <c r="K884" i="10"/>
  <c r="K885" i="10"/>
  <c r="K886" i="10"/>
  <c r="K887" i="10"/>
  <c r="K888" i="10"/>
  <c r="K889" i="10"/>
  <c r="K890" i="10"/>
  <c r="K891" i="10"/>
  <c r="K892" i="10"/>
  <c r="M892" i="10" s="1"/>
  <c r="K893" i="10"/>
  <c r="M893" i="10" s="1"/>
  <c r="K894" i="10"/>
  <c r="K895" i="10"/>
  <c r="K896" i="10"/>
  <c r="K897" i="10"/>
  <c r="K898" i="10"/>
  <c r="K899" i="10"/>
  <c r="K900" i="10"/>
  <c r="M900" i="10" s="1"/>
  <c r="K901" i="10"/>
  <c r="K902" i="10"/>
  <c r="K903" i="10"/>
  <c r="K904" i="10"/>
  <c r="K905" i="10"/>
  <c r="K906" i="10"/>
  <c r="K907" i="10"/>
  <c r="K908" i="10"/>
  <c r="K909" i="10"/>
  <c r="K910" i="10"/>
  <c r="K911" i="10"/>
  <c r="K912" i="10"/>
  <c r="K913" i="10"/>
  <c r="K914" i="10"/>
  <c r="K915" i="10"/>
  <c r="K916" i="10"/>
  <c r="K917" i="10"/>
  <c r="K918" i="10"/>
  <c r="K919" i="10"/>
  <c r="K920" i="10"/>
  <c r="K921" i="10"/>
  <c r="K922" i="10"/>
  <c r="K923" i="10"/>
  <c r="K924" i="10"/>
  <c r="K925" i="10"/>
  <c r="K926" i="10"/>
  <c r="K927" i="10"/>
  <c r="K928" i="10"/>
  <c r="K929" i="10"/>
  <c r="K930" i="10"/>
  <c r="K931" i="10"/>
  <c r="K932" i="10"/>
  <c r="K933" i="10"/>
  <c r="K934" i="10"/>
  <c r="K935" i="10"/>
  <c r="K936" i="10"/>
  <c r="K937" i="10"/>
  <c r="K938" i="10"/>
  <c r="K939" i="10"/>
  <c r="K940" i="10"/>
  <c r="K941" i="10"/>
  <c r="K942" i="10"/>
  <c r="K943" i="10"/>
  <c r="K944" i="10"/>
  <c r="K945" i="10"/>
  <c r="K946" i="10"/>
  <c r="K947" i="10"/>
  <c r="K948" i="10"/>
  <c r="K949" i="10"/>
  <c r="K950" i="10"/>
  <c r="K951" i="10"/>
  <c r="K952" i="10"/>
  <c r="K953" i="10"/>
  <c r="K954" i="10"/>
  <c r="K955" i="10"/>
  <c r="K956" i="10"/>
  <c r="K957" i="10"/>
  <c r="K958" i="10"/>
  <c r="K959" i="10"/>
  <c r="K960" i="10"/>
  <c r="K961" i="10"/>
  <c r="K962" i="10"/>
  <c r="K963" i="10"/>
  <c r="K964" i="10"/>
  <c r="K965" i="10"/>
  <c r="K966" i="10"/>
  <c r="K967" i="10"/>
  <c r="K968" i="10"/>
  <c r="K969" i="10"/>
  <c r="K970" i="10"/>
  <c r="K971" i="10"/>
  <c r="K972" i="10"/>
  <c r="K973" i="10"/>
  <c r="K974" i="10"/>
  <c r="K975" i="10"/>
  <c r="K976" i="10"/>
  <c r="K977" i="10"/>
  <c r="K978" i="10"/>
  <c r="K979" i="10"/>
  <c r="K980" i="10"/>
  <c r="K981" i="10"/>
  <c r="M981" i="10" s="1"/>
  <c r="K982" i="10"/>
  <c r="K983" i="10"/>
  <c r="K984" i="10"/>
  <c r="K985" i="10"/>
  <c r="K986" i="10"/>
  <c r="K987" i="10"/>
  <c r="K988" i="10"/>
  <c r="M988" i="10" s="1"/>
  <c r="K989" i="10"/>
  <c r="K990" i="10"/>
  <c r="K991" i="10"/>
  <c r="K992" i="10"/>
  <c r="K993" i="10"/>
  <c r="K994" i="10"/>
  <c r="K995" i="10"/>
  <c r="K996" i="10"/>
  <c r="K997" i="10"/>
  <c r="K998" i="10"/>
  <c r="K999" i="10"/>
  <c r="K1000" i="10"/>
  <c r="K1001" i="10"/>
  <c r="K1002" i="10"/>
  <c r="K1003" i="10"/>
  <c r="K1004" i="10"/>
  <c r="K1005" i="10"/>
  <c r="K1006" i="10"/>
  <c r="K1007" i="10"/>
  <c r="K1008" i="10"/>
  <c r="K1009" i="10"/>
  <c r="K1010" i="10"/>
  <c r="K1011" i="10"/>
  <c r="K1012" i="10"/>
  <c r="K1013" i="10"/>
  <c r="K1014" i="10"/>
  <c r="K1015" i="10"/>
  <c r="K1016" i="10"/>
  <c r="K1017" i="10"/>
  <c r="K1018" i="10"/>
  <c r="K1019" i="10"/>
  <c r="K1020" i="10"/>
  <c r="K1021" i="10"/>
  <c r="K1022" i="10"/>
  <c r="K1023" i="10"/>
  <c r="K1024" i="10"/>
  <c r="K1025" i="10"/>
  <c r="K1026" i="10"/>
  <c r="M1026" i="10" s="1"/>
  <c r="K1027" i="10"/>
  <c r="K1028" i="10"/>
  <c r="K1029" i="10"/>
  <c r="K1030" i="10"/>
  <c r="M1030" i="10" s="1"/>
  <c r="K1031" i="10"/>
  <c r="K1032" i="10"/>
  <c r="K1033" i="10"/>
  <c r="K1034" i="10"/>
  <c r="K1035" i="10"/>
  <c r="K1036" i="10"/>
  <c r="K1037" i="10"/>
  <c r="K1038" i="10"/>
  <c r="K1039" i="10"/>
  <c r="K1040" i="10"/>
  <c r="K1041" i="10"/>
  <c r="K1042" i="10"/>
  <c r="K1043" i="10"/>
  <c r="K1044" i="10"/>
  <c r="K1045" i="10"/>
  <c r="K1046" i="10"/>
  <c r="K1047" i="10"/>
  <c r="K1048" i="10"/>
  <c r="K1049" i="10"/>
  <c r="K1050" i="10"/>
  <c r="K1051" i="10"/>
  <c r="K1052" i="10"/>
  <c r="K1053" i="10"/>
  <c r="K1054" i="10"/>
  <c r="K1055" i="10"/>
  <c r="K1056" i="10"/>
  <c r="K1057" i="10"/>
  <c r="K1058" i="10"/>
  <c r="K1059" i="10"/>
  <c r="K1060" i="10"/>
  <c r="K1061" i="10"/>
  <c r="K1062" i="10"/>
  <c r="K1063" i="10"/>
  <c r="K1064" i="10"/>
  <c r="K1065" i="10"/>
  <c r="K1066" i="10"/>
  <c r="K1067" i="10"/>
  <c r="K1068" i="10"/>
  <c r="M1068" i="10" s="1"/>
  <c r="K1069" i="10"/>
  <c r="K1070" i="10"/>
  <c r="K1071" i="10"/>
  <c r="K1072" i="10"/>
  <c r="K1073" i="10"/>
  <c r="K1074" i="10"/>
  <c r="K1075" i="10"/>
  <c r="K1076" i="10"/>
  <c r="K1077" i="10"/>
  <c r="K1078" i="10"/>
  <c r="K1079" i="10"/>
  <c r="K1080" i="10"/>
  <c r="M1080" i="10" s="1"/>
  <c r="K1081" i="10"/>
  <c r="K1082" i="10"/>
  <c r="K1083" i="10"/>
  <c r="K1084" i="10"/>
  <c r="K1085" i="10"/>
  <c r="K1086" i="10"/>
  <c r="K1087" i="10"/>
  <c r="K1088" i="10"/>
  <c r="K1089" i="10"/>
  <c r="K1090" i="10"/>
  <c r="K1091" i="10"/>
  <c r="M1091" i="10" s="1"/>
  <c r="K1092" i="10"/>
  <c r="K1093" i="10"/>
  <c r="K1094" i="10"/>
  <c r="K1095" i="10"/>
  <c r="K1096" i="10"/>
  <c r="K1097" i="10"/>
  <c r="K1098" i="10"/>
  <c r="K1099" i="10"/>
  <c r="K1100" i="10"/>
  <c r="K1101" i="10"/>
  <c r="K1102" i="10"/>
  <c r="K1103" i="10"/>
  <c r="K1104" i="10"/>
  <c r="K1105" i="10"/>
  <c r="K1106" i="10"/>
  <c r="K1107" i="10"/>
  <c r="K1108" i="10"/>
  <c r="K1109" i="10"/>
  <c r="K1110" i="10"/>
  <c r="K1111" i="10"/>
  <c r="K1112" i="10"/>
  <c r="K1113" i="10"/>
  <c r="K1114" i="10"/>
  <c r="K1115" i="10"/>
  <c r="K1116" i="10"/>
  <c r="K1117" i="10"/>
  <c r="K1118" i="10"/>
  <c r="K1119" i="10"/>
  <c r="K1120" i="10"/>
  <c r="K1121" i="10"/>
  <c r="K1122" i="10"/>
  <c r="K1123" i="10"/>
  <c r="K1124" i="10"/>
  <c r="K1125" i="10"/>
  <c r="K1126" i="10"/>
  <c r="K1127" i="10"/>
  <c r="K1128" i="10"/>
  <c r="K1129" i="10"/>
  <c r="K1130" i="10"/>
  <c r="K1131" i="10"/>
  <c r="M1131" i="10" s="1"/>
  <c r="K1132" i="10"/>
  <c r="K1133" i="10"/>
  <c r="K1134" i="10"/>
  <c r="K1135" i="10"/>
  <c r="K1136" i="10"/>
  <c r="K1137" i="10"/>
  <c r="K1138" i="10"/>
  <c r="K1139" i="10"/>
  <c r="K1140" i="10"/>
  <c r="K1141" i="10"/>
  <c r="K1142" i="10"/>
  <c r="K1143" i="10"/>
  <c r="K1144" i="10"/>
  <c r="K1145" i="10"/>
  <c r="K1146" i="10"/>
  <c r="K1147" i="10"/>
  <c r="K1148" i="10"/>
  <c r="K1149" i="10"/>
  <c r="K1150" i="10"/>
  <c r="K1151" i="10"/>
  <c r="K1152" i="10"/>
  <c r="K1153" i="10"/>
  <c r="K1154" i="10"/>
  <c r="K1155" i="10"/>
  <c r="K1156" i="10"/>
  <c r="K1157" i="10"/>
  <c r="K1158" i="10"/>
  <c r="K1159" i="10"/>
  <c r="K1160" i="10"/>
  <c r="K1161" i="10"/>
  <c r="K1162" i="10"/>
  <c r="K1163" i="10"/>
  <c r="K1164" i="10"/>
  <c r="K1165" i="10"/>
  <c r="K1166" i="10"/>
  <c r="K1167" i="10"/>
  <c r="K1168" i="10"/>
  <c r="K1169" i="10"/>
  <c r="K1170" i="10"/>
  <c r="K1171" i="10"/>
  <c r="K1172" i="10"/>
  <c r="K1173" i="10"/>
  <c r="K1174" i="10"/>
  <c r="K1175" i="10"/>
  <c r="K1176" i="10"/>
  <c r="K1177" i="10"/>
  <c r="K1178" i="10"/>
  <c r="K1179" i="10"/>
  <c r="K1180" i="10"/>
  <c r="K1181" i="10"/>
  <c r="K1182" i="10"/>
  <c r="K1183" i="10"/>
  <c r="K1184" i="10"/>
  <c r="K1185" i="10"/>
  <c r="K1186" i="10"/>
  <c r="K1187" i="10"/>
  <c r="K1188" i="10"/>
  <c r="K1189" i="10"/>
  <c r="K1190" i="10"/>
  <c r="K1191" i="10"/>
  <c r="K1192" i="10"/>
  <c r="K1193" i="10"/>
  <c r="K1194" i="10"/>
  <c r="K1195" i="10"/>
  <c r="K1196" i="10"/>
  <c r="K1197" i="10"/>
  <c r="K1198" i="10"/>
  <c r="K1199" i="10"/>
  <c r="K1200" i="10"/>
  <c r="K1201" i="10"/>
  <c r="K1202" i="10"/>
  <c r="K1203" i="10"/>
  <c r="K1204" i="10"/>
  <c r="K1205" i="10"/>
  <c r="K1206" i="10"/>
  <c r="K1207" i="10"/>
  <c r="K1208" i="10"/>
  <c r="K6" i="10"/>
  <c r="I7" i="10"/>
  <c r="I8" i="10"/>
  <c r="J8" i="10" s="1"/>
  <c r="I9" i="10"/>
  <c r="I10" i="10"/>
  <c r="J10" i="10" s="1"/>
  <c r="I11" i="10"/>
  <c r="I12" i="10"/>
  <c r="I13" i="10"/>
  <c r="J13" i="10" s="1"/>
  <c r="I14" i="10"/>
  <c r="I15" i="10"/>
  <c r="J15" i="10" s="1"/>
  <c r="I16" i="10"/>
  <c r="J16" i="10" s="1"/>
  <c r="I17" i="10"/>
  <c r="J17" i="10" s="1"/>
  <c r="I18" i="10"/>
  <c r="I19" i="10"/>
  <c r="J19" i="10" s="1"/>
  <c r="I20" i="10"/>
  <c r="I21" i="10"/>
  <c r="I22" i="10"/>
  <c r="I23" i="10"/>
  <c r="J23" i="10" s="1"/>
  <c r="I24" i="10"/>
  <c r="I25" i="10"/>
  <c r="I26" i="10"/>
  <c r="J26" i="10" s="1"/>
  <c r="I27" i="10"/>
  <c r="I28" i="10"/>
  <c r="J28" i="10" s="1"/>
  <c r="I29" i="10"/>
  <c r="I30" i="10"/>
  <c r="I31" i="10"/>
  <c r="I32" i="10"/>
  <c r="I33" i="10"/>
  <c r="I34" i="10"/>
  <c r="I35" i="10"/>
  <c r="I36" i="10"/>
  <c r="I37" i="10"/>
  <c r="I38" i="10"/>
  <c r="I39" i="10"/>
  <c r="I40" i="10"/>
  <c r="J40" i="10" s="1"/>
  <c r="I41" i="10"/>
  <c r="I42" i="10"/>
  <c r="J42" i="10" s="1"/>
  <c r="I43" i="10"/>
  <c r="I44" i="10"/>
  <c r="I45" i="10"/>
  <c r="I46" i="10"/>
  <c r="J46" i="10" s="1"/>
  <c r="I47" i="10"/>
  <c r="I48" i="10"/>
  <c r="J48" i="10" s="1"/>
  <c r="I49" i="10"/>
  <c r="I50" i="10"/>
  <c r="I51" i="10"/>
  <c r="I52" i="10"/>
  <c r="J52" i="10" s="1"/>
  <c r="I53" i="10"/>
  <c r="J53" i="10" s="1"/>
  <c r="I54" i="10"/>
  <c r="J54" i="10" s="1"/>
  <c r="I55" i="10"/>
  <c r="I56" i="10"/>
  <c r="J56" i="10" s="1"/>
  <c r="I57" i="10"/>
  <c r="I58" i="10"/>
  <c r="J58" i="10" s="1"/>
  <c r="I59" i="10"/>
  <c r="I60" i="10"/>
  <c r="I61" i="10"/>
  <c r="I62" i="10"/>
  <c r="J62" i="10" s="1"/>
  <c r="I63" i="10"/>
  <c r="I64" i="10"/>
  <c r="I65" i="10"/>
  <c r="I66" i="10"/>
  <c r="J66" i="10" s="1"/>
  <c r="I67" i="10"/>
  <c r="I68" i="10"/>
  <c r="J68" i="10" s="1"/>
  <c r="I69" i="10"/>
  <c r="I70" i="10"/>
  <c r="I71" i="10"/>
  <c r="J71" i="10" s="1"/>
  <c r="I72" i="10"/>
  <c r="I73" i="10"/>
  <c r="J73" i="10" s="1"/>
  <c r="I74" i="10"/>
  <c r="J74" i="10" s="1"/>
  <c r="I75" i="10"/>
  <c r="I76" i="10"/>
  <c r="J76" i="10" s="1"/>
  <c r="I77" i="10"/>
  <c r="I78" i="10"/>
  <c r="I79" i="10"/>
  <c r="J79" i="10" s="1"/>
  <c r="I80" i="10"/>
  <c r="I81" i="10"/>
  <c r="J81" i="10" s="1"/>
  <c r="I82" i="10"/>
  <c r="I83" i="10"/>
  <c r="I84" i="10"/>
  <c r="J84" i="10" s="1"/>
  <c r="I85" i="10"/>
  <c r="I86" i="10"/>
  <c r="I87" i="10"/>
  <c r="I88" i="10"/>
  <c r="I89" i="10"/>
  <c r="I90" i="10"/>
  <c r="I91" i="10"/>
  <c r="J91" i="10" s="1"/>
  <c r="I92" i="10"/>
  <c r="I93" i="10"/>
  <c r="I94" i="10"/>
  <c r="I95" i="10"/>
  <c r="I96" i="10"/>
  <c r="I97" i="10"/>
  <c r="I98" i="10"/>
  <c r="I99" i="10"/>
  <c r="J99" i="10" s="1"/>
  <c r="I100" i="10"/>
  <c r="I101" i="10"/>
  <c r="J101" i="10" s="1"/>
  <c r="I102" i="10"/>
  <c r="I103" i="10"/>
  <c r="I104" i="10"/>
  <c r="I105" i="10"/>
  <c r="J105" i="10" s="1"/>
  <c r="I106" i="10"/>
  <c r="I107" i="10"/>
  <c r="I108" i="10"/>
  <c r="I109" i="10"/>
  <c r="I110" i="10"/>
  <c r="J110" i="10" s="1"/>
  <c r="I111" i="10"/>
  <c r="I112" i="10"/>
  <c r="I113" i="10"/>
  <c r="I114" i="10"/>
  <c r="J114" i="10" s="1"/>
  <c r="I115" i="10"/>
  <c r="I116" i="10"/>
  <c r="J116" i="10" s="1"/>
  <c r="I117" i="10"/>
  <c r="J117" i="10" s="1"/>
  <c r="I118" i="10"/>
  <c r="I119" i="10"/>
  <c r="J119" i="10" s="1"/>
  <c r="I120" i="10"/>
  <c r="I121" i="10"/>
  <c r="I122" i="10"/>
  <c r="J122" i="10" s="1"/>
  <c r="I123" i="10"/>
  <c r="I124" i="10"/>
  <c r="I125" i="10"/>
  <c r="J125" i="10" s="1"/>
  <c r="I126" i="10"/>
  <c r="J126" i="10" s="1"/>
  <c r="I127" i="10"/>
  <c r="I128" i="10"/>
  <c r="I129" i="10"/>
  <c r="J129" i="10" s="1"/>
  <c r="I130" i="10"/>
  <c r="I131" i="10"/>
  <c r="I132" i="10"/>
  <c r="J132" i="10" s="1"/>
  <c r="I133" i="10"/>
  <c r="I134" i="10"/>
  <c r="J134" i="10" s="1"/>
  <c r="I135" i="10"/>
  <c r="I136" i="10"/>
  <c r="I137" i="10"/>
  <c r="J137" i="10" s="1"/>
  <c r="I138" i="10"/>
  <c r="I139" i="10"/>
  <c r="I140" i="10"/>
  <c r="I141" i="10"/>
  <c r="I142" i="10"/>
  <c r="I143" i="10"/>
  <c r="J143" i="10" s="1"/>
  <c r="I144" i="10"/>
  <c r="I145" i="10"/>
  <c r="J145" i="10" s="1"/>
  <c r="I146" i="10"/>
  <c r="I147" i="10"/>
  <c r="I148" i="10"/>
  <c r="I149" i="10"/>
  <c r="I150" i="10"/>
  <c r="I151" i="10"/>
  <c r="J151" i="10" s="1"/>
  <c r="I152" i="10"/>
  <c r="J152" i="10" s="1"/>
  <c r="I153" i="10"/>
  <c r="I154" i="10"/>
  <c r="I155" i="10"/>
  <c r="I156" i="10"/>
  <c r="I157" i="10"/>
  <c r="I158" i="10"/>
  <c r="I159" i="10"/>
  <c r="I160" i="10"/>
  <c r="I161" i="10"/>
  <c r="I162" i="10"/>
  <c r="I163" i="10"/>
  <c r="J163" i="10" s="1"/>
  <c r="I164" i="10"/>
  <c r="I165" i="10"/>
  <c r="J165" i="10" s="1"/>
  <c r="I166" i="10"/>
  <c r="I167" i="10"/>
  <c r="J167" i="10" s="1"/>
  <c r="I168" i="10"/>
  <c r="I169" i="10"/>
  <c r="J169" i="10" s="1"/>
  <c r="I170" i="10"/>
  <c r="J170" i="10" s="1"/>
  <c r="I171" i="10"/>
  <c r="I172" i="10"/>
  <c r="I173" i="10"/>
  <c r="J173" i="10" s="1"/>
  <c r="I174" i="10"/>
  <c r="I175" i="10"/>
  <c r="I176" i="10"/>
  <c r="I177" i="10"/>
  <c r="J177" i="10" s="1"/>
  <c r="I178" i="10"/>
  <c r="I179" i="10"/>
  <c r="J179" i="10" s="1"/>
  <c r="I180" i="10"/>
  <c r="I181" i="10"/>
  <c r="I182" i="10"/>
  <c r="I183" i="10"/>
  <c r="I184" i="10"/>
  <c r="J184" i="10" s="1"/>
  <c r="I185" i="10"/>
  <c r="I186" i="10"/>
  <c r="I187" i="10"/>
  <c r="I188" i="10"/>
  <c r="I189" i="10"/>
  <c r="J189" i="10" s="1"/>
  <c r="I190" i="10"/>
  <c r="I191" i="10"/>
  <c r="J191" i="10" s="1"/>
  <c r="I192" i="10"/>
  <c r="I193" i="10"/>
  <c r="J193" i="10" s="1"/>
  <c r="I194" i="10"/>
  <c r="I195" i="10"/>
  <c r="J195" i="10" s="1"/>
  <c r="I196" i="10"/>
  <c r="I197" i="10"/>
  <c r="J197" i="10" s="1"/>
  <c r="I198" i="10"/>
  <c r="I199" i="10"/>
  <c r="J199" i="10" s="1"/>
  <c r="I200" i="10"/>
  <c r="I201" i="10"/>
  <c r="I202" i="10"/>
  <c r="J202" i="10" s="1"/>
  <c r="I203" i="10"/>
  <c r="J203" i="10" s="1"/>
  <c r="I204" i="10"/>
  <c r="I205" i="10"/>
  <c r="J205" i="10" s="1"/>
  <c r="I206" i="10"/>
  <c r="I207" i="10"/>
  <c r="J207" i="10" s="1"/>
  <c r="I208" i="10"/>
  <c r="J208" i="10" s="1"/>
  <c r="I209" i="10"/>
  <c r="I210" i="10"/>
  <c r="J210" i="10" s="1"/>
  <c r="I211" i="10"/>
  <c r="I212" i="10"/>
  <c r="I213" i="10"/>
  <c r="J213" i="10" s="1"/>
  <c r="I214" i="10"/>
  <c r="J214" i="10" s="1"/>
  <c r="I215" i="10"/>
  <c r="I216" i="10"/>
  <c r="J216" i="10" s="1"/>
  <c r="I217" i="10"/>
  <c r="I218" i="10"/>
  <c r="I219" i="10"/>
  <c r="I220" i="10"/>
  <c r="I221" i="10"/>
  <c r="J221" i="10" s="1"/>
  <c r="I222" i="10"/>
  <c r="I223" i="10"/>
  <c r="I224" i="10"/>
  <c r="I225" i="10"/>
  <c r="I226" i="10"/>
  <c r="J226" i="10" s="1"/>
  <c r="I227" i="10"/>
  <c r="J227" i="10" s="1"/>
  <c r="I228" i="10"/>
  <c r="I229" i="10"/>
  <c r="J229" i="10" s="1"/>
  <c r="I230" i="10"/>
  <c r="I231" i="10"/>
  <c r="I232" i="10"/>
  <c r="J232" i="10" s="1"/>
  <c r="I233" i="10"/>
  <c r="J233" i="10" s="1"/>
  <c r="I234" i="10"/>
  <c r="I235" i="10"/>
  <c r="J235" i="10" s="1"/>
  <c r="I236" i="10"/>
  <c r="J236" i="10" s="1"/>
  <c r="I237" i="10"/>
  <c r="I238" i="10"/>
  <c r="J238" i="10" s="1"/>
  <c r="I239" i="10"/>
  <c r="J239" i="10" s="1"/>
  <c r="I240" i="10"/>
  <c r="I241" i="10"/>
  <c r="I242" i="10"/>
  <c r="I243" i="10"/>
  <c r="I244" i="10"/>
  <c r="I245" i="10"/>
  <c r="J245" i="10" s="1"/>
  <c r="I246" i="10"/>
  <c r="I247" i="10"/>
  <c r="I248" i="10"/>
  <c r="I249" i="10"/>
  <c r="J249" i="10" s="1"/>
  <c r="I250" i="10"/>
  <c r="J250" i="10" s="1"/>
  <c r="I251" i="10"/>
  <c r="I252" i="10"/>
  <c r="J252" i="10" s="1"/>
  <c r="I253" i="10"/>
  <c r="J253" i="10" s="1"/>
  <c r="I254" i="10"/>
  <c r="I255" i="10"/>
  <c r="J255" i="10" s="1"/>
  <c r="I256" i="10"/>
  <c r="I257" i="10"/>
  <c r="J257" i="10" s="1"/>
  <c r="I258" i="10"/>
  <c r="I259" i="10"/>
  <c r="J259" i="10" s="1"/>
  <c r="I260" i="10"/>
  <c r="J260" i="10" s="1"/>
  <c r="I261" i="10"/>
  <c r="I262" i="10"/>
  <c r="J262" i="10" s="1"/>
  <c r="I263" i="10"/>
  <c r="I264" i="10"/>
  <c r="I265" i="10"/>
  <c r="I266" i="10"/>
  <c r="I267" i="10"/>
  <c r="I268" i="10"/>
  <c r="J268" i="10" s="1"/>
  <c r="I269" i="10"/>
  <c r="I270" i="10"/>
  <c r="J270" i="10" s="1"/>
  <c r="I271" i="10"/>
  <c r="I272" i="10"/>
  <c r="I273" i="10"/>
  <c r="J273" i="10" s="1"/>
  <c r="I274" i="10"/>
  <c r="I275" i="10"/>
  <c r="I276" i="10"/>
  <c r="J276" i="10" s="1"/>
  <c r="I277" i="10"/>
  <c r="I278" i="10"/>
  <c r="J278" i="10" s="1"/>
  <c r="I279" i="10"/>
  <c r="J279" i="10" s="1"/>
  <c r="I280" i="10"/>
  <c r="I281" i="10"/>
  <c r="J281" i="10" s="1"/>
  <c r="I282" i="10"/>
  <c r="I283" i="10"/>
  <c r="I284" i="10"/>
  <c r="J284" i="10" s="1"/>
  <c r="I285" i="10"/>
  <c r="I286" i="10"/>
  <c r="J286" i="10" s="1"/>
  <c r="I287" i="10"/>
  <c r="I288" i="10"/>
  <c r="J288" i="10" s="1"/>
  <c r="I289" i="10"/>
  <c r="J289" i="10" s="1"/>
  <c r="I290" i="10"/>
  <c r="I291" i="10"/>
  <c r="J291" i="10" s="1"/>
  <c r="I292" i="10"/>
  <c r="I293" i="10"/>
  <c r="J293" i="10" s="1"/>
  <c r="I294" i="10"/>
  <c r="I295" i="10"/>
  <c r="I296" i="10"/>
  <c r="J296" i="10" s="1"/>
  <c r="I297" i="10"/>
  <c r="J297" i="10" s="1"/>
  <c r="I298" i="10"/>
  <c r="I299" i="10"/>
  <c r="J299" i="10" s="1"/>
  <c r="I300" i="10"/>
  <c r="I301" i="10"/>
  <c r="I302" i="10"/>
  <c r="J302" i="10" s="1"/>
  <c r="I303" i="10"/>
  <c r="I304" i="10"/>
  <c r="J304" i="10" s="1"/>
  <c r="I305" i="10"/>
  <c r="J305" i="10" s="1"/>
  <c r="I306" i="10"/>
  <c r="I307" i="10"/>
  <c r="I308" i="10"/>
  <c r="J308" i="10" s="1"/>
  <c r="I309" i="10"/>
  <c r="I310" i="10"/>
  <c r="J310" i="10" s="1"/>
  <c r="I311" i="10"/>
  <c r="I312" i="10"/>
  <c r="J312" i="10" s="1"/>
  <c r="I313" i="10"/>
  <c r="I314" i="10"/>
  <c r="J314" i="10" s="1"/>
  <c r="I315" i="10"/>
  <c r="I316" i="10"/>
  <c r="J316" i="10" s="1"/>
  <c r="I317" i="10"/>
  <c r="J317" i="10" s="1"/>
  <c r="I318" i="10"/>
  <c r="I319" i="10"/>
  <c r="J319" i="10" s="1"/>
  <c r="I320" i="10"/>
  <c r="I321" i="10"/>
  <c r="I322" i="10"/>
  <c r="I323" i="10"/>
  <c r="I324" i="10"/>
  <c r="J324" i="10" s="1"/>
  <c r="I325" i="10"/>
  <c r="I326" i="10"/>
  <c r="I327" i="10"/>
  <c r="I328" i="10"/>
  <c r="I329" i="10"/>
  <c r="J329" i="10" s="1"/>
  <c r="I330" i="10"/>
  <c r="J330" i="10" s="1"/>
  <c r="I331" i="10"/>
  <c r="I332" i="10"/>
  <c r="I333" i="10"/>
  <c r="J333" i="10" s="1"/>
  <c r="I334" i="10"/>
  <c r="J334" i="10" s="1"/>
  <c r="I335" i="10"/>
  <c r="I336" i="10"/>
  <c r="I337" i="10"/>
  <c r="I338" i="10"/>
  <c r="J338" i="10" s="1"/>
  <c r="I339" i="10"/>
  <c r="I340" i="10"/>
  <c r="J340" i="10" s="1"/>
  <c r="I341" i="10"/>
  <c r="I342" i="10"/>
  <c r="J342" i="10" s="1"/>
  <c r="I343" i="10"/>
  <c r="I344" i="10"/>
  <c r="J344" i="10" s="1"/>
  <c r="I345" i="10"/>
  <c r="I346" i="10"/>
  <c r="I347" i="10"/>
  <c r="J347" i="10" s="1"/>
  <c r="I348" i="10"/>
  <c r="I349" i="10"/>
  <c r="I350" i="10"/>
  <c r="J350" i="10" s="1"/>
  <c r="I351" i="10"/>
  <c r="I352" i="10"/>
  <c r="J352" i="10" s="1"/>
  <c r="I353" i="10"/>
  <c r="I354" i="10"/>
  <c r="I355" i="10"/>
  <c r="I356" i="10"/>
  <c r="I357" i="10"/>
  <c r="I358" i="10"/>
  <c r="I359" i="10"/>
  <c r="J359" i="10" s="1"/>
  <c r="I360" i="10"/>
  <c r="I361" i="10"/>
  <c r="I362" i="10"/>
  <c r="I363" i="10"/>
  <c r="J363" i="10" s="1"/>
  <c r="I364" i="10"/>
  <c r="I365" i="10"/>
  <c r="I366" i="10"/>
  <c r="J366" i="10" s="1"/>
  <c r="I367" i="10"/>
  <c r="J367" i="10" s="1"/>
  <c r="I368" i="10"/>
  <c r="J368" i="10" s="1"/>
  <c r="I369" i="10"/>
  <c r="I370" i="10"/>
  <c r="J370" i="10" s="1"/>
  <c r="I371" i="10"/>
  <c r="I372" i="10"/>
  <c r="J372" i="10" s="1"/>
  <c r="I373" i="10"/>
  <c r="I374" i="10"/>
  <c r="I375" i="10"/>
  <c r="J375" i="10" s="1"/>
  <c r="I376" i="10"/>
  <c r="J376" i="10" s="1"/>
  <c r="I377" i="10"/>
  <c r="J377" i="10" s="1"/>
  <c r="I378" i="10"/>
  <c r="J378" i="10" s="1"/>
  <c r="I379" i="10"/>
  <c r="J379" i="10" s="1"/>
  <c r="I380" i="10"/>
  <c r="J380" i="10" s="1"/>
  <c r="I381" i="10"/>
  <c r="I382" i="10"/>
  <c r="I383" i="10"/>
  <c r="J383" i="10" s="1"/>
  <c r="I384" i="10"/>
  <c r="I385" i="10"/>
  <c r="J385" i="10" s="1"/>
  <c r="I386" i="10"/>
  <c r="I387" i="10"/>
  <c r="I388" i="10"/>
  <c r="I389" i="10"/>
  <c r="J389" i="10" s="1"/>
  <c r="I390" i="10"/>
  <c r="I391" i="10"/>
  <c r="J391" i="10" s="1"/>
  <c r="I392" i="10"/>
  <c r="J392" i="10" s="1"/>
  <c r="I393" i="10"/>
  <c r="I394" i="10"/>
  <c r="J394" i="10" s="1"/>
  <c r="I395" i="10"/>
  <c r="I396" i="10"/>
  <c r="I397" i="10"/>
  <c r="J397" i="10" s="1"/>
  <c r="I398" i="10"/>
  <c r="I399" i="10"/>
  <c r="J399" i="10" s="1"/>
  <c r="I400" i="10"/>
  <c r="I401" i="10"/>
  <c r="J401" i="10" s="1"/>
  <c r="I402" i="10"/>
  <c r="I403" i="10"/>
  <c r="J403" i="10" s="1"/>
  <c r="I404" i="10"/>
  <c r="I405" i="10"/>
  <c r="J405" i="10" s="1"/>
  <c r="I406" i="10"/>
  <c r="I407" i="10"/>
  <c r="J407" i="10" s="1"/>
  <c r="I408" i="10"/>
  <c r="J408" i="10" s="1"/>
  <c r="I409" i="10"/>
  <c r="I410" i="10"/>
  <c r="I411" i="10"/>
  <c r="I412" i="10"/>
  <c r="I413" i="10"/>
  <c r="J413" i="10" s="1"/>
  <c r="I414" i="10"/>
  <c r="J414" i="10" s="1"/>
  <c r="I415" i="10"/>
  <c r="I416" i="10"/>
  <c r="I417" i="10"/>
  <c r="J417" i="10" s="1"/>
  <c r="I418" i="10"/>
  <c r="I419" i="10"/>
  <c r="I420" i="10"/>
  <c r="J420" i="10" s="1"/>
  <c r="I421" i="10"/>
  <c r="J421" i="10" s="1"/>
  <c r="I422" i="10"/>
  <c r="I423" i="10"/>
  <c r="I424" i="10"/>
  <c r="I425" i="10"/>
  <c r="J425" i="10" s="1"/>
  <c r="I426" i="10"/>
  <c r="I427" i="10"/>
  <c r="J427" i="10" s="1"/>
  <c r="I428" i="10"/>
  <c r="J428" i="10" s="1"/>
  <c r="I429" i="10"/>
  <c r="I430" i="10"/>
  <c r="I431" i="10"/>
  <c r="J431" i="10" s="1"/>
  <c r="I432" i="10"/>
  <c r="I433" i="10"/>
  <c r="J433" i="10" s="1"/>
  <c r="I434" i="10"/>
  <c r="J434" i="10" s="1"/>
  <c r="I435" i="10"/>
  <c r="J435" i="10" s="1"/>
  <c r="I436" i="10"/>
  <c r="I437" i="10"/>
  <c r="J437" i="10" s="1"/>
  <c r="I438" i="10"/>
  <c r="J438" i="10" s="1"/>
  <c r="I439" i="10"/>
  <c r="J439" i="10" s="1"/>
  <c r="I440" i="10"/>
  <c r="J440" i="10" s="1"/>
  <c r="I441" i="10"/>
  <c r="J441" i="10" s="1"/>
  <c r="I442" i="10"/>
  <c r="I443" i="10"/>
  <c r="I444" i="10"/>
  <c r="I445" i="10"/>
  <c r="J445" i="10" s="1"/>
  <c r="I446" i="10"/>
  <c r="J446" i="10" s="1"/>
  <c r="I447" i="10"/>
  <c r="J447" i="10" s="1"/>
  <c r="I448" i="10"/>
  <c r="I449" i="10"/>
  <c r="J449" i="10" s="1"/>
  <c r="I450" i="10"/>
  <c r="J450" i="10" s="1"/>
  <c r="I451" i="10"/>
  <c r="I452" i="10"/>
  <c r="I453" i="10"/>
  <c r="J453" i="10" s="1"/>
  <c r="I454" i="10"/>
  <c r="I455" i="10"/>
  <c r="I456" i="10"/>
  <c r="I457" i="10"/>
  <c r="I458" i="10"/>
  <c r="I459" i="10"/>
  <c r="I460" i="10"/>
  <c r="I461" i="10"/>
  <c r="J461" i="10" s="1"/>
  <c r="I462" i="10"/>
  <c r="J462" i="10" s="1"/>
  <c r="I463" i="10"/>
  <c r="I464" i="10"/>
  <c r="I465" i="10"/>
  <c r="I466" i="10"/>
  <c r="J466" i="10" s="1"/>
  <c r="I467" i="10"/>
  <c r="I468" i="10"/>
  <c r="I469" i="10"/>
  <c r="I470" i="10"/>
  <c r="J470" i="10" s="1"/>
  <c r="I471" i="10"/>
  <c r="I472" i="10"/>
  <c r="I473" i="10"/>
  <c r="I474" i="10"/>
  <c r="I475" i="10"/>
  <c r="I476" i="10"/>
  <c r="J476" i="10" s="1"/>
  <c r="I477" i="10"/>
  <c r="I478" i="10"/>
  <c r="I479" i="10"/>
  <c r="I480" i="10"/>
  <c r="I481" i="10"/>
  <c r="I482" i="10"/>
  <c r="I483" i="10"/>
  <c r="J483" i="10" s="1"/>
  <c r="I484" i="10"/>
  <c r="I485" i="10"/>
  <c r="I486" i="10"/>
  <c r="J486" i="10" s="1"/>
  <c r="I487" i="10"/>
  <c r="J487" i="10" s="1"/>
  <c r="I488" i="10"/>
  <c r="I489" i="10"/>
  <c r="I490" i="10"/>
  <c r="J490" i="10" s="1"/>
  <c r="I491" i="10"/>
  <c r="I492" i="10"/>
  <c r="I493" i="10"/>
  <c r="J493" i="10" s="1"/>
  <c r="I494" i="10"/>
  <c r="I495" i="10"/>
  <c r="J495" i="10" s="1"/>
  <c r="I496" i="10"/>
  <c r="I497" i="10"/>
  <c r="J497" i="10" s="1"/>
  <c r="I498" i="10"/>
  <c r="J498" i="10" s="1"/>
  <c r="I499" i="10"/>
  <c r="I500" i="10"/>
  <c r="I501" i="10"/>
  <c r="I502" i="10"/>
  <c r="I503" i="10"/>
  <c r="J503" i="10" s="1"/>
  <c r="I504" i="10"/>
  <c r="I505" i="10"/>
  <c r="J505" i="10" s="1"/>
  <c r="I506" i="10"/>
  <c r="J506" i="10" s="1"/>
  <c r="I507" i="10"/>
  <c r="I508" i="10"/>
  <c r="I509" i="10"/>
  <c r="J509" i="10" s="1"/>
  <c r="I510" i="10"/>
  <c r="J510" i="10" s="1"/>
  <c r="I511" i="10"/>
  <c r="I512" i="10"/>
  <c r="I513" i="10"/>
  <c r="I514" i="10"/>
  <c r="I515" i="10"/>
  <c r="I516" i="10"/>
  <c r="I517" i="10"/>
  <c r="J517" i="10" s="1"/>
  <c r="I518" i="10"/>
  <c r="J518" i="10" s="1"/>
  <c r="I519" i="10"/>
  <c r="I520" i="10"/>
  <c r="J520" i="10" s="1"/>
  <c r="I521" i="10"/>
  <c r="I522" i="10"/>
  <c r="J522" i="10" s="1"/>
  <c r="I523" i="10"/>
  <c r="I524" i="10"/>
  <c r="I525" i="10"/>
  <c r="J525" i="10" s="1"/>
  <c r="I526" i="10"/>
  <c r="I527" i="10"/>
  <c r="I528" i="10"/>
  <c r="I529" i="10"/>
  <c r="I530" i="10"/>
  <c r="I531" i="10"/>
  <c r="I532" i="10"/>
  <c r="I533" i="10"/>
  <c r="I534" i="10"/>
  <c r="I535" i="10"/>
  <c r="I536" i="10"/>
  <c r="I537" i="10"/>
  <c r="J537" i="10" s="1"/>
  <c r="I538" i="10"/>
  <c r="I539" i="10"/>
  <c r="J539" i="10" s="1"/>
  <c r="I540" i="10"/>
  <c r="J540" i="10" s="1"/>
  <c r="I541" i="10"/>
  <c r="I542" i="10"/>
  <c r="I543" i="10"/>
  <c r="I544" i="10"/>
  <c r="I545" i="10"/>
  <c r="I546" i="10"/>
  <c r="I547" i="10"/>
  <c r="I548" i="10"/>
  <c r="I549" i="10"/>
  <c r="I550" i="10"/>
  <c r="I551" i="10"/>
  <c r="I552" i="10"/>
  <c r="I553" i="10"/>
  <c r="I554" i="10"/>
  <c r="I555" i="10"/>
  <c r="I556" i="10"/>
  <c r="I557" i="10"/>
  <c r="I558" i="10"/>
  <c r="J558" i="10" s="1"/>
  <c r="I559" i="10"/>
  <c r="I560" i="10"/>
  <c r="I561" i="10"/>
  <c r="I562" i="10"/>
  <c r="J562" i="10" s="1"/>
  <c r="I563" i="10"/>
  <c r="I564" i="10"/>
  <c r="I565" i="10"/>
  <c r="I566" i="10"/>
  <c r="I567" i="10"/>
  <c r="I568" i="10"/>
  <c r="J568" i="10" s="1"/>
  <c r="I569" i="10"/>
  <c r="I570" i="10"/>
  <c r="I571" i="10"/>
  <c r="I572" i="10"/>
  <c r="I573" i="10"/>
  <c r="I574" i="10"/>
  <c r="J574" i="10" s="1"/>
  <c r="I575" i="10"/>
  <c r="I576" i="10"/>
  <c r="I577" i="10"/>
  <c r="I578" i="10"/>
  <c r="J578" i="10" s="1"/>
  <c r="I579" i="10"/>
  <c r="I580" i="10"/>
  <c r="I581" i="10"/>
  <c r="J581" i="10" s="1"/>
  <c r="I582" i="10"/>
  <c r="I583" i="10"/>
  <c r="I584" i="10"/>
  <c r="I585" i="10"/>
  <c r="I586" i="10"/>
  <c r="I587" i="10"/>
  <c r="I588" i="10"/>
  <c r="J588" i="10" s="1"/>
  <c r="I589" i="10"/>
  <c r="I590" i="10"/>
  <c r="I591" i="10"/>
  <c r="I592" i="10"/>
  <c r="I593" i="10"/>
  <c r="J593" i="10" s="1"/>
  <c r="I594" i="10"/>
  <c r="I595" i="10"/>
  <c r="I596" i="10"/>
  <c r="I597" i="10"/>
  <c r="I598" i="10"/>
  <c r="I599" i="10"/>
  <c r="I600" i="10"/>
  <c r="J600" i="10" s="1"/>
  <c r="I601" i="10"/>
  <c r="I602" i="10"/>
  <c r="I603" i="10"/>
  <c r="I604" i="10"/>
  <c r="I605" i="10"/>
  <c r="I606" i="10"/>
  <c r="I607" i="10"/>
  <c r="J607" i="10" s="1"/>
  <c r="I608" i="10"/>
  <c r="I609" i="10"/>
  <c r="I610" i="10"/>
  <c r="I611" i="10"/>
  <c r="J611" i="10" s="1"/>
  <c r="I612" i="10"/>
  <c r="I613" i="10"/>
  <c r="I614" i="10"/>
  <c r="I615" i="10"/>
  <c r="I616" i="10"/>
  <c r="I617" i="10"/>
  <c r="J617" i="10" s="1"/>
  <c r="I618" i="10"/>
  <c r="I619" i="10"/>
  <c r="J619" i="10" s="1"/>
  <c r="I620" i="10"/>
  <c r="J620" i="10" s="1"/>
  <c r="I621" i="10"/>
  <c r="I622" i="10"/>
  <c r="J622" i="10" s="1"/>
  <c r="I623" i="10"/>
  <c r="I624" i="10"/>
  <c r="I625" i="10"/>
  <c r="I626" i="10"/>
  <c r="I627" i="10"/>
  <c r="I628" i="10"/>
  <c r="J628" i="10" s="1"/>
  <c r="I629" i="10"/>
  <c r="I630" i="10"/>
  <c r="J630" i="10" s="1"/>
  <c r="I631" i="10"/>
  <c r="J631" i="10" s="1"/>
  <c r="I632" i="10"/>
  <c r="I633" i="10"/>
  <c r="J633" i="10" s="1"/>
  <c r="I634" i="10"/>
  <c r="I635" i="10"/>
  <c r="J635" i="10" s="1"/>
  <c r="I636" i="10"/>
  <c r="I637" i="10"/>
  <c r="I638" i="10"/>
  <c r="I639" i="10"/>
  <c r="I640" i="10"/>
  <c r="J640" i="10" s="1"/>
  <c r="I641" i="10"/>
  <c r="I642" i="10"/>
  <c r="J642" i="10" s="1"/>
  <c r="I643" i="10"/>
  <c r="I644" i="10"/>
  <c r="I645" i="10"/>
  <c r="I646" i="10"/>
  <c r="J646" i="10" s="1"/>
  <c r="I647" i="10"/>
  <c r="I648" i="10"/>
  <c r="I649" i="10"/>
  <c r="J649" i="10" s="1"/>
  <c r="I650" i="10"/>
  <c r="I651" i="10"/>
  <c r="I652" i="10"/>
  <c r="I653" i="10"/>
  <c r="I654" i="10"/>
  <c r="I655" i="10"/>
  <c r="I656" i="10"/>
  <c r="I657" i="10"/>
  <c r="J657" i="10" s="1"/>
  <c r="I658" i="10"/>
  <c r="I659" i="10"/>
  <c r="I660" i="10"/>
  <c r="I661" i="10"/>
  <c r="I662" i="10"/>
  <c r="J662" i="10" s="1"/>
  <c r="I663" i="10"/>
  <c r="I664" i="10"/>
  <c r="I665" i="10"/>
  <c r="I666" i="10"/>
  <c r="J666" i="10" s="1"/>
  <c r="I667" i="10"/>
  <c r="I668" i="10"/>
  <c r="I669" i="10"/>
  <c r="I670" i="10"/>
  <c r="I671" i="10"/>
  <c r="J671" i="10" s="1"/>
  <c r="I672" i="10"/>
  <c r="I673" i="10"/>
  <c r="J673" i="10" s="1"/>
  <c r="I674" i="10"/>
  <c r="J674" i="10" s="1"/>
  <c r="I675" i="10"/>
  <c r="I676" i="10"/>
  <c r="J676" i="10" s="1"/>
  <c r="I677" i="10"/>
  <c r="I678" i="10"/>
  <c r="J678" i="10" s="1"/>
  <c r="I679" i="10"/>
  <c r="I680" i="10"/>
  <c r="I681" i="10"/>
  <c r="J681" i="10" s="1"/>
  <c r="I682" i="10"/>
  <c r="J682" i="10" s="1"/>
  <c r="I683" i="10"/>
  <c r="I684" i="10"/>
  <c r="I685" i="10"/>
  <c r="I686" i="10"/>
  <c r="I687" i="10"/>
  <c r="J687" i="10" s="1"/>
  <c r="I688" i="10"/>
  <c r="J688" i="10" s="1"/>
  <c r="I689" i="10"/>
  <c r="J689" i="10" s="1"/>
  <c r="I690" i="10"/>
  <c r="J690" i="10" s="1"/>
  <c r="I691" i="10"/>
  <c r="I692" i="10"/>
  <c r="I693" i="10"/>
  <c r="J693" i="10" s="1"/>
  <c r="I694" i="10"/>
  <c r="I695" i="10"/>
  <c r="J695" i="10" s="1"/>
  <c r="I696" i="10"/>
  <c r="I697" i="10"/>
  <c r="J697" i="10" s="1"/>
  <c r="I698" i="10"/>
  <c r="I699" i="10"/>
  <c r="J699" i="10" s="1"/>
  <c r="I700" i="10"/>
  <c r="I701" i="10"/>
  <c r="J701" i="10" s="1"/>
  <c r="I702" i="10"/>
  <c r="I703" i="10"/>
  <c r="J703" i="10" s="1"/>
  <c r="I704" i="10"/>
  <c r="I705" i="10"/>
  <c r="I706" i="10"/>
  <c r="J706" i="10" s="1"/>
  <c r="I707" i="10"/>
  <c r="I708" i="10"/>
  <c r="I709" i="10"/>
  <c r="I710" i="10"/>
  <c r="I711" i="10"/>
  <c r="J711" i="10" s="1"/>
  <c r="I712" i="10"/>
  <c r="J712" i="10" s="1"/>
  <c r="I713" i="10"/>
  <c r="I714" i="10"/>
  <c r="I715" i="10"/>
  <c r="I716" i="10"/>
  <c r="I717" i="10"/>
  <c r="J717" i="10" s="1"/>
  <c r="I718" i="10"/>
  <c r="I719" i="10"/>
  <c r="I720" i="10"/>
  <c r="J720" i="10" s="1"/>
  <c r="I721" i="10"/>
  <c r="I722" i="10"/>
  <c r="I723" i="10"/>
  <c r="J723" i="10" s="1"/>
  <c r="I724" i="10"/>
  <c r="I725" i="10"/>
  <c r="I726" i="10"/>
  <c r="I727" i="10"/>
  <c r="J727" i="10" s="1"/>
  <c r="I728" i="10"/>
  <c r="I729" i="10"/>
  <c r="I730" i="10"/>
  <c r="I731" i="10"/>
  <c r="J731" i="10" s="1"/>
  <c r="I732" i="10"/>
  <c r="I733" i="10"/>
  <c r="I734" i="10"/>
  <c r="I735" i="10"/>
  <c r="I736" i="10"/>
  <c r="I737" i="10"/>
  <c r="I738" i="10"/>
  <c r="J738" i="10" s="1"/>
  <c r="I739" i="10"/>
  <c r="I740" i="10"/>
  <c r="I741" i="10"/>
  <c r="J741" i="10" s="1"/>
  <c r="I742" i="10"/>
  <c r="J742" i="10" s="1"/>
  <c r="I743" i="10"/>
  <c r="J743" i="10" s="1"/>
  <c r="I744" i="10"/>
  <c r="I745" i="10"/>
  <c r="I746" i="10"/>
  <c r="J746" i="10" s="1"/>
  <c r="I747" i="10"/>
  <c r="J747" i="10" s="1"/>
  <c r="I748" i="10"/>
  <c r="J748" i="10" s="1"/>
  <c r="I749" i="10"/>
  <c r="I750" i="10"/>
  <c r="I751" i="10"/>
  <c r="I752" i="10"/>
  <c r="I753" i="10"/>
  <c r="J753" i="10" s="1"/>
  <c r="I754" i="10"/>
  <c r="I755" i="10"/>
  <c r="J755" i="10" s="1"/>
  <c r="I756" i="10"/>
  <c r="I757" i="10"/>
  <c r="I758" i="10"/>
  <c r="I759" i="10"/>
  <c r="I760" i="10"/>
  <c r="J760" i="10" s="1"/>
  <c r="I761" i="10"/>
  <c r="J761" i="10" s="1"/>
  <c r="I762" i="10"/>
  <c r="I763" i="10"/>
  <c r="I764" i="10"/>
  <c r="J764" i="10" s="1"/>
  <c r="I765" i="10"/>
  <c r="J765" i="10" s="1"/>
  <c r="I766" i="10"/>
  <c r="I767" i="10"/>
  <c r="I768" i="10"/>
  <c r="J768" i="10" s="1"/>
  <c r="I769" i="10"/>
  <c r="I770" i="10"/>
  <c r="I771" i="10"/>
  <c r="J771" i="10" s="1"/>
  <c r="I772" i="10"/>
  <c r="I773" i="10"/>
  <c r="J773" i="10" s="1"/>
  <c r="I774" i="10"/>
  <c r="I775" i="10"/>
  <c r="J775" i="10" s="1"/>
  <c r="I776" i="10"/>
  <c r="I777" i="10"/>
  <c r="J777" i="10" s="1"/>
  <c r="I778" i="10"/>
  <c r="I779" i="10"/>
  <c r="J779" i="10" s="1"/>
  <c r="I780" i="10"/>
  <c r="J780" i="10" s="1"/>
  <c r="I781" i="10"/>
  <c r="I782" i="10"/>
  <c r="J782" i="10" s="1"/>
  <c r="I783" i="10"/>
  <c r="I784" i="10"/>
  <c r="I785" i="10"/>
  <c r="J785" i="10" s="1"/>
  <c r="I786" i="10"/>
  <c r="I787" i="10"/>
  <c r="J787" i="10" s="1"/>
  <c r="I788" i="10"/>
  <c r="I789" i="10"/>
  <c r="I790" i="10"/>
  <c r="J790" i="10" s="1"/>
  <c r="I791" i="10"/>
  <c r="I792" i="10"/>
  <c r="I793" i="10"/>
  <c r="I794" i="10"/>
  <c r="J794" i="10" s="1"/>
  <c r="I795" i="10"/>
  <c r="I796" i="10"/>
  <c r="I797" i="10"/>
  <c r="I798" i="10"/>
  <c r="J798" i="10" s="1"/>
  <c r="I799" i="10"/>
  <c r="I800" i="10"/>
  <c r="J800" i="10" s="1"/>
  <c r="I801" i="10"/>
  <c r="I802" i="10"/>
  <c r="I803" i="10"/>
  <c r="J803" i="10" s="1"/>
  <c r="I804" i="10"/>
  <c r="I805" i="10"/>
  <c r="J805" i="10" s="1"/>
  <c r="I806" i="10"/>
  <c r="I807" i="10"/>
  <c r="J807" i="10" s="1"/>
  <c r="I808" i="10"/>
  <c r="J808" i="10" s="1"/>
  <c r="I809" i="10"/>
  <c r="J809" i="10" s="1"/>
  <c r="I810" i="10"/>
  <c r="J810" i="10" s="1"/>
  <c r="I811" i="10"/>
  <c r="I812" i="10"/>
  <c r="J812" i="10" s="1"/>
  <c r="I813" i="10"/>
  <c r="I814" i="10"/>
  <c r="I815" i="10"/>
  <c r="I816" i="10"/>
  <c r="J816" i="10" s="1"/>
  <c r="I817" i="10"/>
  <c r="I818" i="10"/>
  <c r="J818" i="10" s="1"/>
  <c r="I819" i="10"/>
  <c r="I820" i="10"/>
  <c r="I821" i="10"/>
  <c r="J821" i="10" s="1"/>
  <c r="I822" i="10"/>
  <c r="I823" i="10"/>
  <c r="I824" i="10"/>
  <c r="J824" i="10" s="1"/>
  <c r="I825" i="10"/>
  <c r="J825" i="10" s="1"/>
  <c r="I826" i="10"/>
  <c r="I827" i="10"/>
  <c r="I828" i="10"/>
  <c r="I829" i="10"/>
  <c r="J829" i="10" s="1"/>
  <c r="I830" i="10"/>
  <c r="I831" i="10"/>
  <c r="I832" i="10"/>
  <c r="I833" i="10"/>
  <c r="J833" i="10" s="1"/>
  <c r="I834" i="10"/>
  <c r="I835" i="10"/>
  <c r="J835" i="10" s="1"/>
  <c r="I836" i="10"/>
  <c r="I837" i="10"/>
  <c r="I838" i="10"/>
  <c r="I839" i="10"/>
  <c r="I840" i="10"/>
  <c r="J840" i="10" s="1"/>
  <c r="I841" i="10"/>
  <c r="I842" i="10"/>
  <c r="I843" i="10"/>
  <c r="I844" i="10"/>
  <c r="I845" i="10"/>
  <c r="J845" i="10" s="1"/>
  <c r="I846" i="10"/>
  <c r="I847" i="10"/>
  <c r="I848" i="10"/>
  <c r="I849" i="10"/>
  <c r="I850" i="10"/>
  <c r="J850" i="10" s="1"/>
  <c r="I851" i="10"/>
  <c r="I852" i="10"/>
  <c r="J852" i="10" s="1"/>
  <c r="I853" i="10"/>
  <c r="I854" i="10"/>
  <c r="J854" i="10" s="1"/>
  <c r="I855" i="10"/>
  <c r="I856" i="10"/>
  <c r="J856" i="10" s="1"/>
  <c r="I857" i="10"/>
  <c r="I858" i="10"/>
  <c r="J858" i="10" s="1"/>
  <c r="I859" i="10"/>
  <c r="I860" i="10"/>
  <c r="J860" i="10" s="1"/>
  <c r="I861" i="10"/>
  <c r="I862" i="10"/>
  <c r="J862" i="10" s="1"/>
  <c r="I863" i="10"/>
  <c r="I864" i="10"/>
  <c r="J864" i="10" s="1"/>
  <c r="I865" i="10"/>
  <c r="I866" i="10"/>
  <c r="I867" i="10"/>
  <c r="I868" i="10"/>
  <c r="I869" i="10"/>
  <c r="J869" i="10" s="1"/>
  <c r="I870" i="10"/>
  <c r="I871" i="10"/>
  <c r="I872" i="10"/>
  <c r="J872" i="10" s="1"/>
  <c r="I873" i="10"/>
  <c r="I874" i="10"/>
  <c r="I875" i="10"/>
  <c r="J875" i="10" s="1"/>
  <c r="I876" i="10"/>
  <c r="J876" i="10" s="1"/>
  <c r="I877" i="10"/>
  <c r="I878" i="10"/>
  <c r="J878" i="10" s="1"/>
  <c r="I879" i="10"/>
  <c r="I880" i="10"/>
  <c r="I881" i="10"/>
  <c r="J881" i="10" s="1"/>
  <c r="I882" i="10"/>
  <c r="I883" i="10"/>
  <c r="I884" i="10"/>
  <c r="I885" i="10"/>
  <c r="I886" i="10"/>
  <c r="J886" i="10" s="1"/>
  <c r="I887" i="10"/>
  <c r="I888" i="10"/>
  <c r="I889" i="10"/>
  <c r="I890" i="10"/>
  <c r="J890" i="10" s="1"/>
  <c r="I891" i="10"/>
  <c r="I892" i="10"/>
  <c r="J892" i="10" s="1"/>
  <c r="I893" i="10"/>
  <c r="J893" i="10" s="1"/>
  <c r="I894" i="10"/>
  <c r="I895" i="10"/>
  <c r="I896" i="10"/>
  <c r="I897" i="10"/>
  <c r="J897" i="10" s="1"/>
  <c r="I898" i="10"/>
  <c r="I899" i="10"/>
  <c r="I900" i="10"/>
  <c r="J900" i="10" s="1"/>
  <c r="I901" i="10"/>
  <c r="J901" i="10" s="1"/>
  <c r="I902" i="10"/>
  <c r="J902" i="10" s="1"/>
  <c r="I903" i="10"/>
  <c r="I904" i="10"/>
  <c r="I905" i="10"/>
  <c r="J905" i="10" s="1"/>
  <c r="I906" i="10"/>
  <c r="I907" i="10"/>
  <c r="J907" i="10" s="1"/>
  <c r="I908" i="10"/>
  <c r="J908" i="10" s="1"/>
  <c r="I909" i="10"/>
  <c r="J909" i="10" s="1"/>
  <c r="I910" i="10"/>
  <c r="J910" i="10" s="1"/>
  <c r="I911" i="10"/>
  <c r="I912" i="10"/>
  <c r="I913" i="10"/>
  <c r="I914" i="10"/>
  <c r="I915" i="10"/>
  <c r="I916" i="10"/>
  <c r="J916" i="10" s="1"/>
  <c r="I917" i="10"/>
  <c r="J917" i="10" s="1"/>
  <c r="I918" i="10"/>
  <c r="J918" i="10" s="1"/>
  <c r="I919" i="10"/>
  <c r="I920" i="10"/>
  <c r="I921" i="10"/>
  <c r="I922" i="10"/>
  <c r="J922" i="10" s="1"/>
  <c r="I923" i="10"/>
  <c r="I924" i="10"/>
  <c r="J924" i="10" s="1"/>
  <c r="I925" i="10"/>
  <c r="I926" i="10"/>
  <c r="J926" i="10" s="1"/>
  <c r="I927" i="10"/>
  <c r="J927" i="10" s="1"/>
  <c r="I928" i="10"/>
  <c r="J928" i="10" s="1"/>
  <c r="I929" i="10"/>
  <c r="I930" i="10"/>
  <c r="I931" i="10"/>
  <c r="I932" i="10"/>
  <c r="I933" i="10"/>
  <c r="I934" i="10"/>
  <c r="I935" i="10"/>
  <c r="I936" i="10"/>
  <c r="J936" i="10" s="1"/>
  <c r="I937" i="10"/>
  <c r="I938" i="10"/>
  <c r="I939" i="10"/>
  <c r="J939" i="10" s="1"/>
  <c r="I940" i="10"/>
  <c r="I941" i="10"/>
  <c r="I942" i="10"/>
  <c r="I943" i="10"/>
  <c r="J943" i="10" s="1"/>
  <c r="I944" i="10"/>
  <c r="J944" i="10" s="1"/>
  <c r="I945" i="10"/>
  <c r="I946" i="10"/>
  <c r="J946" i="10" s="1"/>
  <c r="I947" i="10"/>
  <c r="I948" i="10"/>
  <c r="I949" i="10"/>
  <c r="I950" i="10"/>
  <c r="J950" i="10" s="1"/>
  <c r="I951" i="10"/>
  <c r="J951" i="10" s="1"/>
  <c r="I952" i="10"/>
  <c r="I953" i="10"/>
  <c r="I954" i="10"/>
  <c r="I955" i="10"/>
  <c r="J955" i="10" s="1"/>
  <c r="I956" i="10"/>
  <c r="J956" i="10" s="1"/>
  <c r="I957" i="10"/>
  <c r="I958" i="10"/>
  <c r="I959" i="10"/>
  <c r="J959" i="10" s="1"/>
  <c r="I960" i="10"/>
  <c r="J960" i="10" s="1"/>
  <c r="I961" i="10"/>
  <c r="I962" i="10"/>
  <c r="J962" i="10" s="1"/>
  <c r="I963" i="10"/>
  <c r="I964" i="10"/>
  <c r="J964" i="10" s="1"/>
  <c r="I965" i="10"/>
  <c r="I966" i="10"/>
  <c r="J966" i="10" s="1"/>
  <c r="I967" i="10"/>
  <c r="I968" i="10"/>
  <c r="I969" i="10"/>
  <c r="J969" i="10" s="1"/>
  <c r="I970" i="10"/>
  <c r="J970" i="10" s="1"/>
  <c r="I971" i="10"/>
  <c r="J971" i="10" s="1"/>
  <c r="I972" i="10"/>
  <c r="I973" i="10"/>
  <c r="I974" i="10"/>
  <c r="I975" i="10"/>
  <c r="I976" i="10"/>
  <c r="I977" i="10"/>
  <c r="I978" i="10"/>
  <c r="J978" i="10" s="1"/>
  <c r="I979" i="10"/>
  <c r="I980" i="10"/>
  <c r="J980" i="10" s="1"/>
  <c r="I981" i="10"/>
  <c r="J981" i="10" s="1"/>
  <c r="I982" i="10"/>
  <c r="J982" i="10" s="1"/>
  <c r="I983" i="10"/>
  <c r="I984" i="10"/>
  <c r="J984" i="10" s="1"/>
  <c r="I985" i="10"/>
  <c r="I986" i="10"/>
  <c r="J986" i="10" s="1"/>
  <c r="I987" i="10"/>
  <c r="I988" i="10"/>
  <c r="I989" i="10"/>
  <c r="I990" i="10"/>
  <c r="J990" i="10" s="1"/>
  <c r="I991" i="10"/>
  <c r="I992" i="10"/>
  <c r="I993" i="10"/>
  <c r="I994" i="10"/>
  <c r="I995" i="10"/>
  <c r="J995" i="10" s="1"/>
  <c r="I996" i="10"/>
  <c r="I997" i="10"/>
  <c r="J997" i="10" s="1"/>
  <c r="I998" i="10"/>
  <c r="I999" i="10"/>
  <c r="I1000" i="10"/>
  <c r="J1000" i="10" s="1"/>
  <c r="I1001" i="10"/>
  <c r="I1002" i="10"/>
  <c r="I1003" i="10"/>
  <c r="I1004" i="10"/>
  <c r="I1005" i="10"/>
  <c r="J1005" i="10" s="1"/>
  <c r="I1006" i="10"/>
  <c r="J1006" i="10" s="1"/>
  <c r="I1007" i="10"/>
  <c r="I1008" i="10"/>
  <c r="J1008" i="10" s="1"/>
  <c r="I1009" i="10"/>
  <c r="I1010" i="10"/>
  <c r="J1010" i="10" s="1"/>
  <c r="I1011" i="10"/>
  <c r="I1012" i="10"/>
  <c r="J1012" i="10" s="1"/>
  <c r="I1013" i="10"/>
  <c r="I1014" i="10"/>
  <c r="I1015" i="10"/>
  <c r="I1016" i="10"/>
  <c r="J1016" i="10" s="1"/>
  <c r="I1017" i="10"/>
  <c r="J1017" i="10" s="1"/>
  <c r="I1018" i="10"/>
  <c r="I1019" i="10"/>
  <c r="I1020" i="10"/>
  <c r="I1021" i="10"/>
  <c r="I1022" i="10"/>
  <c r="I1023" i="10"/>
  <c r="J1023" i="10" s="1"/>
  <c r="I1024" i="10"/>
  <c r="I1025" i="10"/>
  <c r="I1026" i="10"/>
  <c r="J1026" i="10" s="1"/>
  <c r="I1027" i="10"/>
  <c r="I1028" i="10"/>
  <c r="I1029" i="10"/>
  <c r="I1030" i="10"/>
  <c r="J1030" i="10" s="1"/>
  <c r="I1031" i="10"/>
  <c r="I1032" i="10"/>
  <c r="I1033" i="10"/>
  <c r="I1034" i="10"/>
  <c r="J1034" i="10" s="1"/>
  <c r="I1035" i="10"/>
  <c r="J1035" i="10" s="1"/>
  <c r="I1036" i="10"/>
  <c r="I1037" i="10"/>
  <c r="J1037" i="10" s="1"/>
  <c r="I1038" i="10"/>
  <c r="I1039" i="10"/>
  <c r="J1039" i="10" s="1"/>
  <c r="I1040" i="10"/>
  <c r="I1041" i="10"/>
  <c r="I1042" i="10"/>
  <c r="I1043" i="10"/>
  <c r="I1044" i="10"/>
  <c r="J1044" i="10" s="1"/>
  <c r="I1045" i="10"/>
  <c r="I1046" i="10"/>
  <c r="I1047" i="10"/>
  <c r="J1047" i="10" s="1"/>
  <c r="I1048" i="10"/>
  <c r="I1049" i="10"/>
  <c r="J1049" i="10" s="1"/>
  <c r="I1050" i="10"/>
  <c r="I1051" i="10"/>
  <c r="J1051" i="10" s="1"/>
  <c r="I1052" i="10"/>
  <c r="J1052" i="10" s="1"/>
  <c r="I1053" i="10"/>
  <c r="I1054" i="10"/>
  <c r="J1054" i="10" s="1"/>
  <c r="I1055" i="10"/>
  <c r="J1055" i="10" s="1"/>
  <c r="I1056" i="10"/>
  <c r="J1056" i="10" s="1"/>
  <c r="I1057" i="10"/>
  <c r="J1057" i="10" s="1"/>
  <c r="I1058" i="10"/>
  <c r="I1059" i="10"/>
  <c r="J1059" i="10" s="1"/>
  <c r="I1060" i="10"/>
  <c r="I1061" i="10"/>
  <c r="J1061" i="10" s="1"/>
  <c r="I1062" i="10"/>
  <c r="I1063" i="10"/>
  <c r="I1064" i="10"/>
  <c r="I1065" i="10"/>
  <c r="J1065" i="10" s="1"/>
  <c r="I1066" i="10"/>
  <c r="I1067" i="10"/>
  <c r="I1068" i="10"/>
  <c r="J1068" i="10" s="1"/>
  <c r="I1069" i="10"/>
  <c r="I1070" i="10"/>
  <c r="I1071" i="10"/>
  <c r="I1072" i="10"/>
  <c r="I1073" i="10"/>
  <c r="I1074" i="10"/>
  <c r="I1075" i="10"/>
  <c r="I1076" i="10"/>
  <c r="I1077" i="10"/>
  <c r="J1077" i="10" s="1"/>
  <c r="I1078" i="10"/>
  <c r="J1078" i="10" s="1"/>
  <c r="I1079" i="10"/>
  <c r="I1080" i="10"/>
  <c r="I1081" i="10"/>
  <c r="I1082" i="10"/>
  <c r="I1083" i="10"/>
  <c r="J1083" i="10" s="1"/>
  <c r="I1084" i="10"/>
  <c r="J1084" i="10" s="1"/>
  <c r="I1085" i="10"/>
  <c r="I1086" i="10"/>
  <c r="I1087" i="10"/>
  <c r="I1088" i="10"/>
  <c r="I1089" i="10"/>
  <c r="J1089" i="10" s="1"/>
  <c r="I1090" i="10"/>
  <c r="I1091" i="10"/>
  <c r="I1092" i="10"/>
  <c r="I1093" i="10"/>
  <c r="I1094" i="10"/>
  <c r="J1094" i="10" s="1"/>
  <c r="I1095" i="10"/>
  <c r="J1095" i="10" s="1"/>
  <c r="I1096" i="10"/>
  <c r="I1097" i="10"/>
  <c r="J1097" i="10" s="1"/>
  <c r="I1098" i="10"/>
  <c r="I1099" i="10"/>
  <c r="J1099" i="10" s="1"/>
  <c r="I1100" i="10"/>
  <c r="I1101" i="10"/>
  <c r="I1102" i="10"/>
  <c r="J1102" i="10" s="1"/>
  <c r="I1103" i="10"/>
  <c r="I1104" i="10"/>
  <c r="J1104" i="10" s="1"/>
  <c r="I1105" i="10"/>
  <c r="I1106" i="10"/>
  <c r="J1106" i="10" s="1"/>
  <c r="I1107" i="10"/>
  <c r="I1108" i="10"/>
  <c r="I1109" i="10"/>
  <c r="J1109" i="10" s="1"/>
  <c r="I1110" i="10"/>
  <c r="J1110" i="10" s="1"/>
  <c r="I1111" i="10"/>
  <c r="I1112" i="10"/>
  <c r="I1113" i="10"/>
  <c r="J1113" i="10" s="1"/>
  <c r="I1114" i="10"/>
  <c r="I1115" i="10"/>
  <c r="J1115" i="10" s="1"/>
  <c r="I1116" i="10"/>
  <c r="I1117" i="10"/>
  <c r="I1118" i="10"/>
  <c r="J1118" i="10" s="1"/>
  <c r="I1119" i="10"/>
  <c r="I1120" i="10"/>
  <c r="J1120" i="10" s="1"/>
  <c r="I1121" i="10"/>
  <c r="I1122" i="10"/>
  <c r="J1122" i="10" s="1"/>
  <c r="I1123" i="10"/>
  <c r="I1124" i="10"/>
  <c r="J1124" i="10" s="1"/>
  <c r="I1125" i="10"/>
  <c r="J1125" i="10" s="1"/>
  <c r="I1126" i="10"/>
  <c r="I1127" i="10"/>
  <c r="I1128" i="10"/>
  <c r="J1128" i="10" s="1"/>
  <c r="I1129" i="10"/>
  <c r="J1129" i="10" s="1"/>
  <c r="I1130" i="10"/>
  <c r="I1131" i="10"/>
  <c r="J1131" i="10" s="1"/>
  <c r="I1132" i="10"/>
  <c r="J1132" i="10" s="1"/>
  <c r="I1133" i="10"/>
  <c r="J1133" i="10" s="1"/>
  <c r="I1134" i="10"/>
  <c r="J1134" i="10" s="1"/>
  <c r="I1135" i="10"/>
  <c r="J1135" i="10" s="1"/>
  <c r="I1136" i="10"/>
  <c r="I1137" i="10"/>
  <c r="I1138" i="10"/>
  <c r="I1139" i="10"/>
  <c r="I1140" i="10"/>
  <c r="J1140" i="10" s="1"/>
  <c r="I1141" i="10"/>
  <c r="I1142" i="10"/>
  <c r="J1142" i="10" s="1"/>
  <c r="I1143" i="10"/>
  <c r="I1144" i="10"/>
  <c r="I1145" i="10"/>
  <c r="I1146" i="10"/>
  <c r="I1147" i="10"/>
  <c r="I1148" i="10"/>
  <c r="I1149" i="10"/>
  <c r="J1149" i="10" s="1"/>
  <c r="I1150" i="10"/>
  <c r="I1151" i="10"/>
  <c r="I1152" i="10"/>
  <c r="I1153" i="10"/>
  <c r="I1154" i="10"/>
  <c r="I1155" i="10"/>
  <c r="I1156" i="10"/>
  <c r="I1157" i="10"/>
  <c r="J1157" i="10" s="1"/>
  <c r="I1158" i="10"/>
  <c r="I1159" i="10"/>
  <c r="J1159" i="10" s="1"/>
  <c r="I1160" i="10"/>
  <c r="I1161" i="10"/>
  <c r="J1161" i="10" s="1"/>
  <c r="I1162" i="10"/>
  <c r="I1163" i="10"/>
  <c r="I1164" i="10"/>
  <c r="I1165" i="10"/>
  <c r="I1166" i="10"/>
  <c r="I1167" i="10"/>
  <c r="J1167" i="10" s="1"/>
  <c r="I1168" i="10"/>
  <c r="I1169" i="10"/>
  <c r="J1169" i="10" s="1"/>
  <c r="I1170" i="10"/>
  <c r="I1171" i="10"/>
  <c r="J1171" i="10" s="1"/>
  <c r="I1172" i="10"/>
  <c r="I1173" i="10"/>
  <c r="J1173" i="10" s="1"/>
  <c r="I1174" i="10"/>
  <c r="I1175" i="10"/>
  <c r="J1175" i="10" s="1"/>
  <c r="I1176" i="10"/>
  <c r="I1177" i="10"/>
  <c r="J1177" i="10" s="1"/>
  <c r="I1178" i="10"/>
  <c r="I1179" i="10"/>
  <c r="J1179" i="10" s="1"/>
  <c r="I1180" i="10"/>
  <c r="J1180" i="10" s="1"/>
  <c r="I1181" i="10"/>
  <c r="J1181" i="10" s="1"/>
  <c r="I1182" i="10"/>
  <c r="I1183" i="10"/>
  <c r="J1183" i="10" s="1"/>
  <c r="I1184" i="10"/>
  <c r="I1185" i="10"/>
  <c r="I1186" i="10"/>
  <c r="J1186" i="10" s="1"/>
  <c r="I1187" i="10"/>
  <c r="J1187" i="10" s="1"/>
  <c r="I1188" i="10"/>
  <c r="J1188" i="10" s="1"/>
  <c r="I1189" i="10"/>
  <c r="I1190" i="10"/>
  <c r="I1191" i="10"/>
  <c r="I1192" i="10"/>
  <c r="J1192" i="10" s="1"/>
  <c r="I1193" i="10"/>
  <c r="I1194" i="10"/>
  <c r="J1194" i="10" s="1"/>
  <c r="I1195" i="10"/>
  <c r="I1196" i="10"/>
  <c r="I1197" i="10"/>
  <c r="I1198" i="10"/>
  <c r="J1198" i="10" s="1"/>
  <c r="I1199" i="10"/>
  <c r="I1200" i="10"/>
  <c r="I1201" i="10"/>
  <c r="J1201" i="10" s="1"/>
  <c r="I1202" i="10"/>
  <c r="J1202" i="10" s="1"/>
  <c r="I1203" i="10"/>
  <c r="I1204" i="10"/>
  <c r="J1204" i="10" s="1"/>
  <c r="I1205" i="10"/>
  <c r="J1205" i="10" s="1"/>
  <c r="I1206" i="10"/>
  <c r="I1207" i="10"/>
  <c r="I1208" i="10"/>
  <c r="J1208" i="10" s="1"/>
  <c r="I6" i="10"/>
  <c r="B1207" i="10"/>
  <c r="B1208" i="10"/>
  <c r="C1207" i="10"/>
  <c r="C1208" i="10"/>
  <c r="D1207" i="10"/>
  <c r="D1208" i="10"/>
  <c r="E1207" i="10"/>
  <c r="E1208" i="10"/>
  <c r="F1207" i="10"/>
  <c r="F1208" i="10"/>
  <c r="S1207" i="10"/>
  <c r="V1207" i="10"/>
  <c r="V1208" i="10"/>
  <c r="Y1207" i="10"/>
  <c r="Y1208" i="10"/>
  <c r="AB1207" i="10"/>
  <c r="AB1208" i="10"/>
  <c r="AE1207" i="10"/>
  <c r="AE1208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054" i="10"/>
  <c r="F1055" i="10"/>
  <c r="F1056" i="10"/>
  <c r="F1057" i="10"/>
  <c r="F1058" i="10"/>
  <c r="F1059" i="10"/>
  <c r="F1060" i="10"/>
  <c r="F1061" i="10"/>
  <c r="F1062" i="10"/>
  <c r="F1063" i="10"/>
  <c r="F1064" i="10"/>
  <c r="F1065" i="10"/>
  <c r="F1066" i="10"/>
  <c r="F1067" i="10"/>
  <c r="F1068" i="10"/>
  <c r="F1069" i="10"/>
  <c r="F1070" i="10"/>
  <c r="F1071" i="10"/>
  <c r="F1072" i="10"/>
  <c r="F1073" i="10"/>
  <c r="F1074" i="10"/>
  <c r="F1075" i="10"/>
  <c r="F1076" i="10"/>
  <c r="F1077" i="10"/>
  <c r="F1078" i="10"/>
  <c r="F1079" i="10"/>
  <c r="F1080" i="10"/>
  <c r="F1081" i="10"/>
  <c r="F1082" i="10"/>
  <c r="F1083" i="10"/>
  <c r="F1084" i="10"/>
  <c r="F1085" i="10"/>
  <c r="F1086" i="10"/>
  <c r="F1087" i="10"/>
  <c r="F1088" i="10"/>
  <c r="F1089" i="10"/>
  <c r="F1090" i="10"/>
  <c r="F1091" i="10"/>
  <c r="F1092" i="10"/>
  <c r="F1093" i="10"/>
  <c r="F1094" i="10"/>
  <c r="F1095" i="10"/>
  <c r="F1096" i="10"/>
  <c r="F1097" i="10"/>
  <c r="F1098" i="10"/>
  <c r="F1099" i="10"/>
  <c r="F1100" i="10"/>
  <c r="F1101" i="10"/>
  <c r="F1102" i="10"/>
  <c r="F1103" i="10"/>
  <c r="F1104" i="10"/>
  <c r="F1105" i="10"/>
  <c r="F1106" i="10"/>
  <c r="F1107" i="10"/>
  <c r="F1108" i="10"/>
  <c r="F1109" i="10"/>
  <c r="F1110" i="10"/>
  <c r="F1111" i="10"/>
  <c r="F1112" i="10"/>
  <c r="F1113" i="10"/>
  <c r="F1114" i="10"/>
  <c r="F1115" i="10"/>
  <c r="F1116" i="10"/>
  <c r="F1117" i="10"/>
  <c r="F1118" i="10"/>
  <c r="F1119" i="10"/>
  <c r="F1120" i="10"/>
  <c r="F1121" i="10"/>
  <c r="F1122" i="10"/>
  <c r="F1123" i="10"/>
  <c r="F1124" i="10"/>
  <c r="F1125" i="10"/>
  <c r="F1126" i="10"/>
  <c r="F1127" i="10"/>
  <c r="F1128" i="10"/>
  <c r="F1129" i="10"/>
  <c r="F1130" i="10"/>
  <c r="F1131" i="10"/>
  <c r="F1132" i="10"/>
  <c r="F1133" i="10"/>
  <c r="F1134" i="10"/>
  <c r="F1135" i="10"/>
  <c r="F1136" i="10"/>
  <c r="F1137" i="10"/>
  <c r="F1138" i="10"/>
  <c r="F1139" i="10"/>
  <c r="F1140" i="10"/>
  <c r="F1141" i="10"/>
  <c r="F1142" i="10"/>
  <c r="F1143" i="10"/>
  <c r="F1144" i="10"/>
  <c r="F1145" i="10"/>
  <c r="F1146" i="10"/>
  <c r="F1147" i="10"/>
  <c r="F1148" i="10"/>
  <c r="F1149" i="10"/>
  <c r="F1150" i="10"/>
  <c r="F1151" i="10"/>
  <c r="F1152" i="10"/>
  <c r="F1153" i="10"/>
  <c r="F1154" i="10"/>
  <c r="F1155" i="10"/>
  <c r="F1156" i="10"/>
  <c r="F1157" i="10"/>
  <c r="F1158" i="10"/>
  <c r="F1159" i="10"/>
  <c r="F1160" i="10"/>
  <c r="F1161" i="10"/>
  <c r="F1162" i="10"/>
  <c r="F1163" i="10"/>
  <c r="F1164" i="10"/>
  <c r="F1165" i="10"/>
  <c r="F1166" i="10"/>
  <c r="F1167" i="10"/>
  <c r="F1168" i="10"/>
  <c r="F1169" i="10"/>
  <c r="F1170" i="10"/>
  <c r="F1171" i="10"/>
  <c r="F1172" i="10"/>
  <c r="F1173" i="10"/>
  <c r="F1174" i="10"/>
  <c r="F1175" i="10"/>
  <c r="F1176" i="10"/>
  <c r="F1177" i="10"/>
  <c r="F1178" i="10"/>
  <c r="F1179" i="10"/>
  <c r="F1180" i="10"/>
  <c r="F1181" i="10"/>
  <c r="F1182" i="10"/>
  <c r="F1183" i="10"/>
  <c r="F1184" i="10"/>
  <c r="F1185" i="10"/>
  <c r="F1186" i="10"/>
  <c r="F1187" i="10"/>
  <c r="F1188" i="10"/>
  <c r="F1189" i="10"/>
  <c r="F1190" i="10"/>
  <c r="F1191" i="10"/>
  <c r="F1192" i="10"/>
  <c r="F1193" i="10"/>
  <c r="F1194" i="10"/>
  <c r="F1195" i="10"/>
  <c r="F1196" i="10"/>
  <c r="F1197" i="10"/>
  <c r="F1198" i="10"/>
  <c r="F1199" i="10"/>
  <c r="F1200" i="10"/>
  <c r="F1201" i="10"/>
  <c r="F1202" i="10"/>
  <c r="F1203" i="10"/>
  <c r="F1204" i="10"/>
  <c r="F1205" i="10"/>
  <c r="F1206" i="10"/>
  <c r="F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E276" i="10"/>
  <c r="E277" i="10"/>
  <c r="E278" i="10"/>
  <c r="E279" i="10"/>
  <c r="E280" i="10"/>
  <c r="E281" i="10"/>
  <c r="E282" i="10"/>
  <c r="E283" i="10"/>
  <c r="E284" i="10"/>
  <c r="E285" i="10"/>
  <c r="E286" i="10"/>
  <c r="E287" i="10"/>
  <c r="E288" i="10"/>
  <c r="E289" i="10"/>
  <c r="E290" i="10"/>
  <c r="E291" i="10"/>
  <c r="E292" i="10"/>
  <c r="E293" i="10"/>
  <c r="E294" i="10"/>
  <c r="E295" i="10"/>
  <c r="E296" i="10"/>
  <c r="E297" i="10"/>
  <c r="E298" i="10"/>
  <c r="E299" i="10"/>
  <c r="E300" i="10"/>
  <c r="E301" i="10"/>
  <c r="E302" i="10"/>
  <c r="E303" i="10"/>
  <c r="E304" i="10"/>
  <c r="E305" i="10"/>
  <c r="E306" i="10"/>
  <c r="E307" i="10"/>
  <c r="E308" i="10"/>
  <c r="E309" i="10"/>
  <c r="E310" i="10"/>
  <c r="E311" i="10"/>
  <c r="E312" i="10"/>
  <c r="E313" i="10"/>
  <c r="E314" i="10"/>
  <c r="E315" i="10"/>
  <c r="E316" i="10"/>
  <c r="E317" i="10"/>
  <c r="E318" i="10"/>
  <c r="E319" i="10"/>
  <c r="E320" i="10"/>
  <c r="E321" i="10"/>
  <c r="E322" i="10"/>
  <c r="E323" i="10"/>
  <c r="E324" i="10"/>
  <c r="E325" i="10"/>
  <c r="E326" i="10"/>
  <c r="E327" i="10"/>
  <c r="E328" i="10"/>
  <c r="E329" i="10"/>
  <c r="E330" i="10"/>
  <c r="E331" i="10"/>
  <c r="E332" i="10"/>
  <c r="E333" i="10"/>
  <c r="E334" i="10"/>
  <c r="E335" i="10"/>
  <c r="E336" i="10"/>
  <c r="E337" i="10"/>
  <c r="E338" i="10"/>
  <c r="E339" i="10"/>
  <c r="E340" i="10"/>
  <c r="E341" i="10"/>
  <c r="E342" i="10"/>
  <c r="E343" i="10"/>
  <c r="E344" i="10"/>
  <c r="E345" i="10"/>
  <c r="E346" i="10"/>
  <c r="E347" i="10"/>
  <c r="E348" i="10"/>
  <c r="E349" i="10"/>
  <c r="E350" i="10"/>
  <c r="E351" i="10"/>
  <c r="E352" i="10"/>
  <c r="E353" i="10"/>
  <c r="E354" i="10"/>
  <c r="E355" i="10"/>
  <c r="E356" i="10"/>
  <c r="E357" i="10"/>
  <c r="E358" i="10"/>
  <c r="E359" i="10"/>
  <c r="E360" i="10"/>
  <c r="E361" i="10"/>
  <c r="E362" i="10"/>
  <c r="E363" i="10"/>
  <c r="E364" i="10"/>
  <c r="E365" i="10"/>
  <c r="E366" i="10"/>
  <c r="E367" i="10"/>
  <c r="E368" i="10"/>
  <c r="E369" i="10"/>
  <c r="E370" i="10"/>
  <c r="E371" i="10"/>
  <c r="E372" i="10"/>
  <c r="E373" i="10"/>
  <c r="E374" i="10"/>
  <c r="E375" i="10"/>
  <c r="E376" i="10"/>
  <c r="E377" i="10"/>
  <c r="E378" i="10"/>
  <c r="E379" i="10"/>
  <c r="E380" i="10"/>
  <c r="E381" i="10"/>
  <c r="E382" i="10"/>
  <c r="E383" i="10"/>
  <c r="E384" i="10"/>
  <c r="E385" i="10"/>
  <c r="E386" i="10"/>
  <c r="E387" i="10"/>
  <c r="E388" i="10"/>
  <c r="E389" i="10"/>
  <c r="E390" i="10"/>
  <c r="E391" i="10"/>
  <c r="E392" i="10"/>
  <c r="E393" i="10"/>
  <c r="E394" i="10"/>
  <c r="E395" i="10"/>
  <c r="E396" i="10"/>
  <c r="E397" i="10"/>
  <c r="E398" i="10"/>
  <c r="E399" i="10"/>
  <c r="E400" i="10"/>
  <c r="E401" i="10"/>
  <c r="E402" i="10"/>
  <c r="E403" i="10"/>
  <c r="E404" i="10"/>
  <c r="E405" i="10"/>
  <c r="E406" i="10"/>
  <c r="E407" i="10"/>
  <c r="E408" i="10"/>
  <c r="E409" i="10"/>
  <c r="E410" i="10"/>
  <c r="E411" i="10"/>
  <c r="E412" i="10"/>
  <c r="E413" i="10"/>
  <c r="E414" i="10"/>
  <c r="E415" i="10"/>
  <c r="E416" i="10"/>
  <c r="E417" i="10"/>
  <c r="E418" i="10"/>
  <c r="E419" i="10"/>
  <c r="E420" i="10"/>
  <c r="E421" i="10"/>
  <c r="E422" i="10"/>
  <c r="E423" i="10"/>
  <c r="E424" i="10"/>
  <c r="E425" i="10"/>
  <c r="E426" i="10"/>
  <c r="E427" i="10"/>
  <c r="E428" i="10"/>
  <c r="E429" i="10"/>
  <c r="E430" i="10"/>
  <c r="E431" i="10"/>
  <c r="E432" i="10"/>
  <c r="E433" i="10"/>
  <c r="E434" i="10"/>
  <c r="E435" i="10"/>
  <c r="E436" i="10"/>
  <c r="E437" i="10"/>
  <c r="E438" i="10"/>
  <c r="E439" i="10"/>
  <c r="E440" i="10"/>
  <c r="E441" i="10"/>
  <c r="E442" i="10"/>
  <c r="E443" i="10"/>
  <c r="E444" i="10"/>
  <c r="E445" i="10"/>
  <c r="E446" i="10"/>
  <c r="E447" i="10"/>
  <c r="E448" i="10"/>
  <c r="E449" i="10"/>
  <c r="E450" i="10"/>
  <c r="E451" i="10"/>
  <c r="E452" i="10"/>
  <c r="E453" i="10"/>
  <c r="E454" i="10"/>
  <c r="E455" i="10"/>
  <c r="E456" i="10"/>
  <c r="E457" i="10"/>
  <c r="E458" i="10"/>
  <c r="E459" i="10"/>
  <c r="E460" i="10"/>
  <c r="E461" i="10"/>
  <c r="E462" i="10"/>
  <c r="E463" i="10"/>
  <c r="E464" i="10"/>
  <c r="E465" i="10"/>
  <c r="E466" i="10"/>
  <c r="E467" i="10"/>
  <c r="E468" i="10"/>
  <c r="E469" i="10"/>
  <c r="E470" i="10"/>
  <c r="E471" i="10"/>
  <c r="E472" i="10"/>
  <c r="E473" i="10"/>
  <c r="E474" i="10"/>
  <c r="E475" i="10"/>
  <c r="E476" i="10"/>
  <c r="E477" i="10"/>
  <c r="E478" i="10"/>
  <c r="E479" i="10"/>
  <c r="E480" i="10"/>
  <c r="E481" i="10"/>
  <c r="E482" i="10"/>
  <c r="E483" i="10"/>
  <c r="E484" i="10"/>
  <c r="E485" i="10"/>
  <c r="E486" i="10"/>
  <c r="E487" i="10"/>
  <c r="E488" i="10"/>
  <c r="E489" i="10"/>
  <c r="E490" i="10"/>
  <c r="E491" i="10"/>
  <c r="E492" i="10"/>
  <c r="E493" i="10"/>
  <c r="E494" i="10"/>
  <c r="E495" i="10"/>
  <c r="E496" i="10"/>
  <c r="E497" i="10"/>
  <c r="E498" i="10"/>
  <c r="E499" i="10"/>
  <c r="E500" i="10"/>
  <c r="E501" i="10"/>
  <c r="E502" i="10"/>
  <c r="E503" i="10"/>
  <c r="E504" i="10"/>
  <c r="E505" i="10"/>
  <c r="E506" i="10"/>
  <c r="E507" i="10"/>
  <c r="E508" i="10"/>
  <c r="E509" i="10"/>
  <c r="E510" i="10"/>
  <c r="E511" i="10"/>
  <c r="E512" i="10"/>
  <c r="E513" i="10"/>
  <c r="E514" i="10"/>
  <c r="E515" i="10"/>
  <c r="E516" i="10"/>
  <c r="E517" i="10"/>
  <c r="E518" i="10"/>
  <c r="E519" i="10"/>
  <c r="E520" i="10"/>
  <c r="E521" i="10"/>
  <c r="E522" i="10"/>
  <c r="E523" i="10"/>
  <c r="E524" i="10"/>
  <c r="E525" i="10"/>
  <c r="E526" i="10"/>
  <c r="E527" i="10"/>
  <c r="E528" i="10"/>
  <c r="E529" i="10"/>
  <c r="E530" i="10"/>
  <c r="E531" i="10"/>
  <c r="E532" i="10"/>
  <c r="E533" i="10"/>
  <c r="E534" i="10"/>
  <c r="E535" i="10"/>
  <c r="E536" i="10"/>
  <c r="E537" i="10"/>
  <c r="E538" i="10"/>
  <c r="E539" i="10"/>
  <c r="E540" i="10"/>
  <c r="E541" i="10"/>
  <c r="E542" i="10"/>
  <c r="E543" i="10"/>
  <c r="E544" i="10"/>
  <c r="E545" i="10"/>
  <c r="E546" i="10"/>
  <c r="E547" i="10"/>
  <c r="E548" i="10"/>
  <c r="E549" i="10"/>
  <c r="E550" i="10"/>
  <c r="E551" i="10"/>
  <c r="E552" i="10"/>
  <c r="E553" i="10"/>
  <c r="E554" i="10"/>
  <c r="E555" i="10"/>
  <c r="E556" i="10"/>
  <c r="E557" i="10"/>
  <c r="E558" i="10"/>
  <c r="E559" i="10"/>
  <c r="E560" i="10"/>
  <c r="E561" i="10"/>
  <c r="E562" i="10"/>
  <c r="E563" i="10"/>
  <c r="E564" i="10"/>
  <c r="E565" i="10"/>
  <c r="E566" i="10"/>
  <c r="E567" i="10"/>
  <c r="E568" i="10"/>
  <c r="E569" i="10"/>
  <c r="E570" i="10"/>
  <c r="E571" i="10"/>
  <c r="E572" i="10"/>
  <c r="E573" i="10"/>
  <c r="E574" i="10"/>
  <c r="E575" i="10"/>
  <c r="E576" i="10"/>
  <c r="E577" i="10"/>
  <c r="E578" i="10"/>
  <c r="E579" i="10"/>
  <c r="E580" i="10"/>
  <c r="E581" i="10"/>
  <c r="E582" i="10"/>
  <c r="E583" i="10"/>
  <c r="E584" i="10"/>
  <c r="E585" i="10"/>
  <c r="E586" i="10"/>
  <c r="E587" i="10"/>
  <c r="E588" i="10"/>
  <c r="E589" i="10"/>
  <c r="E590" i="10"/>
  <c r="E591" i="10"/>
  <c r="E592" i="10"/>
  <c r="E593" i="10"/>
  <c r="E594" i="10"/>
  <c r="E595" i="10"/>
  <c r="E596" i="10"/>
  <c r="E597" i="10"/>
  <c r="E598" i="10"/>
  <c r="E599" i="10"/>
  <c r="E600" i="10"/>
  <c r="E601" i="10"/>
  <c r="E602" i="10"/>
  <c r="E603" i="10"/>
  <c r="E604" i="10"/>
  <c r="E605" i="10"/>
  <c r="E606" i="10"/>
  <c r="E607" i="10"/>
  <c r="E608" i="10"/>
  <c r="E609" i="10"/>
  <c r="E610" i="10"/>
  <c r="E611" i="10"/>
  <c r="E612" i="10"/>
  <c r="E613" i="10"/>
  <c r="E614" i="10"/>
  <c r="E615" i="10"/>
  <c r="E616" i="10"/>
  <c r="E617" i="10"/>
  <c r="E618" i="10"/>
  <c r="E619" i="10"/>
  <c r="E620" i="10"/>
  <c r="E621" i="10"/>
  <c r="E622" i="10"/>
  <c r="E623" i="10"/>
  <c r="E624" i="10"/>
  <c r="E625" i="10"/>
  <c r="E626" i="10"/>
  <c r="E627" i="10"/>
  <c r="E628" i="10"/>
  <c r="E629" i="10"/>
  <c r="E630" i="10"/>
  <c r="E631" i="10"/>
  <c r="E632" i="10"/>
  <c r="E633" i="10"/>
  <c r="E634" i="10"/>
  <c r="E635" i="10"/>
  <c r="E636" i="10"/>
  <c r="E637" i="10"/>
  <c r="E638" i="10"/>
  <c r="E639" i="10"/>
  <c r="E640" i="10"/>
  <c r="E641" i="10"/>
  <c r="E642" i="10"/>
  <c r="E643" i="10"/>
  <c r="E644" i="10"/>
  <c r="E645" i="10"/>
  <c r="E646" i="10"/>
  <c r="E647" i="10"/>
  <c r="E648" i="10"/>
  <c r="E649" i="10"/>
  <c r="E650" i="10"/>
  <c r="E651" i="10"/>
  <c r="E652" i="10"/>
  <c r="E653" i="10"/>
  <c r="E654" i="10"/>
  <c r="E655" i="10"/>
  <c r="E656" i="10"/>
  <c r="E657" i="10"/>
  <c r="E658" i="10"/>
  <c r="E659" i="10"/>
  <c r="E660" i="10"/>
  <c r="E661" i="10"/>
  <c r="E662" i="10"/>
  <c r="E663" i="10"/>
  <c r="E664" i="10"/>
  <c r="E665" i="10"/>
  <c r="E666" i="10"/>
  <c r="E667" i="10"/>
  <c r="E668" i="10"/>
  <c r="E669" i="10"/>
  <c r="E670" i="10"/>
  <c r="E671" i="10"/>
  <c r="E672" i="10"/>
  <c r="E673" i="10"/>
  <c r="E674" i="10"/>
  <c r="E675" i="10"/>
  <c r="E676" i="10"/>
  <c r="E677" i="10"/>
  <c r="E678" i="10"/>
  <c r="E679" i="10"/>
  <c r="E680" i="10"/>
  <c r="E681" i="10"/>
  <c r="E682" i="10"/>
  <c r="E683" i="10"/>
  <c r="E684" i="10"/>
  <c r="E685" i="10"/>
  <c r="E686" i="10"/>
  <c r="E687" i="10"/>
  <c r="E688" i="10"/>
  <c r="E689" i="10"/>
  <c r="E690" i="10"/>
  <c r="E691" i="10"/>
  <c r="E692" i="10"/>
  <c r="E693" i="10"/>
  <c r="E694" i="10"/>
  <c r="E695" i="10"/>
  <c r="E696" i="10"/>
  <c r="E697" i="10"/>
  <c r="E698" i="10"/>
  <c r="E699" i="10"/>
  <c r="E700" i="10"/>
  <c r="E701" i="10"/>
  <c r="E702" i="10"/>
  <c r="E703" i="10"/>
  <c r="E704" i="10"/>
  <c r="E705" i="10"/>
  <c r="E706" i="10"/>
  <c r="E707" i="10"/>
  <c r="E708" i="10"/>
  <c r="E709" i="10"/>
  <c r="E710" i="10"/>
  <c r="E711" i="10"/>
  <c r="E712" i="10"/>
  <c r="E713" i="10"/>
  <c r="E714" i="10"/>
  <c r="E715" i="10"/>
  <c r="E716" i="10"/>
  <c r="E717" i="10"/>
  <c r="E718" i="10"/>
  <c r="E719" i="10"/>
  <c r="E720" i="10"/>
  <c r="E721" i="10"/>
  <c r="E722" i="10"/>
  <c r="E723" i="10"/>
  <c r="E724" i="10"/>
  <c r="E725" i="10"/>
  <c r="E726" i="10"/>
  <c r="E727" i="10"/>
  <c r="E728" i="10"/>
  <c r="E729" i="10"/>
  <c r="E730" i="10"/>
  <c r="E731" i="10"/>
  <c r="E732" i="10"/>
  <c r="E733" i="10"/>
  <c r="E734" i="10"/>
  <c r="E735" i="10"/>
  <c r="E736" i="10"/>
  <c r="E737" i="10"/>
  <c r="E738" i="10"/>
  <c r="E739" i="10"/>
  <c r="E740" i="10"/>
  <c r="E741" i="10"/>
  <c r="E742" i="10"/>
  <c r="E743" i="10"/>
  <c r="E744" i="10"/>
  <c r="E745" i="10"/>
  <c r="E746" i="10"/>
  <c r="E747" i="10"/>
  <c r="E748" i="10"/>
  <c r="E749" i="10"/>
  <c r="E750" i="10"/>
  <c r="E751" i="10"/>
  <c r="E752" i="10"/>
  <c r="E753" i="10"/>
  <c r="E754" i="10"/>
  <c r="E755" i="10"/>
  <c r="E756" i="10"/>
  <c r="E757" i="10"/>
  <c r="E758" i="10"/>
  <c r="E759" i="10"/>
  <c r="E760" i="10"/>
  <c r="E761" i="10"/>
  <c r="E762" i="10"/>
  <c r="E763" i="10"/>
  <c r="E764" i="10"/>
  <c r="E765" i="10"/>
  <c r="E766" i="10"/>
  <c r="E767" i="10"/>
  <c r="E768" i="10"/>
  <c r="E769" i="10"/>
  <c r="E770" i="10"/>
  <c r="E771" i="10"/>
  <c r="E772" i="10"/>
  <c r="E773" i="10"/>
  <c r="E774" i="10"/>
  <c r="E775" i="10"/>
  <c r="E776" i="10"/>
  <c r="E777" i="10"/>
  <c r="E778" i="10"/>
  <c r="E779" i="10"/>
  <c r="E780" i="10"/>
  <c r="E781" i="10"/>
  <c r="E782" i="10"/>
  <c r="E783" i="10"/>
  <c r="E784" i="10"/>
  <c r="E785" i="10"/>
  <c r="E786" i="10"/>
  <c r="E787" i="10"/>
  <c r="E788" i="10"/>
  <c r="E789" i="10"/>
  <c r="E790" i="10"/>
  <c r="E791" i="10"/>
  <c r="E792" i="10"/>
  <c r="E793" i="10"/>
  <c r="E794" i="10"/>
  <c r="E795" i="10"/>
  <c r="E796" i="10"/>
  <c r="E797" i="10"/>
  <c r="E798" i="10"/>
  <c r="E799" i="10"/>
  <c r="E800" i="10"/>
  <c r="E801" i="10"/>
  <c r="E802" i="10"/>
  <c r="E803" i="10"/>
  <c r="E804" i="10"/>
  <c r="E805" i="10"/>
  <c r="E806" i="10"/>
  <c r="E807" i="10"/>
  <c r="E808" i="10"/>
  <c r="E809" i="10"/>
  <c r="E810" i="10"/>
  <c r="E811" i="10"/>
  <c r="E812" i="10"/>
  <c r="E813" i="10"/>
  <c r="E814" i="10"/>
  <c r="E815" i="10"/>
  <c r="E816" i="10"/>
  <c r="E817" i="10"/>
  <c r="E818" i="10"/>
  <c r="E819" i="10"/>
  <c r="E820" i="10"/>
  <c r="E821" i="10"/>
  <c r="E822" i="10"/>
  <c r="E823" i="10"/>
  <c r="E824" i="10"/>
  <c r="E825" i="10"/>
  <c r="E826" i="10"/>
  <c r="E827" i="10"/>
  <c r="E828" i="10"/>
  <c r="E829" i="10"/>
  <c r="E830" i="10"/>
  <c r="E831" i="10"/>
  <c r="E832" i="10"/>
  <c r="E833" i="10"/>
  <c r="E834" i="10"/>
  <c r="E835" i="10"/>
  <c r="E836" i="10"/>
  <c r="E837" i="10"/>
  <c r="E838" i="10"/>
  <c r="E839" i="10"/>
  <c r="E840" i="10"/>
  <c r="E841" i="10"/>
  <c r="E842" i="10"/>
  <c r="E843" i="10"/>
  <c r="E844" i="10"/>
  <c r="E845" i="10"/>
  <c r="E846" i="10"/>
  <c r="E847" i="10"/>
  <c r="E848" i="10"/>
  <c r="E849" i="10"/>
  <c r="E850" i="10"/>
  <c r="E851" i="10"/>
  <c r="E852" i="10"/>
  <c r="E853" i="10"/>
  <c r="E854" i="10"/>
  <c r="E855" i="10"/>
  <c r="E856" i="10"/>
  <c r="E857" i="10"/>
  <c r="E858" i="10"/>
  <c r="E859" i="10"/>
  <c r="E860" i="10"/>
  <c r="E861" i="10"/>
  <c r="E862" i="10"/>
  <c r="E863" i="10"/>
  <c r="E864" i="10"/>
  <c r="E865" i="10"/>
  <c r="E866" i="10"/>
  <c r="E867" i="10"/>
  <c r="E868" i="10"/>
  <c r="E869" i="10"/>
  <c r="E870" i="10"/>
  <c r="E871" i="10"/>
  <c r="E872" i="10"/>
  <c r="E873" i="10"/>
  <c r="E874" i="10"/>
  <c r="E875" i="10"/>
  <c r="E876" i="10"/>
  <c r="E877" i="10"/>
  <c r="E878" i="10"/>
  <c r="E879" i="10"/>
  <c r="E880" i="10"/>
  <c r="E881" i="10"/>
  <c r="E882" i="10"/>
  <c r="E883" i="10"/>
  <c r="E884" i="10"/>
  <c r="E885" i="10"/>
  <c r="E886" i="10"/>
  <c r="E887" i="10"/>
  <c r="E888" i="10"/>
  <c r="E889" i="10"/>
  <c r="E890" i="10"/>
  <c r="E891" i="10"/>
  <c r="E892" i="10"/>
  <c r="E893" i="10"/>
  <c r="E894" i="10"/>
  <c r="E895" i="10"/>
  <c r="E896" i="10"/>
  <c r="E897" i="10"/>
  <c r="E898" i="10"/>
  <c r="E899" i="10"/>
  <c r="E900" i="10"/>
  <c r="E901" i="10"/>
  <c r="E902" i="10"/>
  <c r="E903" i="10"/>
  <c r="E904" i="10"/>
  <c r="E905" i="10"/>
  <c r="E906" i="10"/>
  <c r="E907" i="10"/>
  <c r="E908" i="10"/>
  <c r="E909" i="10"/>
  <c r="E910" i="10"/>
  <c r="E911" i="10"/>
  <c r="E912" i="10"/>
  <c r="E913" i="10"/>
  <c r="E914" i="10"/>
  <c r="E915" i="10"/>
  <c r="E916" i="10"/>
  <c r="E917" i="10"/>
  <c r="E918" i="10"/>
  <c r="E919" i="10"/>
  <c r="E920" i="10"/>
  <c r="E921" i="10"/>
  <c r="E922" i="10"/>
  <c r="E923" i="10"/>
  <c r="E924" i="10"/>
  <c r="E925" i="10"/>
  <c r="E926" i="10"/>
  <c r="E927" i="10"/>
  <c r="E928" i="10"/>
  <c r="E929" i="10"/>
  <c r="E930" i="10"/>
  <c r="E931" i="10"/>
  <c r="E932" i="10"/>
  <c r="E933" i="10"/>
  <c r="E934" i="10"/>
  <c r="E935" i="10"/>
  <c r="E936" i="10"/>
  <c r="E937" i="10"/>
  <c r="E938" i="10"/>
  <c r="E939" i="10"/>
  <c r="E940" i="10"/>
  <c r="E941" i="10"/>
  <c r="E942" i="10"/>
  <c r="E943" i="10"/>
  <c r="E944" i="10"/>
  <c r="E945" i="10"/>
  <c r="E946" i="10"/>
  <c r="E947" i="10"/>
  <c r="E948" i="10"/>
  <c r="E949" i="10"/>
  <c r="E950" i="10"/>
  <c r="E951" i="10"/>
  <c r="E952" i="10"/>
  <c r="E953" i="10"/>
  <c r="E954" i="10"/>
  <c r="E955" i="10"/>
  <c r="E956" i="10"/>
  <c r="E957" i="10"/>
  <c r="E958" i="10"/>
  <c r="E959" i="10"/>
  <c r="E960" i="10"/>
  <c r="E961" i="10"/>
  <c r="E962" i="10"/>
  <c r="E963" i="10"/>
  <c r="E964" i="10"/>
  <c r="E965" i="10"/>
  <c r="E966" i="10"/>
  <c r="E967" i="10"/>
  <c r="E968" i="10"/>
  <c r="E969" i="10"/>
  <c r="E970" i="10"/>
  <c r="E971" i="10"/>
  <c r="E972" i="10"/>
  <c r="E973" i="10"/>
  <c r="E974" i="10"/>
  <c r="E975" i="10"/>
  <c r="E976" i="10"/>
  <c r="E977" i="10"/>
  <c r="E978" i="10"/>
  <c r="E979" i="10"/>
  <c r="E980" i="10"/>
  <c r="E981" i="10"/>
  <c r="E982" i="10"/>
  <c r="E983" i="10"/>
  <c r="E984" i="10"/>
  <c r="E985" i="10"/>
  <c r="E986" i="10"/>
  <c r="E987" i="10"/>
  <c r="E988" i="10"/>
  <c r="E989" i="10"/>
  <c r="E990" i="10"/>
  <c r="E991" i="10"/>
  <c r="E992" i="10"/>
  <c r="E993" i="10"/>
  <c r="E994" i="10"/>
  <c r="E995" i="10"/>
  <c r="E996" i="10"/>
  <c r="E997" i="10"/>
  <c r="E998" i="10"/>
  <c r="E999" i="10"/>
  <c r="E1000" i="10"/>
  <c r="E1001" i="10"/>
  <c r="E1002" i="10"/>
  <c r="E1003" i="10"/>
  <c r="E1004" i="10"/>
  <c r="E1005" i="10"/>
  <c r="E1006" i="10"/>
  <c r="E1007" i="10"/>
  <c r="E1008" i="10"/>
  <c r="E1009" i="10"/>
  <c r="E1010" i="10"/>
  <c r="E1011" i="10"/>
  <c r="E1012" i="10"/>
  <c r="E1013" i="10"/>
  <c r="E1014" i="10"/>
  <c r="E1015" i="10"/>
  <c r="E1016" i="10"/>
  <c r="E1017" i="10"/>
  <c r="E1018" i="10"/>
  <c r="E1019" i="10"/>
  <c r="E1020" i="10"/>
  <c r="E1021" i="10"/>
  <c r="E1022" i="10"/>
  <c r="E1023" i="10"/>
  <c r="E1024" i="10"/>
  <c r="E1025" i="10"/>
  <c r="E1026" i="10"/>
  <c r="E1027" i="10"/>
  <c r="E1028" i="10"/>
  <c r="E1029" i="10"/>
  <c r="E1030" i="10"/>
  <c r="E1031" i="10"/>
  <c r="E1032" i="10"/>
  <c r="E1033" i="10"/>
  <c r="E1034" i="10"/>
  <c r="E1035" i="10"/>
  <c r="E1036" i="10"/>
  <c r="E1037" i="10"/>
  <c r="E1038" i="10"/>
  <c r="E1039" i="10"/>
  <c r="E1040" i="10"/>
  <c r="E1041" i="10"/>
  <c r="E1042" i="10"/>
  <c r="E1043" i="10"/>
  <c r="E1044" i="10"/>
  <c r="E1045" i="10"/>
  <c r="E1046" i="10"/>
  <c r="E1047" i="10"/>
  <c r="E1048" i="10"/>
  <c r="E1049" i="10"/>
  <c r="E1050" i="10"/>
  <c r="E1051" i="10"/>
  <c r="E1052" i="10"/>
  <c r="E1053" i="10"/>
  <c r="E1054" i="10"/>
  <c r="E1055" i="10"/>
  <c r="E1056" i="10"/>
  <c r="E1057" i="10"/>
  <c r="E1058" i="10"/>
  <c r="E1059" i="10"/>
  <c r="E1060" i="10"/>
  <c r="E1061" i="10"/>
  <c r="E1062" i="10"/>
  <c r="E1063" i="10"/>
  <c r="E1064" i="10"/>
  <c r="E1065" i="10"/>
  <c r="E1066" i="10"/>
  <c r="E1067" i="10"/>
  <c r="E1068" i="10"/>
  <c r="E1069" i="10"/>
  <c r="E1070" i="10"/>
  <c r="E1071" i="10"/>
  <c r="E1072" i="10"/>
  <c r="E1073" i="10"/>
  <c r="E1074" i="10"/>
  <c r="E1075" i="10"/>
  <c r="E1076" i="10"/>
  <c r="E1077" i="10"/>
  <c r="E1078" i="10"/>
  <c r="E1079" i="10"/>
  <c r="E1080" i="10"/>
  <c r="E1081" i="10"/>
  <c r="E1082" i="10"/>
  <c r="E1083" i="10"/>
  <c r="E1084" i="10"/>
  <c r="E1085" i="10"/>
  <c r="E1086" i="10"/>
  <c r="E1087" i="10"/>
  <c r="E1088" i="10"/>
  <c r="E1089" i="10"/>
  <c r="E1090" i="10"/>
  <c r="E1091" i="10"/>
  <c r="E1092" i="10"/>
  <c r="E1093" i="10"/>
  <c r="E1094" i="10"/>
  <c r="E1095" i="10"/>
  <c r="E1096" i="10"/>
  <c r="E1097" i="10"/>
  <c r="E1098" i="10"/>
  <c r="E1099" i="10"/>
  <c r="E1100" i="10"/>
  <c r="E1101" i="10"/>
  <c r="E1102" i="10"/>
  <c r="E1103" i="10"/>
  <c r="E1104" i="10"/>
  <c r="E1105" i="10"/>
  <c r="E1106" i="10"/>
  <c r="E1107" i="10"/>
  <c r="E1108" i="10"/>
  <c r="E1109" i="10"/>
  <c r="E1110" i="10"/>
  <c r="E1111" i="10"/>
  <c r="E1112" i="10"/>
  <c r="E1113" i="10"/>
  <c r="E1114" i="10"/>
  <c r="E1115" i="10"/>
  <c r="E1116" i="10"/>
  <c r="E1117" i="10"/>
  <c r="E1118" i="10"/>
  <c r="E1119" i="10"/>
  <c r="E1120" i="10"/>
  <c r="E1121" i="10"/>
  <c r="E1122" i="10"/>
  <c r="E1123" i="10"/>
  <c r="E1124" i="10"/>
  <c r="E1125" i="10"/>
  <c r="E1126" i="10"/>
  <c r="E1127" i="10"/>
  <c r="E1128" i="10"/>
  <c r="E1129" i="10"/>
  <c r="E1130" i="10"/>
  <c r="E1131" i="10"/>
  <c r="E1132" i="10"/>
  <c r="E1133" i="10"/>
  <c r="E1134" i="10"/>
  <c r="E1135" i="10"/>
  <c r="E1136" i="10"/>
  <c r="E1137" i="10"/>
  <c r="E1138" i="10"/>
  <c r="E1139" i="10"/>
  <c r="E1140" i="10"/>
  <c r="E1141" i="10"/>
  <c r="E1142" i="10"/>
  <c r="E1143" i="10"/>
  <c r="E1144" i="10"/>
  <c r="E1145" i="10"/>
  <c r="E1146" i="10"/>
  <c r="E1147" i="10"/>
  <c r="E1148" i="10"/>
  <c r="E1149" i="10"/>
  <c r="E1150" i="10"/>
  <c r="E1151" i="10"/>
  <c r="E1152" i="10"/>
  <c r="E1153" i="10"/>
  <c r="E1154" i="10"/>
  <c r="E1155" i="10"/>
  <c r="E1156" i="10"/>
  <c r="E1157" i="10"/>
  <c r="E1158" i="10"/>
  <c r="E1159" i="10"/>
  <c r="E1160" i="10"/>
  <c r="E1161" i="10"/>
  <c r="E1162" i="10"/>
  <c r="E1163" i="10"/>
  <c r="E1164" i="10"/>
  <c r="E1165" i="10"/>
  <c r="E1166" i="10"/>
  <c r="E1167" i="10"/>
  <c r="E1168" i="10"/>
  <c r="E1169" i="10"/>
  <c r="E1170" i="10"/>
  <c r="E1171" i="10"/>
  <c r="E1172" i="10"/>
  <c r="E1173" i="10"/>
  <c r="E1174" i="10"/>
  <c r="E1175" i="10"/>
  <c r="E1176" i="10"/>
  <c r="E1177" i="10"/>
  <c r="E1178" i="10"/>
  <c r="E1179" i="10"/>
  <c r="E1180" i="10"/>
  <c r="E1181" i="10"/>
  <c r="E1182" i="10"/>
  <c r="E1183" i="10"/>
  <c r="E1184" i="10"/>
  <c r="E1185" i="10"/>
  <c r="E1186" i="10"/>
  <c r="E1187" i="10"/>
  <c r="E1188" i="10"/>
  <c r="E1189" i="10"/>
  <c r="E1190" i="10"/>
  <c r="E1191" i="10"/>
  <c r="E1192" i="10"/>
  <c r="E1193" i="10"/>
  <c r="E1194" i="10"/>
  <c r="E1195" i="10"/>
  <c r="E1196" i="10"/>
  <c r="E1197" i="10"/>
  <c r="E1198" i="10"/>
  <c r="E1199" i="10"/>
  <c r="E1200" i="10"/>
  <c r="E1201" i="10"/>
  <c r="E1202" i="10"/>
  <c r="E1203" i="10"/>
  <c r="E1204" i="10"/>
  <c r="E1205" i="10"/>
  <c r="E1206" i="10"/>
  <c r="E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C276" i="10"/>
  <c r="C277" i="10"/>
  <c r="C278" i="10"/>
  <c r="C279" i="10"/>
  <c r="C280" i="10"/>
  <c r="C281" i="10"/>
  <c r="C282" i="10"/>
  <c r="C283" i="10"/>
  <c r="C284" i="10"/>
  <c r="C285" i="10"/>
  <c r="C286" i="10"/>
  <c r="C287" i="10"/>
  <c r="C288" i="10"/>
  <c r="C289" i="10"/>
  <c r="C290" i="10"/>
  <c r="C291" i="10"/>
  <c r="C292" i="10"/>
  <c r="C293" i="10"/>
  <c r="C294" i="10"/>
  <c r="C295" i="10"/>
  <c r="C296" i="10"/>
  <c r="C297" i="10"/>
  <c r="C298" i="10"/>
  <c r="C299" i="10"/>
  <c r="C300" i="10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314" i="10"/>
  <c r="C315" i="10"/>
  <c r="C316" i="10"/>
  <c r="C317" i="10"/>
  <c r="C318" i="10"/>
  <c r="C319" i="10"/>
  <c r="C320" i="10"/>
  <c r="C321" i="10"/>
  <c r="C322" i="10"/>
  <c r="C323" i="10"/>
  <c r="C324" i="10"/>
  <c r="C325" i="10"/>
  <c r="C326" i="10"/>
  <c r="C327" i="10"/>
  <c r="C328" i="10"/>
  <c r="C329" i="10"/>
  <c r="C330" i="10"/>
  <c r="C331" i="10"/>
  <c r="C332" i="10"/>
  <c r="C333" i="10"/>
  <c r="C334" i="10"/>
  <c r="C335" i="10"/>
  <c r="C336" i="10"/>
  <c r="C337" i="10"/>
  <c r="C338" i="10"/>
  <c r="C339" i="10"/>
  <c r="C340" i="10"/>
  <c r="C341" i="10"/>
  <c r="C342" i="10"/>
  <c r="C343" i="10"/>
  <c r="C344" i="10"/>
  <c r="C345" i="10"/>
  <c r="C346" i="10"/>
  <c r="C347" i="10"/>
  <c r="C348" i="10"/>
  <c r="C349" i="10"/>
  <c r="C350" i="10"/>
  <c r="C351" i="10"/>
  <c r="C352" i="10"/>
  <c r="C353" i="10"/>
  <c r="C354" i="10"/>
  <c r="C355" i="10"/>
  <c r="C356" i="10"/>
  <c r="C357" i="10"/>
  <c r="C358" i="10"/>
  <c r="C359" i="10"/>
  <c r="C360" i="10"/>
  <c r="C361" i="10"/>
  <c r="C362" i="10"/>
  <c r="C363" i="10"/>
  <c r="C364" i="10"/>
  <c r="C365" i="10"/>
  <c r="C366" i="10"/>
  <c r="C367" i="10"/>
  <c r="C368" i="10"/>
  <c r="C369" i="10"/>
  <c r="C370" i="10"/>
  <c r="C371" i="10"/>
  <c r="C372" i="10"/>
  <c r="C373" i="10"/>
  <c r="C374" i="10"/>
  <c r="C375" i="10"/>
  <c r="C376" i="10"/>
  <c r="C377" i="10"/>
  <c r="C378" i="10"/>
  <c r="C379" i="10"/>
  <c r="C380" i="10"/>
  <c r="C381" i="10"/>
  <c r="C382" i="10"/>
  <c r="C383" i="10"/>
  <c r="C384" i="10"/>
  <c r="C385" i="10"/>
  <c r="C386" i="10"/>
  <c r="C387" i="10"/>
  <c r="C388" i="10"/>
  <c r="C389" i="10"/>
  <c r="C390" i="10"/>
  <c r="C391" i="10"/>
  <c r="C392" i="10"/>
  <c r="C393" i="10"/>
  <c r="C394" i="10"/>
  <c r="C395" i="10"/>
  <c r="C396" i="10"/>
  <c r="C397" i="10"/>
  <c r="C398" i="10"/>
  <c r="C399" i="10"/>
  <c r="C400" i="10"/>
  <c r="C401" i="10"/>
  <c r="C402" i="10"/>
  <c r="C403" i="10"/>
  <c r="C404" i="10"/>
  <c r="C405" i="10"/>
  <c r="C406" i="10"/>
  <c r="C407" i="10"/>
  <c r="C408" i="10"/>
  <c r="C409" i="10"/>
  <c r="C410" i="10"/>
  <c r="C411" i="10"/>
  <c r="C412" i="10"/>
  <c r="C413" i="10"/>
  <c r="C414" i="10"/>
  <c r="C415" i="10"/>
  <c r="C416" i="10"/>
  <c r="C417" i="10"/>
  <c r="C418" i="10"/>
  <c r="C419" i="10"/>
  <c r="C420" i="10"/>
  <c r="C421" i="10"/>
  <c r="C422" i="10"/>
  <c r="C423" i="10"/>
  <c r="C424" i="10"/>
  <c r="C425" i="10"/>
  <c r="C426" i="10"/>
  <c r="C427" i="10"/>
  <c r="C428" i="10"/>
  <c r="C429" i="10"/>
  <c r="C430" i="10"/>
  <c r="C431" i="10"/>
  <c r="C432" i="10"/>
  <c r="C433" i="10"/>
  <c r="C434" i="10"/>
  <c r="C435" i="10"/>
  <c r="C436" i="10"/>
  <c r="C437" i="10"/>
  <c r="C438" i="10"/>
  <c r="C439" i="10"/>
  <c r="C440" i="10"/>
  <c r="C441" i="10"/>
  <c r="C442" i="10"/>
  <c r="C443" i="10"/>
  <c r="C444" i="10"/>
  <c r="C445" i="10"/>
  <c r="C446" i="10"/>
  <c r="C447" i="10"/>
  <c r="C448" i="10"/>
  <c r="C449" i="10"/>
  <c r="C450" i="10"/>
  <c r="C451" i="10"/>
  <c r="C452" i="10"/>
  <c r="C453" i="10"/>
  <c r="C454" i="10"/>
  <c r="C455" i="10"/>
  <c r="C456" i="10"/>
  <c r="C457" i="10"/>
  <c r="C458" i="10"/>
  <c r="C459" i="10"/>
  <c r="C460" i="10"/>
  <c r="C461" i="10"/>
  <c r="C462" i="10"/>
  <c r="C463" i="10"/>
  <c r="C464" i="10"/>
  <c r="C465" i="10"/>
  <c r="C466" i="10"/>
  <c r="C467" i="10"/>
  <c r="C468" i="10"/>
  <c r="C469" i="10"/>
  <c r="C470" i="10"/>
  <c r="C471" i="10"/>
  <c r="C472" i="10"/>
  <c r="C473" i="10"/>
  <c r="C474" i="10"/>
  <c r="C475" i="10"/>
  <c r="C476" i="10"/>
  <c r="C477" i="10"/>
  <c r="C478" i="10"/>
  <c r="C479" i="10"/>
  <c r="C480" i="10"/>
  <c r="C481" i="10"/>
  <c r="C482" i="10"/>
  <c r="C483" i="10"/>
  <c r="C484" i="10"/>
  <c r="C485" i="10"/>
  <c r="C486" i="10"/>
  <c r="C487" i="10"/>
  <c r="C488" i="10"/>
  <c r="C489" i="10"/>
  <c r="C490" i="10"/>
  <c r="C491" i="10"/>
  <c r="C492" i="10"/>
  <c r="C493" i="10"/>
  <c r="C494" i="10"/>
  <c r="C495" i="10"/>
  <c r="C496" i="10"/>
  <c r="C497" i="10"/>
  <c r="C498" i="10"/>
  <c r="C499" i="10"/>
  <c r="C500" i="10"/>
  <c r="C501" i="10"/>
  <c r="C502" i="10"/>
  <c r="C503" i="10"/>
  <c r="C504" i="10"/>
  <c r="C505" i="10"/>
  <c r="C506" i="10"/>
  <c r="C507" i="10"/>
  <c r="C508" i="10"/>
  <c r="C509" i="10"/>
  <c r="C510" i="10"/>
  <c r="C511" i="10"/>
  <c r="C512" i="10"/>
  <c r="C513" i="10"/>
  <c r="C514" i="10"/>
  <c r="C515" i="10"/>
  <c r="C516" i="10"/>
  <c r="C517" i="10"/>
  <c r="C518" i="10"/>
  <c r="C519" i="10"/>
  <c r="C520" i="10"/>
  <c r="C521" i="10"/>
  <c r="C522" i="10"/>
  <c r="C523" i="10"/>
  <c r="C524" i="10"/>
  <c r="C525" i="10"/>
  <c r="C526" i="10"/>
  <c r="C527" i="10"/>
  <c r="C528" i="10"/>
  <c r="C529" i="10"/>
  <c r="C530" i="10"/>
  <c r="C531" i="10"/>
  <c r="C532" i="10"/>
  <c r="C533" i="10"/>
  <c r="C534" i="10"/>
  <c r="C535" i="10"/>
  <c r="C536" i="10"/>
  <c r="C537" i="10"/>
  <c r="C538" i="10"/>
  <c r="C539" i="10"/>
  <c r="C540" i="10"/>
  <c r="C541" i="10"/>
  <c r="C542" i="10"/>
  <c r="C543" i="10"/>
  <c r="C544" i="10"/>
  <c r="C545" i="10"/>
  <c r="C546" i="10"/>
  <c r="C547" i="10"/>
  <c r="C548" i="10"/>
  <c r="C549" i="10"/>
  <c r="C550" i="10"/>
  <c r="C551" i="10"/>
  <c r="C552" i="10"/>
  <c r="C553" i="10"/>
  <c r="C554" i="10"/>
  <c r="C555" i="10"/>
  <c r="C556" i="10"/>
  <c r="C557" i="10"/>
  <c r="C558" i="10"/>
  <c r="C559" i="10"/>
  <c r="C560" i="10"/>
  <c r="C561" i="10"/>
  <c r="C562" i="10"/>
  <c r="C563" i="10"/>
  <c r="C564" i="10"/>
  <c r="C565" i="10"/>
  <c r="C566" i="10"/>
  <c r="C567" i="10"/>
  <c r="C568" i="10"/>
  <c r="C569" i="10"/>
  <c r="C570" i="10"/>
  <c r="C571" i="10"/>
  <c r="C572" i="10"/>
  <c r="C573" i="10"/>
  <c r="C574" i="10"/>
  <c r="C575" i="10"/>
  <c r="C576" i="10"/>
  <c r="C577" i="10"/>
  <c r="C578" i="10"/>
  <c r="C579" i="10"/>
  <c r="C580" i="10"/>
  <c r="C581" i="10"/>
  <c r="C582" i="10"/>
  <c r="C583" i="10"/>
  <c r="C584" i="10"/>
  <c r="C585" i="10"/>
  <c r="C586" i="10"/>
  <c r="C587" i="10"/>
  <c r="C588" i="10"/>
  <c r="C589" i="10"/>
  <c r="C590" i="10"/>
  <c r="C591" i="10"/>
  <c r="C592" i="10"/>
  <c r="C593" i="10"/>
  <c r="C594" i="10"/>
  <c r="C595" i="10"/>
  <c r="C596" i="10"/>
  <c r="C597" i="10"/>
  <c r="C598" i="10"/>
  <c r="C599" i="10"/>
  <c r="C600" i="10"/>
  <c r="C601" i="10"/>
  <c r="C602" i="10"/>
  <c r="C603" i="10"/>
  <c r="C604" i="10"/>
  <c r="C605" i="10"/>
  <c r="C606" i="10"/>
  <c r="C607" i="10"/>
  <c r="C608" i="10"/>
  <c r="C609" i="10"/>
  <c r="C610" i="10"/>
  <c r="C611" i="10"/>
  <c r="C612" i="10"/>
  <c r="C613" i="10"/>
  <c r="C614" i="10"/>
  <c r="C615" i="10"/>
  <c r="C616" i="10"/>
  <c r="C617" i="10"/>
  <c r="C618" i="10"/>
  <c r="C619" i="10"/>
  <c r="C620" i="10"/>
  <c r="C621" i="10"/>
  <c r="C622" i="10"/>
  <c r="C623" i="10"/>
  <c r="C624" i="10"/>
  <c r="C625" i="10"/>
  <c r="C626" i="10"/>
  <c r="C627" i="10"/>
  <c r="C628" i="10"/>
  <c r="C629" i="10"/>
  <c r="C630" i="10"/>
  <c r="C631" i="10"/>
  <c r="C632" i="10"/>
  <c r="C633" i="10"/>
  <c r="C634" i="10"/>
  <c r="C635" i="10"/>
  <c r="C636" i="10"/>
  <c r="C637" i="10"/>
  <c r="C638" i="10"/>
  <c r="C639" i="10"/>
  <c r="C640" i="10"/>
  <c r="C641" i="10"/>
  <c r="C642" i="10"/>
  <c r="C643" i="10"/>
  <c r="C644" i="10"/>
  <c r="C645" i="10"/>
  <c r="C646" i="10"/>
  <c r="C647" i="10"/>
  <c r="C648" i="10"/>
  <c r="C649" i="10"/>
  <c r="C650" i="10"/>
  <c r="C651" i="10"/>
  <c r="C652" i="10"/>
  <c r="C653" i="10"/>
  <c r="C654" i="10"/>
  <c r="C655" i="10"/>
  <c r="C656" i="10"/>
  <c r="C657" i="10"/>
  <c r="C658" i="10"/>
  <c r="C659" i="10"/>
  <c r="C660" i="10"/>
  <c r="C661" i="10"/>
  <c r="C662" i="10"/>
  <c r="C663" i="10"/>
  <c r="C664" i="10"/>
  <c r="C665" i="10"/>
  <c r="C666" i="10"/>
  <c r="C667" i="10"/>
  <c r="C668" i="10"/>
  <c r="C669" i="10"/>
  <c r="C670" i="10"/>
  <c r="C671" i="10"/>
  <c r="C672" i="10"/>
  <c r="C673" i="10"/>
  <c r="C674" i="10"/>
  <c r="C675" i="10"/>
  <c r="C676" i="10"/>
  <c r="C677" i="10"/>
  <c r="C678" i="10"/>
  <c r="C679" i="10"/>
  <c r="C680" i="10"/>
  <c r="C681" i="10"/>
  <c r="C682" i="10"/>
  <c r="C683" i="10"/>
  <c r="C684" i="10"/>
  <c r="C685" i="10"/>
  <c r="C686" i="10"/>
  <c r="C687" i="10"/>
  <c r="C688" i="10"/>
  <c r="C689" i="10"/>
  <c r="C690" i="10"/>
  <c r="C691" i="10"/>
  <c r="C692" i="10"/>
  <c r="C693" i="10"/>
  <c r="C694" i="10"/>
  <c r="C695" i="10"/>
  <c r="C696" i="10"/>
  <c r="C697" i="10"/>
  <c r="C698" i="10"/>
  <c r="C699" i="10"/>
  <c r="C700" i="10"/>
  <c r="C701" i="10"/>
  <c r="C702" i="10"/>
  <c r="C703" i="10"/>
  <c r="C704" i="10"/>
  <c r="C705" i="10"/>
  <c r="C706" i="10"/>
  <c r="C707" i="10"/>
  <c r="C708" i="10"/>
  <c r="C709" i="10"/>
  <c r="C710" i="10"/>
  <c r="C711" i="10"/>
  <c r="C712" i="10"/>
  <c r="C713" i="10"/>
  <c r="C714" i="10"/>
  <c r="C715" i="10"/>
  <c r="C716" i="10"/>
  <c r="C717" i="10"/>
  <c r="C718" i="10"/>
  <c r="C719" i="10"/>
  <c r="C720" i="10"/>
  <c r="C721" i="10"/>
  <c r="C722" i="10"/>
  <c r="C723" i="10"/>
  <c r="C724" i="10"/>
  <c r="C725" i="10"/>
  <c r="C726" i="10"/>
  <c r="C727" i="10"/>
  <c r="C728" i="10"/>
  <c r="C729" i="10"/>
  <c r="C730" i="10"/>
  <c r="C731" i="10"/>
  <c r="C732" i="10"/>
  <c r="C733" i="10"/>
  <c r="C734" i="10"/>
  <c r="C735" i="10"/>
  <c r="C736" i="10"/>
  <c r="C737" i="10"/>
  <c r="C738" i="10"/>
  <c r="C739" i="10"/>
  <c r="C740" i="10"/>
  <c r="C741" i="10"/>
  <c r="C742" i="10"/>
  <c r="C743" i="10"/>
  <c r="C744" i="10"/>
  <c r="C745" i="10"/>
  <c r="C746" i="10"/>
  <c r="C747" i="10"/>
  <c r="C748" i="10"/>
  <c r="C749" i="10"/>
  <c r="C750" i="10"/>
  <c r="C751" i="10"/>
  <c r="C752" i="10"/>
  <c r="C753" i="10"/>
  <c r="C754" i="10"/>
  <c r="C755" i="10"/>
  <c r="C756" i="10"/>
  <c r="C757" i="10"/>
  <c r="C758" i="10"/>
  <c r="C759" i="10"/>
  <c r="C760" i="10"/>
  <c r="C761" i="10"/>
  <c r="C762" i="10"/>
  <c r="C763" i="10"/>
  <c r="C764" i="10"/>
  <c r="C765" i="10"/>
  <c r="C766" i="10"/>
  <c r="C767" i="10"/>
  <c r="C768" i="10"/>
  <c r="C769" i="10"/>
  <c r="C770" i="10"/>
  <c r="C771" i="10"/>
  <c r="C772" i="10"/>
  <c r="C773" i="10"/>
  <c r="C774" i="10"/>
  <c r="C775" i="10"/>
  <c r="C776" i="10"/>
  <c r="C777" i="10"/>
  <c r="C778" i="10"/>
  <c r="C779" i="10"/>
  <c r="C780" i="10"/>
  <c r="C781" i="10"/>
  <c r="C782" i="10"/>
  <c r="C783" i="10"/>
  <c r="C784" i="10"/>
  <c r="C785" i="10"/>
  <c r="C786" i="10"/>
  <c r="C787" i="10"/>
  <c r="C788" i="10"/>
  <c r="C789" i="10"/>
  <c r="C790" i="10"/>
  <c r="C791" i="10"/>
  <c r="C792" i="10"/>
  <c r="C793" i="10"/>
  <c r="C794" i="10"/>
  <c r="C795" i="10"/>
  <c r="C796" i="10"/>
  <c r="C797" i="10"/>
  <c r="C798" i="10"/>
  <c r="C799" i="10"/>
  <c r="C800" i="10"/>
  <c r="C801" i="10"/>
  <c r="C802" i="10"/>
  <c r="C803" i="10"/>
  <c r="C804" i="10"/>
  <c r="C805" i="10"/>
  <c r="C806" i="10"/>
  <c r="C807" i="10"/>
  <c r="C808" i="10"/>
  <c r="C809" i="10"/>
  <c r="C810" i="10"/>
  <c r="C811" i="10"/>
  <c r="C812" i="10"/>
  <c r="C813" i="10"/>
  <c r="C814" i="10"/>
  <c r="C815" i="10"/>
  <c r="C816" i="10"/>
  <c r="C817" i="10"/>
  <c r="C818" i="10"/>
  <c r="C819" i="10"/>
  <c r="C820" i="10"/>
  <c r="C821" i="10"/>
  <c r="C822" i="10"/>
  <c r="C823" i="10"/>
  <c r="C824" i="10"/>
  <c r="C825" i="10"/>
  <c r="C826" i="10"/>
  <c r="C827" i="10"/>
  <c r="C828" i="10"/>
  <c r="C829" i="10"/>
  <c r="C830" i="10"/>
  <c r="C831" i="10"/>
  <c r="C832" i="10"/>
  <c r="C833" i="10"/>
  <c r="C834" i="10"/>
  <c r="C835" i="10"/>
  <c r="C836" i="10"/>
  <c r="C837" i="10"/>
  <c r="C838" i="10"/>
  <c r="C839" i="10"/>
  <c r="C840" i="10"/>
  <c r="C841" i="10"/>
  <c r="C842" i="10"/>
  <c r="C843" i="10"/>
  <c r="C844" i="10"/>
  <c r="C845" i="10"/>
  <c r="C846" i="10"/>
  <c r="C847" i="10"/>
  <c r="C848" i="10"/>
  <c r="C849" i="10"/>
  <c r="C850" i="10"/>
  <c r="C851" i="10"/>
  <c r="C852" i="10"/>
  <c r="C853" i="10"/>
  <c r="C854" i="10"/>
  <c r="C855" i="10"/>
  <c r="C856" i="10"/>
  <c r="C857" i="10"/>
  <c r="C858" i="10"/>
  <c r="C859" i="10"/>
  <c r="C860" i="10"/>
  <c r="C861" i="10"/>
  <c r="C862" i="10"/>
  <c r="C863" i="10"/>
  <c r="C864" i="10"/>
  <c r="C865" i="10"/>
  <c r="C866" i="10"/>
  <c r="C867" i="10"/>
  <c r="C868" i="10"/>
  <c r="C869" i="10"/>
  <c r="C870" i="10"/>
  <c r="C871" i="10"/>
  <c r="C872" i="10"/>
  <c r="C873" i="10"/>
  <c r="C874" i="10"/>
  <c r="C875" i="10"/>
  <c r="C876" i="10"/>
  <c r="C877" i="10"/>
  <c r="C878" i="10"/>
  <c r="C879" i="10"/>
  <c r="C880" i="10"/>
  <c r="C881" i="10"/>
  <c r="C882" i="10"/>
  <c r="C883" i="10"/>
  <c r="C884" i="10"/>
  <c r="C885" i="10"/>
  <c r="C886" i="10"/>
  <c r="C887" i="10"/>
  <c r="C888" i="10"/>
  <c r="C889" i="10"/>
  <c r="C890" i="10"/>
  <c r="C891" i="10"/>
  <c r="C892" i="10"/>
  <c r="C893" i="10"/>
  <c r="C894" i="10"/>
  <c r="C895" i="10"/>
  <c r="C896" i="10"/>
  <c r="C897" i="10"/>
  <c r="C898" i="10"/>
  <c r="C899" i="10"/>
  <c r="C900" i="10"/>
  <c r="C901" i="10"/>
  <c r="C902" i="10"/>
  <c r="C903" i="10"/>
  <c r="C904" i="10"/>
  <c r="C905" i="10"/>
  <c r="C906" i="10"/>
  <c r="C907" i="10"/>
  <c r="C908" i="10"/>
  <c r="C909" i="10"/>
  <c r="C910" i="10"/>
  <c r="C911" i="10"/>
  <c r="C912" i="10"/>
  <c r="C913" i="10"/>
  <c r="C914" i="10"/>
  <c r="C915" i="10"/>
  <c r="C916" i="10"/>
  <c r="C917" i="10"/>
  <c r="C918" i="10"/>
  <c r="C919" i="10"/>
  <c r="C920" i="10"/>
  <c r="C921" i="10"/>
  <c r="C922" i="10"/>
  <c r="C923" i="10"/>
  <c r="C924" i="10"/>
  <c r="C925" i="10"/>
  <c r="C926" i="10"/>
  <c r="C927" i="10"/>
  <c r="C928" i="10"/>
  <c r="C929" i="10"/>
  <c r="C930" i="10"/>
  <c r="C931" i="10"/>
  <c r="C932" i="10"/>
  <c r="C933" i="10"/>
  <c r="C934" i="10"/>
  <c r="C935" i="10"/>
  <c r="C936" i="10"/>
  <c r="C937" i="10"/>
  <c r="C938" i="10"/>
  <c r="C939" i="10"/>
  <c r="C940" i="10"/>
  <c r="C941" i="10"/>
  <c r="C942" i="10"/>
  <c r="C943" i="10"/>
  <c r="C944" i="10"/>
  <c r="C945" i="10"/>
  <c r="C946" i="10"/>
  <c r="C947" i="10"/>
  <c r="C948" i="10"/>
  <c r="C949" i="10"/>
  <c r="C950" i="10"/>
  <c r="C951" i="10"/>
  <c r="C952" i="10"/>
  <c r="C953" i="10"/>
  <c r="C954" i="10"/>
  <c r="C955" i="10"/>
  <c r="C956" i="10"/>
  <c r="C957" i="10"/>
  <c r="C958" i="10"/>
  <c r="C959" i="10"/>
  <c r="C960" i="10"/>
  <c r="C961" i="10"/>
  <c r="C962" i="10"/>
  <c r="C963" i="10"/>
  <c r="C964" i="10"/>
  <c r="C965" i="10"/>
  <c r="C966" i="10"/>
  <c r="C967" i="10"/>
  <c r="C968" i="10"/>
  <c r="C969" i="10"/>
  <c r="C970" i="10"/>
  <c r="C971" i="10"/>
  <c r="C972" i="10"/>
  <c r="C973" i="10"/>
  <c r="C974" i="10"/>
  <c r="C975" i="10"/>
  <c r="C976" i="10"/>
  <c r="C977" i="10"/>
  <c r="C978" i="10"/>
  <c r="C979" i="10"/>
  <c r="C980" i="10"/>
  <c r="C981" i="10"/>
  <c r="C982" i="10"/>
  <c r="C983" i="10"/>
  <c r="C984" i="10"/>
  <c r="C985" i="10"/>
  <c r="C986" i="10"/>
  <c r="C987" i="10"/>
  <c r="C988" i="10"/>
  <c r="C989" i="10"/>
  <c r="C990" i="10"/>
  <c r="C991" i="10"/>
  <c r="C992" i="10"/>
  <c r="C993" i="10"/>
  <c r="C994" i="10"/>
  <c r="C995" i="10"/>
  <c r="C996" i="10"/>
  <c r="C997" i="10"/>
  <c r="C998" i="10"/>
  <c r="C999" i="10"/>
  <c r="C1000" i="10"/>
  <c r="C1001" i="10"/>
  <c r="C1002" i="10"/>
  <c r="C1003" i="10"/>
  <c r="C1004" i="10"/>
  <c r="C1005" i="10"/>
  <c r="C1006" i="10"/>
  <c r="C1007" i="10"/>
  <c r="C1008" i="10"/>
  <c r="C1009" i="10"/>
  <c r="C1010" i="10"/>
  <c r="C1011" i="10"/>
  <c r="C1012" i="10"/>
  <c r="C1013" i="10"/>
  <c r="C1014" i="10"/>
  <c r="C1015" i="10"/>
  <c r="C1016" i="10"/>
  <c r="C1017" i="10"/>
  <c r="C1018" i="10"/>
  <c r="C1019" i="10"/>
  <c r="C1020" i="10"/>
  <c r="C1021" i="10"/>
  <c r="C1022" i="10"/>
  <c r="C1023" i="10"/>
  <c r="C1024" i="10"/>
  <c r="C1025" i="10"/>
  <c r="C1026" i="10"/>
  <c r="C1027" i="10"/>
  <c r="C1028" i="10"/>
  <c r="C1029" i="10"/>
  <c r="C1030" i="10"/>
  <c r="C1031" i="10"/>
  <c r="C1032" i="10"/>
  <c r="C1033" i="10"/>
  <c r="C1034" i="10"/>
  <c r="C1035" i="10"/>
  <c r="C1036" i="10"/>
  <c r="C1037" i="10"/>
  <c r="C1038" i="10"/>
  <c r="C1039" i="10"/>
  <c r="C1040" i="10"/>
  <c r="C1041" i="10"/>
  <c r="C1042" i="10"/>
  <c r="C1043" i="10"/>
  <c r="C1044" i="10"/>
  <c r="C1045" i="10"/>
  <c r="C1046" i="10"/>
  <c r="C1047" i="10"/>
  <c r="C1048" i="10"/>
  <c r="C1049" i="10"/>
  <c r="C1050" i="10"/>
  <c r="C1051" i="10"/>
  <c r="C1052" i="10"/>
  <c r="C1053" i="10"/>
  <c r="C1054" i="10"/>
  <c r="C1055" i="10"/>
  <c r="C1056" i="10"/>
  <c r="C1057" i="10"/>
  <c r="C1058" i="10"/>
  <c r="C1059" i="10"/>
  <c r="C1060" i="10"/>
  <c r="C1061" i="10"/>
  <c r="C1062" i="10"/>
  <c r="C1063" i="10"/>
  <c r="C1064" i="10"/>
  <c r="C1065" i="10"/>
  <c r="C1066" i="10"/>
  <c r="C1067" i="10"/>
  <c r="C1068" i="10"/>
  <c r="C1069" i="10"/>
  <c r="C1070" i="10"/>
  <c r="C1071" i="10"/>
  <c r="C1072" i="10"/>
  <c r="C1073" i="10"/>
  <c r="C1074" i="10"/>
  <c r="C1075" i="10"/>
  <c r="C1076" i="10"/>
  <c r="C1077" i="10"/>
  <c r="C1078" i="10"/>
  <c r="C1079" i="10"/>
  <c r="C1080" i="10"/>
  <c r="C1081" i="10"/>
  <c r="C1082" i="10"/>
  <c r="C1083" i="10"/>
  <c r="C1084" i="10"/>
  <c r="C1085" i="10"/>
  <c r="C1086" i="10"/>
  <c r="C1087" i="10"/>
  <c r="C1088" i="10"/>
  <c r="C1089" i="10"/>
  <c r="C1090" i="10"/>
  <c r="C1091" i="10"/>
  <c r="C1092" i="10"/>
  <c r="C1093" i="10"/>
  <c r="C1094" i="10"/>
  <c r="C1095" i="10"/>
  <c r="C1096" i="10"/>
  <c r="C1097" i="10"/>
  <c r="C1098" i="10"/>
  <c r="C1099" i="10"/>
  <c r="C1100" i="10"/>
  <c r="C1101" i="10"/>
  <c r="C1102" i="10"/>
  <c r="C1103" i="10"/>
  <c r="C1104" i="10"/>
  <c r="C1105" i="10"/>
  <c r="C1106" i="10"/>
  <c r="C1107" i="10"/>
  <c r="C1108" i="10"/>
  <c r="C1109" i="10"/>
  <c r="C1110" i="10"/>
  <c r="C1111" i="10"/>
  <c r="C1112" i="10"/>
  <c r="C1113" i="10"/>
  <c r="C1114" i="10"/>
  <c r="C1115" i="10"/>
  <c r="C1116" i="10"/>
  <c r="C1117" i="10"/>
  <c r="C1118" i="10"/>
  <c r="C1119" i="10"/>
  <c r="C1120" i="10"/>
  <c r="C1121" i="10"/>
  <c r="C1122" i="10"/>
  <c r="C1123" i="10"/>
  <c r="C1124" i="10"/>
  <c r="C1125" i="10"/>
  <c r="C1126" i="10"/>
  <c r="C1127" i="10"/>
  <c r="C1128" i="10"/>
  <c r="C1129" i="10"/>
  <c r="C1130" i="10"/>
  <c r="C1131" i="10"/>
  <c r="C1132" i="10"/>
  <c r="C1133" i="10"/>
  <c r="C1134" i="10"/>
  <c r="C1135" i="10"/>
  <c r="C1136" i="10"/>
  <c r="C1137" i="10"/>
  <c r="C1138" i="10"/>
  <c r="C1139" i="10"/>
  <c r="C1140" i="10"/>
  <c r="C1141" i="10"/>
  <c r="C1142" i="10"/>
  <c r="C1143" i="10"/>
  <c r="C1144" i="10"/>
  <c r="C1145" i="10"/>
  <c r="C1146" i="10"/>
  <c r="C1147" i="10"/>
  <c r="C1148" i="10"/>
  <c r="C1149" i="10"/>
  <c r="C1150" i="10"/>
  <c r="C1151" i="10"/>
  <c r="C1152" i="10"/>
  <c r="C1153" i="10"/>
  <c r="C1154" i="10"/>
  <c r="C1155" i="10"/>
  <c r="C1156" i="10"/>
  <c r="C1157" i="10"/>
  <c r="C1158" i="10"/>
  <c r="C1159" i="10"/>
  <c r="C1160" i="10"/>
  <c r="C1161" i="10"/>
  <c r="C1162" i="10"/>
  <c r="C1163" i="10"/>
  <c r="C1164" i="10"/>
  <c r="C1165" i="10"/>
  <c r="C1166" i="10"/>
  <c r="C1167" i="10"/>
  <c r="C1168" i="10"/>
  <c r="C1169" i="10"/>
  <c r="C1170" i="10"/>
  <c r="C1171" i="10"/>
  <c r="C1172" i="10"/>
  <c r="C1173" i="10"/>
  <c r="C1174" i="10"/>
  <c r="C1175" i="10"/>
  <c r="C1176" i="10"/>
  <c r="C1177" i="10"/>
  <c r="C1178" i="10"/>
  <c r="C1179" i="10"/>
  <c r="C1180" i="10"/>
  <c r="C1181" i="10"/>
  <c r="C1182" i="10"/>
  <c r="C1183" i="10"/>
  <c r="C1184" i="10"/>
  <c r="C1185" i="10"/>
  <c r="C1186" i="10"/>
  <c r="C1187" i="10"/>
  <c r="C1188" i="10"/>
  <c r="C1189" i="10"/>
  <c r="C1190" i="10"/>
  <c r="C1191" i="10"/>
  <c r="C1192" i="10"/>
  <c r="C1193" i="10"/>
  <c r="C1194" i="10"/>
  <c r="C1195" i="10"/>
  <c r="C1196" i="10"/>
  <c r="C1197" i="10"/>
  <c r="C1198" i="10"/>
  <c r="C1199" i="10"/>
  <c r="C1200" i="10"/>
  <c r="C1201" i="10"/>
  <c r="C1202" i="10"/>
  <c r="C1203" i="10"/>
  <c r="C1204" i="10"/>
  <c r="C1205" i="10"/>
  <c r="C1206" i="10"/>
  <c r="C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7" i="10"/>
  <c r="B368" i="10"/>
  <c r="B369" i="10"/>
  <c r="B370" i="10"/>
  <c r="B371" i="10"/>
  <c r="B372" i="10"/>
  <c r="B373" i="10"/>
  <c r="B374" i="10"/>
  <c r="B375" i="10"/>
  <c r="B376" i="10"/>
  <c r="B377" i="10"/>
  <c r="B378" i="10"/>
  <c r="B379" i="10"/>
  <c r="B380" i="10"/>
  <c r="B381" i="10"/>
  <c r="B382" i="10"/>
  <c r="B383" i="10"/>
  <c r="B384" i="10"/>
  <c r="B385" i="10"/>
  <c r="B386" i="10"/>
  <c r="B387" i="10"/>
  <c r="B388" i="10"/>
  <c r="B389" i="10"/>
  <c r="B390" i="10"/>
  <c r="B391" i="10"/>
  <c r="B392" i="10"/>
  <c r="B393" i="10"/>
  <c r="B394" i="10"/>
  <c r="B395" i="10"/>
  <c r="B396" i="10"/>
  <c r="B397" i="10"/>
  <c r="B398" i="10"/>
  <c r="B399" i="10"/>
  <c r="B400" i="10"/>
  <c r="B401" i="10"/>
  <c r="B402" i="10"/>
  <c r="B403" i="10"/>
  <c r="B404" i="10"/>
  <c r="B405" i="10"/>
  <c r="B406" i="10"/>
  <c r="B407" i="10"/>
  <c r="B408" i="10"/>
  <c r="B409" i="10"/>
  <c r="B410" i="10"/>
  <c r="B411" i="10"/>
  <c r="B412" i="10"/>
  <c r="B413" i="10"/>
  <c r="B414" i="10"/>
  <c r="B415" i="10"/>
  <c r="B416" i="10"/>
  <c r="B417" i="10"/>
  <c r="B418" i="10"/>
  <c r="B419" i="10"/>
  <c r="B420" i="10"/>
  <c r="B421" i="10"/>
  <c r="B422" i="10"/>
  <c r="B423" i="10"/>
  <c r="B424" i="10"/>
  <c r="B425" i="10"/>
  <c r="B426" i="10"/>
  <c r="B427" i="10"/>
  <c r="B428" i="10"/>
  <c r="B429" i="10"/>
  <c r="B430" i="10"/>
  <c r="B431" i="10"/>
  <c r="B432" i="10"/>
  <c r="B433" i="10"/>
  <c r="B434" i="10"/>
  <c r="B435" i="10"/>
  <c r="B436" i="10"/>
  <c r="B437" i="10"/>
  <c r="B438" i="10"/>
  <c r="B439" i="10"/>
  <c r="B440" i="10"/>
  <c r="B441" i="10"/>
  <c r="B442" i="10"/>
  <c r="B443" i="10"/>
  <c r="B444" i="10"/>
  <c r="B445" i="10"/>
  <c r="B446" i="10"/>
  <c r="B447" i="10"/>
  <c r="B448" i="10"/>
  <c r="B449" i="10"/>
  <c r="B450" i="10"/>
  <c r="B451" i="10"/>
  <c r="B452" i="10"/>
  <c r="B453" i="10"/>
  <c r="B454" i="10"/>
  <c r="B455" i="10"/>
  <c r="B456" i="10"/>
  <c r="B457" i="10"/>
  <c r="B458" i="10"/>
  <c r="B459" i="10"/>
  <c r="B460" i="10"/>
  <c r="B461" i="10"/>
  <c r="B462" i="10"/>
  <c r="B463" i="10"/>
  <c r="B464" i="10"/>
  <c r="B465" i="10"/>
  <c r="B466" i="10"/>
  <c r="B467" i="10"/>
  <c r="B468" i="10"/>
  <c r="B469" i="10"/>
  <c r="B470" i="10"/>
  <c r="B471" i="10"/>
  <c r="B472" i="10"/>
  <c r="B473" i="10"/>
  <c r="B474" i="10"/>
  <c r="B475" i="10"/>
  <c r="B476" i="10"/>
  <c r="B477" i="10"/>
  <c r="B478" i="10"/>
  <c r="B479" i="10"/>
  <c r="B480" i="10"/>
  <c r="B481" i="10"/>
  <c r="B482" i="10"/>
  <c r="B483" i="10"/>
  <c r="B484" i="10"/>
  <c r="B485" i="10"/>
  <c r="B486" i="10"/>
  <c r="B487" i="10"/>
  <c r="B488" i="10"/>
  <c r="B489" i="10"/>
  <c r="B490" i="10"/>
  <c r="B491" i="10"/>
  <c r="B492" i="10"/>
  <c r="B493" i="10"/>
  <c r="B494" i="10"/>
  <c r="B495" i="10"/>
  <c r="B496" i="10"/>
  <c r="B497" i="10"/>
  <c r="B498" i="10"/>
  <c r="B499" i="10"/>
  <c r="B500" i="10"/>
  <c r="B501" i="10"/>
  <c r="B502" i="10"/>
  <c r="B503" i="10"/>
  <c r="B504" i="10"/>
  <c r="B505" i="10"/>
  <c r="B506" i="10"/>
  <c r="B507" i="10"/>
  <c r="B508" i="10"/>
  <c r="B509" i="10"/>
  <c r="B510" i="10"/>
  <c r="B511" i="10"/>
  <c r="B512" i="10"/>
  <c r="B513" i="10"/>
  <c r="B514" i="10"/>
  <c r="B515" i="10"/>
  <c r="B516" i="10"/>
  <c r="B517" i="10"/>
  <c r="B518" i="10"/>
  <c r="B519" i="10"/>
  <c r="B520" i="10"/>
  <c r="B521" i="10"/>
  <c r="B522" i="10"/>
  <c r="B523" i="10"/>
  <c r="B524" i="10"/>
  <c r="B525" i="10"/>
  <c r="B526" i="10"/>
  <c r="B527" i="10"/>
  <c r="B528" i="10"/>
  <c r="B529" i="10"/>
  <c r="B530" i="10"/>
  <c r="B531" i="10"/>
  <c r="B532" i="10"/>
  <c r="B533" i="10"/>
  <c r="B534" i="10"/>
  <c r="B535" i="10"/>
  <c r="B536" i="10"/>
  <c r="B537" i="10"/>
  <c r="B538" i="10"/>
  <c r="B539" i="10"/>
  <c r="B540" i="10"/>
  <c r="B541" i="10"/>
  <c r="B542" i="10"/>
  <c r="B543" i="10"/>
  <c r="B544" i="10"/>
  <c r="B545" i="10"/>
  <c r="B546" i="10"/>
  <c r="B547" i="10"/>
  <c r="B548" i="10"/>
  <c r="B549" i="10"/>
  <c r="B550" i="10"/>
  <c r="B551" i="10"/>
  <c r="B552" i="10"/>
  <c r="B553" i="10"/>
  <c r="B554" i="10"/>
  <c r="B555" i="10"/>
  <c r="B556" i="10"/>
  <c r="B557" i="10"/>
  <c r="B558" i="10"/>
  <c r="B559" i="10"/>
  <c r="B560" i="10"/>
  <c r="B561" i="10"/>
  <c r="B562" i="10"/>
  <c r="B563" i="10"/>
  <c r="B564" i="10"/>
  <c r="B565" i="10"/>
  <c r="B566" i="10"/>
  <c r="B567" i="10"/>
  <c r="B568" i="10"/>
  <c r="B569" i="10"/>
  <c r="B570" i="10"/>
  <c r="B571" i="10"/>
  <c r="B572" i="10"/>
  <c r="B573" i="10"/>
  <c r="B574" i="10"/>
  <c r="B575" i="10"/>
  <c r="B576" i="10"/>
  <c r="B577" i="10"/>
  <c r="B578" i="10"/>
  <c r="B579" i="10"/>
  <c r="B580" i="10"/>
  <c r="B581" i="10"/>
  <c r="B582" i="10"/>
  <c r="B583" i="10"/>
  <c r="B584" i="10"/>
  <c r="B585" i="10"/>
  <c r="B586" i="10"/>
  <c r="B587" i="10"/>
  <c r="B588" i="10"/>
  <c r="B589" i="10"/>
  <c r="B590" i="10"/>
  <c r="B591" i="10"/>
  <c r="B592" i="10"/>
  <c r="B593" i="10"/>
  <c r="B594" i="10"/>
  <c r="B595" i="10"/>
  <c r="B596" i="10"/>
  <c r="B597" i="10"/>
  <c r="B598" i="10"/>
  <c r="B599" i="10"/>
  <c r="B600" i="10"/>
  <c r="B601" i="10"/>
  <c r="B602" i="10"/>
  <c r="B603" i="10"/>
  <c r="B604" i="10"/>
  <c r="B605" i="10"/>
  <c r="B606" i="10"/>
  <c r="B607" i="10"/>
  <c r="B608" i="10"/>
  <c r="B609" i="10"/>
  <c r="B610" i="10"/>
  <c r="B611" i="10"/>
  <c r="B612" i="10"/>
  <c r="B613" i="10"/>
  <c r="B614" i="10"/>
  <c r="B615" i="10"/>
  <c r="B616" i="10"/>
  <c r="B617" i="10"/>
  <c r="B618" i="10"/>
  <c r="B619" i="10"/>
  <c r="B620" i="10"/>
  <c r="B621" i="10"/>
  <c r="B622" i="10"/>
  <c r="B623" i="10"/>
  <c r="B624" i="10"/>
  <c r="B625" i="10"/>
  <c r="B626" i="10"/>
  <c r="B627" i="10"/>
  <c r="B628" i="10"/>
  <c r="B629" i="10"/>
  <c r="B630" i="10"/>
  <c r="B631" i="10"/>
  <c r="B632" i="10"/>
  <c r="B633" i="10"/>
  <c r="B634" i="10"/>
  <c r="B635" i="10"/>
  <c r="B636" i="10"/>
  <c r="B637" i="10"/>
  <c r="B638" i="10"/>
  <c r="B639" i="10"/>
  <c r="B640" i="10"/>
  <c r="B641" i="10"/>
  <c r="B642" i="10"/>
  <c r="B643" i="10"/>
  <c r="B644" i="10"/>
  <c r="B645" i="10"/>
  <c r="B646" i="10"/>
  <c r="B647" i="10"/>
  <c r="B648" i="10"/>
  <c r="B649" i="10"/>
  <c r="B650" i="10"/>
  <c r="B651" i="10"/>
  <c r="B652" i="10"/>
  <c r="B653" i="10"/>
  <c r="B654" i="10"/>
  <c r="B655" i="10"/>
  <c r="B656" i="10"/>
  <c r="B657" i="10"/>
  <c r="B658" i="10"/>
  <c r="B659" i="10"/>
  <c r="B660" i="10"/>
  <c r="B661" i="10"/>
  <c r="B662" i="10"/>
  <c r="B663" i="10"/>
  <c r="B664" i="10"/>
  <c r="B665" i="10"/>
  <c r="B666" i="10"/>
  <c r="B667" i="10"/>
  <c r="B668" i="10"/>
  <c r="B669" i="10"/>
  <c r="B670" i="10"/>
  <c r="B671" i="10"/>
  <c r="B672" i="10"/>
  <c r="B673" i="10"/>
  <c r="B674" i="10"/>
  <c r="B675" i="10"/>
  <c r="B676" i="10"/>
  <c r="B677" i="10"/>
  <c r="B678" i="10"/>
  <c r="B679" i="10"/>
  <c r="B680" i="10"/>
  <c r="B681" i="10"/>
  <c r="B682" i="10"/>
  <c r="B683" i="10"/>
  <c r="B684" i="10"/>
  <c r="B685" i="10"/>
  <c r="B686" i="10"/>
  <c r="B687" i="10"/>
  <c r="B688" i="10"/>
  <c r="B689" i="10"/>
  <c r="B690" i="10"/>
  <c r="B691" i="10"/>
  <c r="B692" i="10"/>
  <c r="B693" i="10"/>
  <c r="B694" i="10"/>
  <c r="B695" i="10"/>
  <c r="B696" i="10"/>
  <c r="B697" i="10"/>
  <c r="B698" i="10"/>
  <c r="B699" i="10"/>
  <c r="B700" i="10"/>
  <c r="B701" i="10"/>
  <c r="B702" i="10"/>
  <c r="B703" i="10"/>
  <c r="B704" i="10"/>
  <c r="B705" i="10"/>
  <c r="B706" i="10"/>
  <c r="B707" i="10"/>
  <c r="B708" i="10"/>
  <c r="B709" i="10"/>
  <c r="B710" i="10"/>
  <c r="B711" i="10"/>
  <c r="B712" i="10"/>
  <c r="B713" i="10"/>
  <c r="B714" i="10"/>
  <c r="B715" i="10"/>
  <c r="B716" i="10"/>
  <c r="B717" i="10"/>
  <c r="B718" i="10"/>
  <c r="B719" i="10"/>
  <c r="B720" i="10"/>
  <c r="B721" i="10"/>
  <c r="B722" i="10"/>
  <c r="B723" i="10"/>
  <c r="B724" i="10"/>
  <c r="B725" i="10"/>
  <c r="B726" i="10"/>
  <c r="B727" i="10"/>
  <c r="B728" i="10"/>
  <c r="B729" i="10"/>
  <c r="B730" i="10"/>
  <c r="B731" i="10"/>
  <c r="B732" i="10"/>
  <c r="B733" i="10"/>
  <c r="B734" i="10"/>
  <c r="B735" i="10"/>
  <c r="B736" i="10"/>
  <c r="B737" i="10"/>
  <c r="B738" i="10"/>
  <c r="B739" i="10"/>
  <c r="B740" i="10"/>
  <c r="B741" i="10"/>
  <c r="B742" i="10"/>
  <c r="B743" i="10"/>
  <c r="B744" i="10"/>
  <c r="B745" i="10"/>
  <c r="B746" i="10"/>
  <c r="B747" i="10"/>
  <c r="B748" i="10"/>
  <c r="B749" i="10"/>
  <c r="B750" i="10"/>
  <c r="B751" i="10"/>
  <c r="B752" i="10"/>
  <c r="B753" i="10"/>
  <c r="B754" i="10"/>
  <c r="B755" i="10"/>
  <c r="B756" i="10"/>
  <c r="B757" i="10"/>
  <c r="B758" i="10"/>
  <c r="B759" i="10"/>
  <c r="B760" i="10"/>
  <c r="B761" i="10"/>
  <c r="B762" i="10"/>
  <c r="B763" i="10"/>
  <c r="B764" i="10"/>
  <c r="B765" i="10"/>
  <c r="B766" i="10"/>
  <c r="B767" i="10"/>
  <c r="B768" i="10"/>
  <c r="B769" i="10"/>
  <c r="B770" i="10"/>
  <c r="B771" i="10"/>
  <c r="B772" i="10"/>
  <c r="B773" i="10"/>
  <c r="B774" i="10"/>
  <c r="B775" i="10"/>
  <c r="B776" i="10"/>
  <c r="B777" i="10"/>
  <c r="B778" i="10"/>
  <c r="B779" i="10"/>
  <c r="B780" i="10"/>
  <c r="B781" i="10"/>
  <c r="B782" i="10"/>
  <c r="B783" i="10"/>
  <c r="B784" i="10"/>
  <c r="B785" i="10"/>
  <c r="B786" i="10"/>
  <c r="B787" i="10"/>
  <c r="B788" i="10"/>
  <c r="B789" i="10"/>
  <c r="B790" i="10"/>
  <c r="B791" i="10"/>
  <c r="B792" i="10"/>
  <c r="B793" i="10"/>
  <c r="B794" i="10"/>
  <c r="B795" i="10"/>
  <c r="B796" i="10"/>
  <c r="B797" i="10"/>
  <c r="B798" i="10"/>
  <c r="B799" i="10"/>
  <c r="B800" i="10"/>
  <c r="B801" i="10"/>
  <c r="B802" i="10"/>
  <c r="B803" i="10"/>
  <c r="B804" i="10"/>
  <c r="B805" i="10"/>
  <c r="B806" i="10"/>
  <c r="B807" i="10"/>
  <c r="B808" i="10"/>
  <c r="B809" i="10"/>
  <c r="B810" i="10"/>
  <c r="B811" i="10"/>
  <c r="B812" i="10"/>
  <c r="B813" i="10"/>
  <c r="B814" i="10"/>
  <c r="B815" i="10"/>
  <c r="B816" i="10"/>
  <c r="B817" i="10"/>
  <c r="B818" i="10"/>
  <c r="B819" i="10"/>
  <c r="B820" i="10"/>
  <c r="B821" i="10"/>
  <c r="B822" i="10"/>
  <c r="B823" i="10"/>
  <c r="B824" i="10"/>
  <c r="B825" i="10"/>
  <c r="B826" i="10"/>
  <c r="B827" i="10"/>
  <c r="B828" i="10"/>
  <c r="B829" i="10"/>
  <c r="B830" i="10"/>
  <c r="B831" i="10"/>
  <c r="B832" i="10"/>
  <c r="B833" i="10"/>
  <c r="B834" i="10"/>
  <c r="B835" i="10"/>
  <c r="B836" i="10"/>
  <c r="B837" i="10"/>
  <c r="B838" i="10"/>
  <c r="B839" i="10"/>
  <c r="B840" i="10"/>
  <c r="B841" i="10"/>
  <c r="B842" i="10"/>
  <c r="B843" i="10"/>
  <c r="B844" i="10"/>
  <c r="B845" i="10"/>
  <c r="B846" i="10"/>
  <c r="B847" i="10"/>
  <c r="B848" i="10"/>
  <c r="B849" i="10"/>
  <c r="B850" i="10"/>
  <c r="B851" i="10"/>
  <c r="B852" i="10"/>
  <c r="B853" i="10"/>
  <c r="B854" i="10"/>
  <c r="B855" i="10"/>
  <c r="B856" i="10"/>
  <c r="B857" i="10"/>
  <c r="B858" i="10"/>
  <c r="B859" i="10"/>
  <c r="B860" i="10"/>
  <c r="B861" i="10"/>
  <c r="B862" i="10"/>
  <c r="B863" i="10"/>
  <c r="B864" i="10"/>
  <c r="B865" i="10"/>
  <c r="B866" i="10"/>
  <c r="B867" i="10"/>
  <c r="B868" i="10"/>
  <c r="B869" i="10"/>
  <c r="B870" i="10"/>
  <c r="B871" i="10"/>
  <c r="B872" i="10"/>
  <c r="B873" i="10"/>
  <c r="B874" i="10"/>
  <c r="B875" i="10"/>
  <c r="B876" i="10"/>
  <c r="B877" i="10"/>
  <c r="B878" i="10"/>
  <c r="B879" i="10"/>
  <c r="B880" i="10"/>
  <c r="B881" i="10"/>
  <c r="B882" i="10"/>
  <c r="B883" i="10"/>
  <c r="B884" i="10"/>
  <c r="B885" i="10"/>
  <c r="B886" i="10"/>
  <c r="B887" i="10"/>
  <c r="B888" i="10"/>
  <c r="B889" i="10"/>
  <c r="B890" i="10"/>
  <c r="B891" i="10"/>
  <c r="B892" i="10"/>
  <c r="B893" i="10"/>
  <c r="B894" i="10"/>
  <c r="B895" i="10"/>
  <c r="B896" i="10"/>
  <c r="B897" i="10"/>
  <c r="B898" i="10"/>
  <c r="B899" i="10"/>
  <c r="B900" i="10"/>
  <c r="B901" i="10"/>
  <c r="B902" i="10"/>
  <c r="B903" i="10"/>
  <c r="B904" i="10"/>
  <c r="B905" i="10"/>
  <c r="B906" i="10"/>
  <c r="B907" i="10"/>
  <c r="B908" i="10"/>
  <c r="B909" i="10"/>
  <c r="B910" i="10"/>
  <c r="B911" i="10"/>
  <c r="B912" i="10"/>
  <c r="B913" i="10"/>
  <c r="B914" i="10"/>
  <c r="B915" i="10"/>
  <c r="B916" i="10"/>
  <c r="B917" i="10"/>
  <c r="B918" i="10"/>
  <c r="B919" i="10"/>
  <c r="B920" i="10"/>
  <c r="B921" i="10"/>
  <c r="B922" i="10"/>
  <c r="B923" i="10"/>
  <c r="B924" i="10"/>
  <c r="B925" i="10"/>
  <c r="B926" i="10"/>
  <c r="B927" i="10"/>
  <c r="B928" i="10"/>
  <c r="B929" i="10"/>
  <c r="B930" i="10"/>
  <c r="B931" i="10"/>
  <c r="B932" i="10"/>
  <c r="B933" i="10"/>
  <c r="B934" i="10"/>
  <c r="B935" i="10"/>
  <c r="B936" i="10"/>
  <c r="B937" i="10"/>
  <c r="B938" i="10"/>
  <c r="B939" i="10"/>
  <c r="B940" i="10"/>
  <c r="B941" i="10"/>
  <c r="B942" i="10"/>
  <c r="B943" i="10"/>
  <c r="B944" i="10"/>
  <c r="B945" i="10"/>
  <c r="B946" i="10"/>
  <c r="B947" i="10"/>
  <c r="B948" i="10"/>
  <c r="B949" i="10"/>
  <c r="B950" i="10"/>
  <c r="B951" i="10"/>
  <c r="B952" i="10"/>
  <c r="B953" i="10"/>
  <c r="B954" i="10"/>
  <c r="B955" i="10"/>
  <c r="B956" i="10"/>
  <c r="B957" i="10"/>
  <c r="B958" i="10"/>
  <c r="B959" i="10"/>
  <c r="B960" i="10"/>
  <c r="B961" i="10"/>
  <c r="B962" i="10"/>
  <c r="B963" i="10"/>
  <c r="B964" i="10"/>
  <c r="B965" i="10"/>
  <c r="B966" i="10"/>
  <c r="B967" i="10"/>
  <c r="B968" i="10"/>
  <c r="B969" i="10"/>
  <c r="B970" i="10"/>
  <c r="B971" i="10"/>
  <c r="B972" i="10"/>
  <c r="B973" i="10"/>
  <c r="B974" i="10"/>
  <c r="B975" i="10"/>
  <c r="B976" i="10"/>
  <c r="B977" i="10"/>
  <c r="B978" i="10"/>
  <c r="B979" i="10"/>
  <c r="B980" i="10"/>
  <c r="B981" i="10"/>
  <c r="B982" i="10"/>
  <c r="B983" i="10"/>
  <c r="B984" i="10"/>
  <c r="B985" i="10"/>
  <c r="B986" i="10"/>
  <c r="B987" i="10"/>
  <c r="B988" i="10"/>
  <c r="B989" i="10"/>
  <c r="B990" i="10"/>
  <c r="B991" i="10"/>
  <c r="B992" i="10"/>
  <c r="B993" i="10"/>
  <c r="B994" i="10"/>
  <c r="B995" i="10"/>
  <c r="B996" i="10"/>
  <c r="B997" i="10"/>
  <c r="B998" i="10"/>
  <c r="B999" i="10"/>
  <c r="B1000" i="10"/>
  <c r="B1001" i="10"/>
  <c r="B1002" i="10"/>
  <c r="B1003" i="10"/>
  <c r="B1004" i="10"/>
  <c r="B1005" i="10"/>
  <c r="B1006" i="10"/>
  <c r="B1007" i="10"/>
  <c r="B1008" i="10"/>
  <c r="B1009" i="10"/>
  <c r="B1010" i="10"/>
  <c r="B1011" i="10"/>
  <c r="B1012" i="10"/>
  <c r="B1013" i="10"/>
  <c r="B1014" i="10"/>
  <c r="B1015" i="10"/>
  <c r="B1016" i="10"/>
  <c r="B1017" i="10"/>
  <c r="B1018" i="10"/>
  <c r="B1019" i="10"/>
  <c r="B1020" i="10"/>
  <c r="B1021" i="10"/>
  <c r="B1022" i="10"/>
  <c r="B1023" i="10"/>
  <c r="B1024" i="10"/>
  <c r="B1025" i="10"/>
  <c r="B1026" i="10"/>
  <c r="B1027" i="10"/>
  <c r="B1028" i="10"/>
  <c r="B1029" i="10"/>
  <c r="B1030" i="10"/>
  <c r="B1031" i="10"/>
  <c r="B1032" i="10"/>
  <c r="B1033" i="10"/>
  <c r="B1034" i="10"/>
  <c r="B1035" i="10"/>
  <c r="B1036" i="10"/>
  <c r="B1037" i="10"/>
  <c r="B1038" i="10"/>
  <c r="B1039" i="10"/>
  <c r="B1040" i="10"/>
  <c r="B1041" i="10"/>
  <c r="B1042" i="10"/>
  <c r="B1043" i="10"/>
  <c r="B1044" i="10"/>
  <c r="B1045" i="10"/>
  <c r="B1046" i="10"/>
  <c r="B1047" i="10"/>
  <c r="B1048" i="10"/>
  <c r="B1049" i="10"/>
  <c r="B1050" i="10"/>
  <c r="B1051" i="10"/>
  <c r="B1052" i="10"/>
  <c r="B1053" i="10"/>
  <c r="B1054" i="10"/>
  <c r="B1055" i="10"/>
  <c r="B1056" i="10"/>
  <c r="B1057" i="10"/>
  <c r="B1058" i="10"/>
  <c r="B1059" i="10"/>
  <c r="B1060" i="10"/>
  <c r="B1061" i="10"/>
  <c r="B1062" i="10"/>
  <c r="B1063" i="10"/>
  <c r="B1064" i="10"/>
  <c r="B1065" i="10"/>
  <c r="B1066" i="10"/>
  <c r="B1067" i="10"/>
  <c r="B1068" i="10"/>
  <c r="B1069" i="10"/>
  <c r="B1070" i="10"/>
  <c r="B1071" i="10"/>
  <c r="B1072" i="10"/>
  <c r="B1073" i="10"/>
  <c r="B1074" i="10"/>
  <c r="B1075" i="10"/>
  <c r="B1076" i="10"/>
  <c r="B1077" i="10"/>
  <c r="B1078" i="10"/>
  <c r="B1079" i="10"/>
  <c r="B1080" i="10"/>
  <c r="B1081" i="10"/>
  <c r="B1082" i="10"/>
  <c r="B1083" i="10"/>
  <c r="B1084" i="10"/>
  <c r="B1085" i="10"/>
  <c r="B1086" i="10"/>
  <c r="B1087" i="10"/>
  <c r="B1088" i="10"/>
  <c r="B1089" i="10"/>
  <c r="B1090" i="10"/>
  <c r="B1091" i="10"/>
  <c r="B1092" i="10"/>
  <c r="B1093" i="10"/>
  <c r="B1094" i="10"/>
  <c r="B1095" i="10"/>
  <c r="B1096" i="10"/>
  <c r="B1097" i="10"/>
  <c r="B1098" i="10"/>
  <c r="B1099" i="10"/>
  <c r="B1100" i="10"/>
  <c r="B1101" i="10"/>
  <c r="B1102" i="10"/>
  <c r="B1103" i="10"/>
  <c r="B1104" i="10"/>
  <c r="B1105" i="10"/>
  <c r="B1106" i="10"/>
  <c r="B1107" i="10"/>
  <c r="B1108" i="10"/>
  <c r="B1109" i="10"/>
  <c r="B1110" i="10"/>
  <c r="B1111" i="10"/>
  <c r="B1112" i="10"/>
  <c r="B1113" i="10"/>
  <c r="B1114" i="10"/>
  <c r="B1115" i="10"/>
  <c r="B1116" i="10"/>
  <c r="B1117" i="10"/>
  <c r="B1118" i="10"/>
  <c r="B1119" i="10"/>
  <c r="B1120" i="10"/>
  <c r="B1121" i="10"/>
  <c r="B1122" i="10"/>
  <c r="B1123" i="10"/>
  <c r="B1124" i="10"/>
  <c r="B1125" i="10"/>
  <c r="B1126" i="10"/>
  <c r="B1127" i="10"/>
  <c r="B1128" i="10"/>
  <c r="B1129" i="10"/>
  <c r="B1130" i="10"/>
  <c r="B1131" i="10"/>
  <c r="B1132" i="10"/>
  <c r="B1133" i="10"/>
  <c r="B1134" i="10"/>
  <c r="B1135" i="10"/>
  <c r="B1136" i="10"/>
  <c r="B1137" i="10"/>
  <c r="B1138" i="10"/>
  <c r="B1139" i="10"/>
  <c r="B1140" i="10"/>
  <c r="B1141" i="10"/>
  <c r="B1142" i="10"/>
  <c r="B1143" i="10"/>
  <c r="B1144" i="10"/>
  <c r="B1145" i="10"/>
  <c r="B1146" i="10"/>
  <c r="B1147" i="10"/>
  <c r="B1148" i="10"/>
  <c r="B1149" i="10"/>
  <c r="B1150" i="10"/>
  <c r="B1151" i="10"/>
  <c r="B1152" i="10"/>
  <c r="B1153" i="10"/>
  <c r="B1154" i="10"/>
  <c r="B1155" i="10"/>
  <c r="B1156" i="10"/>
  <c r="B1157" i="10"/>
  <c r="B1158" i="10"/>
  <c r="B1159" i="10"/>
  <c r="B1160" i="10"/>
  <c r="B1161" i="10"/>
  <c r="B1162" i="10"/>
  <c r="B1163" i="10"/>
  <c r="B1164" i="10"/>
  <c r="B1165" i="10"/>
  <c r="B1166" i="10"/>
  <c r="B1167" i="10"/>
  <c r="B1168" i="10"/>
  <c r="B1169" i="10"/>
  <c r="B1170" i="10"/>
  <c r="B1171" i="10"/>
  <c r="B1172" i="10"/>
  <c r="B1173" i="10"/>
  <c r="B1174" i="10"/>
  <c r="B1175" i="10"/>
  <c r="B1176" i="10"/>
  <c r="B1177" i="10"/>
  <c r="B1178" i="10"/>
  <c r="B1179" i="10"/>
  <c r="B1180" i="10"/>
  <c r="B1181" i="10"/>
  <c r="B1182" i="10"/>
  <c r="B1183" i="10"/>
  <c r="B1184" i="10"/>
  <c r="B1185" i="10"/>
  <c r="B1186" i="10"/>
  <c r="B1187" i="10"/>
  <c r="B1188" i="10"/>
  <c r="B1189" i="10"/>
  <c r="B1190" i="10"/>
  <c r="B1191" i="10"/>
  <c r="B1192" i="10"/>
  <c r="B1193" i="10"/>
  <c r="B1194" i="10"/>
  <c r="B1195" i="10"/>
  <c r="B1196" i="10"/>
  <c r="B1197" i="10"/>
  <c r="B1198" i="10"/>
  <c r="B1199" i="10"/>
  <c r="B1200" i="10"/>
  <c r="B1201" i="10"/>
  <c r="B1202" i="10"/>
  <c r="B1203" i="10"/>
  <c r="B1204" i="10"/>
  <c r="B1205" i="10"/>
  <c r="B1206" i="10"/>
  <c r="B6" i="10"/>
  <c r="Z7" i="1"/>
  <c r="Z8" i="1"/>
  <c r="Z9" i="1"/>
  <c r="Z10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3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6" i="1"/>
  <c r="Z58" i="1"/>
  <c r="Z59" i="1"/>
  <c r="Z61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8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50" i="10"/>
  <c r="P51" i="10"/>
  <c r="P52" i="10"/>
  <c r="P53" i="10"/>
  <c r="P54" i="10"/>
  <c r="P55" i="10"/>
  <c r="P56" i="10"/>
  <c r="P57" i="10"/>
  <c r="P58" i="10"/>
  <c r="P59" i="10"/>
  <c r="P60" i="10"/>
  <c r="P61" i="10"/>
  <c r="P62" i="10"/>
  <c r="P63" i="10"/>
  <c r="P64" i="10"/>
  <c r="P65" i="10"/>
  <c r="P66" i="10"/>
  <c r="P67" i="10"/>
  <c r="P68" i="10"/>
  <c r="P69" i="10"/>
  <c r="P70" i="10"/>
  <c r="P71" i="10"/>
  <c r="P72" i="10"/>
  <c r="P73" i="10"/>
  <c r="P74" i="10"/>
  <c r="P75" i="10"/>
  <c r="P76" i="10"/>
  <c r="P77" i="10"/>
  <c r="P78" i="10"/>
  <c r="P79" i="10"/>
  <c r="P80" i="10"/>
  <c r="P81" i="10"/>
  <c r="P82" i="10"/>
  <c r="P83" i="10"/>
  <c r="P84" i="10"/>
  <c r="P85" i="10"/>
  <c r="P86" i="10"/>
  <c r="P87" i="10"/>
  <c r="P88" i="10"/>
  <c r="P89" i="10"/>
  <c r="P90" i="10"/>
  <c r="P91" i="10"/>
  <c r="P92" i="10"/>
  <c r="P93" i="10"/>
  <c r="P94" i="10"/>
  <c r="P95" i="10"/>
  <c r="P96" i="10"/>
  <c r="P97" i="10"/>
  <c r="P99" i="10"/>
  <c r="P100" i="10"/>
  <c r="P6" i="10"/>
  <c r="P102" i="10"/>
  <c r="P103" i="10"/>
  <c r="P104" i="10"/>
  <c r="P105" i="10"/>
  <c r="P106" i="10"/>
  <c r="P107" i="10"/>
  <c r="P108" i="10"/>
  <c r="P109" i="10"/>
  <c r="P110" i="10"/>
  <c r="P111" i="10"/>
  <c r="P112" i="10"/>
  <c r="P113" i="10"/>
  <c r="P114" i="10"/>
  <c r="P115" i="10"/>
  <c r="P116" i="10"/>
  <c r="P117" i="10"/>
  <c r="P118" i="10"/>
  <c r="P119" i="10"/>
  <c r="P120" i="10"/>
  <c r="P122" i="10"/>
  <c r="P123" i="10"/>
  <c r="P124" i="10"/>
  <c r="P125" i="10"/>
  <c r="P126" i="10"/>
  <c r="P127" i="10"/>
  <c r="P128" i="10"/>
  <c r="P129" i="10"/>
  <c r="P130" i="10"/>
  <c r="P131" i="10"/>
  <c r="P132" i="10"/>
  <c r="P133" i="10"/>
  <c r="P134" i="10"/>
  <c r="P135" i="10"/>
  <c r="P136" i="10"/>
  <c r="P137" i="10"/>
  <c r="P138" i="10"/>
  <c r="P139" i="10"/>
  <c r="P140" i="10"/>
  <c r="P141" i="10"/>
  <c r="P142" i="10"/>
  <c r="P143" i="10"/>
  <c r="P144" i="10"/>
  <c r="P145" i="10"/>
  <c r="P146" i="10"/>
  <c r="P147" i="10"/>
  <c r="P148" i="10"/>
  <c r="P149" i="10"/>
  <c r="P150" i="10"/>
  <c r="P151" i="10"/>
  <c r="P152" i="10"/>
  <c r="P153" i="10"/>
  <c r="P154" i="10"/>
  <c r="P155" i="10"/>
  <c r="P156" i="10"/>
  <c r="P157" i="10"/>
  <c r="P158" i="10"/>
  <c r="P159" i="10"/>
  <c r="P160" i="10"/>
  <c r="P161" i="10"/>
  <c r="P162" i="10"/>
  <c r="P163" i="10"/>
  <c r="P164" i="10"/>
  <c r="P165" i="10"/>
  <c r="P166" i="10"/>
  <c r="P167" i="10"/>
  <c r="P168" i="10"/>
  <c r="P169" i="10"/>
  <c r="P170" i="10"/>
  <c r="P171" i="10"/>
  <c r="P172" i="10"/>
  <c r="P173" i="10"/>
  <c r="P174" i="10"/>
  <c r="P175" i="10"/>
  <c r="P176" i="10"/>
  <c r="P177" i="10"/>
  <c r="P178" i="10"/>
  <c r="P179" i="10"/>
  <c r="P180" i="10"/>
  <c r="P181" i="10"/>
  <c r="P182" i="10"/>
  <c r="P183" i="10"/>
  <c r="P184" i="10"/>
  <c r="P185" i="10"/>
  <c r="P186" i="10"/>
  <c r="P187" i="10"/>
  <c r="P188" i="10"/>
  <c r="P189" i="10"/>
  <c r="P190" i="10"/>
  <c r="P191" i="10"/>
  <c r="P192" i="10"/>
  <c r="P193" i="10"/>
  <c r="P194" i="10"/>
  <c r="P195" i="10"/>
  <c r="P196" i="10"/>
  <c r="P197" i="10"/>
  <c r="P198" i="10"/>
  <c r="P199" i="10"/>
  <c r="P200" i="10"/>
  <c r="P201" i="10"/>
  <c r="P202" i="10"/>
  <c r="P203" i="10"/>
  <c r="P204" i="10"/>
  <c r="P205" i="10"/>
  <c r="P206" i="10"/>
  <c r="P207" i="10"/>
  <c r="P208" i="10"/>
  <c r="P210" i="10"/>
  <c r="P211" i="10"/>
  <c r="P212" i="10"/>
  <c r="P213" i="10"/>
  <c r="P214" i="10"/>
  <c r="P215" i="10"/>
  <c r="P216" i="10"/>
  <c r="P217" i="10"/>
  <c r="P218" i="10"/>
  <c r="P219" i="10"/>
  <c r="P220" i="10"/>
  <c r="P221" i="10"/>
  <c r="P222" i="10"/>
  <c r="P223" i="10"/>
  <c r="P224" i="10"/>
  <c r="P225" i="10"/>
  <c r="P226" i="10"/>
  <c r="P227" i="10"/>
  <c r="P228" i="10"/>
  <c r="P229" i="10"/>
  <c r="P230" i="10"/>
  <c r="P231" i="10"/>
  <c r="P232" i="10"/>
  <c r="P233" i="10"/>
  <c r="P234" i="10"/>
  <c r="P235" i="10"/>
  <c r="P236" i="10"/>
  <c r="P237" i="10"/>
  <c r="P238" i="10"/>
  <c r="P239" i="10"/>
  <c r="P240" i="10"/>
  <c r="P241" i="10"/>
  <c r="P242" i="10"/>
  <c r="P243" i="10"/>
  <c r="P244" i="10"/>
  <c r="P245" i="10"/>
  <c r="P246" i="10"/>
  <c r="P247" i="10"/>
  <c r="P248" i="10"/>
  <c r="P249" i="10"/>
  <c r="P250" i="10"/>
  <c r="P251" i="10"/>
  <c r="P252" i="10"/>
  <c r="P253" i="10"/>
  <c r="P254" i="10"/>
  <c r="P255" i="10"/>
  <c r="P256" i="10"/>
  <c r="P257" i="10"/>
  <c r="P258" i="10"/>
  <c r="P259" i="10"/>
  <c r="P260" i="10"/>
  <c r="P261" i="10"/>
  <c r="P262" i="10"/>
  <c r="P263" i="10"/>
  <c r="P264" i="10"/>
  <c r="P265" i="10"/>
  <c r="P266" i="10"/>
  <c r="P267" i="10"/>
  <c r="P268" i="10"/>
  <c r="P269" i="10"/>
  <c r="P270" i="10"/>
  <c r="P271" i="10"/>
  <c r="P272" i="10"/>
  <c r="P273" i="10"/>
  <c r="P274" i="10"/>
  <c r="P275" i="10"/>
  <c r="P276" i="10"/>
  <c r="P277" i="10"/>
  <c r="P278" i="10"/>
  <c r="P279" i="10"/>
  <c r="P280" i="10"/>
  <c r="P281" i="10"/>
  <c r="P282" i="10"/>
  <c r="P283" i="10"/>
  <c r="P284" i="10"/>
  <c r="P285" i="10"/>
  <c r="P286" i="10"/>
  <c r="P287" i="10"/>
  <c r="P288" i="10"/>
  <c r="P289" i="10"/>
  <c r="P290" i="10"/>
  <c r="P291" i="10"/>
  <c r="P292" i="10"/>
  <c r="P293" i="10"/>
  <c r="P294" i="10"/>
  <c r="P295" i="10"/>
  <c r="P296" i="10"/>
  <c r="P297" i="10"/>
  <c r="P298" i="10"/>
  <c r="P299" i="10"/>
  <c r="P300" i="10"/>
  <c r="P301" i="10"/>
  <c r="P302" i="10"/>
  <c r="P303" i="10"/>
  <c r="P304" i="10"/>
  <c r="P305" i="10"/>
  <c r="P306" i="10"/>
  <c r="P307" i="10"/>
  <c r="P308" i="10"/>
  <c r="P309" i="10"/>
  <c r="P310" i="10"/>
  <c r="P311" i="10"/>
  <c r="P312" i="10"/>
  <c r="P313" i="10"/>
  <c r="P314" i="10"/>
  <c r="P315" i="10"/>
  <c r="P316" i="10"/>
  <c r="P317" i="10"/>
  <c r="P318" i="10"/>
  <c r="P319" i="10"/>
  <c r="P320" i="10"/>
  <c r="P321" i="10"/>
  <c r="P322" i="10"/>
  <c r="P323" i="10"/>
  <c r="P324" i="10"/>
  <c r="P325" i="10"/>
  <c r="P326" i="10"/>
  <c r="P327" i="10"/>
  <c r="P328" i="10"/>
  <c r="P329" i="10"/>
  <c r="P330" i="10"/>
  <c r="P331" i="10"/>
  <c r="P332" i="10"/>
  <c r="P333" i="10"/>
  <c r="P334" i="10"/>
  <c r="P335" i="10"/>
  <c r="P336" i="10"/>
  <c r="P337" i="10"/>
  <c r="P338" i="10"/>
  <c r="P339" i="10"/>
  <c r="P340" i="10"/>
  <c r="P341" i="10"/>
  <c r="P342" i="10"/>
  <c r="P343" i="10"/>
  <c r="P344" i="10"/>
  <c r="P345" i="10"/>
  <c r="P346" i="10"/>
  <c r="P347" i="10"/>
  <c r="P348" i="10"/>
  <c r="P349" i="10"/>
  <c r="P350" i="10"/>
  <c r="P351" i="10"/>
  <c r="P352" i="10"/>
  <c r="P353" i="10"/>
  <c r="P354" i="10"/>
  <c r="P355" i="10"/>
  <c r="P356" i="10"/>
  <c r="P357" i="10"/>
  <c r="P358" i="10"/>
  <c r="P359" i="10"/>
  <c r="P360" i="10"/>
  <c r="P361" i="10"/>
  <c r="P362" i="10"/>
  <c r="P363" i="10"/>
  <c r="P364" i="10"/>
  <c r="P365" i="10"/>
  <c r="P366" i="10"/>
  <c r="P367" i="10"/>
  <c r="P368" i="10"/>
  <c r="P369" i="10"/>
  <c r="P370" i="10"/>
  <c r="P371" i="10"/>
  <c r="P372" i="10"/>
  <c r="P373" i="10"/>
  <c r="P374" i="10"/>
  <c r="P375" i="10"/>
  <c r="P376" i="10"/>
  <c r="P377" i="10"/>
  <c r="P378" i="10"/>
  <c r="P379" i="10"/>
  <c r="P380" i="10"/>
  <c r="P381" i="10"/>
  <c r="P382" i="10"/>
  <c r="P383" i="10"/>
  <c r="P384" i="10"/>
  <c r="P385" i="10"/>
  <c r="P386" i="10"/>
  <c r="P387" i="10"/>
  <c r="P388" i="10"/>
  <c r="P389" i="10"/>
  <c r="P390" i="10"/>
  <c r="P391" i="10"/>
  <c r="P392" i="10"/>
  <c r="P393" i="10"/>
  <c r="P394" i="10"/>
  <c r="P395" i="10"/>
  <c r="P396" i="10"/>
  <c r="P397" i="10"/>
  <c r="P398" i="10"/>
  <c r="P399" i="10"/>
  <c r="P400" i="10"/>
  <c r="P401" i="10"/>
  <c r="P402" i="10"/>
  <c r="P403" i="10"/>
  <c r="P404" i="10"/>
  <c r="P405" i="10"/>
  <c r="P406" i="10"/>
  <c r="P407" i="10"/>
  <c r="P408" i="10"/>
  <c r="P409" i="10"/>
  <c r="P410" i="10"/>
  <c r="P411" i="10"/>
  <c r="P412" i="10"/>
  <c r="P413" i="10"/>
  <c r="P414" i="10"/>
  <c r="P415" i="10"/>
  <c r="P416" i="10"/>
  <c r="P417" i="10"/>
  <c r="P418" i="10"/>
  <c r="P419" i="10"/>
  <c r="P420" i="10"/>
  <c r="P421" i="10"/>
  <c r="P422" i="10"/>
  <c r="P423" i="10"/>
  <c r="P424" i="10"/>
  <c r="P425" i="10"/>
  <c r="P426" i="10"/>
  <c r="P427" i="10"/>
  <c r="P428" i="10"/>
  <c r="P429" i="10"/>
  <c r="P430" i="10"/>
  <c r="P431" i="10"/>
  <c r="P432" i="10"/>
  <c r="P433" i="10"/>
  <c r="P434" i="10"/>
  <c r="P435" i="10"/>
  <c r="P436" i="10"/>
  <c r="P437" i="10"/>
  <c r="P438" i="10"/>
  <c r="P439" i="10"/>
  <c r="P440" i="10"/>
  <c r="P441" i="10"/>
  <c r="P442" i="10"/>
  <c r="P443" i="10"/>
  <c r="P444" i="10"/>
  <c r="P445" i="10"/>
  <c r="P446" i="10"/>
  <c r="P447" i="10"/>
  <c r="P448" i="10"/>
  <c r="P449" i="10"/>
  <c r="P450" i="10"/>
  <c r="P451" i="10"/>
  <c r="P452" i="10"/>
  <c r="P453" i="10"/>
  <c r="P454" i="10"/>
  <c r="P455" i="10"/>
  <c r="P456" i="10"/>
  <c r="P457" i="10"/>
  <c r="P458" i="10"/>
  <c r="P459" i="10"/>
  <c r="P460" i="10"/>
  <c r="P461" i="10"/>
  <c r="P462" i="10"/>
  <c r="P463" i="10"/>
  <c r="P464" i="10"/>
  <c r="P465" i="10"/>
  <c r="P466" i="10"/>
  <c r="P467" i="10"/>
  <c r="P468" i="10"/>
  <c r="P469" i="10"/>
  <c r="P470" i="10"/>
  <c r="P471" i="10"/>
  <c r="P472" i="10"/>
  <c r="P473" i="10"/>
  <c r="P474" i="10"/>
  <c r="P475" i="10"/>
  <c r="P476" i="10"/>
  <c r="P477" i="10"/>
  <c r="P478" i="10"/>
  <c r="P479" i="10"/>
  <c r="P480" i="10"/>
  <c r="P481" i="10"/>
  <c r="P482" i="10"/>
  <c r="P483" i="10"/>
  <c r="P484" i="10"/>
  <c r="P485" i="10"/>
  <c r="P486" i="10"/>
  <c r="P487" i="10"/>
  <c r="P488" i="10"/>
  <c r="P489" i="10"/>
  <c r="P490" i="10"/>
  <c r="P491" i="10"/>
  <c r="P492" i="10"/>
  <c r="P493" i="10"/>
  <c r="P494" i="10"/>
  <c r="P495" i="10"/>
  <c r="P496" i="10"/>
  <c r="P497" i="10"/>
  <c r="P498" i="10"/>
  <c r="P499" i="10"/>
  <c r="P500" i="10"/>
  <c r="P501" i="10"/>
  <c r="P502" i="10"/>
  <c r="P503" i="10"/>
  <c r="P504" i="10"/>
  <c r="P505" i="10"/>
  <c r="P506" i="10"/>
  <c r="P507" i="10"/>
  <c r="P508" i="10"/>
  <c r="P509" i="10"/>
  <c r="P510" i="10"/>
  <c r="P514" i="10"/>
  <c r="P515" i="10"/>
  <c r="P516" i="10"/>
  <c r="P517" i="10"/>
  <c r="P518" i="10"/>
  <c r="P519" i="10"/>
  <c r="P520" i="10"/>
  <c r="P521" i="10"/>
  <c r="P522" i="10"/>
  <c r="P523" i="10"/>
  <c r="P524" i="10"/>
  <c r="P525" i="10"/>
  <c r="P528" i="10"/>
  <c r="P529" i="10"/>
  <c r="P530" i="10"/>
  <c r="P531" i="10"/>
  <c r="P532" i="10"/>
  <c r="P533" i="10"/>
  <c r="P534" i="10"/>
  <c r="P535" i="10"/>
  <c r="P536" i="10"/>
  <c r="P537" i="10"/>
  <c r="P538" i="10"/>
  <c r="P539" i="10"/>
  <c r="P540" i="10"/>
  <c r="P542" i="10"/>
  <c r="P543" i="10"/>
  <c r="P545" i="10"/>
  <c r="P546" i="10"/>
  <c r="P547" i="10"/>
  <c r="P549" i="10"/>
  <c r="P552" i="10"/>
  <c r="P554" i="10"/>
  <c r="P555" i="10"/>
  <c r="P556" i="10"/>
  <c r="P557" i="10"/>
  <c r="P558" i="10"/>
  <c r="P559" i="10"/>
  <c r="P560" i="10"/>
  <c r="P561" i="10"/>
  <c r="P562" i="10"/>
  <c r="P567" i="10"/>
  <c r="P568" i="10"/>
  <c r="P569" i="10"/>
  <c r="P571" i="10"/>
  <c r="P573" i="10"/>
  <c r="P574" i="10"/>
  <c r="P575" i="10"/>
  <c r="P577" i="10"/>
  <c r="P578" i="10"/>
  <c r="P580" i="10"/>
  <c r="P581" i="10"/>
  <c r="P584" i="10"/>
  <c r="P587" i="10"/>
  <c r="P588" i="10"/>
  <c r="P589" i="10"/>
  <c r="P590" i="10"/>
  <c r="P591" i="10"/>
  <c r="P592" i="10"/>
  <c r="P593" i="10"/>
  <c r="P594" i="10"/>
  <c r="P599" i="10"/>
  <c r="P600" i="10"/>
  <c r="P603" i="10"/>
  <c r="P606" i="10"/>
  <c r="P607" i="10"/>
  <c r="P610" i="10"/>
  <c r="P611" i="10"/>
  <c r="P616" i="10"/>
  <c r="P617" i="10"/>
  <c r="P618" i="10"/>
  <c r="P619" i="10"/>
  <c r="P620" i="10"/>
  <c r="P621" i="10"/>
  <c r="P622" i="10"/>
  <c r="P623" i="10"/>
  <c r="P624" i="10"/>
  <c r="P625" i="10"/>
  <c r="P626" i="10"/>
  <c r="P627" i="10"/>
  <c r="P628" i="10"/>
  <c r="P629" i="10"/>
  <c r="P630" i="10"/>
  <c r="P631" i="10"/>
  <c r="P632" i="10"/>
  <c r="P633" i="10"/>
  <c r="P634" i="10"/>
  <c r="P635" i="10"/>
  <c r="P636" i="10"/>
  <c r="P637" i="10"/>
  <c r="P638" i="10"/>
  <c r="P639" i="10"/>
  <c r="P640" i="10"/>
  <c r="P641" i="10"/>
  <c r="P642" i="10"/>
  <c r="P643" i="10"/>
  <c r="P645" i="10"/>
  <c r="P646" i="10"/>
  <c r="P647" i="10"/>
  <c r="P648" i="10"/>
  <c r="P649" i="10"/>
  <c r="P656" i="10"/>
  <c r="P657" i="10"/>
  <c r="P660" i="10"/>
  <c r="P661" i="10"/>
  <c r="P662" i="10"/>
  <c r="P665" i="10"/>
  <c r="P666" i="10"/>
  <c r="P669" i="10"/>
  <c r="P670" i="10"/>
  <c r="P671" i="10"/>
  <c r="P672" i="10"/>
  <c r="P673" i="10"/>
  <c r="P674" i="10"/>
  <c r="P675" i="10"/>
  <c r="P676" i="10"/>
  <c r="P677" i="10"/>
  <c r="P678" i="10"/>
  <c r="P679" i="10"/>
  <c r="P680" i="10"/>
  <c r="P681" i="10"/>
  <c r="P682" i="10"/>
  <c r="P683" i="10"/>
  <c r="P684" i="10"/>
  <c r="P685" i="10"/>
  <c r="P686" i="10"/>
  <c r="P687" i="10"/>
  <c r="P688" i="10"/>
  <c r="P689" i="10"/>
  <c r="P690" i="10"/>
  <c r="P691" i="10"/>
  <c r="P692" i="10"/>
  <c r="P693" i="10"/>
  <c r="P694" i="10"/>
  <c r="P695" i="10"/>
  <c r="P696" i="10"/>
  <c r="P697" i="10"/>
  <c r="P698" i="10"/>
  <c r="P699" i="10"/>
  <c r="P700" i="10"/>
  <c r="P701" i="10"/>
  <c r="P702" i="10"/>
  <c r="P703" i="10"/>
  <c r="P704" i="10"/>
  <c r="P705" i="10"/>
  <c r="P706" i="10"/>
  <c r="P707" i="10"/>
  <c r="P708" i="10"/>
  <c r="P709" i="10"/>
  <c r="P710" i="10"/>
  <c r="P711" i="10"/>
  <c r="P712" i="10"/>
  <c r="P713" i="10"/>
  <c r="P714" i="10"/>
  <c r="P716" i="10"/>
  <c r="P717" i="10"/>
  <c r="P718" i="10"/>
  <c r="P719" i="10"/>
  <c r="P720" i="10"/>
  <c r="P722" i="10"/>
  <c r="P723" i="10"/>
  <c r="P724" i="10"/>
  <c r="P727" i="10"/>
  <c r="P730" i="10"/>
  <c r="P731" i="10"/>
  <c r="P734" i="10"/>
  <c r="P737" i="10"/>
  <c r="P738" i="10"/>
  <c r="P739" i="10"/>
  <c r="P740" i="10"/>
  <c r="P741" i="10"/>
  <c r="P742" i="10"/>
  <c r="P743" i="10"/>
  <c r="P744" i="10"/>
  <c r="P745" i="10"/>
  <c r="P746" i="10"/>
  <c r="P747" i="10"/>
  <c r="P748" i="10"/>
  <c r="P749" i="10"/>
  <c r="P750" i="10"/>
  <c r="P751" i="10"/>
  <c r="P752" i="10"/>
  <c r="P753" i="10"/>
  <c r="P754" i="10"/>
  <c r="P755" i="10"/>
  <c r="P756" i="10"/>
  <c r="P757" i="10"/>
  <c r="P758" i="10"/>
  <c r="P759" i="10"/>
  <c r="P760" i="10"/>
  <c r="P761" i="10"/>
  <c r="P762" i="10"/>
  <c r="P763" i="10"/>
  <c r="P764" i="10"/>
  <c r="P765" i="10"/>
  <c r="P766" i="10"/>
  <c r="P767" i="10"/>
  <c r="P768" i="10"/>
  <c r="P769" i="10"/>
  <c r="P770" i="10"/>
  <c r="P771" i="10"/>
  <c r="P772" i="10"/>
  <c r="P773" i="10"/>
  <c r="P774" i="10"/>
  <c r="P775" i="10"/>
  <c r="P776" i="10"/>
  <c r="P777" i="10"/>
  <c r="P778" i="10"/>
  <c r="P779" i="10"/>
  <c r="P780" i="10"/>
  <c r="P781" i="10"/>
  <c r="P782" i="10"/>
  <c r="P783" i="10"/>
  <c r="P784" i="10"/>
  <c r="P785" i="10"/>
  <c r="P786" i="10"/>
  <c r="P787" i="10"/>
  <c r="P788" i="10"/>
  <c r="P789" i="10"/>
  <c r="P790" i="10"/>
  <c r="P791" i="10"/>
  <c r="P792" i="10"/>
  <c r="P793" i="10"/>
  <c r="P794" i="10"/>
  <c r="P795" i="10"/>
  <c r="P796" i="10"/>
  <c r="P797" i="10"/>
  <c r="P798" i="10"/>
  <c r="P799" i="10"/>
  <c r="P800" i="10"/>
  <c r="P801" i="10"/>
  <c r="P802" i="10"/>
  <c r="P803" i="10"/>
  <c r="P804" i="10"/>
  <c r="P805" i="10"/>
  <c r="P806" i="10"/>
  <c r="P807" i="10"/>
  <c r="P808" i="10"/>
  <c r="P809" i="10"/>
  <c r="P810" i="10"/>
  <c r="P811" i="10"/>
  <c r="P812" i="10"/>
  <c r="P813" i="10"/>
  <c r="P814" i="10"/>
  <c r="P815" i="10"/>
  <c r="P816" i="10"/>
  <c r="P817" i="10"/>
  <c r="P818" i="10"/>
  <c r="P819" i="10"/>
  <c r="P820" i="10"/>
  <c r="P821" i="10"/>
  <c r="P822" i="10"/>
  <c r="P823" i="10"/>
  <c r="P824" i="10"/>
  <c r="P825" i="10"/>
  <c r="P826" i="10"/>
  <c r="P827" i="10"/>
  <c r="P828" i="10"/>
  <c r="P829" i="10"/>
  <c r="P830" i="10"/>
  <c r="P831" i="10"/>
  <c r="P832" i="10"/>
  <c r="P833" i="10"/>
  <c r="P834" i="10"/>
  <c r="P835" i="10"/>
  <c r="P836" i="10"/>
  <c r="P837" i="10"/>
  <c r="P840" i="10"/>
  <c r="P841" i="10"/>
  <c r="P843" i="10"/>
  <c r="P844" i="10"/>
  <c r="P845" i="10"/>
  <c r="P846" i="10"/>
  <c r="P847" i="10"/>
  <c r="P848" i="10"/>
  <c r="P849" i="10"/>
  <c r="P850" i="10"/>
  <c r="P851" i="10"/>
  <c r="P852" i="10"/>
  <c r="P853" i="10"/>
  <c r="P854" i="10"/>
  <c r="P855" i="10"/>
  <c r="P856" i="10"/>
  <c r="P857" i="10"/>
  <c r="P858" i="10"/>
  <c r="P859" i="10"/>
  <c r="P860" i="10"/>
  <c r="P861" i="10"/>
  <c r="P862" i="10"/>
  <c r="P863" i="10"/>
  <c r="P864" i="10"/>
  <c r="P865" i="10"/>
  <c r="P866" i="10"/>
  <c r="P867" i="10"/>
  <c r="P868" i="10"/>
  <c r="P869" i="10"/>
  <c r="P870" i="10"/>
  <c r="P871" i="10"/>
  <c r="P872" i="10"/>
  <c r="P873" i="10"/>
  <c r="P874" i="10"/>
  <c r="P875" i="10"/>
  <c r="P876" i="10"/>
  <c r="P877" i="10"/>
  <c r="P878" i="10"/>
  <c r="P879" i="10"/>
  <c r="P880" i="10"/>
  <c r="P881" i="10"/>
  <c r="P882" i="10"/>
  <c r="P883" i="10"/>
  <c r="P884" i="10"/>
  <c r="P885" i="10"/>
  <c r="P886" i="10"/>
  <c r="P887" i="10"/>
  <c r="P888" i="10"/>
  <c r="P889" i="10"/>
  <c r="P890" i="10"/>
  <c r="P891" i="10"/>
  <c r="P892" i="10"/>
  <c r="P893" i="10"/>
  <c r="P894" i="10"/>
  <c r="P895" i="10"/>
  <c r="P896" i="10"/>
  <c r="P897" i="10"/>
  <c r="P898" i="10"/>
  <c r="P899" i="10"/>
  <c r="P900" i="10"/>
  <c r="P901" i="10"/>
  <c r="P902" i="10"/>
  <c r="P903" i="10"/>
  <c r="P904" i="10"/>
  <c r="P905" i="10"/>
  <c r="P906" i="10"/>
  <c r="P907" i="10"/>
  <c r="P908" i="10"/>
  <c r="P909" i="10"/>
  <c r="P910" i="10"/>
  <c r="P911" i="10"/>
  <c r="P912" i="10"/>
  <c r="P913" i="10"/>
  <c r="P914" i="10"/>
  <c r="P915" i="10"/>
  <c r="P916" i="10"/>
  <c r="P917" i="10"/>
  <c r="P918" i="10"/>
  <c r="P919" i="10"/>
  <c r="P920" i="10"/>
  <c r="P921" i="10"/>
  <c r="P922" i="10"/>
  <c r="P923" i="10"/>
  <c r="P924" i="10"/>
  <c r="P925" i="10"/>
  <c r="P926" i="10"/>
  <c r="P927" i="10"/>
  <c r="P928" i="10"/>
  <c r="P929" i="10"/>
  <c r="P930" i="10"/>
  <c r="P931" i="10"/>
  <c r="P932" i="10"/>
  <c r="P933" i="10"/>
  <c r="P934" i="10"/>
  <c r="P935" i="10"/>
  <c r="P936" i="10"/>
  <c r="P937" i="10"/>
  <c r="P938" i="10"/>
  <c r="P939" i="10"/>
  <c r="P940" i="10"/>
  <c r="P941" i="10"/>
  <c r="P942" i="10"/>
  <c r="P943" i="10"/>
  <c r="P944" i="10"/>
  <c r="P945" i="10"/>
  <c r="P946" i="10"/>
  <c r="P947" i="10"/>
  <c r="P948" i="10"/>
  <c r="P949" i="10"/>
  <c r="P950" i="10"/>
  <c r="P951" i="10"/>
  <c r="P952" i="10"/>
  <c r="P953" i="10"/>
  <c r="P954" i="10"/>
  <c r="P955" i="10"/>
  <c r="P956" i="10"/>
  <c r="P957" i="10"/>
  <c r="P958" i="10"/>
  <c r="P959" i="10"/>
  <c r="P960" i="10"/>
  <c r="P961" i="10"/>
  <c r="P962" i="10"/>
  <c r="P963" i="10"/>
  <c r="P964" i="10"/>
  <c r="P965" i="10"/>
  <c r="P966" i="10"/>
  <c r="P967" i="10"/>
  <c r="P968" i="10"/>
  <c r="P969" i="10"/>
  <c r="P970" i="10"/>
  <c r="P971" i="10"/>
  <c r="P972" i="10"/>
  <c r="P974" i="10"/>
  <c r="P975" i="10"/>
  <c r="P976" i="10"/>
  <c r="P977" i="10"/>
  <c r="P978" i="10"/>
  <c r="P979" i="10"/>
  <c r="P980" i="10"/>
  <c r="P981" i="10"/>
  <c r="P982" i="10"/>
  <c r="P983" i="10"/>
  <c r="P984" i="10"/>
  <c r="P985" i="10"/>
  <c r="P986" i="10"/>
  <c r="P987" i="10"/>
  <c r="P988" i="10"/>
  <c r="P989" i="10"/>
  <c r="P990" i="10"/>
  <c r="P991" i="10"/>
  <c r="P992" i="10"/>
  <c r="P993" i="10"/>
  <c r="P994" i="10"/>
  <c r="P995" i="10"/>
  <c r="P996" i="10"/>
  <c r="P997" i="10"/>
  <c r="P998" i="10"/>
  <c r="P999" i="10"/>
  <c r="P1000" i="10"/>
  <c r="P1001" i="10"/>
  <c r="P1002" i="10"/>
  <c r="P1003" i="10"/>
  <c r="P1004" i="10"/>
  <c r="P1005" i="10"/>
  <c r="P1006" i="10"/>
  <c r="P1007" i="10"/>
  <c r="P1008" i="10"/>
  <c r="P1009" i="10"/>
  <c r="P1010" i="10"/>
  <c r="P1011" i="10"/>
  <c r="P1012" i="10"/>
  <c r="P1013" i="10"/>
  <c r="P1014" i="10"/>
  <c r="P1015" i="10"/>
  <c r="P1016" i="10"/>
  <c r="P1017" i="10"/>
  <c r="P1018" i="10"/>
  <c r="P1019" i="10"/>
  <c r="P1020" i="10"/>
  <c r="P1021" i="10"/>
  <c r="P1022" i="10"/>
  <c r="P1023" i="10"/>
  <c r="P1024" i="10"/>
  <c r="P1025" i="10"/>
  <c r="P1026" i="10"/>
  <c r="P1027" i="10"/>
  <c r="P1028" i="10"/>
  <c r="P1029" i="10"/>
  <c r="P1030" i="10"/>
  <c r="P1031" i="10"/>
  <c r="P1032" i="10"/>
  <c r="P1033" i="10"/>
  <c r="P1034" i="10"/>
  <c r="P1035" i="10"/>
  <c r="P1036" i="10"/>
  <c r="P1037" i="10"/>
  <c r="P1038" i="10"/>
  <c r="P1039" i="10"/>
  <c r="P1040" i="10"/>
  <c r="P1041" i="10"/>
  <c r="P1042" i="10"/>
  <c r="P1043" i="10"/>
  <c r="P1044" i="10"/>
  <c r="P1045" i="10"/>
  <c r="P1046" i="10"/>
  <c r="P1047" i="10"/>
  <c r="P1048" i="10"/>
  <c r="P1049" i="10"/>
  <c r="P1050" i="10"/>
  <c r="P1051" i="10"/>
  <c r="P1052" i="10"/>
  <c r="P1053" i="10"/>
  <c r="P1054" i="10"/>
  <c r="P1055" i="10"/>
  <c r="P1056" i="10"/>
  <c r="P1057" i="10"/>
  <c r="P1058" i="10"/>
  <c r="P1059" i="10"/>
  <c r="P1060" i="10"/>
  <c r="P1061" i="10"/>
  <c r="P1062" i="10"/>
  <c r="P1063" i="10"/>
  <c r="P1064" i="10"/>
  <c r="P1065" i="10"/>
  <c r="P1066" i="10"/>
  <c r="P1067" i="10"/>
  <c r="P1068" i="10"/>
  <c r="P1069" i="10"/>
  <c r="P1070" i="10"/>
  <c r="P1071" i="10"/>
  <c r="P1072" i="10"/>
  <c r="P1073" i="10"/>
  <c r="P1074" i="10"/>
  <c r="P1075" i="10"/>
  <c r="P1076" i="10"/>
  <c r="P1077" i="10"/>
  <c r="P1078" i="10"/>
  <c r="P1079" i="10"/>
  <c r="P1080" i="10"/>
  <c r="P1081" i="10"/>
  <c r="P1082" i="10"/>
  <c r="P1083" i="10"/>
  <c r="P1084" i="10"/>
  <c r="P1085" i="10"/>
  <c r="P1086" i="10"/>
  <c r="P1087" i="10"/>
  <c r="P1088" i="10"/>
  <c r="P1089" i="10"/>
  <c r="P1090" i="10"/>
  <c r="P1091" i="10"/>
  <c r="P1092" i="10"/>
  <c r="P1093" i="10"/>
  <c r="P1094" i="10"/>
  <c r="P1095" i="10"/>
  <c r="P1096" i="10"/>
  <c r="P1097" i="10"/>
  <c r="P1098" i="10"/>
  <c r="P1099" i="10"/>
  <c r="P1100" i="10"/>
  <c r="P1101" i="10"/>
  <c r="P1102" i="10"/>
  <c r="P1103" i="10"/>
  <c r="P1104" i="10"/>
  <c r="P1105" i="10"/>
  <c r="P1106" i="10"/>
  <c r="P1107" i="10"/>
  <c r="P1108" i="10"/>
  <c r="P1109" i="10"/>
  <c r="P1110" i="10"/>
  <c r="P1111" i="10"/>
  <c r="P1112" i="10"/>
  <c r="P1113" i="10"/>
  <c r="P1114" i="10"/>
  <c r="P1115" i="10"/>
  <c r="P1116" i="10"/>
  <c r="P1117" i="10"/>
  <c r="P1118" i="10"/>
  <c r="P1119" i="10"/>
  <c r="P1120" i="10"/>
  <c r="P1121" i="10"/>
  <c r="P1122" i="10"/>
  <c r="P1123" i="10"/>
  <c r="P1124" i="10"/>
  <c r="P1125" i="10"/>
  <c r="P1126" i="10"/>
  <c r="P1127" i="10"/>
  <c r="P1128" i="10"/>
  <c r="P1129" i="10"/>
  <c r="P1130" i="10"/>
  <c r="P1131" i="10"/>
  <c r="P1132" i="10"/>
  <c r="P1133" i="10"/>
  <c r="P1134" i="10"/>
  <c r="P1135" i="10"/>
  <c r="P1136" i="10"/>
  <c r="P1137" i="10"/>
  <c r="P1138" i="10"/>
  <c r="P1139" i="10"/>
  <c r="P1140" i="10"/>
  <c r="P1141" i="10"/>
  <c r="P1142" i="10"/>
  <c r="P1143" i="10"/>
  <c r="P1144" i="10"/>
  <c r="P1145" i="10"/>
  <c r="P1146" i="10"/>
  <c r="P1147" i="10"/>
  <c r="P1148" i="10"/>
  <c r="P1149" i="10"/>
  <c r="P1153" i="10"/>
  <c r="P1154" i="10"/>
  <c r="P1155" i="10"/>
  <c r="P1156" i="10"/>
  <c r="P1157" i="10"/>
  <c r="P1158" i="10"/>
  <c r="P1159" i="10"/>
  <c r="P1160" i="10"/>
  <c r="P1161" i="10"/>
  <c r="P1162" i="10"/>
  <c r="P1163" i="10"/>
  <c r="P1164" i="10"/>
  <c r="P1165" i="10"/>
  <c r="P1166" i="10"/>
  <c r="P1167" i="10"/>
  <c r="P1168" i="10"/>
  <c r="P1169" i="10"/>
  <c r="P1170" i="10"/>
  <c r="P1171" i="10"/>
  <c r="P1172" i="10"/>
  <c r="P1173" i="10"/>
  <c r="P1174" i="10"/>
  <c r="P1175" i="10"/>
  <c r="P1176" i="10"/>
  <c r="P1177" i="10"/>
  <c r="P1178" i="10"/>
  <c r="P1179" i="10"/>
  <c r="P1180" i="10"/>
  <c r="P1181" i="10"/>
  <c r="P1182" i="10"/>
  <c r="P1183" i="10"/>
  <c r="P1184" i="10"/>
  <c r="P1185" i="10"/>
  <c r="P1186" i="10"/>
  <c r="P1187" i="10"/>
  <c r="P1188" i="10"/>
  <c r="P1189" i="10"/>
  <c r="P1190" i="10"/>
  <c r="P1191" i="10"/>
  <c r="P1192" i="10"/>
  <c r="P1193" i="10"/>
  <c r="P1194" i="10"/>
  <c r="P1195" i="10"/>
  <c r="P1196" i="10"/>
  <c r="P1197" i="10"/>
  <c r="P1198" i="10"/>
  <c r="P1199" i="10"/>
  <c r="P1200" i="10"/>
  <c r="P1201" i="10"/>
  <c r="P1202" i="10"/>
  <c r="P1203" i="10"/>
  <c r="P1204" i="10"/>
  <c r="P1205" i="10"/>
  <c r="P1206" i="10"/>
  <c r="P101" i="10"/>
  <c r="D7" i="10"/>
  <c r="D8" i="10"/>
  <c r="D9" i="10"/>
  <c r="D10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3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6" i="10"/>
  <c r="D58" i="10"/>
  <c r="D59" i="10"/>
  <c r="D61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8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14" i="10"/>
  <c r="D215" i="10"/>
  <c r="D216" i="10"/>
  <c r="D217" i="10"/>
  <c r="D218" i="10"/>
  <c r="D219" i="10"/>
  <c r="D220" i="10"/>
  <c r="D221" i="10"/>
  <c r="D222" i="10"/>
  <c r="D223" i="10"/>
  <c r="D224" i="10"/>
  <c r="D225" i="10"/>
  <c r="D226" i="10"/>
  <c r="D227" i="10"/>
  <c r="D228" i="10"/>
  <c r="D229" i="10"/>
  <c r="D230" i="10"/>
  <c r="D231" i="10"/>
  <c r="D232" i="10"/>
  <c r="D233" i="10"/>
  <c r="D234" i="10"/>
  <c r="D235" i="10"/>
  <c r="D236" i="10"/>
  <c r="D237" i="10"/>
  <c r="D238" i="10"/>
  <c r="D239" i="10"/>
  <c r="D240" i="10"/>
  <c r="D241" i="10"/>
  <c r="D242" i="10"/>
  <c r="D243" i="10"/>
  <c r="D244" i="10"/>
  <c r="D245" i="10"/>
  <c r="D246" i="10"/>
  <c r="D247" i="10"/>
  <c r="D248" i="10"/>
  <c r="D249" i="10"/>
  <c r="D250" i="10"/>
  <c r="D251" i="10"/>
  <c r="D252" i="10"/>
  <c r="D253" i="10"/>
  <c r="D254" i="10"/>
  <c r="D255" i="10"/>
  <c r="D256" i="10"/>
  <c r="D257" i="10"/>
  <c r="D258" i="10"/>
  <c r="D259" i="10"/>
  <c r="D260" i="10"/>
  <c r="D261" i="10"/>
  <c r="D262" i="10"/>
  <c r="D263" i="10"/>
  <c r="D264" i="10"/>
  <c r="D265" i="10"/>
  <c r="D266" i="10"/>
  <c r="D267" i="10"/>
  <c r="D268" i="10"/>
  <c r="D269" i="10"/>
  <c r="D270" i="10"/>
  <c r="D271" i="10"/>
  <c r="D272" i="10"/>
  <c r="D273" i="10"/>
  <c r="D274" i="10"/>
  <c r="D275" i="10"/>
  <c r="D276" i="10"/>
  <c r="D277" i="10"/>
  <c r="D278" i="10"/>
  <c r="D279" i="10"/>
  <c r="D280" i="10"/>
  <c r="D281" i="10"/>
  <c r="D282" i="10"/>
  <c r="D283" i="10"/>
  <c r="D284" i="10"/>
  <c r="D285" i="10"/>
  <c r="D286" i="10"/>
  <c r="D287" i="10"/>
  <c r="D288" i="10"/>
  <c r="D289" i="10"/>
  <c r="D290" i="10"/>
  <c r="D291" i="10"/>
  <c r="D292" i="10"/>
  <c r="D293" i="10"/>
  <c r="D294" i="10"/>
  <c r="D295" i="10"/>
  <c r="D296" i="10"/>
  <c r="D297" i="10"/>
  <c r="D298" i="10"/>
  <c r="D299" i="10"/>
  <c r="D300" i="10"/>
  <c r="D301" i="10"/>
  <c r="D302" i="10"/>
  <c r="D303" i="10"/>
  <c r="D304" i="10"/>
  <c r="D305" i="10"/>
  <c r="D306" i="10"/>
  <c r="D307" i="10"/>
  <c r="D308" i="10"/>
  <c r="D309" i="10"/>
  <c r="D310" i="10"/>
  <c r="D311" i="10"/>
  <c r="D312" i="10"/>
  <c r="D313" i="10"/>
  <c r="D314" i="10"/>
  <c r="D315" i="10"/>
  <c r="D316" i="10"/>
  <c r="D317" i="10"/>
  <c r="D318" i="10"/>
  <c r="D319" i="10"/>
  <c r="D320" i="10"/>
  <c r="D321" i="10"/>
  <c r="D322" i="10"/>
  <c r="D323" i="10"/>
  <c r="D324" i="10"/>
  <c r="D325" i="10"/>
  <c r="D326" i="10"/>
  <c r="D327" i="10"/>
  <c r="D328" i="10"/>
  <c r="D329" i="10"/>
  <c r="D330" i="10"/>
  <c r="D331" i="10"/>
  <c r="D332" i="10"/>
  <c r="D333" i="10"/>
  <c r="D334" i="10"/>
  <c r="D335" i="10"/>
  <c r="D336" i="10"/>
  <c r="D337" i="10"/>
  <c r="D338" i="10"/>
  <c r="D339" i="10"/>
  <c r="D340" i="10"/>
  <c r="D341" i="10"/>
  <c r="D342" i="10"/>
  <c r="D343" i="10"/>
  <c r="D344" i="10"/>
  <c r="D345" i="10"/>
  <c r="D346" i="10"/>
  <c r="D347" i="10"/>
  <c r="D348" i="10"/>
  <c r="D349" i="10"/>
  <c r="D350" i="10"/>
  <c r="D351" i="10"/>
  <c r="D352" i="10"/>
  <c r="D353" i="10"/>
  <c r="D354" i="10"/>
  <c r="D355" i="10"/>
  <c r="D356" i="10"/>
  <c r="D357" i="10"/>
  <c r="D358" i="10"/>
  <c r="D359" i="10"/>
  <c r="D360" i="10"/>
  <c r="D361" i="10"/>
  <c r="D362" i="10"/>
  <c r="D363" i="10"/>
  <c r="D364" i="10"/>
  <c r="D365" i="10"/>
  <c r="D366" i="10"/>
  <c r="D367" i="10"/>
  <c r="D368" i="10"/>
  <c r="D369" i="10"/>
  <c r="D370" i="10"/>
  <c r="D371" i="10"/>
  <c r="D372" i="10"/>
  <c r="D373" i="10"/>
  <c r="D374" i="10"/>
  <c r="D375" i="10"/>
  <c r="D376" i="10"/>
  <c r="D377" i="10"/>
  <c r="D378" i="10"/>
  <c r="D379" i="10"/>
  <c r="D380" i="10"/>
  <c r="D381" i="10"/>
  <c r="D382" i="10"/>
  <c r="D383" i="10"/>
  <c r="D384" i="10"/>
  <c r="D385" i="10"/>
  <c r="D386" i="10"/>
  <c r="D387" i="10"/>
  <c r="D388" i="10"/>
  <c r="D389" i="10"/>
  <c r="D390" i="10"/>
  <c r="D391" i="10"/>
  <c r="D392" i="10"/>
  <c r="D393" i="10"/>
  <c r="D394" i="10"/>
  <c r="D395" i="10"/>
  <c r="D396" i="10"/>
  <c r="D397" i="10"/>
  <c r="D398" i="10"/>
  <c r="D399" i="10"/>
  <c r="D400" i="10"/>
  <c r="D401" i="10"/>
  <c r="D402" i="10"/>
  <c r="D403" i="10"/>
  <c r="D404" i="10"/>
  <c r="D405" i="10"/>
  <c r="D406" i="10"/>
  <c r="D407" i="10"/>
  <c r="D408" i="10"/>
  <c r="D409" i="10"/>
  <c r="D410" i="10"/>
  <c r="D411" i="10"/>
  <c r="D412" i="10"/>
  <c r="D413" i="10"/>
  <c r="D414" i="10"/>
  <c r="D415" i="10"/>
  <c r="D416" i="10"/>
  <c r="D417" i="10"/>
  <c r="D418" i="10"/>
  <c r="D419" i="10"/>
  <c r="D420" i="10"/>
  <c r="D421" i="10"/>
  <c r="D422" i="10"/>
  <c r="D423" i="10"/>
  <c r="D424" i="10"/>
  <c r="D425" i="10"/>
  <c r="D426" i="10"/>
  <c r="D427" i="10"/>
  <c r="D428" i="10"/>
  <c r="D429" i="10"/>
  <c r="D430" i="10"/>
  <c r="D431" i="10"/>
  <c r="D432" i="10"/>
  <c r="D433" i="10"/>
  <c r="D434" i="10"/>
  <c r="D435" i="10"/>
  <c r="D436" i="10"/>
  <c r="D437" i="10"/>
  <c r="D438" i="10"/>
  <c r="D439" i="10"/>
  <c r="D440" i="10"/>
  <c r="D441" i="10"/>
  <c r="D442" i="10"/>
  <c r="D443" i="10"/>
  <c r="D444" i="10"/>
  <c r="D445" i="10"/>
  <c r="D446" i="10"/>
  <c r="D447" i="10"/>
  <c r="D448" i="10"/>
  <c r="D449" i="10"/>
  <c r="D450" i="10"/>
  <c r="D451" i="10"/>
  <c r="D452" i="10"/>
  <c r="D453" i="10"/>
  <c r="D454" i="10"/>
  <c r="D455" i="10"/>
  <c r="D456" i="10"/>
  <c r="D457" i="10"/>
  <c r="D458" i="10"/>
  <c r="D459" i="10"/>
  <c r="D460" i="10"/>
  <c r="D461" i="10"/>
  <c r="D462" i="10"/>
  <c r="D463" i="10"/>
  <c r="D464" i="10"/>
  <c r="D465" i="10"/>
  <c r="D466" i="10"/>
  <c r="D467" i="10"/>
  <c r="D468" i="10"/>
  <c r="D469" i="10"/>
  <c r="D470" i="10"/>
  <c r="D471" i="10"/>
  <c r="D472" i="10"/>
  <c r="D473" i="10"/>
  <c r="D474" i="10"/>
  <c r="D475" i="10"/>
  <c r="D476" i="10"/>
  <c r="D477" i="10"/>
  <c r="D478" i="10"/>
  <c r="D479" i="10"/>
  <c r="D480" i="10"/>
  <c r="D481" i="10"/>
  <c r="D482" i="10"/>
  <c r="D483" i="10"/>
  <c r="D484" i="10"/>
  <c r="D485" i="10"/>
  <c r="D486" i="10"/>
  <c r="D487" i="10"/>
  <c r="D488" i="10"/>
  <c r="D489" i="10"/>
  <c r="D490" i="10"/>
  <c r="D491" i="10"/>
  <c r="D492" i="10"/>
  <c r="D493" i="10"/>
  <c r="D494" i="10"/>
  <c r="D495" i="10"/>
  <c r="D496" i="10"/>
  <c r="D497" i="10"/>
  <c r="D498" i="10"/>
  <c r="D499" i="10"/>
  <c r="D500" i="10"/>
  <c r="D501" i="10"/>
  <c r="D502" i="10"/>
  <c r="D503" i="10"/>
  <c r="D504" i="10"/>
  <c r="D505" i="10"/>
  <c r="D506" i="10"/>
  <c r="D507" i="10"/>
  <c r="D508" i="10"/>
  <c r="D509" i="10"/>
  <c r="D510" i="10"/>
  <c r="D511" i="10"/>
  <c r="D512" i="10"/>
  <c r="D513" i="10"/>
  <c r="D514" i="10"/>
  <c r="D515" i="10"/>
  <c r="D516" i="10"/>
  <c r="D517" i="10"/>
  <c r="D518" i="10"/>
  <c r="D519" i="10"/>
  <c r="D520" i="10"/>
  <c r="D521" i="10"/>
  <c r="D522" i="10"/>
  <c r="D523" i="10"/>
  <c r="D524" i="10"/>
  <c r="D525" i="10"/>
  <c r="D526" i="10"/>
  <c r="D527" i="10"/>
  <c r="D528" i="10"/>
  <c r="D529" i="10"/>
  <c r="D530" i="10"/>
  <c r="D531" i="10"/>
  <c r="D532" i="10"/>
  <c r="D533" i="10"/>
  <c r="D534" i="10"/>
  <c r="D535" i="10"/>
  <c r="D536" i="10"/>
  <c r="D537" i="10"/>
  <c r="D538" i="10"/>
  <c r="D539" i="10"/>
  <c r="D540" i="10"/>
  <c r="D541" i="10"/>
  <c r="D542" i="10"/>
  <c r="D543" i="10"/>
  <c r="D544" i="10"/>
  <c r="D545" i="10"/>
  <c r="D546" i="10"/>
  <c r="D547" i="10"/>
  <c r="D548" i="10"/>
  <c r="D549" i="10"/>
  <c r="D550" i="10"/>
  <c r="D551" i="10"/>
  <c r="D552" i="10"/>
  <c r="D553" i="10"/>
  <c r="D554" i="10"/>
  <c r="D555" i="10"/>
  <c r="D556" i="10"/>
  <c r="D557" i="10"/>
  <c r="D558" i="10"/>
  <c r="D559" i="10"/>
  <c r="D560" i="10"/>
  <c r="D561" i="10"/>
  <c r="D562" i="10"/>
  <c r="D563" i="10"/>
  <c r="D564" i="10"/>
  <c r="D565" i="10"/>
  <c r="D566" i="10"/>
  <c r="D567" i="10"/>
  <c r="D568" i="10"/>
  <c r="D569" i="10"/>
  <c r="D570" i="10"/>
  <c r="D571" i="10"/>
  <c r="D572" i="10"/>
  <c r="D573" i="10"/>
  <c r="D574" i="10"/>
  <c r="D575" i="10"/>
  <c r="D576" i="10"/>
  <c r="D577" i="10"/>
  <c r="D578" i="10"/>
  <c r="D579" i="10"/>
  <c r="D580" i="10"/>
  <c r="D581" i="10"/>
  <c r="D582" i="10"/>
  <c r="D583" i="10"/>
  <c r="D584" i="10"/>
  <c r="D585" i="10"/>
  <c r="D586" i="10"/>
  <c r="D587" i="10"/>
  <c r="D588" i="10"/>
  <c r="D589" i="10"/>
  <c r="D590" i="10"/>
  <c r="D591" i="10"/>
  <c r="D592" i="10"/>
  <c r="D593" i="10"/>
  <c r="D594" i="10"/>
  <c r="D595" i="10"/>
  <c r="D596" i="10"/>
  <c r="D597" i="10"/>
  <c r="D598" i="10"/>
  <c r="D599" i="10"/>
  <c r="D600" i="10"/>
  <c r="D601" i="10"/>
  <c r="D602" i="10"/>
  <c r="D603" i="10"/>
  <c r="D604" i="10"/>
  <c r="D605" i="10"/>
  <c r="D606" i="10"/>
  <c r="D607" i="10"/>
  <c r="D608" i="10"/>
  <c r="D609" i="10"/>
  <c r="D610" i="10"/>
  <c r="D611" i="10"/>
  <c r="D612" i="10"/>
  <c r="D613" i="10"/>
  <c r="D614" i="10"/>
  <c r="D615" i="10"/>
  <c r="D616" i="10"/>
  <c r="D617" i="10"/>
  <c r="D618" i="10"/>
  <c r="D619" i="10"/>
  <c r="D620" i="10"/>
  <c r="D621" i="10"/>
  <c r="D622" i="10"/>
  <c r="D623" i="10"/>
  <c r="D624" i="10"/>
  <c r="D625" i="10"/>
  <c r="D626" i="10"/>
  <c r="D627" i="10"/>
  <c r="D628" i="10"/>
  <c r="D629" i="10"/>
  <c r="D630" i="10"/>
  <c r="D631" i="10"/>
  <c r="D632" i="10"/>
  <c r="D633" i="10"/>
  <c r="D634" i="10"/>
  <c r="D635" i="10"/>
  <c r="D636" i="10"/>
  <c r="D637" i="10"/>
  <c r="D638" i="10"/>
  <c r="D639" i="10"/>
  <c r="D640" i="10"/>
  <c r="D641" i="10"/>
  <c r="D642" i="10"/>
  <c r="D643" i="10"/>
  <c r="D644" i="10"/>
  <c r="D645" i="10"/>
  <c r="D646" i="10"/>
  <c r="D647" i="10"/>
  <c r="D648" i="10"/>
  <c r="D649" i="10"/>
  <c r="D650" i="10"/>
  <c r="D651" i="10"/>
  <c r="D652" i="10"/>
  <c r="D653" i="10"/>
  <c r="D654" i="10"/>
  <c r="D655" i="10"/>
  <c r="D656" i="10"/>
  <c r="D657" i="10"/>
  <c r="D658" i="10"/>
  <c r="D659" i="10"/>
  <c r="D660" i="10"/>
  <c r="D661" i="10"/>
  <c r="D662" i="10"/>
  <c r="D663" i="10"/>
  <c r="D664" i="10"/>
  <c r="D665" i="10"/>
  <c r="D666" i="10"/>
  <c r="D667" i="10"/>
  <c r="D668" i="10"/>
  <c r="D669" i="10"/>
  <c r="D670" i="10"/>
  <c r="D671" i="10"/>
  <c r="D672" i="10"/>
  <c r="D673" i="10"/>
  <c r="D674" i="10"/>
  <c r="D675" i="10"/>
  <c r="D676" i="10"/>
  <c r="D677" i="10"/>
  <c r="D678" i="10"/>
  <c r="D679" i="10"/>
  <c r="D680" i="10"/>
  <c r="D681" i="10"/>
  <c r="D682" i="10"/>
  <c r="D683" i="10"/>
  <c r="D684" i="10"/>
  <c r="D685" i="10"/>
  <c r="D686" i="10"/>
  <c r="D687" i="10"/>
  <c r="D688" i="10"/>
  <c r="D689" i="10"/>
  <c r="D690" i="10"/>
  <c r="D691" i="10"/>
  <c r="D692" i="10"/>
  <c r="D693" i="10"/>
  <c r="D694" i="10"/>
  <c r="D695" i="10"/>
  <c r="D696" i="10"/>
  <c r="D697" i="10"/>
  <c r="D698" i="10"/>
  <c r="D699" i="10"/>
  <c r="D700" i="10"/>
  <c r="D701" i="10"/>
  <c r="D702" i="10"/>
  <c r="D703" i="10"/>
  <c r="D704" i="10"/>
  <c r="D705" i="10"/>
  <c r="D706" i="10"/>
  <c r="D707" i="10"/>
  <c r="D708" i="10"/>
  <c r="D709" i="10"/>
  <c r="D710" i="10"/>
  <c r="D711" i="10"/>
  <c r="D712" i="10"/>
  <c r="D713" i="10"/>
  <c r="D714" i="10"/>
  <c r="D715" i="10"/>
  <c r="D716" i="10"/>
  <c r="D717" i="10"/>
  <c r="D718" i="10"/>
  <c r="D719" i="10"/>
  <c r="D720" i="10"/>
  <c r="D721" i="10"/>
  <c r="D722" i="10"/>
  <c r="D723" i="10"/>
  <c r="D724" i="10"/>
  <c r="D725" i="10"/>
  <c r="D726" i="10"/>
  <c r="D727" i="10"/>
  <c r="D728" i="10"/>
  <c r="D729" i="10"/>
  <c r="D730" i="10"/>
  <c r="D731" i="10"/>
  <c r="D732" i="10"/>
  <c r="D733" i="10"/>
  <c r="D734" i="10"/>
  <c r="D735" i="10"/>
  <c r="D736" i="10"/>
  <c r="D737" i="10"/>
  <c r="D738" i="10"/>
  <c r="D739" i="10"/>
  <c r="D740" i="10"/>
  <c r="D741" i="10"/>
  <c r="D742" i="10"/>
  <c r="D743" i="10"/>
  <c r="D744" i="10"/>
  <c r="D745" i="10"/>
  <c r="D746" i="10"/>
  <c r="D747" i="10"/>
  <c r="D748" i="10"/>
  <c r="D749" i="10"/>
  <c r="D750" i="10"/>
  <c r="D751" i="10"/>
  <c r="D752" i="10"/>
  <c r="D753" i="10"/>
  <c r="D754" i="10"/>
  <c r="D755" i="10"/>
  <c r="D756" i="10"/>
  <c r="D757" i="10"/>
  <c r="D758" i="10"/>
  <c r="D759" i="10"/>
  <c r="D760" i="10"/>
  <c r="D761" i="10"/>
  <c r="D762" i="10"/>
  <c r="D763" i="10"/>
  <c r="D764" i="10"/>
  <c r="D765" i="10"/>
  <c r="D766" i="10"/>
  <c r="D767" i="10"/>
  <c r="D768" i="10"/>
  <c r="D769" i="10"/>
  <c r="D770" i="10"/>
  <c r="D771" i="10"/>
  <c r="D772" i="10"/>
  <c r="D773" i="10"/>
  <c r="D774" i="10"/>
  <c r="D775" i="10"/>
  <c r="D776" i="10"/>
  <c r="D777" i="10"/>
  <c r="D778" i="10"/>
  <c r="D779" i="10"/>
  <c r="D780" i="10"/>
  <c r="D781" i="10"/>
  <c r="D782" i="10"/>
  <c r="D783" i="10"/>
  <c r="D784" i="10"/>
  <c r="D785" i="10"/>
  <c r="D786" i="10"/>
  <c r="D787" i="10"/>
  <c r="D788" i="10"/>
  <c r="D789" i="10"/>
  <c r="D790" i="10"/>
  <c r="D791" i="10"/>
  <c r="D792" i="10"/>
  <c r="D793" i="10"/>
  <c r="D794" i="10"/>
  <c r="D795" i="10"/>
  <c r="D796" i="10"/>
  <c r="D797" i="10"/>
  <c r="D798" i="10"/>
  <c r="D799" i="10"/>
  <c r="D800" i="10"/>
  <c r="D801" i="10"/>
  <c r="D802" i="10"/>
  <c r="D803" i="10"/>
  <c r="D804" i="10"/>
  <c r="D805" i="10"/>
  <c r="D806" i="10"/>
  <c r="D807" i="10"/>
  <c r="D808" i="10"/>
  <c r="D809" i="10"/>
  <c r="D810" i="10"/>
  <c r="D811" i="10"/>
  <c r="D812" i="10"/>
  <c r="D813" i="10"/>
  <c r="D814" i="10"/>
  <c r="D815" i="10"/>
  <c r="D816" i="10"/>
  <c r="D817" i="10"/>
  <c r="D818" i="10"/>
  <c r="D819" i="10"/>
  <c r="D820" i="10"/>
  <c r="D821" i="10"/>
  <c r="D822" i="10"/>
  <c r="D823" i="10"/>
  <c r="D824" i="10"/>
  <c r="D825" i="10"/>
  <c r="D826" i="10"/>
  <c r="D827" i="10"/>
  <c r="D828" i="10"/>
  <c r="D829" i="10"/>
  <c r="D830" i="10"/>
  <c r="D831" i="10"/>
  <c r="D832" i="10"/>
  <c r="D833" i="10"/>
  <c r="D834" i="10"/>
  <c r="D835" i="10"/>
  <c r="D836" i="10"/>
  <c r="D837" i="10"/>
  <c r="D838" i="10"/>
  <c r="D839" i="10"/>
  <c r="D840" i="10"/>
  <c r="D841" i="10"/>
  <c r="D842" i="10"/>
  <c r="D843" i="10"/>
  <c r="D844" i="10"/>
  <c r="D845" i="10"/>
  <c r="D846" i="10"/>
  <c r="D847" i="10"/>
  <c r="D848" i="10"/>
  <c r="D849" i="10"/>
  <c r="D850" i="10"/>
  <c r="D851" i="10"/>
  <c r="D852" i="10"/>
  <c r="D853" i="10"/>
  <c r="D854" i="10"/>
  <c r="D855" i="10"/>
  <c r="D856" i="10"/>
  <c r="D857" i="10"/>
  <c r="D858" i="10"/>
  <c r="D859" i="10"/>
  <c r="D860" i="10"/>
  <c r="D861" i="10"/>
  <c r="D862" i="10"/>
  <c r="D863" i="10"/>
  <c r="D864" i="10"/>
  <c r="D865" i="10"/>
  <c r="D866" i="10"/>
  <c r="D867" i="10"/>
  <c r="D868" i="10"/>
  <c r="D869" i="10"/>
  <c r="D870" i="10"/>
  <c r="D871" i="10"/>
  <c r="D872" i="10"/>
  <c r="D873" i="10"/>
  <c r="D874" i="10"/>
  <c r="D875" i="10"/>
  <c r="D876" i="10"/>
  <c r="D877" i="10"/>
  <c r="D878" i="10"/>
  <c r="D879" i="10"/>
  <c r="D880" i="10"/>
  <c r="D881" i="10"/>
  <c r="D882" i="10"/>
  <c r="D883" i="10"/>
  <c r="D884" i="10"/>
  <c r="D885" i="10"/>
  <c r="D886" i="10"/>
  <c r="D887" i="10"/>
  <c r="D888" i="10"/>
  <c r="D889" i="10"/>
  <c r="D890" i="10"/>
  <c r="D891" i="10"/>
  <c r="D892" i="10"/>
  <c r="D893" i="10"/>
  <c r="D894" i="10"/>
  <c r="D895" i="10"/>
  <c r="D896" i="10"/>
  <c r="D897" i="10"/>
  <c r="D898" i="10"/>
  <c r="D899" i="10"/>
  <c r="D900" i="10"/>
  <c r="D901" i="10"/>
  <c r="D902" i="10"/>
  <c r="D903" i="10"/>
  <c r="D904" i="10"/>
  <c r="D905" i="10"/>
  <c r="D906" i="10"/>
  <c r="D907" i="10"/>
  <c r="D908" i="10"/>
  <c r="D909" i="10"/>
  <c r="D910" i="10"/>
  <c r="D911" i="10"/>
  <c r="D912" i="10"/>
  <c r="D913" i="10"/>
  <c r="D914" i="10"/>
  <c r="D915" i="10"/>
  <c r="D916" i="10"/>
  <c r="D917" i="10"/>
  <c r="D918" i="10"/>
  <c r="D919" i="10"/>
  <c r="D920" i="10"/>
  <c r="D921" i="10"/>
  <c r="D922" i="10"/>
  <c r="D923" i="10"/>
  <c r="D924" i="10"/>
  <c r="D925" i="10"/>
  <c r="D926" i="10"/>
  <c r="D927" i="10"/>
  <c r="D928" i="10"/>
  <c r="D929" i="10"/>
  <c r="D930" i="10"/>
  <c r="D931" i="10"/>
  <c r="D932" i="10"/>
  <c r="D933" i="10"/>
  <c r="D934" i="10"/>
  <c r="D935" i="10"/>
  <c r="D936" i="10"/>
  <c r="D937" i="10"/>
  <c r="D938" i="10"/>
  <c r="D939" i="10"/>
  <c r="D940" i="10"/>
  <c r="D941" i="10"/>
  <c r="D942" i="10"/>
  <c r="D943" i="10"/>
  <c r="D944" i="10"/>
  <c r="D945" i="10"/>
  <c r="D946" i="10"/>
  <c r="D947" i="10"/>
  <c r="D948" i="10"/>
  <c r="D949" i="10"/>
  <c r="D950" i="10"/>
  <c r="D951" i="10"/>
  <c r="D952" i="10"/>
  <c r="D953" i="10"/>
  <c r="D954" i="10"/>
  <c r="D955" i="10"/>
  <c r="D956" i="10"/>
  <c r="D957" i="10"/>
  <c r="D958" i="10"/>
  <c r="D959" i="10"/>
  <c r="D960" i="10"/>
  <c r="D961" i="10"/>
  <c r="D962" i="10"/>
  <c r="D963" i="10"/>
  <c r="D964" i="10"/>
  <c r="D965" i="10"/>
  <c r="D966" i="10"/>
  <c r="D967" i="10"/>
  <c r="D968" i="10"/>
  <c r="D969" i="10"/>
  <c r="D970" i="10"/>
  <c r="D971" i="10"/>
  <c r="D972" i="10"/>
  <c r="D973" i="10"/>
  <c r="D974" i="10"/>
  <c r="D975" i="10"/>
  <c r="D976" i="10"/>
  <c r="D977" i="10"/>
  <c r="D978" i="10"/>
  <c r="D979" i="10"/>
  <c r="D980" i="10"/>
  <c r="D981" i="10"/>
  <c r="D982" i="10"/>
  <c r="D983" i="10"/>
  <c r="D984" i="10"/>
  <c r="D985" i="10"/>
  <c r="D986" i="10"/>
  <c r="D987" i="10"/>
  <c r="D988" i="10"/>
  <c r="D989" i="10"/>
  <c r="D990" i="10"/>
  <c r="D991" i="10"/>
  <c r="D992" i="10"/>
  <c r="D993" i="10"/>
  <c r="D994" i="10"/>
  <c r="D995" i="10"/>
  <c r="D996" i="10"/>
  <c r="D997" i="10"/>
  <c r="D998" i="10"/>
  <c r="D999" i="10"/>
  <c r="D1000" i="10"/>
  <c r="D1001" i="10"/>
  <c r="D1002" i="10"/>
  <c r="D1003" i="10"/>
  <c r="D1004" i="10"/>
  <c r="D1005" i="10"/>
  <c r="D1006" i="10"/>
  <c r="D1007" i="10"/>
  <c r="D1008" i="10"/>
  <c r="D1009" i="10"/>
  <c r="D1010" i="10"/>
  <c r="D1011" i="10"/>
  <c r="D1012" i="10"/>
  <c r="D1013" i="10"/>
  <c r="D1014" i="10"/>
  <c r="D1015" i="10"/>
  <c r="D1016" i="10"/>
  <c r="D1017" i="10"/>
  <c r="D1018" i="10"/>
  <c r="D1019" i="10"/>
  <c r="D1020" i="10"/>
  <c r="D1021" i="10"/>
  <c r="D1022" i="10"/>
  <c r="D1023" i="10"/>
  <c r="D1024" i="10"/>
  <c r="D1025" i="10"/>
  <c r="D1026" i="10"/>
  <c r="D1027" i="10"/>
  <c r="D1028" i="10"/>
  <c r="D1029" i="10"/>
  <c r="D1030" i="10"/>
  <c r="D1031" i="10"/>
  <c r="D1032" i="10"/>
  <c r="D1033" i="10"/>
  <c r="D1034" i="10"/>
  <c r="D1035" i="10"/>
  <c r="D1036" i="10"/>
  <c r="D1037" i="10"/>
  <c r="D1038" i="10"/>
  <c r="D1039" i="10"/>
  <c r="D1040" i="10"/>
  <c r="D1041" i="10"/>
  <c r="D1042" i="10"/>
  <c r="D1043" i="10"/>
  <c r="D1044" i="10"/>
  <c r="D1045" i="10"/>
  <c r="D1046" i="10"/>
  <c r="D1047" i="10"/>
  <c r="D1048" i="10"/>
  <c r="D1049" i="10"/>
  <c r="D1050" i="10"/>
  <c r="D1051" i="10"/>
  <c r="D1052" i="10"/>
  <c r="D1053" i="10"/>
  <c r="D1054" i="10"/>
  <c r="D1055" i="10"/>
  <c r="D1056" i="10"/>
  <c r="D1057" i="10"/>
  <c r="D1058" i="10"/>
  <c r="D1059" i="10"/>
  <c r="D1060" i="10"/>
  <c r="D1061" i="10"/>
  <c r="D1062" i="10"/>
  <c r="D1063" i="10"/>
  <c r="D1064" i="10"/>
  <c r="D1065" i="10"/>
  <c r="D1066" i="10"/>
  <c r="D1067" i="10"/>
  <c r="D1068" i="10"/>
  <c r="D1069" i="10"/>
  <c r="D1070" i="10"/>
  <c r="D1071" i="10"/>
  <c r="D1074" i="10"/>
  <c r="D1075" i="10"/>
  <c r="D1076" i="10"/>
  <c r="D1077" i="10"/>
  <c r="D1078" i="10"/>
  <c r="D1079" i="10"/>
  <c r="D1080" i="10"/>
  <c r="D1081" i="10"/>
  <c r="D1082" i="10"/>
  <c r="D1083" i="10"/>
  <c r="D1084" i="10"/>
  <c r="D1085" i="10"/>
  <c r="D1086" i="10"/>
  <c r="D1087" i="10"/>
  <c r="D1088" i="10"/>
  <c r="D1089" i="10"/>
  <c r="D1090" i="10"/>
  <c r="D1091" i="10"/>
  <c r="D1092" i="10"/>
  <c r="D1093" i="10"/>
  <c r="D1094" i="10"/>
  <c r="D1095" i="10"/>
  <c r="D1096" i="10"/>
  <c r="D1097" i="10"/>
  <c r="D1098" i="10"/>
  <c r="D1099" i="10"/>
  <c r="D1100" i="10"/>
  <c r="D1101" i="10"/>
  <c r="D1102" i="10"/>
  <c r="D1103" i="10"/>
  <c r="D1104" i="10"/>
  <c r="D1105" i="10"/>
  <c r="D1106" i="10"/>
  <c r="D1107" i="10"/>
  <c r="D1108" i="10"/>
  <c r="D1109" i="10"/>
  <c r="D1110" i="10"/>
  <c r="D1111" i="10"/>
  <c r="D1112" i="10"/>
  <c r="D1113" i="10"/>
  <c r="D1114" i="10"/>
  <c r="D1115" i="10"/>
  <c r="D1116" i="10"/>
  <c r="D1117" i="10"/>
  <c r="D1118" i="10"/>
  <c r="D1119" i="10"/>
  <c r="D1120" i="10"/>
  <c r="D1121" i="10"/>
  <c r="D1122" i="10"/>
  <c r="D1123" i="10"/>
  <c r="D1124" i="10"/>
  <c r="D1125" i="10"/>
  <c r="D1126" i="10"/>
  <c r="D1127" i="10"/>
  <c r="D1128" i="10"/>
  <c r="D1129" i="10"/>
  <c r="D1130" i="10"/>
  <c r="D1131" i="10"/>
  <c r="D1132" i="10"/>
  <c r="D1133" i="10"/>
  <c r="D1134" i="10"/>
  <c r="D1135" i="10"/>
  <c r="D1136" i="10"/>
  <c r="D1137" i="10"/>
  <c r="D1138" i="10"/>
  <c r="D1139" i="10"/>
  <c r="D1140" i="10"/>
  <c r="D1141" i="10"/>
  <c r="D1142" i="10"/>
  <c r="D1143" i="10"/>
  <c r="D1144" i="10"/>
  <c r="D1145" i="10"/>
  <c r="D1146" i="10"/>
  <c r="D1147" i="10"/>
  <c r="D1148" i="10"/>
  <c r="D1149" i="10"/>
  <c r="D1150" i="10"/>
  <c r="D1151" i="10"/>
  <c r="D1152" i="10"/>
  <c r="D1153" i="10"/>
  <c r="D1154" i="10"/>
  <c r="D1155" i="10"/>
  <c r="D1156" i="10"/>
  <c r="D1157" i="10"/>
  <c r="D1158" i="10"/>
  <c r="D1159" i="10"/>
  <c r="D1160" i="10"/>
  <c r="D1161" i="10"/>
  <c r="D1162" i="10"/>
  <c r="D1163" i="10"/>
  <c r="D1164" i="10"/>
  <c r="D1165" i="10"/>
  <c r="D1166" i="10"/>
  <c r="D1167" i="10"/>
  <c r="D1168" i="10"/>
  <c r="D1169" i="10"/>
  <c r="D1170" i="10"/>
  <c r="D1171" i="10"/>
  <c r="D1172" i="10"/>
  <c r="D1173" i="10"/>
  <c r="D1174" i="10"/>
  <c r="D1175" i="10"/>
  <c r="D1176" i="10"/>
  <c r="D1177" i="10"/>
  <c r="D1178" i="10"/>
  <c r="D1179" i="10"/>
  <c r="D1180" i="10"/>
  <c r="D1181" i="10"/>
  <c r="D1182" i="10"/>
  <c r="D1183" i="10"/>
  <c r="D1184" i="10"/>
  <c r="D1185" i="10"/>
  <c r="D1186" i="10"/>
  <c r="D1187" i="10"/>
  <c r="D1188" i="10"/>
  <c r="D1189" i="10"/>
  <c r="D1190" i="10"/>
  <c r="D1191" i="10"/>
  <c r="D1192" i="10"/>
  <c r="D1193" i="10"/>
  <c r="D1194" i="10"/>
  <c r="D1195" i="10"/>
  <c r="D1196" i="10"/>
  <c r="D1197" i="10"/>
  <c r="D1198" i="10"/>
  <c r="D1199" i="10"/>
  <c r="D1200" i="10"/>
  <c r="D1201" i="10"/>
  <c r="D1202" i="10"/>
  <c r="D1203" i="10"/>
  <c r="D1204" i="10"/>
  <c r="D1205" i="10"/>
  <c r="D1206" i="10"/>
  <c r="Y1056" i="10"/>
  <c r="AB1056" i="10"/>
  <c r="AE7" i="10"/>
  <c r="AE8" i="10"/>
  <c r="AE9" i="10"/>
  <c r="AE10" i="10"/>
  <c r="AE11" i="10"/>
  <c r="AE12" i="10"/>
  <c r="AE13" i="10"/>
  <c r="AE14" i="10"/>
  <c r="AE15" i="10"/>
  <c r="AE16" i="10"/>
  <c r="AE17" i="10"/>
  <c r="AE18" i="10"/>
  <c r="AE19" i="10"/>
  <c r="AE20" i="10"/>
  <c r="AE21" i="10"/>
  <c r="AE22" i="10"/>
  <c r="AE23" i="10"/>
  <c r="AE24" i="10"/>
  <c r="AE25" i="10"/>
  <c r="AE26" i="10"/>
  <c r="AE27" i="10"/>
  <c r="AE29" i="10"/>
  <c r="AE30" i="10"/>
  <c r="AE31" i="10"/>
  <c r="AE33" i="10"/>
  <c r="AE34" i="10"/>
  <c r="AE35" i="10"/>
  <c r="AE36" i="10"/>
  <c r="AE37" i="10"/>
  <c r="AE38" i="10"/>
  <c r="AE39" i="10"/>
  <c r="AE40" i="10"/>
  <c r="AE41" i="10"/>
  <c r="AE42" i="10"/>
  <c r="AE43" i="10"/>
  <c r="AE44" i="10"/>
  <c r="AE45" i="10"/>
  <c r="AE46" i="10"/>
  <c r="AE47" i="10"/>
  <c r="AE48" i="10"/>
  <c r="AE49" i="10"/>
  <c r="AE50" i="10"/>
  <c r="AE51" i="10"/>
  <c r="AE52" i="10"/>
  <c r="AE53" i="10"/>
  <c r="AE54" i="10"/>
  <c r="AE55" i="10"/>
  <c r="AE56" i="10"/>
  <c r="AE57" i="10"/>
  <c r="AE58" i="10"/>
  <c r="AE59" i="10"/>
  <c r="AE60" i="10"/>
  <c r="AE61" i="10"/>
  <c r="AE63" i="10"/>
  <c r="AE64" i="10"/>
  <c r="AE65" i="10"/>
  <c r="AE66" i="10"/>
  <c r="AE67" i="10"/>
  <c r="AE68" i="10"/>
  <c r="AE69" i="10"/>
  <c r="AE70" i="10"/>
  <c r="AE71" i="10"/>
  <c r="AE72" i="10"/>
  <c r="AE73" i="10"/>
  <c r="AE74" i="10"/>
  <c r="AE75" i="10"/>
  <c r="AE76" i="10"/>
  <c r="AE77" i="10"/>
  <c r="AE78" i="10"/>
  <c r="AE79" i="10"/>
  <c r="AE80" i="10"/>
  <c r="AE81" i="10"/>
  <c r="AE82" i="10"/>
  <c r="AE83" i="10"/>
  <c r="AE84" i="10"/>
  <c r="AE85" i="10"/>
  <c r="AE86" i="10"/>
  <c r="AE87" i="10"/>
  <c r="AE88" i="10"/>
  <c r="AE89" i="10"/>
  <c r="AE90" i="10"/>
  <c r="AE91" i="10"/>
  <c r="AE92" i="10"/>
  <c r="AE93" i="10"/>
  <c r="AE94" i="10"/>
  <c r="AE96" i="10"/>
  <c r="AE97" i="10"/>
  <c r="AE98" i="10"/>
  <c r="AE99" i="10"/>
  <c r="AE100" i="10"/>
  <c r="AE101" i="10"/>
  <c r="AE103" i="10"/>
  <c r="AE104" i="10"/>
  <c r="AE105" i="10"/>
  <c r="AE106" i="10"/>
  <c r="AE107" i="10"/>
  <c r="AE109" i="10"/>
  <c r="AE110" i="10"/>
  <c r="AE111" i="10"/>
  <c r="AE113" i="10"/>
  <c r="AE114" i="10"/>
  <c r="AE115" i="10"/>
  <c r="AE116" i="10"/>
  <c r="AE117" i="10"/>
  <c r="AE119" i="10"/>
  <c r="AE120" i="10"/>
  <c r="AE121" i="10"/>
  <c r="AE122" i="10"/>
  <c r="AE123" i="10"/>
  <c r="AE124" i="10"/>
  <c r="AE125" i="10"/>
  <c r="AE126" i="10"/>
  <c r="AE128" i="10"/>
  <c r="AE129" i="10"/>
  <c r="AE132" i="10"/>
  <c r="AE133" i="10"/>
  <c r="AE134" i="10"/>
  <c r="AE136" i="10"/>
  <c r="AE138" i="10"/>
  <c r="AE139" i="10"/>
  <c r="AE140" i="10"/>
  <c r="AE141" i="10"/>
  <c r="AE142" i="10"/>
  <c r="AE143" i="10"/>
  <c r="AE145" i="10"/>
  <c r="AE146" i="10"/>
  <c r="AE147" i="10"/>
  <c r="AE148" i="10"/>
  <c r="AE150" i="10"/>
  <c r="AE151" i="10"/>
  <c r="AE153" i="10"/>
  <c r="AE154" i="10"/>
  <c r="AE155" i="10"/>
  <c r="AE156" i="10"/>
  <c r="AE157" i="10"/>
  <c r="AE158" i="10"/>
  <c r="AE159" i="10"/>
  <c r="AE160" i="10"/>
  <c r="AE162" i="10"/>
  <c r="AE163" i="10"/>
  <c r="AE164" i="10"/>
  <c r="AE165" i="10"/>
  <c r="AE166" i="10"/>
  <c r="AE167" i="10"/>
  <c r="AE168" i="10"/>
  <c r="AE169" i="10"/>
  <c r="AE170" i="10"/>
  <c r="AE171" i="10"/>
  <c r="AE172" i="10"/>
  <c r="AE173" i="10"/>
  <c r="AE175" i="10"/>
  <c r="AE176" i="10"/>
  <c r="AE177" i="10"/>
  <c r="AE178" i="10"/>
  <c r="AE179" i="10"/>
  <c r="AE180" i="10"/>
  <c r="AE181" i="10"/>
  <c r="AE182" i="10"/>
  <c r="AE183" i="10"/>
  <c r="AE184" i="10"/>
  <c r="AE185" i="10"/>
  <c r="AE187" i="10"/>
  <c r="AE188" i="10"/>
  <c r="AE189" i="10"/>
  <c r="AE190" i="10"/>
  <c r="AE191" i="10"/>
  <c r="AE192" i="10"/>
  <c r="AE193" i="10"/>
  <c r="AE194" i="10"/>
  <c r="AE195" i="10"/>
  <c r="AE196" i="10"/>
  <c r="AE197" i="10"/>
  <c r="AE198" i="10"/>
  <c r="AE199" i="10"/>
  <c r="AE200" i="10"/>
  <c r="AE201" i="10"/>
  <c r="AE202" i="10"/>
  <c r="AE203" i="10"/>
  <c r="AE204" i="10"/>
  <c r="AE205" i="10"/>
  <c r="AE206" i="10"/>
  <c r="AE207" i="10"/>
  <c r="AE208" i="10"/>
  <c r="AE209" i="10"/>
  <c r="AE210" i="10"/>
  <c r="AE211" i="10"/>
  <c r="AE212" i="10"/>
  <c r="AE213" i="10"/>
  <c r="AE214" i="10"/>
  <c r="AE215" i="10"/>
  <c r="AE216" i="10"/>
  <c r="AE217" i="10"/>
  <c r="AE218" i="10"/>
  <c r="AE219" i="10"/>
  <c r="AE220" i="10"/>
  <c r="AE221" i="10"/>
  <c r="AE222" i="10"/>
  <c r="AE223" i="10"/>
  <c r="AE224" i="10"/>
  <c r="AE225" i="10"/>
  <c r="AE226" i="10"/>
  <c r="AE227" i="10"/>
  <c r="AE229" i="10"/>
  <c r="AE230" i="10"/>
  <c r="AE232" i="10"/>
  <c r="AE233" i="10"/>
  <c r="AE235" i="10"/>
  <c r="AE236" i="10"/>
  <c r="AE237" i="10"/>
  <c r="AE238" i="10"/>
  <c r="AE239" i="10"/>
  <c r="AE240" i="10"/>
  <c r="AE241" i="10"/>
  <c r="AE242" i="10"/>
  <c r="AE243" i="10"/>
  <c r="AE244" i="10"/>
  <c r="AE245" i="10"/>
  <c r="AE246" i="10"/>
  <c r="AE248" i="10"/>
  <c r="AE249" i="10"/>
  <c r="AE251" i="10"/>
  <c r="AE252" i="10"/>
  <c r="AE253" i="10"/>
  <c r="AE254" i="10"/>
  <c r="AE255" i="10"/>
  <c r="AE256" i="10"/>
  <c r="AE257" i="10"/>
  <c r="AE258" i="10"/>
  <c r="AE260" i="10"/>
  <c r="AE261" i="10"/>
  <c r="AE262" i="10"/>
  <c r="AE264" i="10"/>
  <c r="AE266" i="10"/>
  <c r="AE267" i="10"/>
  <c r="AE268" i="10"/>
  <c r="AE269" i="10"/>
  <c r="AE270" i="10"/>
  <c r="AE271" i="10"/>
  <c r="AE272" i="10"/>
  <c r="AE273" i="10"/>
  <c r="AE275" i="10"/>
  <c r="AE276" i="10"/>
  <c r="AE277" i="10"/>
  <c r="AE278" i="10"/>
  <c r="AE279" i="10"/>
  <c r="AE280" i="10"/>
  <c r="AE281" i="10"/>
  <c r="AE283" i="10"/>
  <c r="AE284" i="10"/>
  <c r="AE285" i="10"/>
  <c r="AE286" i="10"/>
  <c r="AE287" i="10"/>
  <c r="AE288" i="10"/>
  <c r="AE289" i="10"/>
  <c r="AE290" i="10"/>
  <c r="AE291" i="10"/>
  <c r="AE292" i="10"/>
  <c r="AE293" i="10"/>
  <c r="AE294" i="10"/>
  <c r="AE295" i="10"/>
  <c r="AE296" i="10"/>
  <c r="AE297" i="10"/>
  <c r="AE299" i="10"/>
  <c r="AE300" i="10"/>
  <c r="AE301" i="10"/>
  <c r="AE302" i="10"/>
  <c r="AE303" i="10"/>
  <c r="AE304" i="10"/>
  <c r="AE305" i="10"/>
  <c r="AE306" i="10"/>
  <c r="AE307" i="10"/>
  <c r="AE308" i="10"/>
  <c r="AE309" i="10"/>
  <c r="AE310" i="10"/>
  <c r="AE311" i="10"/>
  <c r="AE312" i="10"/>
  <c r="AE313" i="10"/>
  <c r="AE314" i="10"/>
  <c r="AE316" i="10"/>
  <c r="AE317" i="10"/>
  <c r="AE319" i="10"/>
  <c r="AE320" i="10"/>
  <c r="AE322" i="10"/>
  <c r="AE323" i="10"/>
  <c r="AE324" i="10"/>
  <c r="AE325" i="10"/>
  <c r="AE326" i="10"/>
  <c r="AE328" i="10"/>
  <c r="AE329" i="10"/>
  <c r="AE330" i="10"/>
  <c r="AE331" i="10"/>
  <c r="AE332" i="10"/>
  <c r="AE333" i="10"/>
  <c r="AE334" i="10"/>
  <c r="AE335" i="10"/>
  <c r="AE336" i="10"/>
  <c r="AE337" i="10"/>
  <c r="AE338" i="10"/>
  <c r="AE339" i="10"/>
  <c r="AE340" i="10"/>
  <c r="AE341" i="10"/>
  <c r="AE342" i="10"/>
  <c r="AE343" i="10"/>
  <c r="AE344" i="10"/>
  <c r="AE345" i="10"/>
  <c r="AE346" i="10"/>
  <c r="AE347" i="10"/>
  <c r="AE348" i="10"/>
  <c r="AE349" i="10"/>
  <c r="AE350" i="10"/>
  <c r="AE351" i="10"/>
  <c r="AE352" i="10"/>
  <c r="AE353" i="10"/>
  <c r="AE354" i="10"/>
  <c r="AE355" i="10"/>
  <c r="AE356" i="10"/>
  <c r="AE357" i="10"/>
  <c r="AE358" i="10"/>
  <c r="AE359" i="10"/>
  <c r="AE360" i="10"/>
  <c r="AE361" i="10"/>
  <c r="AE362" i="10"/>
  <c r="AE364" i="10"/>
  <c r="AE366" i="10"/>
  <c r="AE369" i="10"/>
  <c r="AE370" i="10"/>
  <c r="AE371" i="10"/>
  <c r="AE372" i="10"/>
  <c r="AE373" i="10"/>
  <c r="AE375" i="10"/>
  <c r="AE376" i="10"/>
  <c r="AE377" i="10"/>
  <c r="AE378" i="10"/>
  <c r="AE379" i="10"/>
  <c r="AE381" i="10"/>
  <c r="AE382" i="10"/>
  <c r="AE383" i="10"/>
  <c r="AE384" i="10"/>
  <c r="AE385" i="10"/>
  <c r="AE387" i="10"/>
  <c r="AE388" i="10"/>
  <c r="AE391" i="10"/>
  <c r="AE393" i="10"/>
  <c r="AE394" i="10"/>
  <c r="AE395" i="10"/>
  <c r="AE396" i="10"/>
  <c r="AE397" i="10"/>
  <c r="AE398" i="10"/>
  <c r="AE399" i="10"/>
  <c r="AE401" i="10"/>
  <c r="AE402" i="10"/>
  <c r="AE403" i="10"/>
  <c r="AE404" i="10"/>
  <c r="AE405" i="10"/>
  <c r="AE408" i="10"/>
  <c r="AE409" i="10"/>
  <c r="AE411" i="10"/>
  <c r="AE412" i="10"/>
  <c r="AE413" i="10"/>
  <c r="AE414" i="10"/>
  <c r="AE416" i="10"/>
  <c r="AE417" i="10"/>
  <c r="AE418" i="10"/>
  <c r="AE419" i="10"/>
  <c r="AE421" i="10"/>
  <c r="AE422" i="10"/>
  <c r="AE423" i="10"/>
  <c r="AE424" i="10"/>
  <c r="AE425" i="10"/>
  <c r="AE426" i="10"/>
  <c r="AE427" i="10"/>
  <c r="AE428" i="10"/>
  <c r="AE429" i="10"/>
  <c r="AE432" i="10"/>
  <c r="AE433" i="10"/>
  <c r="AE434" i="10"/>
  <c r="AE435" i="10"/>
  <c r="AE436" i="10"/>
  <c r="AE438" i="10"/>
  <c r="AE439" i="10"/>
  <c r="AE440" i="10"/>
  <c r="AE441" i="10"/>
  <c r="AE444" i="10"/>
  <c r="AE445" i="10"/>
  <c r="AE446" i="10"/>
  <c r="AE447" i="10"/>
  <c r="AE448" i="10"/>
  <c r="AE449" i="10"/>
  <c r="AE450" i="10"/>
  <c r="AE451" i="10"/>
  <c r="AE452" i="10"/>
  <c r="AE453" i="10"/>
  <c r="AE455" i="10"/>
  <c r="AE456" i="10"/>
  <c r="AE457" i="10"/>
  <c r="AE458" i="10"/>
  <c r="AE459" i="10"/>
  <c r="AE460" i="10"/>
  <c r="AE461" i="10"/>
  <c r="AE462" i="10"/>
  <c r="AE463" i="10"/>
  <c r="AE465" i="10"/>
  <c r="AE468" i="10"/>
  <c r="AE470" i="10"/>
  <c r="AE471" i="10"/>
  <c r="AE472" i="10"/>
  <c r="AE475" i="10"/>
  <c r="AE476" i="10"/>
  <c r="AE477" i="10"/>
  <c r="AE478" i="10"/>
  <c r="AE479" i="10"/>
  <c r="AE481" i="10"/>
  <c r="AE482" i="10"/>
  <c r="AE483" i="10"/>
  <c r="AE484" i="10"/>
  <c r="AE485" i="10"/>
  <c r="AE486" i="10"/>
  <c r="AE487" i="10"/>
  <c r="AE488" i="10"/>
  <c r="AE489" i="10"/>
  <c r="AE490" i="10"/>
  <c r="AE492" i="10"/>
  <c r="AE493" i="10"/>
  <c r="AE494" i="10"/>
  <c r="AE495" i="10"/>
  <c r="AE496" i="10"/>
  <c r="AE497" i="10"/>
  <c r="AE498" i="10"/>
  <c r="AE502" i="10"/>
  <c r="AE503" i="10"/>
  <c r="AE504" i="10"/>
  <c r="AE506" i="10"/>
  <c r="AE507" i="10"/>
  <c r="AE508" i="10"/>
  <c r="AE509" i="10"/>
  <c r="AE510" i="10"/>
  <c r="AE513" i="10"/>
  <c r="AE514" i="10"/>
  <c r="AE516" i="10"/>
  <c r="AE517" i="10"/>
  <c r="AE518" i="10"/>
  <c r="AE519" i="10"/>
  <c r="AE520" i="10"/>
  <c r="AE521" i="10"/>
  <c r="AE523" i="10"/>
  <c r="AE525" i="10"/>
  <c r="AE527" i="10"/>
  <c r="AE530" i="10"/>
  <c r="AE531" i="10"/>
  <c r="AE532" i="10"/>
  <c r="AE534" i="10"/>
  <c r="AE536" i="10"/>
  <c r="AE537" i="10"/>
  <c r="AE538" i="10"/>
  <c r="AE539" i="10"/>
  <c r="AE542" i="10"/>
  <c r="AE543" i="10"/>
  <c r="AE546" i="10"/>
  <c r="AE548" i="10"/>
  <c r="AE551" i="10"/>
  <c r="AE553" i="10"/>
  <c r="AE554" i="10"/>
  <c r="AE556" i="10"/>
  <c r="AE558" i="10"/>
  <c r="AE560" i="10"/>
  <c r="AE561" i="10"/>
  <c r="AE562" i="10"/>
  <c r="AE564" i="10"/>
  <c r="AE566" i="10"/>
  <c r="AE567" i="10"/>
  <c r="AE568" i="10"/>
  <c r="AE571" i="10"/>
  <c r="AE572" i="10"/>
  <c r="AE574" i="10"/>
  <c r="AE575" i="10"/>
  <c r="AE576" i="10"/>
  <c r="AE577" i="10"/>
  <c r="AE579" i="10"/>
  <c r="AE581" i="10"/>
  <c r="AE584" i="10"/>
  <c r="AE586" i="10"/>
  <c r="AE588" i="10"/>
  <c r="AE589" i="10"/>
  <c r="AE590" i="10"/>
  <c r="AE592" i="10"/>
  <c r="AE593" i="10"/>
  <c r="AE594" i="10"/>
  <c r="AE599" i="10"/>
  <c r="AE600" i="10"/>
  <c r="AE602" i="10"/>
  <c r="AE604" i="10"/>
  <c r="AE606" i="10"/>
  <c r="AE607" i="10"/>
  <c r="AE611" i="10"/>
  <c r="AE616" i="10"/>
  <c r="AE617" i="10"/>
  <c r="AE618" i="10"/>
  <c r="AE619" i="10"/>
  <c r="AE620" i="10"/>
  <c r="AE621" i="10"/>
  <c r="AE622" i="10"/>
  <c r="AE623" i="10"/>
  <c r="AE625" i="10"/>
  <c r="AE626" i="10"/>
  <c r="AE627" i="10"/>
  <c r="AE628" i="10"/>
  <c r="AE629" i="10"/>
  <c r="AE630" i="10"/>
  <c r="AE631" i="10"/>
  <c r="AE632" i="10"/>
  <c r="AE633" i="10"/>
  <c r="AE634" i="10"/>
  <c r="AE635" i="10"/>
  <c r="AE637" i="10"/>
  <c r="AE638" i="10"/>
  <c r="AE639" i="10"/>
  <c r="AE640" i="10"/>
  <c r="AE641" i="10"/>
  <c r="AE644" i="10"/>
  <c r="AE646" i="10"/>
  <c r="AE649" i="10"/>
  <c r="AE650" i="10"/>
  <c r="AE651" i="10"/>
  <c r="AE652" i="10"/>
  <c r="AE653" i="10"/>
  <c r="AE654" i="10"/>
  <c r="AE655" i="10"/>
  <c r="AE657" i="10"/>
  <c r="AE660" i="10"/>
  <c r="AE661" i="10"/>
  <c r="AE662" i="10"/>
  <c r="AE663" i="10"/>
  <c r="AE664" i="10"/>
  <c r="AE666" i="10"/>
  <c r="AE667" i="10"/>
  <c r="AE668" i="10"/>
  <c r="AE669" i="10"/>
  <c r="AE671" i="10"/>
  <c r="AE673" i="10"/>
  <c r="AE674" i="10"/>
  <c r="AE675" i="10"/>
  <c r="AE676" i="10"/>
  <c r="AE677" i="10"/>
  <c r="AE678" i="10"/>
  <c r="AE679" i="10"/>
  <c r="AE680" i="10"/>
  <c r="AE681" i="10"/>
  <c r="AE682" i="10"/>
  <c r="AE683" i="10"/>
  <c r="AE684" i="10"/>
  <c r="AE685" i="10"/>
  <c r="AE686" i="10"/>
  <c r="AE687" i="10"/>
  <c r="AE688" i="10"/>
  <c r="AE690" i="10"/>
  <c r="AE691" i="10"/>
  <c r="AE693" i="10"/>
  <c r="AE694" i="10"/>
  <c r="AE695" i="10"/>
  <c r="AE696" i="10"/>
  <c r="AE697" i="10"/>
  <c r="AE698" i="10"/>
  <c r="AE699" i="10"/>
  <c r="AE700" i="10"/>
  <c r="AE701" i="10"/>
  <c r="AE702" i="10"/>
  <c r="AE703" i="10"/>
  <c r="AE704" i="10"/>
  <c r="AE705" i="10"/>
  <c r="AE706" i="10"/>
  <c r="AE707" i="10"/>
  <c r="AE708" i="10"/>
  <c r="AE709" i="10"/>
  <c r="AE710" i="10"/>
  <c r="AE711" i="10"/>
  <c r="AE712" i="10"/>
  <c r="AE713" i="10"/>
  <c r="AE715" i="10"/>
  <c r="AE716" i="10"/>
  <c r="AE717" i="10"/>
  <c r="AE718" i="10"/>
  <c r="AE719" i="10"/>
  <c r="AE720" i="10"/>
  <c r="AE721" i="10"/>
  <c r="AE722" i="10"/>
  <c r="AE724" i="10"/>
  <c r="AE725" i="10"/>
  <c r="AE727" i="10"/>
  <c r="AE729" i="10"/>
  <c r="AE730" i="10"/>
  <c r="AE731" i="10"/>
  <c r="AE734" i="10"/>
  <c r="AE735" i="10"/>
  <c r="AE736" i="10"/>
  <c r="AE738" i="10"/>
  <c r="AE739" i="10"/>
  <c r="AE740" i="10"/>
  <c r="AE741" i="10"/>
  <c r="AE744" i="10"/>
  <c r="AE745" i="10"/>
  <c r="AE746" i="10"/>
  <c r="AE747" i="10"/>
  <c r="AE748" i="10"/>
  <c r="AE749" i="10"/>
  <c r="AE750" i="10"/>
  <c r="AE753" i="10"/>
  <c r="AE754" i="10"/>
  <c r="AE755" i="10"/>
  <c r="AE756" i="10"/>
  <c r="AE757" i="10"/>
  <c r="AE758" i="10"/>
  <c r="AE759" i="10"/>
  <c r="AE760" i="10"/>
  <c r="AE761" i="10"/>
  <c r="AE762" i="10"/>
  <c r="AE763" i="10"/>
  <c r="AE764" i="10"/>
  <c r="AE765" i="10"/>
  <c r="AE766" i="10"/>
  <c r="AE767" i="10"/>
  <c r="AE768" i="10"/>
  <c r="AE769" i="10"/>
  <c r="AE770" i="10"/>
  <c r="AE771" i="10"/>
  <c r="AE772" i="10"/>
  <c r="AE773" i="10"/>
  <c r="AE774" i="10"/>
  <c r="AE775" i="10"/>
  <c r="AE776" i="10"/>
  <c r="AE777" i="10"/>
  <c r="AE778" i="10"/>
  <c r="AE780" i="10"/>
  <c r="AE781" i="10"/>
  <c r="AE783" i="10"/>
  <c r="AE784" i="10"/>
  <c r="AE785" i="10"/>
  <c r="AE786" i="10"/>
  <c r="AE787" i="10"/>
  <c r="AE788" i="10"/>
  <c r="AE789" i="10"/>
  <c r="AE790" i="10"/>
  <c r="AE791" i="10"/>
  <c r="AE792" i="10"/>
  <c r="AE793" i="10"/>
  <c r="AE794" i="10"/>
  <c r="AE795" i="10"/>
  <c r="AE796" i="10"/>
  <c r="AE797" i="10"/>
  <c r="AE798" i="10"/>
  <c r="AE799" i="10"/>
  <c r="AE800" i="10"/>
  <c r="AE801" i="10"/>
  <c r="AE802" i="10"/>
  <c r="AE803" i="10"/>
  <c r="AE804" i="10"/>
  <c r="AE805" i="10"/>
  <c r="AE806" i="10"/>
  <c r="AE807" i="10"/>
  <c r="AE809" i="10"/>
  <c r="AE810" i="10"/>
  <c r="AE811" i="10"/>
  <c r="AE812" i="10"/>
  <c r="AE813" i="10"/>
  <c r="AE814" i="10"/>
  <c r="AE816" i="10"/>
  <c r="AE817" i="10"/>
  <c r="AE818" i="10"/>
  <c r="AE819" i="10"/>
  <c r="AE820" i="10"/>
  <c r="AE821" i="10"/>
  <c r="AE822" i="10"/>
  <c r="AE823" i="10"/>
  <c r="AE824" i="10"/>
  <c r="AE826" i="10"/>
  <c r="AE827" i="10"/>
  <c r="AE828" i="10"/>
  <c r="AE829" i="10"/>
  <c r="AE830" i="10"/>
  <c r="AE831" i="10"/>
  <c r="AE833" i="10"/>
  <c r="AE834" i="10"/>
  <c r="AE836" i="10"/>
  <c r="AE837" i="10"/>
  <c r="AE838" i="10"/>
  <c r="AE839" i="10"/>
  <c r="AE840" i="10"/>
  <c r="AE841" i="10"/>
  <c r="AE842" i="10"/>
  <c r="AE843" i="10"/>
  <c r="AE844" i="10"/>
  <c r="AE845" i="10"/>
  <c r="AE846" i="10"/>
  <c r="AE847" i="10"/>
  <c r="AE848" i="10"/>
  <c r="AE849" i="10"/>
  <c r="AE850" i="10"/>
  <c r="AE851" i="10"/>
  <c r="AE852" i="10"/>
  <c r="AE853" i="10"/>
  <c r="AE854" i="10"/>
  <c r="AE855" i="10"/>
  <c r="AE856" i="10"/>
  <c r="AE857" i="10"/>
  <c r="AE858" i="10"/>
  <c r="AE859" i="10"/>
  <c r="AE860" i="10"/>
  <c r="AE861" i="10"/>
  <c r="AE862" i="10"/>
  <c r="AE864" i="10"/>
  <c r="AE865" i="10"/>
  <c r="AE866" i="10"/>
  <c r="AE867" i="10"/>
  <c r="AE868" i="10"/>
  <c r="AE869" i="10"/>
  <c r="AE871" i="10"/>
  <c r="AE872" i="10"/>
  <c r="AE873" i="10"/>
  <c r="AE874" i="10"/>
  <c r="AE875" i="10"/>
  <c r="AE876" i="10"/>
  <c r="AE877" i="10"/>
  <c r="AE878" i="10"/>
  <c r="AE879" i="10"/>
  <c r="AE880" i="10"/>
  <c r="AE882" i="10"/>
  <c r="AE883" i="10"/>
  <c r="AE885" i="10"/>
  <c r="AE886" i="10"/>
  <c r="AE888" i="10"/>
  <c r="AE889" i="10"/>
  <c r="AE890" i="10"/>
  <c r="AE892" i="10"/>
  <c r="AE893" i="10"/>
  <c r="AE894" i="10"/>
  <c r="AE895" i="10"/>
  <c r="AE896" i="10"/>
  <c r="AE897" i="10"/>
  <c r="AE898" i="10"/>
  <c r="AE899" i="10"/>
  <c r="AE900" i="10"/>
  <c r="AE901" i="10"/>
  <c r="AE902" i="10"/>
  <c r="AE904" i="10"/>
  <c r="AE905" i="10"/>
  <c r="AE906" i="10"/>
  <c r="AE907" i="10"/>
  <c r="AE908" i="10"/>
  <c r="AE909" i="10"/>
  <c r="AE910" i="10"/>
  <c r="AE911" i="10"/>
  <c r="AE912" i="10"/>
  <c r="AE914" i="10"/>
  <c r="AE915" i="10"/>
  <c r="AE916" i="10"/>
  <c r="AE917" i="10"/>
  <c r="AE918" i="10"/>
  <c r="AE919" i="10"/>
  <c r="AE920" i="10"/>
  <c r="AE921" i="10"/>
  <c r="AE922" i="10"/>
  <c r="AE923" i="10"/>
  <c r="AE924" i="10"/>
  <c r="AE925" i="10"/>
  <c r="AE927" i="10"/>
  <c r="AE928" i="10"/>
  <c r="AE929" i="10"/>
  <c r="AE930" i="10"/>
  <c r="AE932" i="10"/>
  <c r="AE933" i="10"/>
  <c r="AE934" i="10"/>
  <c r="AE935" i="10"/>
  <c r="AE936" i="10"/>
  <c r="AE937" i="10"/>
  <c r="AE938" i="10"/>
  <c r="AE939" i="10"/>
  <c r="AE940" i="10"/>
  <c r="AE941" i="10"/>
  <c r="AE942" i="10"/>
  <c r="AE943" i="10"/>
  <c r="AE944" i="10"/>
  <c r="AE945" i="10"/>
  <c r="AE946" i="10"/>
  <c r="AE949" i="10"/>
  <c r="AE950" i="10"/>
  <c r="AE952" i="10"/>
  <c r="AE953" i="10"/>
  <c r="AE954" i="10"/>
  <c r="AE955" i="10"/>
  <c r="AE956" i="10"/>
  <c r="AE957" i="10"/>
  <c r="AE958" i="10"/>
  <c r="AE959" i="10"/>
  <c r="AE961" i="10"/>
  <c r="AE962" i="10"/>
  <c r="AE963" i="10"/>
  <c r="AE964" i="10"/>
  <c r="AE965" i="10"/>
  <c r="AE966" i="10"/>
  <c r="AE967" i="10"/>
  <c r="AE968" i="10"/>
  <c r="AE969" i="10"/>
  <c r="AE970" i="10"/>
  <c r="AE971" i="10"/>
  <c r="AE972" i="10"/>
  <c r="AE973" i="10"/>
  <c r="AE974" i="10"/>
  <c r="AE975" i="10"/>
  <c r="AE977" i="10"/>
  <c r="AE978" i="10"/>
  <c r="AE979" i="10"/>
  <c r="AE981" i="10"/>
  <c r="AE983" i="10"/>
  <c r="AE985" i="10"/>
  <c r="AE986" i="10"/>
  <c r="AE987" i="10"/>
  <c r="AE988" i="10"/>
  <c r="AE989" i="10"/>
  <c r="AE990" i="10"/>
  <c r="AE991" i="10"/>
  <c r="AE992" i="10"/>
  <c r="AE993" i="10"/>
  <c r="AE994" i="10"/>
  <c r="AE995" i="10"/>
  <c r="AE996" i="10"/>
  <c r="AE997" i="10"/>
  <c r="AE998" i="10"/>
  <c r="AE999" i="10"/>
  <c r="AE1000" i="10"/>
  <c r="AE1002" i="10"/>
  <c r="AE1003" i="10"/>
  <c r="AE1004" i="10"/>
  <c r="AE1005" i="10"/>
  <c r="AE1006" i="10"/>
  <c r="AE1008" i="10"/>
  <c r="AE1010" i="10"/>
  <c r="AE1012" i="10"/>
  <c r="AE1014" i="10"/>
  <c r="AE1015" i="10"/>
  <c r="AE1016" i="10"/>
  <c r="AE1017" i="10"/>
  <c r="AE1019" i="10"/>
  <c r="AE1020" i="10"/>
  <c r="AE1021" i="10"/>
  <c r="AE1022" i="10"/>
  <c r="AE1023" i="10"/>
  <c r="AE1024" i="10"/>
  <c r="AE1025" i="10"/>
  <c r="AE1026" i="10"/>
  <c r="AE1027" i="10"/>
  <c r="AE1028" i="10"/>
  <c r="AE1029" i="10"/>
  <c r="AE1030" i="10"/>
  <c r="AE1031" i="10"/>
  <c r="AE1032" i="10"/>
  <c r="AE1033" i="10"/>
  <c r="AE1034" i="10"/>
  <c r="AE1035" i="10"/>
  <c r="AE1036" i="10"/>
  <c r="AE1037" i="10"/>
  <c r="AE1038" i="10"/>
  <c r="AE1040" i="10"/>
  <c r="AE1041" i="10"/>
  <c r="AE1043" i="10"/>
  <c r="AE1044" i="10"/>
  <c r="AE1045" i="10"/>
  <c r="AE1046" i="10"/>
  <c r="AE1047" i="10"/>
  <c r="AE1048" i="10"/>
  <c r="AE1049" i="10"/>
  <c r="AE1050" i="10"/>
  <c r="AE1051" i="10"/>
  <c r="AE1052" i="10"/>
  <c r="AE1054" i="10"/>
  <c r="AE1055" i="10"/>
  <c r="AE1057" i="10"/>
  <c r="AE1059" i="10"/>
  <c r="AE1061" i="10"/>
  <c r="AE1062" i="10"/>
  <c r="AE1063" i="10"/>
  <c r="AE1064" i="10"/>
  <c r="AE1065" i="10"/>
  <c r="AE1067" i="10"/>
  <c r="AE1068" i="10"/>
  <c r="AE1069" i="10"/>
  <c r="AE1070" i="10"/>
  <c r="AE1071" i="10"/>
  <c r="AE1072" i="10"/>
  <c r="AE1073" i="10"/>
  <c r="AE1074" i="10"/>
  <c r="AE1075" i="10"/>
  <c r="AE1076" i="10"/>
  <c r="AE1077" i="10"/>
  <c r="AE1078" i="10"/>
  <c r="AE1080" i="10"/>
  <c r="AE1081" i="10"/>
  <c r="AE1082" i="10"/>
  <c r="AE1083" i="10"/>
  <c r="AE1084" i="10"/>
  <c r="AE1085" i="10"/>
  <c r="AE1087" i="10"/>
  <c r="AE1088" i="10"/>
  <c r="AE1089" i="10"/>
  <c r="AE1090" i="10"/>
  <c r="AE1091" i="10"/>
  <c r="AE1092" i="10"/>
  <c r="AE1093" i="10"/>
  <c r="AE1094" i="10"/>
  <c r="AE1095" i="10"/>
  <c r="AE1096" i="10"/>
  <c r="AE1097" i="10"/>
  <c r="AE1098" i="10"/>
  <c r="AE1099" i="10"/>
  <c r="AE1100" i="10"/>
  <c r="AE1101" i="10"/>
  <c r="AE1102" i="10"/>
  <c r="AE1103" i="10"/>
  <c r="AE1104" i="10"/>
  <c r="AE1105" i="10"/>
  <c r="AE1106" i="10"/>
  <c r="AE1108" i="10"/>
  <c r="AE1109" i="10"/>
  <c r="AE1110" i="10"/>
  <c r="AE1112" i="10"/>
  <c r="AE1113" i="10"/>
  <c r="AE1114" i="10"/>
  <c r="AE1115" i="10"/>
  <c r="AE1116" i="10"/>
  <c r="AE1117" i="10"/>
  <c r="AE1118" i="10"/>
  <c r="AE1119" i="10"/>
  <c r="AE1120" i="10"/>
  <c r="AE1121" i="10"/>
  <c r="AE1122" i="10"/>
  <c r="AE1123" i="10"/>
  <c r="AE1124" i="10"/>
  <c r="AE1125" i="10"/>
  <c r="AE1126" i="10"/>
  <c r="AE1127" i="10"/>
  <c r="AE1128" i="10"/>
  <c r="AE1129" i="10"/>
  <c r="AE1130" i="10"/>
  <c r="AE1131" i="10"/>
  <c r="AE1133" i="10"/>
  <c r="AE1135" i="10"/>
  <c r="AE1136" i="10"/>
  <c r="AE1137" i="10"/>
  <c r="AE1138" i="10"/>
  <c r="AE1139" i="10"/>
  <c r="AE1140" i="10"/>
  <c r="AE1141" i="10"/>
  <c r="AE1142" i="10"/>
  <c r="AE1143" i="10"/>
  <c r="AE1144" i="10"/>
  <c r="AE1145" i="10"/>
  <c r="AE1146" i="10"/>
  <c r="AE1147" i="10"/>
  <c r="AE1148" i="10"/>
  <c r="AE1149" i="10"/>
  <c r="AE1150" i="10"/>
  <c r="AE1151" i="10"/>
  <c r="AE1152" i="10"/>
  <c r="AE1153" i="10"/>
  <c r="AE1154" i="10"/>
  <c r="AE1155" i="10"/>
  <c r="AE1156" i="10"/>
  <c r="AE1158" i="10"/>
  <c r="AE1159" i="10"/>
  <c r="AE1160" i="10"/>
  <c r="AE1161" i="10"/>
  <c r="AE1162" i="10"/>
  <c r="AE1163" i="10"/>
  <c r="AE1164" i="10"/>
  <c r="AE1165" i="10"/>
  <c r="AE1166" i="10"/>
  <c r="AE1167" i="10"/>
  <c r="AE1168" i="10"/>
  <c r="AE1169" i="10"/>
  <c r="AE1170" i="10"/>
  <c r="AE1171" i="10"/>
  <c r="AE1172" i="10"/>
  <c r="AE1173" i="10"/>
  <c r="AE1174" i="10"/>
  <c r="AE1175" i="10"/>
  <c r="AE1176" i="10"/>
  <c r="AE1177" i="10"/>
  <c r="AE1178" i="10"/>
  <c r="AE1179" i="10"/>
  <c r="AE1180" i="10"/>
  <c r="AE1181" i="10"/>
  <c r="AE1183" i="10"/>
  <c r="AE1184" i="10"/>
  <c r="AE1185" i="10"/>
  <c r="AE1186" i="10"/>
  <c r="AE1187" i="10"/>
  <c r="AE1188" i="10"/>
  <c r="AE1190" i="10"/>
  <c r="AE1191" i="10"/>
  <c r="AE1192" i="10"/>
  <c r="AE1193" i="10"/>
  <c r="AE1194" i="10"/>
  <c r="AE1195" i="10"/>
  <c r="AE1196" i="10"/>
  <c r="AE1197" i="10"/>
  <c r="AE1198" i="10"/>
  <c r="AE1199" i="10"/>
  <c r="AE1200" i="10"/>
  <c r="AE1201" i="10"/>
  <c r="AE1202" i="10"/>
  <c r="AE1203" i="10"/>
  <c r="AE1204" i="10"/>
  <c r="AE1205" i="10"/>
  <c r="AE1206" i="10"/>
  <c r="AE6" i="10"/>
  <c r="AB7" i="10"/>
  <c r="AB8" i="10"/>
  <c r="AB9" i="10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9" i="10"/>
  <c r="AB30" i="10"/>
  <c r="AB31" i="10"/>
  <c r="AB32" i="10"/>
  <c r="AB33" i="10"/>
  <c r="AB34" i="10"/>
  <c r="AB35" i="10"/>
  <c r="AB36" i="10"/>
  <c r="AB37" i="10"/>
  <c r="AB38" i="10"/>
  <c r="AB39" i="10"/>
  <c r="AB40" i="10"/>
  <c r="AB41" i="10"/>
  <c r="AB42" i="10"/>
  <c r="AB43" i="10"/>
  <c r="AB44" i="10"/>
  <c r="AB45" i="10"/>
  <c r="AB46" i="10"/>
  <c r="AB47" i="10"/>
  <c r="AB49" i="10"/>
  <c r="AB50" i="10"/>
  <c r="AB51" i="10"/>
  <c r="AB52" i="10"/>
  <c r="AB53" i="10"/>
  <c r="AB54" i="10"/>
  <c r="AB55" i="10"/>
  <c r="AB56" i="10"/>
  <c r="AB57" i="10"/>
  <c r="AB58" i="10"/>
  <c r="AB59" i="10"/>
  <c r="AB60" i="10"/>
  <c r="AB61" i="10"/>
  <c r="AB62" i="10"/>
  <c r="AB63" i="10"/>
  <c r="AB64" i="10"/>
  <c r="AB65" i="10"/>
  <c r="AB66" i="10"/>
  <c r="AB67" i="10"/>
  <c r="AB68" i="10"/>
  <c r="AB69" i="10"/>
  <c r="AB70" i="10"/>
  <c r="AB71" i="10"/>
  <c r="AB72" i="10"/>
  <c r="AB73" i="10"/>
  <c r="AB74" i="10"/>
  <c r="AB75" i="10"/>
  <c r="AB76" i="10"/>
  <c r="AB77" i="10"/>
  <c r="AB78" i="10"/>
  <c r="AB79" i="10"/>
  <c r="AB80" i="10"/>
  <c r="AB81" i="10"/>
  <c r="AB82" i="10"/>
  <c r="AB83" i="10"/>
  <c r="AB84" i="10"/>
  <c r="AB85" i="10"/>
  <c r="AB86" i="10"/>
  <c r="AB87" i="10"/>
  <c r="AB88" i="10"/>
  <c r="AB89" i="10"/>
  <c r="AB90" i="10"/>
  <c r="AB91" i="10"/>
  <c r="AB92" i="10"/>
  <c r="AB93" i="10"/>
  <c r="AB94" i="10"/>
  <c r="AB95" i="10"/>
  <c r="AB96" i="10"/>
  <c r="AB97" i="10"/>
  <c r="AB98" i="10"/>
  <c r="AB99" i="10"/>
  <c r="AB100" i="10"/>
  <c r="AB101" i="10"/>
  <c r="AB102" i="10"/>
  <c r="AB103" i="10"/>
  <c r="AB104" i="10"/>
  <c r="AB105" i="10"/>
  <c r="AB106" i="10"/>
  <c r="AB107" i="10"/>
  <c r="AB108" i="10"/>
  <c r="AB109" i="10"/>
  <c r="AB110" i="10"/>
  <c r="AB111" i="10"/>
  <c r="AB112" i="10"/>
  <c r="AB113" i="10"/>
  <c r="AB114" i="10"/>
  <c r="AB115" i="10"/>
  <c r="AB116" i="10"/>
  <c r="AB117" i="10"/>
  <c r="AB118" i="10"/>
  <c r="AB119" i="10"/>
  <c r="AB120" i="10"/>
  <c r="AB121" i="10"/>
  <c r="AB122" i="10"/>
  <c r="AB123" i="10"/>
  <c r="AB124" i="10"/>
  <c r="AB125" i="10"/>
  <c r="AB126" i="10"/>
  <c r="AB127" i="10"/>
  <c r="AB128" i="10"/>
  <c r="AB129" i="10"/>
  <c r="AB130" i="10"/>
  <c r="AB131" i="10"/>
  <c r="AB132" i="10"/>
  <c r="AB133" i="10"/>
  <c r="AB134" i="10"/>
  <c r="AB135" i="10"/>
  <c r="AB136" i="10"/>
  <c r="AB137" i="10"/>
  <c r="AB138" i="10"/>
  <c r="AB139" i="10"/>
  <c r="AB140" i="10"/>
  <c r="AB141" i="10"/>
  <c r="AB142" i="10"/>
  <c r="AB143" i="10"/>
  <c r="AB144" i="10"/>
  <c r="AB145" i="10"/>
  <c r="AB146" i="10"/>
  <c r="AB147" i="10"/>
  <c r="AB148" i="10"/>
  <c r="AB149" i="10"/>
  <c r="AB150" i="10"/>
  <c r="AB151" i="10"/>
  <c r="AB152" i="10"/>
  <c r="AB153" i="10"/>
  <c r="AB154" i="10"/>
  <c r="AB155" i="10"/>
  <c r="AB156" i="10"/>
  <c r="AB157" i="10"/>
  <c r="AB158" i="10"/>
  <c r="AB159" i="10"/>
  <c r="AB160" i="10"/>
  <c r="AB161" i="10"/>
  <c r="AB162" i="10"/>
  <c r="AB163" i="10"/>
  <c r="AB164" i="10"/>
  <c r="AB165" i="10"/>
  <c r="AB166" i="10"/>
  <c r="AB167" i="10"/>
  <c r="AB168" i="10"/>
  <c r="AB169" i="10"/>
  <c r="AB170" i="10"/>
  <c r="AB171" i="10"/>
  <c r="AB172" i="10"/>
  <c r="AB173" i="10"/>
  <c r="AB174" i="10"/>
  <c r="AB175" i="10"/>
  <c r="AB176" i="10"/>
  <c r="AB177" i="10"/>
  <c r="AB178" i="10"/>
  <c r="AB179" i="10"/>
  <c r="AB180" i="10"/>
  <c r="AB181" i="10"/>
  <c r="AB182" i="10"/>
  <c r="AB183" i="10"/>
  <c r="AB184" i="10"/>
  <c r="AB185" i="10"/>
  <c r="AB186" i="10"/>
  <c r="AB187" i="10"/>
  <c r="AB188" i="10"/>
  <c r="AB189" i="10"/>
  <c r="AB190" i="10"/>
  <c r="AB191" i="10"/>
  <c r="AB192" i="10"/>
  <c r="AB193" i="10"/>
  <c r="AB194" i="10"/>
  <c r="AB195" i="10"/>
  <c r="AB196" i="10"/>
  <c r="AB197" i="10"/>
  <c r="AB198" i="10"/>
  <c r="AB199" i="10"/>
  <c r="AB200" i="10"/>
  <c r="AB201" i="10"/>
  <c r="AB202" i="10"/>
  <c r="AB203" i="10"/>
  <c r="AB204" i="10"/>
  <c r="AB205" i="10"/>
  <c r="AB206" i="10"/>
  <c r="AB207" i="10"/>
  <c r="AB208" i="10"/>
  <c r="AB209" i="10"/>
  <c r="AB210" i="10"/>
  <c r="AB211" i="10"/>
  <c r="AB212" i="10"/>
  <c r="AB213" i="10"/>
  <c r="AB214" i="10"/>
  <c r="AB215" i="10"/>
  <c r="AB216" i="10"/>
  <c r="AB217" i="10"/>
  <c r="AB218" i="10"/>
  <c r="AB219" i="10"/>
  <c r="AB220" i="10"/>
  <c r="AB221" i="10"/>
  <c r="AB222" i="10"/>
  <c r="AB223" i="10"/>
  <c r="AB224" i="10"/>
  <c r="AB225" i="10"/>
  <c r="AB226" i="10"/>
  <c r="AB227" i="10"/>
  <c r="AB228" i="10"/>
  <c r="AB229" i="10"/>
  <c r="AB230" i="10"/>
  <c r="AB231" i="10"/>
  <c r="AB232" i="10"/>
  <c r="AB233" i="10"/>
  <c r="AB234" i="10"/>
  <c r="AB235" i="10"/>
  <c r="AB236" i="10"/>
  <c r="AB237" i="10"/>
  <c r="AB238" i="10"/>
  <c r="AB239" i="10"/>
  <c r="AB240" i="10"/>
  <c r="AB241" i="10"/>
  <c r="AB242" i="10"/>
  <c r="AB243" i="10"/>
  <c r="AB244" i="10"/>
  <c r="AB245" i="10"/>
  <c r="AB246" i="10"/>
  <c r="AB247" i="10"/>
  <c r="AB248" i="10"/>
  <c r="AB249" i="10"/>
  <c r="AB250" i="10"/>
  <c r="AB251" i="10"/>
  <c r="AB252" i="10"/>
  <c r="AB253" i="10"/>
  <c r="AB254" i="10"/>
  <c r="AB255" i="10"/>
  <c r="AB256" i="10"/>
  <c r="AB257" i="10"/>
  <c r="AB258" i="10"/>
  <c r="AB259" i="10"/>
  <c r="AB260" i="10"/>
  <c r="AB261" i="10"/>
  <c r="AB262" i="10"/>
  <c r="AB263" i="10"/>
  <c r="AB264" i="10"/>
  <c r="AB265" i="10"/>
  <c r="AB266" i="10"/>
  <c r="AB267" i="10"/>
  <c r="AB268" i="10"/>
  <c r="AB269" i="10"/>
  <c r="AB270" i="10"/>
  <c r="AB271" i="10"/>
  <c r="AB272" i="10"/>
  <c r="AB273" i="10"/>
  <c r="AB274" i="10"/>
  <c r="AB275" i="10"/>
  <c r="AB276" i="10"/>
  <c r="AB277" i="10"/>
  <c r="AB278" i="10"/>
  <c r="AB279" i="10"/>
  <c r="AB280" i="10"/>
  <c r="AB281" i="10"/>
  <c r="AB282" i="10"/>
  <c r="AB283" i="10"/>
  <c r="AB284" i="10"/>
  <c r="AB285" i="10"/>
  <c r="AB286" i="10"/>
  <c r="AB287" i="10"/>
  <c r="AB288" i="10"/>
  <c r="AB289" i="10"/>
  <c r="AB290" i="10"/>
  <c r="AB291" i="10"/>
  <c r="AB292" i="10"/>
  <c r="AB293" i="10"/>
  <c r="AB294" i="10"/>
  <c r="AB295" i="10"/>
  <c r="AB296" i="10"/>
  <c r="AB297" i="10"/>
  <c r="AB298" i="10"/>
  <c r="AB299" i="10"/>
  <c r="AB300" i="10"/>
  <c r="AB301" i="10"/>
  <c r="AB302" i="10"/>
  <c r="AB303" i="10"/>
  <c r="AB304" i="10"/>
  <c r="AB305" i="10"/>
  <c r="AB306" i="10"/>
  <c r="AB307" i="10"/>
  <c r="AB308" i="10"/>
  <c r="AB309" i="10"/>
  <c r="AB310" i="10"/>
  <c r="AB311" i="10"/>
  <c r="AB312" i="10"/>
  <c r="AB313" i="10"/>
  <c r="AB314" i="10"/>
  <c r="AB315" i="10"/>
  <c r="AB316" i="10"/>
  <c r="AB317" i="10"/>
  <c r="AB318" i="10"/>
  <c r="AB319" i="10"/>
  <c r="AB320" i="10"/>
  <c r="AB321" i="10"/>
  <c r="AB322" i="10"/>
  <c r="AB323" i="10"/>
  <c r="AB324" i="10"/>
  <c r="AB325" i="10"/>
  <c r="AB326" i="10"/>
  <c r="AB327" i="10"/>
  <c r="AB328" i="10"/>
  <c r="AB329" i="10"/>
  <c r="AB330" i="10"/>
  <c r="AB331" i="10"/>
  <c r="AB332" i="10"/>
  <c r="AB333" i="10"/>
  <c r="AB334" i="10"/>
  <c r="AB335" i="10"/>
  <c r="AB336" i="10"/>
  <c r="AB337" i="10"/>
  <c r="AB338" i="10"/>
  <c r="AB339" i="10"/>
  <c r="AB340" i="10"/>
  <c r="AB341" i="10"/>
  <c r="AB342" i="10"/>
  <c r="AB343" i="10"/>
  <c r="AB344" i="10"/>
  <c r="AB345" i="10"/>
  <c r="AB346" i="10"/>
  <c r="AB347" i="10"/>
  <c r="AB348" i="10"/>
  <c r="AB349" i="10"/>
  <c r="AB350" i="10"/>
  <c r="AB351" i="10"/>
  <c r="AB352" i="10"/>
  <c r="AB353" i="10"/>
  <c r="AB354" i="10"/>
  <c r="AB355" i="10"/>
  <c r="AB356" i="10"/>
  <c r="AB357" i="10"/>
  <c r="AB358" i="10"/>
  <c r="AB359" i="10"/>
  <c r="AB360" i="10"/>
  <c r="AB361" i="10"/>
  <c r="AB362" i="10"/>
  <c r="AB363" i="10"/>
  <c r="AB364" i="10"/>
  <c r="AB365" i="10"/>
  <c r="AB366" i="10"/>
  <c r="AB367" i="10"/>
  <c r="AB368" i="10"/>
  <c r="AB369" i="10"/>
  <c r="AB370" i="10"/>
  <c r="AB371" i="10"/>
  <c r="AB372" i="10"/>
  <c r="AB373" i="10"/>
  <c r="AB374" i="10"/>
  <c r="AB375" i="10"/>
  <c r="AB376" i="10"/>
  <c r="AB377" i="10"/>
  <c r="AB378" i="10"/>
  <c r="AB379" i="10"/>
  <c r="AB380" i="10"/>
  <c r="AB381" i="10"/>
  <c r="AB382" i="10"/>
  <c r="AB383" i="10"/>
  <c r="AB384" i="10"/>
  <c r="AB385" i="10"/>
  <c r="AB386" i="10"/>
  <c r="AB387" i="10"/>
  <c r="AB388" i="10"/>
  <c r="AB389" i="10"/>
  <c r="AB390" i="10"/>
  <c r="AB391" i="10"/>
  <c r="AB392" i="10"/>
  <c r="AB393" i="10"/>
  <c r="AB394" i="10"/>
  <c r="AB395" i="10"/>
  <c r="AB396" i="10"/>
  <c r="AB397" i="10"/>
  <c r="AB398" i="10"/>
  <c r="AB399" i="10"/>
  <c r="AB400" i="10"/>
  <c r="AB401" i="10"/>
  <c r="AB402" i="10"/>
  <c r="AB403" i="10"/>
  <c r="AB404" i="10"/>
  <c r="AB405" i="10"/>
  <c r="AB406" i="10"/>
  <c r="AB407" i="10"/>
  <c r="AB408" i="10"/>
  <c r="AB409" i="10"/>
  <c r="AB410" i="10"/>
  <c r="AB411" i="10"/>
  <c r="AB412" i="10"/>
  <c r="AB413" i="10"/>
  <c r="AB414" i="10"/>
  <c r="AB415" i="10"/>
  <c r="AB416" i="10"/>
  <c r="AB417" i="10"/>
  <c r="AB418" i="10"/>
  <c r="AB419" i="10"/>
  <c r="AB420" i="10"/>
  <c r="AB421" i="10"/>
  <c r="AB422" i="10"/>
  <c r="AB423" i="10"/>
  <c r="AB424" i="10"/>
  <c r="AB425" i="10"/>
  <c r="AB426" i="10"/>
  <c r="AB427" i="10"/>
  <c r="AB428" i="10"/>
  <c r="AB429" i="10"/>
  <c r="AB430" i="10"/>
  <c r="AB431" i="10"/>
  <c r="AB432" i="10"/>
  <c r="AB433" i="10"/>
  <c r="AB434" i="10"/>
  <c r="AB435" i="10"/>
  <c r="AB436" i="10"/>
  <c r="AB437" i="10"/>
  <c r="AB438" i="10"/>
  <c r="AB439" i="10"/>
  <c r="AB440" i="10"/>
  <c r="AB441" i="10"/>
  <c r="AB442" i="10"/>
  <c r="AB443" i="10"/>
  <c r="AB444" i="10"/>
  <c r="AB445" i="10"/>
  <c r="AB446" i="10"/>
  <c r="AB447" i="10"/>
  <c r="AB448" i="10"/>
  <c r="AB449" i="10"/>
  <c r="AB450" i="10"/>
  <c r="AB451" i="10"/>
  <c r="AB452" i="10"/>
  <c r="AB453" i="10"/>
  <c r="AB454" i="10"/>
  <c r="AB455" i="10"/>
  <c r="AB456" i="10"/>
  <c r="AB457" i="10"/>
  <c r="AB458" i="10"/>
  <c r="AB459" i="10"/>
  <c r="AB460" i="10"/>
  <c r="AB461" i="10"/>
  <c r="AB462" i="10"/>
  <c r="AB463" i="10"/>
  <c r="AB464" i="10"/>
  <c r="AB465" i="10"/>
  <c r="AB466" i="10"/>
  <c r="AB467" i="10"/>
  <c r="AB468" i="10"/>
  <c r="AB469" i="10"/>
  <c r="AB470" i="10"/>
  <c r="AB471" i="10"/>
  <c r="AB472" i="10"/>
  <c r="AB473" i="10"/>
  <c r="AB474" i="10"/>
  <c r="AB475" i="10"/>
  <c r="AB476" i="10"/>
  <c r="AB477" i="10"/>
  <c r="AB478" i="10"/>
  <c r="AB479" i="10"/>
  <c r="AB480" i="10"/>
  <c r="AB481" i="10"/>
  <c r="AB482" i="10"/>
  <c r="AB483" i="10"/>
  <c r="AB484" i="10"/>
  <c r="AB485" i="10"/>
  <c r="AB486" i="10"/>
  <c r="AB487" i="10"/>
  <c r="AB488" i="10"/>
  <c r="AB489" i="10"/>
  <c r="AB490" i="10"/>
  <c r="AB491" i="10"/>
  <c r="AB492" i="10"/>
  <c r="AB493" i="10"/>
  <c r="AB494" i="10"/>
  <c r="AB495" i="10"/>
  <c r="AB496" i="10"/>
  <c r="AB497" i="10"/>
  <c r="AB498" i="10"/>
  <c r="AB499" i="10"/>
  <c r="AB500" i="10"/>
  <c r="AB501" i="10"/>
  <c r="AB502" i="10"/>
  <c r="AB503" i="10"/>
  <c r="AB504" i="10"/>
  <c r="AB505" i="10"/>
  <c r="AB506" i="10"/>
  <c r="AB507" i="10"/>
  <c r="AB508" i="10"/>
  <c r="AB509" i="10"/>
  <c r="AB510" i="10"/>
  <c r="AB511" i="10"/>
  <c r="AB512" i="10"/>
  <c r="AB513" i="10"/>
  <c r="AB514" i="10"/>
  <c r="AB515" i="10"/>
  <c r="AB516" i="10"/>
  <c r="AB517" i="10"/>
  <c r="AB518" i="10"/>
  <c r="AB519" i="10"/>
  <c r="AB520" i="10"/>
  <c r="AB521" i="10"/>
  <c r="AB522" i="10"/>
  <c r="AB523" i="10"/>
  <c r="AB524" i="10"/>
  <c r="AB525" i="10"/>
  <c r="AB526" i="10"/>
  <c r="AB527" i="10"/>
  <c r="AB528" i="10"/>
  <c r="AB529" i="10"/>
  <c r="AB530" i="10"/>
  <c r="AB531" i="10"/>
  <c r="AB532" i="10"/>
  <c r="AB533" i="10"/>
  <c r="AB534" i="10"/>
  <c r="AB535" i="10"/>
  <c r="AB536" i="10"/>
  <c r="AB537" i="10"/>
  <c r="AB538" i="10"/>
  <c r="AB539" i="10"/>
  <c r="AB540" i="10"/>
  <c r="AB541" i="10"/>
  <c r="AB542" i="10"/>
  <c r="AB543" i="10"/>
  <c r="AB544" i="10"/>
  <c r="AB545" i="10"/>
  <c r="AB546" i="10"/>
  <c r="AB547" i="10"/>
  <c r="AB548" i="10"/>
  <c r="AB549" i="10"/>
  <c r="AB550" i="10"/>
  <c r="AB551" i="10"/>
  <c r="AB552" i="10"/>
  <c r="AB553" i="10"/>
  <c r="AB554" i="10"/>
  <c r="AB555" i="10"/>
  <c r="AB556" i="10"/>
  <c r="AB557" i="10"/>
  <c r="AB558" i="10"/>
  <c r="AB559" i="10"/>
  <c r="AB560" i="10"/>
  <c r="AB561" i="10"/>
  <c r="AB562" i="10"/>
  <c r="AB563" i="10"/>
  <c r="AB564" i="10"/>
  <c r="AB565" i="10"/>
  <c r="AB566" i="10"/>
  <c r="AB567" i="10"/>
  <c r="AB568" i="10"/>
  <c r="AB569" i="10"/>
  <c r="AB570" i="10"/>
  <c r="AB571" i="10"/>
  <c r="AB572" i="10"/>
  <c r="AB573" i="10"/>
  <c r="AB574" i="10"/>
  <c r="AB575" i="10"/>
  <c r="AB576" i="10"/>
  <c r="AB577" i="10"/>
  <c r="AB578" i="10"/>
  <c r="AB579" i="10"/>
  <c r="AB580" i="10"/>
  <c r="AB581" i="10"/>
  <c r="AB582" i="10"/>
  <c r="AB583" i="10"/>
  <c r="AB584" i="10"/>
  <c r="AB585" i="10"/>
  <c r="AB586" i="10"/>
  <c r="AB587" i="10"/>
  <c r="AB588" i="10"/>
  <c r="AB589" i="10"/>
  <c r="AB590" i="10"/>
  <c r="AB591" i="10"/>
  <c r="AB592" i="10"/>
  <c r="AB593" i="10"/>
  <c r="AB594" i="10"/>
  <c r="AB595" i="10"/>
  <c r="AB596" i="10"/>
  <c r="AB597" i="10"/>
  <c r="AB598" i="10"/>
  <c r="AB599" i="10"/>
  <c r="AB600" i="10"/>
  <c r="AB601" i="10"/>
  <c r="AB602" i="10"/>
  <c r="AB603" i="10"/>
  <c r="AB604" i="10"/>
  <c r="AB605" i="10"/>
  <c r="AB606" i="10"/>
  <c r="AB607" i="10"/>
  <c r="AB608" i="10"/>
  <c r="AB609" i="10"/>
  <c r="AB610" i="10"/>
  <c r="AB611" i="10"/>
  <c r="AB612" i="10"/>
  <c r="AB613" i="10"/>
  <c r="AB614" i="10"/>
  <c r="AB615" i="10"/>
  <c r="AB616" i="10"/>
  <c r="AB617" i="10"/>
  <c r="AB618" i="10"/>
  <c r="AB619" i="10"/>
  <c r="AB620" i="10"/>
  <c r="AB621" i="10"/>
  <c r="AB622" i="10"/>
  <c r="AB623" i="10"/>
  <c r="AB624" i="10"/>
  <c r="AB625" i="10"/>
  <c r="AB626" i="10"/>
  <c r="AB627" i="10"/>
  <c r="AB628" i="10"/>
  <c r="AB629" i="10"/>
  <c r="AB630" i="10"/>
  <c r="AB631" i="10"/>
  <c r="AB632" i="10"/>
  <c r="AB633" i="10"/>
  <c r="AB634" i="10"/>
  <c r="AB635" i="10"/>
  <c r="AB636" i="10"/>
  <c r="AB637" i="10"/>
  <c r="AB638" i="10"/>
  <c r="AB639" i="10"/>
  <c r="AB640" i="10"/>
  <c r="AB641" i="10"/>
  <c r="AB642" i="10"/>
  <c r="AB643" i="10"/>
  <c r="AB644" i="10"/>
  <c r="AB645" i="10"/>
  <c r="AB646" i="10"/>
  <c r="AB647" i="10"/>
  <c r="AB648" i="10"/>
  <c r="AB649" i="10"/>
  <c r="AB650" i="10"/>
  <c r="AB651" i="10"/>
  <c r="AB652" i="10"/>
  <c r="AB653" i="10"/>
  <c r="AB654" i="10"/>
  <c r="AB655" i="10"/>
  <c r="AB656" i="10"/>
  <c r="AB657" i="10"/>
  <c r="AB658" i="10"/>
  <c r="AB659" i="10"/>
  <c r="AB660" i="10"/>
  <c r="AB661" i="10"/>
  <c r="AB662" i="10"/>
  <c r="AB663" i="10"/>
  <c r="AB664" i="10"/>
  <c r="AB665" i="10"/>
  <c r="AB666" i="10"/>
  <c r="AB667" i="10"/>
  <c r="AB668" i="10"/>
  <c r="AB669" i="10"/>
  <c r="AB670" i="10"/>
  <c r="AB671" i="10"/>
  <c r="AB672" i="10"/>
  <c r="AB673" i="10"/>
  <c r="AB674" i="10"/>
  <c r="AB675" i="10"/>
  <c r="AB676" i="10"/>
  <c r="AB677" i="10"/>
  <c r="AB678" i="10"/>
  <c r="AB679" i="10"/>
  <c r="AB680" i="10"/>
  <c r="AB681" i="10"/>
  <c r="AB682" i="10"/>
  <c r="AB683" i="10"/>
  <c r="AB684" i="10"/>
  <c r="AB685" i="10"/>
  <c r="AB686" i="10"/>
  <c r="AB687" i="10"/>
  <c r="AB688" i="10"/>
  <c r="AB689" i="10"/>
  <c r="AB690" i="10"/>
  <c r="AB691" i="10"/>
  <c r="AB692" i="10"/>
  <c r="AB693" i="10"/>
  <c r="AB694" i="10"/>
  <c r="AB695" i="10"/>
  <c r="AB696" i="10"/>
  <c r="AB697" i="10"/>
  <c r="AB698" i="10"/>
  <c r="AB699" i="10"/>
  <c r="AB700" i="10"/>
  <c r="AB701" i="10"/>
  <c r="AB702" i="10"/>
  <c r="AB703" i="10"/>
  <c r="AB704" i="10"/>
  <c r="AB705" i="10"/>
  <c r="AB706" i="10"/>
  <c r="AB707" i="10"/>
  <c r="AB708" i="10"/>
  <c r="AB709" i="10"/>
  <c r="AB710" i="10"/>
  <c r="AB711" i="10"/>
  <c r="AB712" i="10"/>
  <c r="AB713" i="10"/>
  <c r="AB714" i="10"/>
  <c r="AB715" i="10"/>
  <c r="AB716" i="10"/>
  <c r="AB717" i="10"/>
  <c r="AB718" i="10"/>
  <c r="AB719" i="10"/>
  <c r="AB720" i="10"/>
  <c r="AB721" i="10"/>
  <c r="AB722" i="10"/>
  <c r="AB723" i="10"/>
  <c r="AB724" i="10"/>
  <c r="AB725" i="10"/>
  <c r="AB726" i="10"/>
  <c r="AB727" i="10"/>
  <c r="AB728" i="10"/>
  <c r="AB729" i="10"/>
  <c r="AB730" i="10"/>
  <c r="AB731" i="10"/>
  <c r="AB732" i="10"/>
  <c r="AB733" i="10"/>
  <c r="AB734" i="10"/>
  <c r="AB735" i="10"/>
  <c r="AB736" i="10"/>
  <c r="AB737" i="10"/>
  <c r="AB738" i="10"/>
  <c r="AB739" i="10"/>
  <c r="AB740" i="10"/>
  <c r="AB741" i="10"/>
  <c r="AB742" i="10"/>
  <c r="AB743" i="10"/>
  <c r="AB744" i="10"/>
  <c r="AB745" i="10"/>
  <c r="AB746" i="10"/>
  <c r="AB747" i="10"/>
  <c r="AB748" i="10"/>
  <c r="AB749" i="10"/>
  <c r="AB750" i="10"/>
  <c r="AB751" i="10"/>
  <c r="AB752" i="10"/>
  <c r="AB753" i="10"/>
  <c r="AB754" i="10"/>
  <c r="AB755" i="10"/>
  <c r="AB756" i="10"/>
  <c r="AB757" i="10"/>
  <c r="AB758" i="10"/>
  <c r="AB759" i="10"/>
  <c r="AB760" i="10"/>
  <c r="AB761" i="10"/>
  <c r="AB762" i="10"/>
  <c r="AB763" i="10"/>
  <c r="AB764" i="10"/>
  <c r="AB765" i="10"/>
  <c r="AB766" i="10"/>
  <c r="AB767" i="10"/>
  <c r="AB768" i="10"/>
  <c r="AB769" i="10"/>
  <c r="AB770" i="10"/>
  <c r="AB771" i="10"/>
  <c r="AB772" i="10"/>
  <c r="AB773" i="10"/>
  <c r="AB774" i="10"/>
  <c r="AB775" i="10"/>
  <c r="AB776" i="10"/>
  <c r="AB777" i="10"/>
  <c r="AB778" i="10"/>
  <c r="AB779" i="10"/>
  <c r="AB780" i="10"/>
  <c r="AB781" i="10"/>
  <c r="AB782" i="10"/>
  <c r="AB783" i="10"/>
  <c r="AB784" i="10"/>
  <c r="AB785" i="10"/>
  <c r="AB786" i="10"/>
  <c r="AB787" i="10"/>
  <c r="AB788" i="10"/>
  <c r="AB789" i="10"/>
  <c r="AB790" i="10"/>
  <c r="AB791" i="10"/>
  <c r="AB792" i="10"/>
  <c r="AB793" i="10"/>
  <c r="AB794" i="10"/>
  <c r="AB795" i="10"/>
  <c r="AB796" i="10"/>
  <c r="AB797" i="10"/>
  <c r="AB798" i="10"/>
  <c r="AB799" i="10"/>
  <c r="AB800" i="10"/>
  <c r="AB801" i="10"/>
  <c r="AB802" i="10"/>
  <c r="AB803" i="10"/>
  <c r="AB804" i="10"/>
  <c r="AB805" i="10"/>
  <c r="AB806" i="10"/>
  <c r="AB807" i="10"/>
  <c r="AB808" i="10"/>
  <c r="AB809" i="10"/>
  <c r="AB810" i="10"/>
  <c r="AB811" i="10"/>
  <c r="AB812" i="10"/>
  <c r="AB813" i="10"/>
  <c r="AB814" i="10"/>
  <c r="AB815" i="10"/>
  <c r="AB816" i="10"/>
  <c r="AB817" i="10"/>
  <c r="AB818" i="10"/>
  <c r="AB819" i="10"/>
  <c r="AB820" i="10"/>
  <c r="AB821" i="10"/>
  <c r="AB822" i="10"/>
  <c r="AB823" i="10"/>
  <c r="AB824" i="10"/>
  <c r="AB825" i="10"/>
  <c r="AB826" i="10"/>
  <c r="AB827" i="10"/>
  <c r="AB828" i="10"/>
  <c r="AB829" i="10"/>
  <c r="AB830" i="10"/>
  <c r="AB831" i="10"/>
  <c r="AB832" i="10"/>
  <c r="AB833" i="10"/>
  <c r="AB834" i="10"/>
  <c r="AB835" i="10"/>
  <c r="AB836" i="10"/>
  <c r="AB837" i="10"/>
  <c r="AB838" i="10"/>
  <c r="AB839" i="10"/>
  <c r="AB840" i="10"/>
  <c r="AB841" i="10"/>
  <c r="AB842" i="10"/>
  <c r="AB843" i="10"/>
  <c r="AB844" i="10"/>
  <c r="AB845" i="10"/>
  <c r="AB846" i="10"/>
  <c r="AB847" i="10"/>
  <c r="AB848" i="10"/>
  <c r="AB849" i="10"/>
  <c r="AB850" i="10"/>
  <c r="AB851" i="10"/>
  <c r="AB852" i="10"/>
  <c r="AB853" i="10"/>
  <c r="AB854" i="10"/>
  <c r="AB855" i="10"/>
  <c r="AB856" i="10"/>
  <c r="AB857" i="10"/>
  <c r="AB858" i="10"/>
  <c r="AB859" i="10"/>
  <c r="AB860" i="10"/>
  <c r="AB861" i="10"/>
  <c r="AB862" i="10"/>
  <c r="AB863" i="10"/>
  <c r="AB864" i="10"/>
  <c r="AB865" i="10"/>
  <c r="AB866" i="10"/>
  <c r="AB867" i="10"/>
  <c r="AB868" i="10"/>
  <c r="AB869" i="10"/>
  <c r="AB870" i="10"/>
  <c r="AB871" i="10"/>
  <c r="AB872" i="10"/>
  <c r="AB873" i="10"/>
  <c r="AB874" i="10"/>
  <c r="AB875" i="10"/>
  <c r="AB876" i="10"/>
  <c r="AB877" i="10"/>
  <c r="AB878" i="10"/>
  <c r="AB879" i="10"/>
  <c r="AB880" i="10"/>
  <c r="AB881" i="10"/>
  <c r="AB882" i="10"/>
  <c r="AB883" i="10"/>
  <c r="AB884" i="10"/>
  <c r="AB885" i="10"/>
  <c r="AB886" i="10"/>
  <c r="AB887" i="10"/>
  <c r="AB888" i="10"/>
  <c r="AB889" i="10"/>
  <c r="AB890" i="10"/>
  <c r="AB891" i="10"/>
  <c r="AB892" i="10"/>
  <c r="AB893" i="10"/>
  <c r="AB894" i="10"/>
  <c r="AB895" i="10"/>
  <c r="AB896" i="10"/>
  <c r="AB897" i="10"/>
  <c r="AB898" i="10"/>
  <c r="AB899" i="10"/>
  <c r="AB900" i="10"/>
  <c r="AB901" i="10"/>
  <c r="AB902" i="10"/>
  <c r="AB903" i="10"/>
  <c r="AB904" i="10"/>
  <c r="AB905" i="10"/>
  <c r="AB906" i="10"/>
  <c r="AB907" i="10"/>
  <c r="AB908" i="10"/>
  <c r="AB909" i="10"/>
  <c r="AB910" i="10"/>
  <c r="AB911" i="10"/>
  <c r="AB912" i="10"/>
  <c r="AB913" i="10"/>
  <c r="AB914" i="10"/>
  <c r="AB915" i="10"/>
  <c r="AB916" i="10"/>
  <c r="AB917" i="10"/>
  <c r="AB918" i="10"/>
  <c r="AB919" i="10"/>
  <c r="AB920" i="10"/>
  <c r="AB921" i="10"/>
  <c r="AB922" i="10"/>
  <c r="AB923" i="10"/>
  <c r="AB924" i="10"/>
  <c r="AB925" i="10"/>
  <c r="AB926" i="10"/>
  <c r="AB927" i="10"/>
  <c r="AB928" i="10"/>
  <c r="AB929" i="10"/>
  <c r="AB930" i="10"/>
  <c r="AB931" i="10"/>
  <c r="AB932" i="10"/>
  <c r="AB933" i="10"/>
  <c r="AB934" i="10"/>
  <c r="AB935" i="10"/>
  <c r="AB936" i="10"/>
  <c r="AB937" i="10"/>
  <c r="AB938" i="10"/>
  <c r="AB939" i="10"/>
  <c r="AB940" i="10"/>
  <c r="AB941" i="10"/>
  <c r="AB942" i="10"/>
  <c r="AB943" i="10"/>
  <c r="AB944" i="10"/>
  <c r="AB945" i="10"/>
  <c r="AB946" i="10"/>
  <c r="AB947" i="10"/>
  <c r="AB948" i="10"/>
  <c r="AB949" i="10"/>
  <c r="AB950" i="10"/>
  <c r="AB951" i="10"/>
  <c r="AB952" i="10"/>
  <c r="AB953" i="10"/>
  <c r="AB954" i="10"/>
  <c r="AB955" i="10"/>
  <c r="AB956" i="10"/>
  <c r="AB957" i="10"/>
  <c r="AB958" i="10"/>
  <c r="AB959" i="10"/>
  <c r="AB960" i="10"/>
  <c r="AB961" i="10"/>
  <c r="AB962" i="10"/>
  <c r="AB963" i="10"/>
  <c r="AB964" i="10"/>
  <c r="AB965" i="10"/>
  <c r="AB966" i="10"/>
  <c r="AB967" i="10"/>
  <c r="AB968" i="10"/>
  <c r="AB969" i="10"/>
  <c r="AB970" i="10"/>
  <c r="AB971" i="10"/>
  <c r="AB972" i="10"/>
  <c r="AB973" i="10"/>
  <c r="AB974" i="10"/>
  <c r="AB975" i="10"/>
  <c r="AB976" i="10"/>
  <c r="AB977" i="10"/>
  <c r="AB978" i="10"/>
  <c r="AB979" i="10"/>
  <c r="AB980" i="10"/>
  <c r="AB981" i="10"/>
  <c r="AB982" i="10"/>
  <c r="AB983" i="10"/>
  <c r="AB984" i="10"/>
  <c r="AB985" i="10"/>
  <c r="AB986" i="10"/>
  <c r="AB987" i="10"/>
  <c r="AB988" i="10"/>
  <c r="AB989" i="10"/>
  <c r="AB990" i="10"/>
  <c r="AB991" i="10"/>
  <c r="AB992" i="10"/>
  <c r="AB993" i="10"/>
  <c r="AB994" i="10"/>
  <c r="AB995" i="10"/>
  <c r="AB996" i="10"/>
  <c r="AB997" i="10"/>
  <c r="AB998" i="10"/>
  <c r="AB999" i="10"/>
  <c r="AB1000" i="10"/>
  <c r="AB1001" i="10"/>
  <c r="AB1002" i="10"/>
  <c r="AB1003" i="10"/>
  <c r="AB1004" i="10"/>
  <c r="AB1005" i="10"/>
  <c r="AB1006" i="10"/>
  <c r="AB1007" i="10"/>
  <c r="AB1008" i="10"/>
  <c r="AB1009" i="10"/>
  <c r="AB1010" i="10"/>
  <c r="AB1011" i="10"/>
  <c r="AB1012" i="10"/>
  <c r="AB1013" i="10"/>
  <c r="AB1014" i="10"/>
  <c r="AB1015" i="10"/>
  <c r="AB1016" i="10"/>
  <c r="AB1017" i="10"/>
  <c r="AB1018" i="10"/>
  <c r="AB1019" i="10"/>
  <c r="AB1020" i="10"/>
  <c r="AB1021" i="10"/>
  <c r="AB1022" i="10"/>
  <c r="AB1023" i="10"/>
  <c r="AB1024" i="10"/>
  <c r="AB1025" i="10"/>
  <c r="AB1026" i="10"/>
  <c r="AB1027" i="10"/>
  <c r="AB1028" i="10"/>
  <c r="AB1029" i="10"/>
  <c r="AB1030" i="10"/>
  <c r="AB1031" i="10"/>
  <c r="AB1032" i="10"/>
  <c r="AB1033" i="10"/>
  <c r="AB1034" i="10"/>
  <c r="AB1035" i="10"/>
  <c r="AB1036" i="10"/>
  <c r="AB1037" i="10"/>
  <c r="AB1038" i="10"/>
  <c r="AB1039" i="10"/>
  <c r="AB1040" i="10"/>
  <c r="AB1041" i="10"/>
  <c r="AB1042" i="10"/>
  <c r="AB1043" i="10"/>
  <c r="AB1044" i="10"/>
  <c r="AB1045" i="10"/>
  <c r="AB1046" i="10"/>
  <c r="AB1047" i="10"/>
  <c r="AB1048" i="10"/>
  <c r="AB1049" i="10"/>
  <c r="AB1050" i="10"/>
  <c r="AB1051" i="10"/>
  <c r="AB1052" i="10"/>
  <c r="AB1053" i="10"/>
  <c r="AB1054" i="10"/>
  <c r="AB1055" i="10"/>
  <c r="AB1057" i="10"/>
  <c r="AB1058" i="10"/>
  <c r="AB1059" i="10"/>
  <c r="AB1060" i="10"/>
  <c r="AB1061" i="10"/>
  <c r="AB1062" i="10"/>
  <c r="AB1063" i="10"/>
  <c r="AB1064" i="10"/>
  <c r="AB1065" i="10"/>
  <c r="AB1066" i="10"/>
  <c r="AB1067" i="10"/>
  <c r="AB1068" i="10"/>
  <c r="AB1069" i="10"/>
  <c r="AB1070" i="10"/>
  <c r="AB1071" i="10"/>
  <c r="AB1072" i="10"/>
  <c r="AB1073" i="10"/>
  <c r="AB1074" i="10"/>
  <c r="AB1075" i="10"/>
  <c r="AB1076" i="10"/>
  <c r="AB1077" i="10"/>
  <c r="AB1078" i="10"/>
  <c r="AB1079" i="10"/>
  <c r="AB1080" i="10"/>
  <c r="AB1081" i="10"/>
  <c r="AB1082" i="10"/>
  <c r="AB1083" i="10"/>
  <c r="AB1084" i="10"/>
  <c r="AB1085" i="10"/>
  <c r="AB1086" i="10"/>
  <c r="AB1087" i="10"/>
  <c r="AB1088" i="10"/>
  <c r="AB1089" i="10"/>
  <c r="AB1090" i="10"/>
  <c r="AB1091" i="10"/>
  <c r="AB1092" i="10"/>
  <c r="AB1093" i="10"/>
  <c r="AB1094" i="10"/>
  <c r="AB1095" i="10"/>
  <c r="AB1096" i="10"/>
  <c r="AB1097" i="10"/>
  <c r="AB1098" i="10"/>
  <c r="AB1099" i="10"/>
  <c r="AB1100" i="10"/>
  <c r="AB1101" i="10"/>
  <c r="AB1102" i="10"/>
  <c r="AB1103" i="10"/>
  <c r="AB1104" i="10"/>
  <c r="AB1105" i="10"/>
  <c r="AB1106" i="10"/>
  <c r="AB1107" i="10"/>
  <c r="AB1108" i="10"/>
  <c r="AB1109" i="10"/>
  <c r="AB1110" i="10"/>
  <c r="AB1111" i="10"/>
  <c r="AB1112" i="10"/>
  <c r="AB1113" i="10"/>
  <c r="AB1114" i="10"/>
  <c r="AB1115" i="10"/>
  <c r="AB1116" i="10"/>
  <c r="AB1117" i="10"/>
  <c r="AB1118" i="10"/>
  <c r="AB1119" i="10"/>
  <c r="AB1120" i="10"/>
  <c r="AB1121" i="10"/>
  <c r="AB1122" i="10"/>
  <c r="AB1123" i="10"/>
  <c r="AB1124" i="10"/>
  <c r="AB1125" i="10"/>
  <c r="AB1126" i="10"/>
  <c r="AB1127" i="10"/>
  <c r="AB1128" i="10"/>
  <c r="AB1129" i="10"/>
  <c r="AB1130" i="10"/>
  <c r="AB1131" i="10"/>
  <c r="AB1132" i="10"/>
  <c r="AB1133" i="10"/>
  <c r="AB1134" i="10"/>
  <c r="AB1135" i="10"/>
  <c r="AB1136" i="10"/>
  <c r="AB1137" i="10"/>
  <c r="AB1138" i="10"/>
  <c r="AB1139" i="10"/>
  <c r="AB1140" i="10"/>
  <c r="AB1141" i="10"/>
  <c r="AB1142" i="10"/>
  <c r="AB1143" i="10"/>
  <c r="AB1144" i="10"/>
  <c r="AB1145" i="10"/>
  <c r="AB1146" i="10"/>
  <c r="AB1147" i="10"/>
  <c r="AB1148" i="10"/>
  <c r="AB1149" i="10"/>
  <c r="AB1150" i="10"/>
  <c r="AB1151" i="10"/>
  <c r="AB1152" i="10"/>
  <c r="AB1153" i="10"/>
  <c r="AB1154" i="10"/>
  <c r="AB1155" i="10"/>
  <c r="AB1156" i="10"/>
  <c r="AB1157" i="10"/>
  <c r="AB1158" i="10"/>
  <c r="AB1159" i="10"/>
  <c r="AB1160" i="10"/>
  <c r="AB1161" i="10"/>
  <c r="AB1162" i="10"/>
  <c r="AB1163" i="10"/>
  <c r="AB1164" i="10"/>
  <c r="AB1165" i="10"/>
  <c r="AB1166" i="10"/>
  <c r="AB1167" i="10"/>
  <c r="AB1168" i="10"/>
  <c r="AB1169" i="10"/>
  <c r="AB1170" i="10"/>
  <c r="AB1171" i="10"/>
  <c r="AB1172" i="10"/>
  <c r="AB1173" i="10"/>
  <c r="AB1174" i="10"/>
  <c r="AB1175" i="10"/>
  <c r="AB1176" i="10"/>
  <c r="AB1177" i="10"/>
  <c r="AB1178" i="10"/>
  <c r="AB1179" i="10"/>
  <c r="AB1180" i="10"/>
  <c r="AB1181" i="10"/>
  <c r="AB1182" i="10"/>
  <c r="AB1183" i="10"/>
  <c r="AB1184" i="10"/>
  <c r="AB1185" i="10"/>
  <c r="AB1186" i="10"/>
  <c r="AB1187" i="10"/>
  <c r="AB1188" i="10"/>
  <c r="AB1189" i="10"/>
  <c r="AB1190" i="10"/>
  <c r="AB1191" i="10"/>
  <c r="AB1192" i="10"/>
  <c r="AB1193" i="10"/>
  <c r="AB1194" i="10"/>
  <c r="AB1195" i="10"/>
  <c r="AB1196" i="10"/>
  <c r="AB1197" i="10"/>
  <c r="AB1198" i="10"/>
  <c r="AB1199" i="10"/>
  <c r="AB1200" i="10"/>
  <c r="AB1201" i="10"/>
  <c r="AB1202" i="10"/>
  <c r="AB1203" i="10"/>
  <c r="AB1204" i="10"/>
  <c r="AB1205" i="10"/>
  <c r="AB1206" i="10"/>
  <c r="AB6" i="10"/>
  <c r="Y555" i="10"/>
  <c r="Y7" i="10"/>
  <c r="Y8" i="10"/>
  <c r="Y9" i="10"/>
  <c r="Y10" i="10"/>
  <c r="Y11" i="10"/>
  <c r="Y12" i="10"/>
  <c r="Y13" i="10"/>
  <c r="Y14" i="10"/>
  <c r="Y15" i="10"/>
  <c r="Y16" i="10"/>
  <c r="Y17" i="10"/>
  <c r="Y18" i="10"/>
  <c r="Y19" i="10"/>
  <c r="Y20" i="10"/>
  <c r="Y21" i="10"/>
  <c r="Y22" i="10"/>
  <c r="Y23" i="10"/>
  <c r="Y24" i="10"/>
  <c r="Y25" i="10"/>
  <c r="Y26" i="10"/>
  <c r="Y27" i="10"/>
  <c r="Y28" i="10"/>
  <c r="Y29" i="10"/>
  <c r="Y30" i="10"/>
  <c r="Y31" i="10"/>
  <c r="Y32" i="10"/>
  <c r="Y33" i="10"/>
  <c r="Y34" i="10"/>
  <c r="Y35" i="10"/>
  <c r="Y36" i="10"/>
  <c r="Y37" i="10"/>
  <c r="Y38" i="10"/>
  <c r="Y39" i="10"/>
  <c r="Y40" i="10"/>
  <c r="Y41" i="10"/>
  <c r="Y42" i="10"/>
  <c r="Y43" i="10"/>
  <c r="Y44" i="10"/>
  <c r="Y45" i="10"/>
  <c r="Y46" i="10"/>
  <c r="Y47" i="10"/>
  <c r="Y48" i="10"/>
  <c r="Y49" i="10"/>
  <c r="Y50" i="10"/>
  <c r="Y51" i="10"/>
  <c r="Y52" i="10"/>
  <c r="Y53" i="10"/>
  <c r="Y54" i="10"/>
  <c r="Y55" i="10"/>
  <c r="Y56" i="10"/>
  <c r="Y57" i="10"/>
  <c r="Y58" i="10"/>
  <c r="Y59" i="10"/>
  <c r="Y60" i="10"/>
  <c r="Y61" i="10"/>
  <c r="Y62" i="10"/>
  <c r="Y63" i="10"/>
  <c r="Y64" i="10"/>
  <c r="Y65" i="10"/>
  <c r="Y66" i="10"/>
  <c r="Y67" i="10"/>
  <c r="Y68" i="10"/>
  <c r="Y69" i="10"/>
  <c r="Y70" i="10"/>
  <c r="Y71" i="10"/>
  <c r="Y72" i="10"/>
  <c r="Y73" i="10"/>
  <c r="Y74" i="10"/>
  <c r="Y75" i="10"/>
  <c r="Y76" i="10"/>
  <c r="Y77" i="10"/>
  <c r="Y78" i="10"/>
  <c r="Y79" i="10"/>
  <c r="Y80" i="10"/>
  <c r="Y81" i="10"/>
  <c r="Y82" i="10"/>
  <c r="Y83" i="10"/>
  <c r="Y84" i="10"/>
  <c r="Y85" i="10"/>
  <c r="Y86" i="10"/>
  <c r="Y87" i="10"/>
  <c r="Y88" i="10"/>
  <c r="Y89" i="10"/>
  <c r="Y90" i="10"/>
  <c r="Y91" i="10"/>
  <c r="Y92" i="10"/>
  <c r="Y93" i="10"/>
  <c r="Y94" i="10"/>
  <c r="Y95" i="10"/>
  <c r="Y96" i="10"/>
  <c r="Y97" i="10"/>
  <c r="Y98" i="10"/>
  <c r="Y99" i="10"/>
  <c r="Y100" i="10"/>
  <c r="Y101" i="10"/>
  <c r="Y102" i="10"/>
  <c r="Y103" i="10"/>
  <c r="Y104" i="10"/>
  <c r="Y105" i="10"/>
  <c r="Y106" i="10"/>
  <c r="Y107" i="10"/>
  <c r="Y108" i="10"/>
  <c r="Y109" i="10"/>
  <c r="Y110" i="10"/>
  <c r="Y111" i="10"/>
  <c r="Y112" i="10"/>
  <c r="Y113" i="10"/>
  <c r="Y114" i="10"/>
  <c r="Y115" i="10"/>
  <c r="Y116" i="10"/>
  <c r="Y117" i="10"/>
  <c r="Y118" i="10"/>
  <c r="Y119" i="10"/>
  <c r="Y120" i="10"/>
  <c r="Y121" i="10"/>
  <c r="Y122" i="10"/>
  <c r="Y123" i="10"/>
  <c r="Y124" i="10"/>
  <c r="Y125" i="10"/>
  <c r="Y126" i="10"/>
  <c r="Y127" i="10"/>
  <c r="Y128" i="10"/>
  <c r="Y129" i="10"/>
  <c r="Y130" i="10"/>
  <c r="Y131" i="10"/>
  <c r="Y132" i="10"/>
  <c r="Y133" i="10"/>
  <c r="Y134" i="10"/>
  <c r="Y135" i="10"/>
  <c r="Y136" i="10"/>
  <c r="Y137" i="10"/>
  <c r="Y138" i="10"/>
  <c r="Y139" i="10"/>
  <c r="Y140" i="10"/>
  <c r="Y141" i="10"/>
  <c r="Y142" i="10"/>
  <c r="Y143" i="10"/>
  <c r="Y144" i="10"/>
  <c r="Y145" i="10"/>
  <c r="Y146" i="10"/>
  <c r="Y147" i="10"/>
  <c r="Y148" i="10"/>
  <c r="Y149" i="10"/>
  <c r="Y150" i="10"/>
  <c r="Y151" i="10"/>
  <c r="Y152" i="10"/>
  <c r="Y153" i="10"/>
  <c r="Y154" i="10"/>
  <c r="Y155" i="10"/>
  <c r="Y156" i="10"/>
  <c r="Y157" i="10"/>
  <c r="Y158" i="10"/>
  <c r="Y161" i="10"/>
  <c r="Y162" i="10"/>
  <c r="Y163" i="10"/>
  <c r="Y164" i="10"/>
  <c r="Y165" i="10"/>
  <c r="Y166" i="10"/>
  <c r="Y167" i="10"/>
  <c r="Y168" i="10"/>
  <c r="Y169" i="10"/>
  <c r="Y170" i="10"/>
  <c r="Y171" i="10"/>
  <c r="Y172" i="10"/>
  <c r="Y173" i="10"/>
  <c r="Y174" i="10"/>
  <c r="Y175" i="10"/>
  <c r="Y176" i="10"/>
  <c r="Y177" i="10"/>
  <c r="Y178" i="10"/>
  <c r="Y179" i="10"/>
  <c r="Y180" i="10"/>
  <c r="Y181" i="10"/>
  <c r="Y182" i="10"/>
  <c r="Y183" i="10"/>
  <c r="Y184" i="10"/>
  <c r="Y185" i="10"/>
  <c r="Y186" i="10"/>
  <c r="Y187" i="10"/>
  <c r="Y188" i="10"/>
  <c r="Y189" i="10"/>
  <c r="Y190" i="10"/>
  <c r="Y191" i="10"/>
  <c r="Y192" i="10"/>
  <c r="Y193" i="10"/>
  <c r="Y194" i="10"/>
  <c r="Y195" i="10"/>
  <c r="Y196" i="10"/>
  <c r="Y197" i="10"/>
  <c r="Y198" i="10"/>
  <c r="Y199" i="10"/>
  <c r="Y200" i="10"/>
  <c r="Y201" i="10"/>
  <c r="Y202" i="10"/>
  <c r="Y203" i="10"/>
  <c r="Y204" i="10"/>
  <c r="Y205" i="10"/>
  <c r="Y206" i="10"/>
  <c r="Y207" i="10"/>
  <c r="Y208" i="10"/>
  <c r="Y209" i="10"/>
  <c r="Y210" i="10"/>
  <c r="Y211" i="10"/>
  <c r="Y212" i="10"/>
  <c r="Y213" i="10"/>
  <c r="Y214" i="10"/>
  <c r="Y215" i="10"/>
  <c r="Y216" i="10"/>
  <c r="Y217" i="10"/>
  <c r="Y218" i="10"/>
  <c r="Y219" i="10"/>
  <c r="Y220" i="10"/>
  <c r="Y221" i="10"/>
  <c r="Y222" i="10"/>
  <c r="Y223" i="10"/>
  <c r="Y224" i="10"/>
  <c r="Y225" i="10"/>
  <c r="Y226" i="10"/>
  <c r="Y227" i="10"/>
  <c r="Y228" i="10"/>
  <c r="Y229" i="10"/>
  <c r="Y230" i="10"/>
  <c r="Y231" i="10"/>
  <c r="Y232" i="10"/>
  <c r="Y233" i="10"/>
  <c r="Y234" i="10"/>
  <c r="Y235" i="10"/>
  <c r="Y236" i="10"/>
  <c r="Y237" i="10"/>
  <c r="Y238" i="10"/>
  <c r="Y239" i="10"/>
  <c r="Y240" i="10"/>
  <c r="Y241" i="10"/>
  <c r="Y242" i="10"/>
  <c r="Y243" i="10"/>
  <c r="Y244" i="10"/>
  <c r="Y245" i="10"/>
  <c r="Y246" i="10"/>
  <c r="Y247" i="10"/>
  <c r="Y248" i="10"/>
  <c r="Y249" i="10"/>
  <c r="Y250" i="10"/>
  <c r="Y251" i="10"/>
  <c r="Y252" i="10"/>
  <c r="Y253" i="10"/>
  <c r="Y254" i="10"/>
  <c r="Y255" i="10"/>
  <c r="Y256" i="10"/>
  <c r="Y257" i="10"/>
  <c r="Y258" i="10"/>
  <c r="Y259" i="10"/>
  <c r="Y260" i="10"/>
  <c r="Y261" i="10"/>
  <c r="Y262" i="10"/>
  <c r="Y263" i="10"/>
  <c r="Y264" i="10"/>
  <c r="Y265" i="10"/>
  <c r="Y266" i="10"/>
  <c r="Y267" i="10"/>
  <c r="Y268" i="10"/>
  <c r="Y269" i="10"/>
  <c r="Y270" i="10"/>
  <c r="Y271" i="10"/>
  <c r="Y272" i="10"/>
  <c r="Y273" i="10"/>
  <c r="Y274" i="10"/>
  <c r="Y275" i="10"/>
  <c r="Y276" i="10"/>
  <c r="Y277" i="10"/>
  <c r="Y278" i="10"/>
  <c r="Y279" i="10"/>
  <c r="Y280" i="10"/>
  <c r="Y281" i="10"/>
  <c r="Y282" i="10"/>
  <c r="Y283" i="10"/>
  <c r="Y284" i="10"/>
  <c r="Y285" i="10"/>
  <c r="Y286" i="10"/>
  <c r="Y287" i="10"/>
  <c r="Y288" i="10"/>
  <c r="Y289" i="10"/>
  <c r="Y290" i="10"/>
  <c r="Y291" i="10"/>
  <c r="Y292" i="10"/>
  <c r="Y293" i="10"/>
  <c r="Y294" i="10"/>
  <c r="Y295" i="10"/>
  <c r="Y296" i="10"/>
  <c r="Y297" i="10"/>
  <c r="Y299" i="10"/>
  <c r="Y300" i="10"/>
  <c r="Y301" i="10"/>
  <c r="Y302" i="10"/>
  <c r="Y303" i="10"/>
  <c r="Y304" i="10"/>
  <c r="Y305" i="10"/>
  <c r="Y306" i="10"/>
  <c r="Y307" i="10"/>
  <c r="Y308" i="10"/>
  <c r="Y309" i="10"/>
  <c r="Y310" i="10"/>
  <c r="Y311" i="10"/>
  <c r="Y312" i="10"/>
  <c r="Y313" i="10"/>
  <c r="Y314" i="10"/>
  <c r="Y315" i="10"/>
  <c r="Y316" i="10"/>
  <c r="Y317" i="10"/>
  <c r="Y318" i="10"/>
  <c r="Y319" i="10"/>
  <c r="Y320" i="10"/>
  <c r="Y322" i="10"/>
  <c r="Y323" i="10"/>
  <c r="Y324" i="10"/>
  <c r="Y325" i="10"/>
  <c r="Y326" i="10"/>
  <c r="Y327" i="10"/>
  <c r="Y328" i="10"/>
  <c r="Y329" i="10"/>
  <c r="Y330" i="10"/>
  <c r="Y331" i="10"/>
  <c r="Y332" i="10"/>
  <c r="Y333" i="10"/>
  <c r="Y334" i="10"/>
  <c r="Y336" i="10"/>
  <c r="Y337" i="10"/>
  <c r="Y338" i="10"/>
  <c r="Y339" i="10"/>
  <c r="Y340" i="10"/>
  <c r="Y341" i="10"/>
  <c r="Y342" i="10"/>
  <c r="Y343" i="10"/>
  <c r="Y344" i="10"/>
  <c r="Y345" i="10"/>
  <c r="Y346" i="10"/>
  <c r="Y347" i="10"/>
  <c r="Y348" i="10"/>
  <c r="Y349" i="10"/>
  <c r="Y350" i="10"/>
  <c r="Y351" i="10"/>
  <c r="Y352" i="10"/>
  <c r="Y353" i="10"/>
  <c r="Y354" i="10"/>
  <c r="Y355" i="10"/>
  <c r="Y356" i="10"/>
  <c r="Y357" i="10"/>
  <c r="Y359" i="10"/>
  <c r="Y360" i="10"/>
  <c r="Y361" i="10"/>
  <c r="Y362" i="10"/>
  <c r="Y363" i="10"/>
  <c r="Y364" i="10"/>
  <c r="Y365" i="10"/>
  <c r="Y366" i="10"/>
  <c r="Y368" i="10"/>
  <c r="Y369" i="10"/>
  <c r="Y370" i="10"/>
  <c r="Y371" i="10"/>
  <c r="Y372" i="10"/>
  <c r="Y373" i="10"/>
  <c r="Y374" i="10"/>
  <c r="Y375" i="10"/>
  <c r="Y376" i="10"/>
  <c r="Y377" i="10"/>
  <c r="Y378" i="10"/>
  <c r="Y379" i="10"/>
  <c r="Y380" i="10"/>
  <c r="Y381" i="10"/>
  <c r="Y382" i="10"/>
  <c r="Y383" i="10"/>
  <c r="Y384" i="10"/>
  <c r="Y385" i="10"/>
  <c r="Y386" i="10"/>
  <c r="Y387" i="10"/>
  <c r="Y388" i="10"/>
  <c r="Y389" i="10"/>
  <c r="Y390" i="10"/>
  <c r="Y391" i="10"/>
  <c r="Y392" i="10"/>
  <c r="Y393" i="10"/>
  <c r="Y394" i="10"/>
  <c r="Y395" i="10"/>
  <c r="Y396" i="10"/>
  <c r="Y397" i="10"/>
  <c r="Y398" i="10"/>
  <c r="Y399" i="10"/>
  <c r="Y400" i="10"/>
  <c r="Y401" i="10"/>
  <c r="Y402" i="10"/>
  <c r="Y403" i="10"/>
  <c r="Y404" i="10"/>
  <c r="Y405" i="10"/>
  <c r="Y406" i="10"/>
  <c r="Y408" i="10"/>
  <c r="Y409" i="10"/>
  <c r="Y410" i="10"/>
  <c r="Y411" i="10"/>
  <c r="Y412" i="10"/>
  <c r="Y413" i="10"/>
  <c r="Y414" i="10"/>
  <c r="Y415" i="10"/>
  <c r="Y416" i="10"/>
  <c r="Y417" i="10"/>
  <c r="Y418" i="10"/>
  <c r="Y419" i="10"/>
  <c r="Y420" i="10"/>
  <c r="Y421" i="10"/>
  <c r="Y422" i="10"/>
  <c r="Y423" i="10"/>
  <c r="Y424" i="10"/>
  <c r="Y425" i="10"/>
  <c r="Y426" i="10"/>
  <c r="Y427" i="10"/>
  <c r="Y428" i="10"/>
  <c r="Y429" i="10"/>
  <c r="Y430" i="10"/>
  <c r="Y431" i="10"/>
  <c r="Y432" i="10"/>
  <c r="Y433" i="10"/>
  <c r="Y434" i="10"/>
  <c r="Y435" i="10"/>
  <c r="Y436" i="10"/>
  <c r="Y439" i="10"/>
  <c r="Y440" i="10"/>
  <c r="Y441" i="10"/>
  <c r="Y442" i="10"/>
  <c r="Y443" i="10"/>
  <c r="Y444" i="10"/>
  <c r="Y445" i="10"/>
  <c r="Y446" i="10"/>
  <c r="Y447" i="10"/>
  <c r="Y448" i="10"/>
  <c r="Y450" i="10"/>
  <c r="Y451" i="10"/>
  <c r="Y452" i="10"/>
  <c r="Y453" i="10"/>
  <c r="Y455" i="10"/>
  <c r="Y456" i="10"/>
  <c r="Y457" i="10"/>
  <c r="Y458" i="10"/>
  <c r="Y459" i="10"/>
  <c r="Y460" i="10"/>
  <c r="Y461" i="10"/>
  <c r="Y462" i="10"/>
  <c r="Y463" i="10"/>
  <c r="Y464" i="10"/>
  <c r="Y465" i="10"/>
  <c r="Y466" i="10"/>
  <c r="Y467" i="10"/>
  <c r="Y468" i="10"/>
  <c r="Y469" i="10"/>
  <c r="Y470" i="10"/>
  <c r="Y471" i="10"/>
  <c r="Y472" i="10"/>
  <c r="Y473" i="10"/>
  <c r="Y474" i="10"/>
  <c r="Y475" i="10"/>
  <c r="Y476" i="10"/>
  <c r="Y477" i="10"/>
  <c r="Y478" i="10"/>
  <c r="Y479" i="10"/>
  <c r="Y481" i="10"/>
  <c r="Y483" i="10"/>
  <c r="Y484" i="10"/>
  <c r="Y485" i="10"/>
  <c r="Y486" i="10"/>
  <c r="Y487" i="10"/>
  <c r="Y488" i="10"/>
  <c r="Y489" i="10"/>
  <c r="Y490" i="10"/>
  <c r="Y491" i="10"/>
  <c r="Y492" i="10"/>
  <c r="Y493" i="10"/>
  <c r="Y494" i="10"/>
  <c r="Y495" i="10"/>
  <c r="Y496" i="10"/>
  <c r="Y497" i="10"/>
  <c r="Y498" i="10"/>
  <c r="Y499" i="10"/>
  <c r="Y500" i="10"/>
  <c r="Y501" i="10"/>
  <c r="Y502" i="10"/>
  <c r="Y503" i="10"/>
  <c r="Y504" i="10"/>
  <c r="Y505" i="10"/>
  <c r="Y506" i="10"/>
  <c r="Y507" i="10"/>
  <c r="Y508" i="10"/>
  <c r="Y509" i="10"/>
  <c r="Y510" i="10"/>
  <c r="Y511" i="10"/>
  <c r="Y512" i="10"/>
  <c r="Y513" i="10"/>
  <c r="Y514" i="10"/>
  <c r="Y515" i="10"/>
  <c r="Y516" i="10"/>
  <c r="Y517" i="10"/>
  <c r="Y518" i="10"/>
  <c r="Y519" i="10"/>
  <c r="Y520" i="10"/>
  <c r="Y521" i="10"/>
  <c r="Y522" i="10"/>
  <c r="Y523" i="10"/>
  <c r="Y524" i="10"/>
  <c r="Y525" i="10"/>
  <c r="Y526" i="10"/>
  <c r="Y527" i="10"/>
  <c r="Y529" i="10"/>
  <c r="Y530" i="10"/>
  <c r="Y531" i="10"/>
  <c r="Y532" i="10"/>
  <c r="Y533" i="10"/>
  <c r="Y534" i="10"/>
  <c r="Y535" i="10"/>
  <c r="Y536" i="10"/>
  <c r="Y537" i="10"/>
  <c r="Y538" i="10"/>
  <c r="Y539" i="10"/>
  <c r="Y541" i="10"/>
  <c r="Y542" i="10"/>
  <c r="Y543" i="10"/>
  <c r="Y544" i="10"/>
  <c r="Y545" i="10"/>
  <c r="Y546" i="10"/>
  <c r="Y547" i="10"/>
  <c r="Y548" i="10"/>
  <c r="Y549" i="10"/>
  <c r="Y550" i="10"/>
  <c r="Y551" i="10"/>
  <c r="Y552" i="10"/>
  <c r="Y553" i="10"/>
  <c r="Y554" i="10"/>
  <c r="Y557" i="10"/>
  <c r="Y558" i="10"/>
  <c r="Y559" i="10"/>
  <c r="Y560" i="10"/>
  <c r="Y561" i="10"/>
  <c r="Y562" i="10"/>
  <c r="Y563" i="10"/>
  <c r="Y564" i="10"/>
  <c r="Y565" i="10"/>
  <c r="Y566" i="10"/>
  <c r="Y567" i="10"/>
  <c r="Y569" i="10"/>
  <c r="Y570" i="10"/>
  <c r="Y572" i="10"/>
  <c r="Y573" i="10"/>
  <c r="Y574" i="10"/>
  <c r="Y575" i="10"/>
  <c r="Y576" i="10"/>
  <c r="Y577" i="10"/>
  <c r="Y578" i="10"/>
  <c r="Y579" i="10"/>
  <c r="Y580" i="10"/>
  <c r="Y582" i="10"/>
  <c r="Y583" i="10"/>
  <c r="Y584" i="10"/>
  <c r="Y585" i="10"/>
  <c r="Y586" i="10"/>
  <c r="Y587" i="10"/>
  <c r="Y588" i="10"/>
  <c r="Y589" i="10"/>
  <c r="Y590" i="10"/>
  <c r="Y591" i="10"/>
  <c r="Y592" i="10"/>
  <c r="Y593" i="10"/>
  <c r="Y595" i="10"/>
  <c r="Y596" i="10"/>
  <c r="Y597" i="10"/>
  <c r="Y598" i="10"/>
  <c r="Y601" i="10"/>
  <c r="Y602" i="10"/>
  <c r="Y604" i="10"/>
  <c r="Y605" i="10"/>
  <c r="Y606" i="10"/>
  <c r="Y607" i="10"/>
  <c r="Y608" i="10"/>
  <c r="Y609" i="10"/>
  <c r="Y610" i="10"/>
  <c r="Y611" i="10"/>
  <c r="Y612" i="10"/>
  <c r="Y614" i="10"/>
  <c r="Y615" i="10"/>
  <c r="Y616" i="10"/>
  <c r="Y617" i="10"/>
  <c r="Y618" i="10"/>
  <c r="Y619" i="10"/>
  <c r="Y620" i="10"/>
  <c r="Y621" i="10"/>
  <c r="Y622" i="10"/>
  <c r="Y623" i="10"/>
  <c r="Y624" i="10"/>
  <c r="Y625" i="10"/>
  <c r="Y626" i="10"/>
  <c r="Y627" i="10"/>
  <c r="Y628" i="10"/>
  <c r="Y629" i="10"/>
  <c r="Y630" i="10"/>
  <c r="Y631" i="10"/>
  <c r="Y632" i="10"/>
  <c r="Y633" i="10"/>
  <c r="Y634" i="10"/>
  <c r="Y635" i="10"/>
  <c r="Y636" i="10"/>
  <c r="Y637" i="10"/>
  <c r="Y638" i="10"/>
  <c r="Y639" i="10"/>
  <c r="Y641" i="10"/>
  <c r="Y642" i="10"/>
  <c r="Y643" i="10"/>
  <c r="Y644" i="10"/>
  <c r="Y645" i="10"/>
  <c r="Y646" i="10"/>
  <c r="Y647" i="10"/>
  <c r="Y648" i="10"/>
  <c r="Y649" i="10"/>
  <c r="Y650" i="10"/>
  <c r="Y651" i="10"/>
  <c r="Y652" i="10"/>
  <c r="Y653" i="10"/>
  <c r="Y654" i="10"/>
  <c r="Y655" i="10"/>
  <c r="Y656" i="10"/>
  <c r="Y657" i="10"/>
  <c r="Y658" i="10"/>
  <c r="Y659" i="10"/>
  <c r="Y660" i="10"/>
  <c r="Y661" i="10"/>
  <c r="Y662" i="10"/>
  <c r="Y664" i="10"/>
  <c r="Y665" i="10"/>
  <c r="Y666" i="10"/>
  <c r="Y667" i="10"/>
  <c r="Y668" i="10"/>
  <c r="Y669" i="10"/>
  <c r="Y670" i="10"/>
  <c r="Y671" i="10"/>
  <c r="Y672" i="10"/>
  <c r="Y673" i="10"/>
  <c r="Y674" i="10"/>
  <c r="Y675" i="10"/>
  <c r="Y676" i="10"/>
  <c r="Y677" i="10"/>
  <c r="Y678" i="10"/>
  <c r="Y679" i="10"/>
  <c r="Y680" i="10"/>
  <c r="Y681" i="10"/>
  <c r="Y682" i="10"/>
  <c r="Y683" i="10"/>
  <c r="Y684" i="10"/>
  <c r="Y685" i="10"/>
  <c r="Y686" i="10"/>
  <c r="Y687" i="10"/>
  <c r="Y688" i="10"/>
  <c r="Y689" i="10"/>
  <c r="Y690" i="10"/>
  <c r="Y691" i="10"/>
  <c r="Y693" i="10"/>
  <c r="Y694" i="10"/>
  <c r="Y695" i="10"/>
  <c r="Y696" i="10"/>
  <c r="Y697" i="10"/>
  <c r="Y698" i="10"/>
  <c r="Y699" i="10"/>
  <c r="Y700" i="10"/>
  <c r="Y701" i="10"/>
  <c r="Y702" i="10"/>
  <c r="Y703" i="10"/>
  <c r="Y704" i="10"/>
  <c r="Y705" i="10"/>
  <c r="Y706" i="10"/>
  <c r="Y707" i="10"/>
  <c r="Y708" i="10"/>
  <c r="Y709" i="10"/>
  <c r="Y710" i="10"/>
  <c r="Y711" i="10"/>
  <c r="Y713" i="10"/>
  <c r="Y714" i="10"/>
  <c r="Y715" i="10"/>
  <c r="Y716" i="10"/>
  <c r="Y717" i="10"/>
  <c r="Y718" i="10"/>
  <c r="Y719" i="10"/>
  <c r="Y721" i="10"/>
  <c r="Y722" i="10"/>
  <c r="Y723" i="10"/>
  <c r="Y725" i="10"/>
  <c r="Y726" i="10"/>
  <c r="Y728" i="10"/>
  <c r="Y729" i="10"/>
  <c r="Y730" i="10"/>
  <c r="Y731" i="10"/>
  <c r="Y733" i="10"/>
  <c r="Y734" i="10"/>
  <c r="Y735" i="10"/>
  <c r="Y736" i="10"/>
  <c r="Y737" i="10"/>
  <c r="Y738" i="10"/>
  <c r="Y739" i="10"/>
  <c r="Y740" i="10"/>
  <c r="Y741" i="10"/>
  <c r="Y742" i="10"/>
  <c r="Y743" i="10"/>
  <c r="Y744" i="10"/>
  <c r="Y745" i="10"/>
  <c r="Y746" i="10"/>
  <c r="Y747" i="10"/>
  <c r="Y748" i="10"/>
  <c r="Y749" i="10"/>
  <c r="Y750" i="10"/>
  <c r="Y751" i="10"/>
  <c r="Y752" i="10"/>
  <c r="Y753" i="10"/>
  <c r="Y754" i="10"/>
  <c r="Y755" i="10"/>
  <c r="Y756" i="10"/>
  <c r="Y757" i="10"/>
  <c r="Y758" i="10"/>
  <c r="Y759" i="10"/>
  <c r="Y760" i="10"/>
  <c r="Y761" i="10"/>
  <c r="Y762" i="10"/>
  <c r="Y763" i="10"/>
  <c r="Y764" i="10"/>
  <c r="Y765" i="10"/>
  <c r="Y766" i="10"/>
  <c r="Y767" i="10"/>
  <c r="Y768" i="10"/>
  <c r="Y769" i="10"/>
  <c r="Y770" i="10"/>
  <c r="Y771" i="10"/>
  <c r="Y772" i="10"/>
  <c r="Y773" i="10"/>
  <c r="Y774" i="10"/>
  <c r="Y775" i="10"/>
  <c r="Y776" i="10"/>
  <c r="Y777" i="10"/>
  <c r="Y778" i="10"/>
  <c r="Y779" i="10"/>
  <c r="Y780" i="10"/>
  <c r="Y781" i="10"/>
  <c r="Y782" i="10"/>
  <c r="Y783" i="10"/>
  <c r="Y784" i="10"/>
  <c r="Y785" i="10"/>
  <c r="Y786" i="10"/>
  <c r="Y787" i="10"/>
  <c r="Y788" i="10"/>
  <c r="Y789" i="10"/>
  <c r="Y790" i="10"/>
  <c r="Y791" i="10"/>
  <c r="Y792" i="10"/>
  <c r="Y793" i="10"/>
  <c r="Y794" i="10"/>
  <c r="Y796" i="10"/>
  <c r="Y797" i="10"/>
  <c r="Y798" i="10"/>
  <c r="Y800" i="10"/>
  <c r="Y801" i="10"/>
  <c r="Y802" i="10"/>
  <c r="Y803" i="10"/>
  <c r="Y804" i="10"/>
  <c r="Y805" i="10"/>
  <c r="Y806" i="10"/>
  <c r="Y807" i="10"/>
  <c r="Y808" i="10"/>
  <c r="Y809" i="10"/>
  <c r="Y810" i="10"/>
  <c r="Y811" i="10"/>
  <c r="Y812" i="10"/>
  <c r="Y813" i="10"/>
  <c r="Y814" i="10"/>
  <c r="Y815" i="10"/>
  <c r="Y816" i="10"/>
  <c r="Y817" i="10"/>
  <c r="Y818" i="10"/>
  <c r="Y819" i="10"/>
  <c r="Y820" i="10"/>
  <c r="Y821" i="10"/>
  <c r="Y822" i="10"/>
  <c r="Y823" i="10"/>
  <c r="Y824" i="10"/>
  <c r="Y825" i="10"/>
  <c r="Y826" i="10"/>
  <c r="Y827" i="10"/>
  <c r="Y828" i="10"/>
  <c r="Y829" i="10"/>
  <c r="Y830" i="10"/>
  <c r="Y831" i="10"/>
  <c r="Y832" i="10"/>
  <c r="Y833" i="10"/>
  <c r="Y834" i="10"/>
  <c r="Y835" i="10"/>
  <c r="Y836" i="10"/>
  <c r="Y837" i="10"/>
  <c r="Y838" i="10"/>
  <c r="Y839" i="10"/>
  <c r="Y840" i="10"/>
  <c r="Y841" i="10"/>
  <c r="Y842" i="10"/>
  <c r="Y843" i="10"/>
  <c r="Y844" i="10"/>
  <c r="Y845" i="10"/>
  <c r="Y846" i="10"/>
  <c r="Y847" i="10"/>
  <c r="Y848" i="10"/>
  <c r="Y849" i="10"/>
  <c r="Y850" i="10"/>
  <c r="Y851" i="10"/>
  <c r="Y852" i="10"/>
  <c r="Y853" i="10"/>
  <c r="Y854" i="10"/>
  <c r="Y855" i="10"/>
  <c r="Y856" i="10"/>
  <c r="Y857" i="10"/>
  <c r="Y858" i="10"/>
  <c r="Y859" i="10"/>
  <c r="Y860" i="10"/>
  <c r="Y861" i="10"/>
  <c r="Y862" i="10"/>
  <c r="Y863" i="10"/>
  <c r="Y864" i="10"/>
  <c r="Y865" i="10"/>
  <c r="Y866" i="10"/>
  <c r="Y867" i="10"/>
  <c r="Y868" i="10"/>
  <c r="Y869" i="10"/>
  <c r="Y870" i="10"/>
  <c r="Y871" i="10"/>
  <c r="Y872" i="10"/>
  <c r="Y873" i="10"/>
  <c r="Y874" i="10"/>
  <c r="Y875" i="10"/>
  <c r="Y876" i="10"/>
  <c r="Y877" i="10"/>
  <c r="Y878" i="10"/>
  <c r="Y879" i="10"/>
  <c r="Y880" i="10"/>
  <c r="Y881" i="10"/>
  <c r="Y882" i="10"/>
  <c r="Y883" i="10"/>
  <c r="Y885" i="10"/>
  <c r="Y886" i="10"/>
  <c r="Y887" i="10"/>
  <c r="Y888" i="10"/>
  <c r="Y889" i="10"/>
  <c r="Y890" i="10"/>
  <c r="Y891" i="10"/>
  <c r="Y892" i="10"/>
  <c r="Y893" i="10"/>
  <c r="Y894" i="10"/>
  <c r="Y895" i="10"/>
  <c r="Y896" i="10"/>
  <c r="Y897" i="10"/>
  <c r="Y898" i="10"/>
  <c r="Y899" i="10"/>
  <c r="Y900" i="10"/>
  <c r="Y901" i="10"/>
  <c r="Y902" i="10"/>
  <c r="Y903" i="10"/>
  <c r="Y904" i="10"/>
  <c r="Y905" i="10"/>
  <c r="Y906" i="10"/>
  <c r="Y907" i="10"/>
  <c r="Y908" i="10"/>
  <c r="Y909" i="10"/>
  <c r="Y910" i="10"/>
  <c r="Y911" i="10"/>
  <c r="Y912" i="10"/>
  <c r="Y913" i="10"/>
  <c r="Y914" i="10"/>
  <c r="Y915" i="10"/>
  <c r="Y916" i="10"/>
  <c r="Y917" i="10"/>
  <c r="Y918" i="10"/>
  <c r="Y919" i="10"/>
  <c r="Y920" i="10"/>
  <c r="Y921" i="10"/>
  <c r="Y922" i="10"/>
  <c r="Y923" i="10"/>
  <c r="Y924" i="10"/>
  <c r="Y925" i="10"/>
  <c r="Y926" i="10"/>
  <c r="Y927" i="10"/>
  <c r="Y928" i="10"/>
  <c r="Y929" i="10"/>
  <c r="Y930" i="10"/>
  <c r="Y931" i="10"/>
  <c r="Y932" i="10"/>
  <c r="Y933" i="10"/>
  <c r="Y934" i="10"/>
  <c r="Y935" i="10"/>
  <c r="Y936" i="10"/>
  <c r="Y937" i="10"/>
  <c r="Y938" i="10"/>
  <c r="Y939" i="10"/>
  <c r="Y940" i="10"/>
  <c r="Y941" i="10"/>
  <c r="Y942" i="10"/>
  <c r="Y943" i="10"/>
  <c r="Y944" i="10"/>
  <c r="Y946" i="10"/>
  <c r="Y947" i="10"/>
  <c r="Y948" i="10"/>
  <c r="Y949" i="10"/>
  <c r="Y950" i="10"/>
  <c r="Y952" i="10"/>
  <c r="Y953" i="10"/>
  <c r="Y954" i="10"/>
  <c r="Y955" i="10"/>
  <c r="Y956" i="10"/>
  <c r="Y957" i="10"/>
  <c r="Y958" i="10"/>
  <c r="Y959" i="10"/>
  <c r="Y960" i="10"/>
  <c r="Y961" i="10"/>
  <c r="Y962" i="10"/>
  <c r="Y963" i="10"/>
  <c r="Y964" i="10"/>
  <c r="Y965" i="10"/>
  <c r="Y966" i="10"/>
  <c r="Y967" i="10"/>
  <c r="Y968" i="10"/>
  <c r="Y969" i="10"/>
  <c r="Y970" i="10"/>
  <c r="Y971" i="10"/>
  <c r="Y972" i="10"/>
  <c r="Y973" i="10"/>
  <c r="Y974" i="10"/>
  <c r="Y975" i="10"/>
  <c r="Y976" i="10"/>
  <c r="Y977" i="10"/>
  <c r="Y978" i="10"/>
  <c r="Y979" i="10"/>
  <c r="Y980" i="10"/>
  <c r="Y981" i="10"/>
  <c r="Y982" i="10"/>
  <c r="Y983" i="10"/>
  <c r="Y985" i="10"/>
  <c r="Y986" i="10"/>
  <c r="Y987" i="10"/>
  <c r="Y988" i="10"/>
  <c r="Y989" i="10"/>
  <c r="Y990" i="10"/>
  <c r="Y991" i="10"/>
  <c r="Y992" i="10"/>
  <c r="Y993" i="10"/>
  <c r="Y994" i="10"/>
  <c r="Y995" i="10"/>
  <c r="Y996" i="10"/>
  <c r="Y997" i="10"/>
  <c r="Y998" i="10"/>
  <c r="Y999" i="10"/>
  <c r="Y1000" i="10"/>
  <c r="Y1001" i="10"/>
  <c r="Y1002" i="10"/>
  <c r="Y1003" i="10"/>
  <c r="Y1004" i="10"/>
  <c r="Y1005" i="10"/>
  <c r="Y1006" i="10"/>
  <c r="Y1007" i="10"/>
  <c r="Y1008" i="10"/>
  <c r="Y1009" i="10"/>
  <c r="Y1010" i="10"/>
  <c r="Y1011" i="10"/>
  <c r="Y1012" i="10"/>
  <c r="Y1013" i="10"/>
  <c r="Y1014" i="10"/>
  <c r="Y1015" i="10"/>
  <c r="Y1016" i="10"/>
  <c r="Y1017" i="10"/>
  <c r="Y1018" i="10"/>
  <c r="Y1019" i="10"/>
  <c r="Y1020" i="10"/>
  <c r="Y1021" i="10"/>
  <c r="Y1022" i="10"/>
  <c r="Y1023" i="10"/>
  <c r="Y1024" i="10"/>
  <c r="Y1025" i="10"/>
  <c r="Y1026" i="10"/>
  <c r="Y1027" i="10"/>
  <c r="Y1028" i="10"/>
  <c r="Y1029" i="10"/>
  <c r="Y1030" i="10"/>
  <c r="Y1031" i="10"/>
  <c r="Y1032" i="10"/>
  <c r="Y1033" i="10"/>
  <c r="Y1034" i="10"/>
  <c r="Y1036" i="10"/>
  <c r="Y1037" i="10"/>
  <c r="Y1038" i="10"/>
  <c r="Y1039" i="10"/>
  <c r="Y1040" i="10"/>
  <c r="Y1041" i="10"/>
  <c r="Y1042" i="10"/>
  <c r="Y1043" i="10"/>
  <c r="Y1044" i="10"/>
  <c r="Y1045" i="10"/>
  <c r="Y1046" i="10"/>
  <c r="Y1047" i="10"/>
  <c r="Y1048" i="10"/>
  <c r="Y1049" i="10"/>
  <c r="Y1050" i="10"/>
  <c r="Y1051" i="10"/>
  <c r="Y1052" i="10"/>
  <c r="Y1053" i="10"/>
  <c r="Y1054" i="10"/>
  <c r="Y1055" i="10"/>
  <c r="Y1057" i="10"/>
  <c r="Y1058" i="10"/>
  <c r="Y1059" i="10"/>
  <c r="Y1060" i="10"/>
  <c r="Y1061" i="10"/>
  <c r="Y1062" i="10"/>
  <c r="Y1063" i="10"/>
  <c r="Y1064" i="10"/>
  <c r="Y1065" i="10"/>
  <c r="Y1066" i="10"/>
  <c r="Y1067" i="10"/>
  <c r="Y1068" i="10"/>
  <c r="Y1070" i="10"/>
  <c r="Y1071" i="10"/>
  <c r="Y1072" i="10"/>
  <c r="Y1074" i="10"/>
  <c r="Y1075" i="10"/>
  <c r="Y1076" i="10"/>
  <c r="Y1077" i="10"/>
  <c r="Y1078" i="10"/>
  <c r="Y1079" i="10"/>
  <c r="Y1080" i="10"/>
  <c r="Y1081" i="10"/>
  <c r="Y1082" i="10"/>
  <c r="Y1083" i="10"/>
  <c r="Y1084" i="10"/>
  <c r="Y1085" i="10"/>
  <c r="Y1086" i="10"/>
  <c r="Y1087" i="10"/>
  <c r="Y1088" i="10"/>
  <c r="Y1089" i="10"/>
  <c r="Y1090" i="10"/>
  <c r="Y1091" i="10"/>
  <c r="Y1092" i="10"/>
  <c r="Y1093" i="10"/>
  <c r="Y1094" i="10"/>
  <c r="Y1095" i="10"/>
  <c r="Y1096" i="10"/>
  <c r="Y1097" i="10"/>
  <c r="Y1098" i="10"/>
  <c r="Y1099" i="10"/>
  <c r="Y1100" i="10"/>
  <c r="Y1101" i="10"/>
  <c r="Y1102" i="10"/>
  <c r="Y1103" i="10"/>
  <c r="Y1104" i="10"/>
  <c r="Y1105" i="10"/>
  <c r="Y1106" i="10"/>
  <c r="Y1107" i="10"/>
  <c r="Y1108" i="10"/>
  <c r="Y1109" i="10"/>
  <c r="Y1110" i="10"/>
  <c r="Y1111" i="10"/>
  <c r="Y1112" i="10"/>
  <c r="Y1113" i="10"/>
  <c r="Y1114" i="10"/>
  <c r="Y1115" i="10"/>
  <c r="Y1116" i="10"/>
  <c r="Y1117" i="10"/>
  <c r="Y1118" i="10"/>
  <c r="Y1119" i="10"/>
  <c r="Y1120" i="10"/>
  <c r="Y1121" i="10"/>
  <c r="Y1122" i="10"/>
  <c r="Y1123" i="10"/>
  <c r="Y1124" i="10"/>
  <c r="Y1125" i="10"/>
  <c r="Y1126" i="10"/>
  <c r="Y1127" i="10"/>
  <c r="Y1128" i="10"/>
  <c r="Y1129" i="10"/>
  <c r="Y1130" i="10"/>
  <c r="Y1131" i="10"/>
  <c r="Y1132" i="10"/>
  <c r="Y1133" i="10"/>
  <c r="Y1134" i="10"/>
  <c r="Y1135" i="10"/>
  <c r="Y1136" i="10"/>
  <c r="Y1137" i="10"/>
  <c r="Y1138" i="10"/>
  <c r="Y1139" i="10"/>
  <c r="Y1140" i="10"/>
  <c r="Y1141" i="10"/>
  <c r="Y1142" i="10"/>
  <c r="Y1143" i="10"/>
  <c r="Y1144" i="10"/>
  <c r="Y1145" i="10"/>
  <c r="Y1146" i="10"/>
  <c r="Y1147" i="10"/>
  <c r="Y1148" i="10"/>
  <c r="Y1149" i="10"/>
  <c r="Y1150" i="10"/>
  <c r="Y1151" i="10"/>
  <c r="Y1152" i="10"/>
  <c r="Y1153" i="10"/>
  <c r="Y1154" i="10"/>
  <c r="Y1155" i="10"/>
  <c r="Y1156" i="10"/>
  <c r="Y1157" i="10"/>
  <c r="Y1158" i="10"/>
  <c r="Y1159" i="10"/>
  <c r="Y1160" i="10"/>
  <c r="Y1161" i="10"/>
  <c r="Y1162" i="10"/>
  <c r="Y1163" i="10"/>
  <c r="Y1164" i="10"/>
  <c r="Y1165" i="10"/>
  <c r="Y1166" i="10"/>
  <c r="Y1167" i="10"/>
  <c r="Y1168" i="10"/>
  <c r="Y1169" i="10"/>
  <c r="Y1170" i="10"/>
  <c r="Y1171" i="10"/>
  <c r="Y1172" i="10"/>
  <c r="Y1173" i="10"/>
  <c r="Y1174" i="10"/>
  <c r="Y1175" i="10"/>
  <c r="Y1176" i="10"/>
  <c r="Y1177" i="10"/>
  <c r="Y1178" i="10"/>
  <c r="Y1179" i="10"/>
  <c r="Y1180" i="10"/>
  <c r="Y1181" i="10"/>
  <c r="Y1182" i="10"/>
  <c r="Y1183" i="10"/>
  <c r="Y1184" i="10"/>
  <c r="Y1185" i="10"/>
  <c r="Y1186" i="10"/>
  <c r="Y1187" i="10"/>
  <c r="Y1188" i="10"/>
  <c r="Y1189" i="10"/>
  <c r="Y1190" i="10"/>
  <c r="Y1191" i="10"/>
  <c r="Y1192" i="10"/>
  <c r="Y1193" i="10"/>
  <c r="Y1194" i="10"/>
  <c r="Y1195" i="10"/>
  <c r="Y1196" i="10"/>
  <c r="Y1197" i="10"/>
  <c r="Y1198" i="10"/>
  <c r="Y1199" i="10"/>
  <c r="Y1200" i="10"/>
  <c r="Y1201" i="10"/>
  <c r="Y1202" i="10"/>
  <c r="Y1203" i="10"/>
  <c r="Y1204" i="10"/>
  <c r="Y1205" i="10"/>
  <c r="Y1206" i="10"/>
  <c r="Y6" i="10"/>
  <c r="V8" i="10"/>
  <c r="V10" i="10"/>
  <c r="V11" i="10"/>
  <c r="V12" i="10"/>
  <c r="V13" i="10"/>
  <c r="V14" i="10"/>
  <c r="V15" i="10"/>
  <c r="V16" i="10"/>
  <c r="V17" i="10"/>
  <c r="V18" i="10"/>
  <c r="V19" i="10"/>
  <c r="V20" i="10"/>
  <c r="V21" i="10"/>
  <c r="V22" i="10"/>
  <c r="V23" i="10"/>
  <c r="V24" i="10"/>
  <c r="V25" i="10"/>
  <c r="V26" i="10"/>
  <c r="V27" i="10"/>
  <c r="V28" i="10"/>
  <c r="V29" i="10"/>
  <c r="V30" i="10"/>
  <c r="V31" i="10"/>
  <c r="V32" i="10"/>
  <c r="V33" i="10"/>
  <c r="V34" i="10"/>
  <c r="V35" i="10"/>
  <c r="V36" i="10"/>
  <c r="V37" i="10"/>
  <c r="V38" i="10"/>
  <c r="V41" i="10"/>
  <c r="V42" i="10"/>
  <c r="V43" i="10"/>
  <c r="V44" i="10"/>
  <c r="V45" i="10"/>
  <c r="V46" i="10"/>
  <c r="V47" i="10"/>
  <c r="V48" i="10"/>
  <c r="V49" i="10"/>
  <c r="V50" i="10"/>
  <c r="V51" i="10"/>
  <c r="V52" i="10"/>
  <c r="V53" i="10"/>
  <c r="V54" i="10"/>
  <c r="V55" i="10"/>
  <c r="V56" i="10"/>
  <c r="V57" i="10"/>
  <c r="V58" i="10"/>
  <c r="V61" i="10"/>
  <c r="V62" i="10"/>
  <c r="V64" i="10"/>
  <c r="V65" i="10"/>
  <c r="V66" i="10"/>
  <c r="V68" i="10"/>
  <c r="V69" i="10"/>
  <c r="V70" i="10"/>
  <c r="V71" i="10"/>
  <c r="V72" i="10"/>
  <c r="V73" i="10"/>
  <c r="V74" i="10"/>
  <c r="V75" i="10"/>
  <c r="V76" i="10"/>
  <c r="V77" i="10"/>
  <c r="V78" i="10"/>
  <c r="V79" i="10"/>
  <c r="V80" i="10"/>
  <c r="V81" i="10"/>
  <c r="V82" i="10"/>
  <c r="V83" i="10"/>
  <c r="V84" i="10"/>
  <c r="V85" i="10"/>
  <c r="V87" i="10"/>
  <c r="V88" i="10"/>
  <c r="V89" i="10"/>
  <c r="V90" i="10"/>
  <c r="V91" i="10"/>
  <c r="V94" i="10"/>
  <c r="V96" i="10"/>
  <c r="V97" i="10"/>
  <c r="V98" i="10"/>
  <c r="V99" i="10"/>
  <c r="V100" i="10"/>
  <c r="V101" i="10"/>
  <c r="V104" i="10"/>
  <c r="V105" i="10"/>
  <c r="V106" i="10"/>
  <c r="V108" i="10"/>
  <c r="V109" i="10"/>
  <c r="V110" i="10"/>
  <c r="V111" i="10"/>
  <c r="V112" i="10"/>
  <c r="V113" i="10"/>
  <c r="V114" i="10"/>
  <c r="V115" i="10"/>
  <c r="V116" i="10"/>
  <c r="V117" i="10"/>
  <c r="V118" i="10"/>
  <c r="V119" i="10"/>
  <c r="V120" i="10"/>
  <c r="V121" i="10"/>
  <c r="V122" i="10"/>
  <c r="V123" i="10"/>
  <c r="V124" i="10"/>
  <c r="V125" i="10"/>
  <c r="V126" i="10"/>
  <c r="V127" i="10"/>
  <c r="V128" i="10"/>
  <c r="V129" i="10"/>
  <c r="V132" i="10"/>
  <c r="V133" i="10"/>
  <c r="V134" i="10"/>
  <c r="V135" i="10"/>
  <c r="V138" i="10"/>
  <c r="V139" i="10"/>
  <c r="V140" i="10"/>
  <c r="V141" i="10"/>
  <c r="V143" i="10"/>
  <c r="V145" i="10"/>
  <c r="V149" i="10"/>
  <c r="V151" i="10"/>
  <c r="V152" i="10"/>
  <c r="V153" i="10"/>
  <c r="V154" i="10"/>
  <c r="V156" i="10"/>
  <c r="V157" i="10"/>
  <c r="V159" i="10"/>
  <c r="V160" i="10"/>
  <c r="V162" i="10"/>
  <c r="V163" i="10"/>
  <c r="V164" i="10"/>
  <c r="V165" i="10"/>
  <c r="V166" i="10"/>
  <c r="V167" i="10"/>
  <c r="V168" i="10"/>
  <c r="V169" i="10"/>
  <c r="V170" i="10"/>
  <c r="V172" i="10"/>
  <c r="V174" i="10"/>
  <c r="V176" i="10"/>
  <c r="V177" i="10"/>
  <c r="V179" i="10"/>
  <c r="V181" i="10"/>
  <c r="V182" i="10"/>
  <c r="V183" i="10"/>
  <c r="V184" i="10"/>
  <c r="V186" i="10"/>
  <c r="V189" i="10"/>
  <c r="V191" i="10"/>
  <c r="V193" i="10"/>
  <c r="V195" i="10"/>
  <c r="V197" i="10"/>
  <c r="V202" i="10"/>
  <c r="V203" i="10"/>
  <c r="V205" i="10"/>
  <c r="V207" i="10"/>
  <c r="V208" i="10"/>
  <c r="V209" i="10"/>
  <c r="V210" i="10"/>
  <c r="V211" i="10"/>
  <c r="V212" i="10"/>
  <c r="V213" i="10"/>
  <c r="V214" i="10"/>
  <c r="V215" i="10"/>
  <c r="V216" i="10"/>
  <c r="V217" i="10"/>
  <c r="V218" i="10"/>
  <c r="V219" i="10"/>
  <c r="V220" i="10"/>
  <c r="V221" i="10"/>
  <c r="V222" i="10"/>
  <c r="V223" i="10"/>
  <c r="V225" i="10"/>
  <c r="V226" i="10"/>
  <c r="V227" i="10"/>
  <c r="V229" i="10"/>
  <c r="V230" i="10"/>
  <c r="V231" i="10"/>
  <c r="V232" i="10"/>
  <c r="V233" i="10"/>
  <c r="V235" i="10"/>
  <c r="V236" i="10"/>
  <c r="V237" i="10"/>
  <c r="V238" i="10"/>
  <c r="V241" i="10"/>
  <c r="V242" i="10"/>
  <c r="V243" i="10"/>
  <c r="V245" i="10"/>
  <c r="V247" i="10"/>
  <c r="V248" i="10"/>
  <c r="V249" i="10"/>
  <c r="V250" i="10"/>
  <c r="V252" i="10"/>
  <c r="V253" i="10"/>
  <c r="V255" i="10"/>
  <c r="V257" i="10"/>
  <c r="V259" i="10"/>
  <c r="V260" i="10"/>
  <c r="V262" i="10"/>
  <c r="V265" i="10"/>
  <c r="V266" i="10"/>
  <c r="V267" i="10"/>
  <c r="V268" i="10"/>
  <c r="V269" i="10"/>
  <c r="V270" i="10"/>
  <c r="V271" i="10"/>
  <c r="V272" i="10"/>
  <c r="V273" i="10"/>
  <c r="V275" i="10"/>
  <c r="V276" i="10"/>
  <c r="V277" i="10"/>
  <c r="V278" i="10"/>
  <c r="V279" i="10"/>
  <c r="V280" i="10"/>
  <c r="V281" i="10"/>
  <c r="V283" i="10"/>
  <c r="V284" i="10"/>
  <c r="V285" i="10"/>
  <c r="V286" i="10"/>
  <c r="V287" i="10"/>
  <c r="V288" i="10"/>
  <c r="V289" i="10"/>
  <c r="V290" i="10"/>
  <c r="V291" i="10"/>
  <c r="V293" i="10"/>
  <c r="V295" i="10"/>
  <c r="V296" i="10"/>
  <c r="V297" i="10"/>
  <c r="V298" i="10"/>
  <c r="V299" i="10"/>
  <c r="V301" i="10"/>
  <c r="V302" i="10"/>
  <c r="V303" i="10"/>
  <c r="V304" i="10"/>
  <c r="V305" i="10"/>
  <c r="V306" i="10"/>
  <c r="V308" i="10"/>
  <c r="V310" i="10"/>
  <c r="V312" i="10"/>
  <c r="V314" i="10"/>
  <c r="V317" i="10"/>
  <c r="V318" i="10"/>
  <c r="V319" i="10"/>
  <c r="V320" i="10"/>
  <c r="V321" i="10"/>
  <c r="V322" i="10"/>
  <c r="V323" i="10"/>
  <c r="V324" i="10"/>
  <c r="V325" i="10"/>
  <c r="V326" i="10"/>
  <c r="V328" i="10"/>
  <c r="V329" i="10"/>
  <c r="V330" i="10"/>
  <c r="V331" i="10"/>
  <c r="V332" i="10"/>
  <c r="V334" i="10"/>
  <c r="V336" i="10"/>
  <c r="V337" i="10"/>
  <c r="V339" i="10"/>
  <c r="V341" i="10"/>
  <c r="V342" i="10"/>
  <c r="V343" i="10"/>
  <c r="V346" i="10"/>
  <c r="V348" i="10"/>
  <c r="V349" i="10"/>
  <c r="V350" i="10"/>
  <c r="V351" i="10"/>
  <c r="V352" i="10"/>
  <c r="V353" i="10"/>
  <c r="V354" i="10"/>
  <c r="V355" i="10"/>
  <c r="V356" i="10"/>
  <c r="V358" i="10"/>
  <c r="V359" i="10"/>
  <c r="V360" i="10"/>
  <c r="V361" i="10"/>
  <c r="V362" i="10"/>
  <c r="V363" i="10"/>
  <c r="V365" i="10"/>
  <c r="V366" i="10"/>
  <c r="V367" i="10"/>
  <c r="V369" i="10"/>
  <c r="V370" i="10"/>
  <c r="V371" i="10"/>
  <c r="V372" i="10"/>
  <c r="V375" i="10"/>
  <c r="V376" i="10"/>
  <c r="V377" i="10"/>
  <c r="V378" i="10"/>
  <c r="V379" i="10"/>
  <c r="V380" i="10"/>
  <c r="V381" i="10"/>
  <c r="V383" i="10"/>
  <c r="V385" i="10"/>
  <c r="V387" i="10"/>
  <c r="V388" i="10"/>
  <c r="V389" i="10"/>
  <c r="V391" i="10"/>
  <c r="V392" i="10"/>
  <c r="V394" i="10"/>
  <c r="V395" i="10"/>
  <c r="V397" i="10"/>
  <c r="V399" i="10"/>
  <c r="V401" i="10"/>
  <c r="V403" i="10"/>
  <c r="V405" i="10"/>
  <c r="V408" i="10"/>
  <c r="V410" i="10"/>
  <c r="V411" i="10"/>
  <c r="V413" i="10"/>
  <c r="V414" i="10"/>
  <c r="V415" i="10"/>
  <c r="V416" i="10"/>
  <c r="V417" i="10"/>
  <c r="V418" i="10"/>
  <c r="V419" i="10"/>
  <c r="V420" i="10"/>
  <c r="V421" i="10"/>
  <c r="V422" i="10"/>
  <c r="V423" i="10"/>
  <c r="V425" i="10"/>
  <c r="V427" i="10"/>
  <c r="V428" i="10"/>
  <c r="V429" i="10"/>
  <c r="V431" i="10"/>
  <c r="V433" i="10"/>
  <c r="V434" i="10"/>
  <c r="V435" i="10"/>
  <c r="V439" i="10"/>
  <c r="V440" i="10"/>
  <c r="V441" i="10"/>
  <c r="V444" i="10"/>
  <c r="V445" i="10"/>
  <c r="V446" i="10"/>
  <c r="V447" i="10"/>
  <c r="V450" i="10"/>
  <c r="V452" i="10"/>
  <c r="V453" i="10"/>
  <c r="V455" i="10"/>
  <c r="V457" i="10"/>
  <c r="V458" i="10"/>
  <c r="V460" i="10"/>
  <c r="V461" i="10"/>
  <c r="V462" i="10"/>
  <c r="V464" i="10"/>
  <c r="V467" i="10"/>
  <c r="V468" i="10"/>
  <c r="V469" i="10"/>
  <c r="V470" i="10"/>
  <c r="V471" i="10"/>
  <c r="V473" i="10"/>
  <c r="V474" i="10"/>
  <c r="V476" i="10"/>
  <c r="V477" i="10"/>
  <c r="V478" i="10"/>
  <c r="V479" i="10"/>
  <c r="V481" i="10"/>
  <c r="V483" i="10"/>
  <c r="V484" i="10"/>
  <c r="V485" i="10"/>
  <c r="V486" i="10"/>
  <c r="V487" i="10"/>
  <c r="V488" i="10"/>
  <c r="V489" i="10"/>
  <c r="V490" i="10"/>
  <c r="V492" i="10"/>
  <c r="V493" i="10"/>
  <c r="V494" i="10"/>
  <c r="V495" i="10"/>
  <c r="V497" i="10"/>
  <c r="V498" i="10"/>
  <c r="V502" i="10"/>
  <c r="V503" i="10"/>
  <c r="V504" i="10"/>
  <c r="V506" i="10"/>
  <c r="V507" i="10"/>
  <c r="V508" i="10"/>
  <c r="V509" i="10"/>
  <c r="V510" i="10"/>
  <c r="V512" i="10"/>
  <c r="V513" i="10"/>
  <c r="V515" i="10"/>
  <c r="V517" i="10"/>
  <c r="V518" i="10"/>
  <c r="V519" i="10"/>
  <c r="V520" i="10"/>
  <c r="V522" i="10"/>
  <c r="V525" i="10"/>
  <c r="V529" i="10"/>
  <c r="V530" i="10"/>
  <c r="V532" i="10"/>
  <c r="V533" i="10"/>
  <c r="V536" i="10"/>
  <c r="V537" i="10"/>
  <c r="V538" i="10"/>
  <c r="V539" i="10"/>
  <c r="V541" i="10"/>
  <c r="V543" i="10"/>
  <c r="V546" i="10"/>
  <c r="V548" i="10"/>
  <c r="V549" i="10"/>
  <c r="V551" i="10"/>
  <c r="V552" i="10"/>
  <c r="V553" i="10"/>
  <c r="V556" i="10"/>
  <c r="V558" i="10"/>
  <c r="V561" i="10"/>
  <c r="V562" i="10"/>
  <c r="V565" i="10"/>
  <c r="V569" i="10"/>
  <c r="V572" i="10"/>
  <c r="V574" i="10"/>
  <c r="V575" i="10"/>
  <c r="V578" i="10"/>
  <c r="V583" i="10"/>
  <c r="V584" i="10"/>
  <c r="V585" i="10"/>
  <c r="V586" i="10"/>
  <c r="V588" i="10"/>
  <c r="V591" i="10"/>
  <c r="V592" i="10"/>
  <c r="V595" i="10"/>
  <c r="V598" i="10"/>
  <c r="V599" i="10"/>
  <c r="V601" i="10"/>
  <c r="V604" i="10"/>
  <c r="V607" i="10"/>
  <c r="V608" i="10"/>
  <c r="V609" i="10"/>
  <c r="V610" i="10"/>
  <c r="V611" i="10"/>
  <c r="V612" i="10"/>
  <c r="V614" i="10"/>
  <c r="V616" i="10"/>
  <c r="V617" i="10"/>
  <c r="V619" i="10"/>
  <c r="V620" i="10"/>
  <c r="V622" i="10"/>
  <c r="V625" i="10"/>
  <c r="V626" i="10"/>
  <c r="V629" i="10"/>
  <c r="V630" i="10"/>
  <c r="V631" i="10"/>
  <c r="V633" i="10"/>
  <c r="V635" i="10"/>
  <c r="V636" i="10"/>
  <c r="V637" i="10"/>
  <c r="V638" i="10"/>
  <c r="V642" i="10"/>
  <c r="V643" i="10"/>
  <c r="V644" i="10"/>
  <c r="V646" i="10"/>
  <c r="V649" i="10"/>
  <c r="V650" i="10"/>
  <c r="V651" i="10"/>
  <c r="V652" i="10"/>
  <c r="V653" i="10"/>
  <c r="V654" i="10"/>
  <c r="V657" i="10"/>
  <c r="V659" i="10"/>
  <c r="V660" i="10"/>
  <c r="V662" i="10"/>
  <c r="V664" i="10"/>
  <c r="V666" i="10"/>
  <c r="V667" i="10"/>
  <c r="V670" i="10"/>
  <c r="V671" i="10"/>
  <c r="V672" i="10"/>
  <c r="V673" i="10"/>
  <c r="V674" i="10"/>
  <c r="V676" i="10"/>
  <c r="V678" i="10"/>
  <c r="V679" i="10"/>
  <c r="V681" i="10"/>
  <c r="V683" i="10"/>
  <c r="V684" i="10"/>
  <c r="V685" i="10"/>
  <c r="V686" i="10"/>
  <c r="V687" i="10"/>
  <c r="V688" i="10"/>
  <c r="V689" i="10"/>
  <c r="V690" i="10"/>
  <c r="V691" i="10"/>
  <c r="V693" i="10"/>
  <c r="V695" i="10"/>
  <c r="V697" i="10"/>
  <c r="V699" i="10"/>
  <c r="V701" i="10"/>
  <c r="V703" i="10"/>
  <c r="V704" i="10"/>
  <c r="V707" i="10"/>
  <c r="V708" i="10"/>
  <c r="V709" i="10"/>
  <c r="V710" i="10"/>
  <c r="V711" i="10"/>
  <c r="V714" i="10"/>
  <c r="V715" i="10"/>
  <c r="V717" i="10"/>
  <c r="V718" i="10"/>
  <c r="V719" i="10"/>
  <c r="V723" i="10"/>
  <c r="V726" i="10"/>
  <c r="V728" i="10"/>
  <c r="V731" i="10"/>
  <c r="V733" i="10"/>
  <c r="V735" i="10"/>
  <c r="V736" i="10"/>
  <c r="V738" i="10"/>
  <c r="V740" i="10"/>
  <c r="V741" i="10"/>
  <c r="V742" i="10"/>
  <c r="V743" i="10"/>
  <c r="V746" i="10"/>
  <c r="V747" i="10"/>
  <c r="V748" i="10"/>
  <c r="V749" i="10"/>
  <c r="V750" i="10"/>
  <c r="V751" i="10"/>
  <c r="V753" i="10"/>
  <c r="V755" i="10"/>
  <c r="V759" i="10"/>
  <c r="V760" i="10"/>
  <c r="V761" i="10"/>
  <c r="V763" i="10"/>
  <c r="V764" i="10"/>
  <c r="V765" i="10"/>
  <c r="V766" i="10"/>
  <c r="V767" i="10"/>
  <c r="V768" i="10"/>
  <c r="V769" i="10"/>
  <c r="V771" i="10"/>
  <c r="V773" i="10"/>
  <c r="V775" i="10"/>
  <c r="V777" i="10"/>
  <c r="V779" i="10"/>
  <c r="V780" i="10"/>
  <c r="V781" i="10"/>
  <c r="V782" i="10"/>
  <c r="V783" i="10"/>
  <c r="V785" i="10"/>
  <c r="V786" i="10"/>
  <c r="V787" i="10"/>
  <c r="V790" i="10"/>
  <c r="V791" i="10"/>
  <c r="V792" i="10"/>
  <c r="V793" i="10"/>
  <c r="V794" i="10"/>
  <c r="V795" i="10"/>
  <c r="V798" i="10"/>
  <c r="V799" i="10"/>
  <c r="V800" i="10"/>
  <c r="V801" i="10"/>
  <c r="V803" i="10"/>
  <c r="V804" i="10"/>
  <c r="V805" i="10"/>
  <c r="V807" i="10"/>
  <c r="V808" i="10"/>
  <c r="V809" i="10"/>
  <c r="V810" i="10"/>
  <c r="V811" i="10"/>
  <c r="V812" i="10"/>
  <c r="V813" i="10"/>
  <c r="V815" i="10"/>
  <c r="V818" i="10"/>
  <c r="V819" i="10"/>
  <c r="V820" i="10"/>
  <c r="V821" i="10"/>
  <c r="V822" i="10"/>
  <c r="V823" i="10"/>
  <c r="V824" i="10"/>
  <c r="V825" i="10"/>
  <c r="V826" i="10"/>
  <c r="V828" i="10"/>
  <c r="V829" i="10"/>
  <c r="V831" i="10"/>
  <c r="V833" i="10"/>
  <c r="V835" i="10"/>
  <c r="V837" i="10"/>
  <c r="V840" i="10"/>
  <c r="V841" i="10"/>
  <c r="V843" i="10"/>
  <c r="V845" i="10"/>
  <c r="V846" i="10"/>
  <c r="V848" i="10"/>
  <c r="V849" i="10"/>
  <c r="V850" i="10"/>
  <c r="V851" i="10"/>
  <c r="V852" i="10"/>
  <c r="V853" i="10"/>
  <c r="V854" i="10"/>
  <c r="V856" i="10"/>
  <c r="V858" i="10"/>
  <c r="V860" i="10"/>
  <c r="V862" i="10"/>
  <c r="V864" i="10"/>
  <c r="V865" i="10"/>
  <c r="V866" i="10"/>
  <c r="V867" i="10"/>
  <c r="V869" i="10"/>
  <c r="V871" i="10"/>
  <c r="V872" i="10"/>
  <c r="V873" i="10"/>
  <c r="V874" i="10"/>
  <c r="V875" i="10"/>
  <c r="V876" i="10"/>
  <c r="V878" i="10"/>
  <c r="V880" i="10"/>
  <c r="V881" i="10"/>
  <c r="V883" i="10"/>
  <c r="V885" i="10"/>
  <c r="V886" i="10"/>
  <c r="V888" i="10"/>
  <c r="V889" i="10"/>
  <c r="V890" i="10"/>
  <c r="V891" i="10"/>
  <c r="V892" i="10"/>
  <c r="V893" i="10"/>
  <c r="V896" i="10"/>
  <c r="V897" i="10"/>
  <c r="V898" i="10"/>
  <c r="V899" i="10"/>
  <c r="V900" i="10"/>
  <c r="V901" i="10"/>
  <c r="V902" i="10"/>
  <c r="V905" i="10"/>
  <c r="V906" i="10"/>
  <c r="V907" i="10"/>
  <c r="V909" i="10"/>
  <c r="V910" i="10"/>
  <c r="V911" i="10"/>
  <c r="V913" i="10"/>
  <c r="V915" i="10"/>
  <c r="V916" i="10"/>
  <c r="V917" i="10"/>
  <c r="V918" i="10"/>
  <c r="V919" i="10"/>
  <c r="V920" i="10"/>
  <c r="V921" i="10"/>
  <c r="V922" i="10"/>
  <c r="V924" i="10"/>
  <c r="V925" i="10"/>
  <c r="V926" i="10"/>
  <c r="V927" i="10"/>
  <c r="V928" i="10"/>
  <c r="V929" i="10"/>
  <c r="V931" i="10"/>
  <c r="V933" i="10"/>
  <c r="V936" i="10"/>
  <c r="V938" i="10"/>
  <c r="V940" i="10"/>
  <c r="V941" i="10"/>
  <c r="V942" i="10"/>
  <c r="V947" i="10"/>
  <c r="V950" i="10"/>
  <c r="V952" i="10"/>
  <c r="V953" i="10"/>
  <c r="V955" i="10"/>
  <c r="V956" i="10"/>
  <c r="V957" i="10"/>
  <c r="V959" i="10"/>
  <c r="V960" i="10"/>
  <c r="V962" i="10"/>
  <c r="V964" i="10"/>
  <c r="V966" i="10"/>
  <c r="V969" i="10"/>
  <c r="V970" i="10"/>
  <c r="V971" i="10"/>
  <c r="V973" i="10"/>
  <c r="V978" i="10"/>
  <c r="V980" i="10"/>
  <c r="V981" i="10"/>
  <c r="V982" i="10"/>
  <c r="V984" i="10"/>
  <c r="V986" i="10"/>
  <c r="V987" i="10"/>
  <c r="V988" i="10"/>
  <c r="V990" i="10"/>
  <c r="V991" i="10"/>
  <c r="V992" i="10"/>
  <c r="V993" i="10"/>
  <c r="V995" i="10"/>
  <c r="V996" i="10"/>
  <c r="V997" i="10"/>
  <c r="V998" i="10"/>
  <c r="V1001" i="10"/>
  <c r="V1002" i="10"/>
  <c r="V1003" i="10"/>
  <c r="V1004" i="10"/>
  <c r="V1005" i="10"/>
  <c r="V1006" i="10"/>
  <c r="V1008" i="10"/>
  <c r="V1010" i="10"/>
  <c r="V1012" i="10"/>
  <c r="V1013" i="10"/>
  <c r="V1014" i="10"/>
  <c r="V1016" i="10"/>
  <c r="V1017" i="10"/>
  <c r="V1019" i="10"/>
  <c r="V1020" i="10"/>
  <c r="V1021" i="10"/>
  <c r="V1022" i="10"/>
  <c r="V1023" i="10"/>
  <c r="V1024" i="10"/>
  <c r="V1025" i="10"/>
  <c r="V1026" i="10"/>
  <c r="V1027" i="10"/>
  <c r="V1028" i="10"/>
  <c r="V1030" i="10"/>
  <c r="V1031" i="10"/>
  <c r="V1034" i="10"/>
  <c r="V1036" i="10"/>
  <c r="V1037" i="10"/>
  <c r="V1038" i="10"/>
  <c r="V1039" i="10"/>
  <c r="V1041" i="10"/>
  <c r="V1043" i="10"/>
  <c r="V1044" i="10"/>
  <c r="V1046" i="10"/>
  <c r="V1047" i="10"/>
  <c r="V1049" i="10"/>
  <c r="V1050" i="10"/>
  <c r="V1051" i="10"/>
  <c r="V1052" i="10"/>
  <c r="V1053" i="10"/>
  <c r="V1054" i="10"/>
  <c r="V1055" i="10"/>
  <c r="V1057" i="10"/>
  <c r="V1059" i="10"/>
  <c r="V1060" i="10"/>
  <c r="V1061" i="10"/>
  <c r="V1062" i="10"/>
  <c r="V1065" i="10"/>
  <c r="V1067" i="10"/>
  <c r="V1068" i="10"/>
  <c r="V1069" i="10"/>
  <c r="V1070" i="10"/>
  <c r="V1071" i="10"/>
  <c r="V1073" i="10"/>
  <c r="V1075" i="10"/>
  <c r="V1078" i="10"/>
  <c r="V1079" i="10"/>
  <c r="V1082" i="10"/>
  <c r="V1083" i="10"/>
  <c r="V1084" i="10"/>
  <c r="V1086" i="10"/>
  <c r="V1089" i="10"/>
  <c r="V1090" i="10"/>
  <c r="V1091" i="10"/>
  <c r="V1092" i="10"/>
  <c r="V1094" i="10"/>
  <c r="V1095" i="10"/>
  <c r="V1097" i="10"/>
  <c r="V1100" i="10"/>
  <c r="V1101" i="10"/>
  <c r="V1102" i="10"/>
  <c r="V1104" i="10"/>
  <c r="V1106" i="10"/>
  <c r="V1107" i="10"/>
  <c r="V1108" i="10"/>
  <c r="V1109" i="10"/>
  <c r="V1110" i="10"/>
  <c r="V1113" i="10"/>
  <c r="V1115" i="10"/>
  <c r="V1118" i="10"/>
  <c r="V1119" i="10"/>
  <c r="V1120" i="10"/>
  <c r="V1121" i="10"/>
  <c r="V1122" i="10"/>
  <c r="V1123" i="10"/>
  <c r="V1124" i="10"/>
  <c r="V1125" i="10"/>
  <c r="V1128" i="10"/>
  <c r="V1129" i="10"/>
  <c r="V1130" i="10"/>
  <c r="V1131" i="10"/>
  <c r="V1133" i="10"/>
  <c r="V1134" i="10"/>
  <c r="V1135" i="10"/>
  <c r="V1136" i="10"/>
  <c r="V1137" i="10"/>
  <c r="V1138" i="10"/>
  <c r="V1139" i="10"/>
  <c r="V1140" i="10"/>
  <c r="V1141" i="10"/>
  <c r="V1142" i="10"/>
  <c r="V1143" i="10"/>
  <c r="V1144" i="10"/>
  <c r="V1145" i="10"/>
  <c r="V1146" i="10"/>
  <c r="V1147" i="10"/>
  <c r="V1148" i="10"/>
  <c r="V1149" i="10"/>
  <c r="V1150" i="10"/>
  <c r="V1151" i="10"/>
  <c r="V1152" i="10"/>
  <c r="V1153" i="10"/>
  <c r="V1154" i="10"/>
  <c r="V1155" i="10"/>
  <c r="V1156" i="10"/>
  <c r="V1157" i="10"/>
  <c r="V1158" i="10"/>
  <c r="V1159" i="10"/>
  <c r="V1160" i="10"/>
  <c r="V1161" i="10"/>
  <c r="V1162" i="10"/>
  <c r="V1163" i="10"/>
  <c r="V1164" i="10"/>
  <c r="V1165" i="10"/>
  <c r="V1166" i="10"/>
  <c r="V1167" i="10"/>
  <c r="V1169" i="10"/>
  <c r="V1171" i="10"/>
  <c r="V1172" i="10"/>
  <c r="V1173" i="10"/>
  <c r="V1174" i="10"/>
  <c r="V1175" i="10"/>
  <c r="V1176" i="10"/>
  <c r="V1177" i="10"/>
  <c r="V1179" i="10"/>
  <c r="V1180" i="10"/>
  <c r="V1181" i="10"/>
  <c r="V1183" i="10"/>
  <c r="V1184" i="10"/>
  <c r="V1185" i="10"/>
  <c r="V1186" i="10"/>
  <c r="V1188" i="10"/>
  <c r="V1189" i="10"/>
  <c r="V1190" i="10"/>
  <c r="V1192" i="10"/>
  <c r="V1195" i="10"/>
  <c r="V1197" i="10"/>
  <c r="V1198" i="10"/>
  <c r="V1199" i="10"/>
  <c r="V1201" i="10"/>
  <c r="V1202" i="10"/>
  <c r="V1204" i="10"/>
  <c r="V1205" i="10"/>
  <c r="V6" i="10"/>
  <c r="S7" i="10"/>
  <c r="S8" i="10"/>
  <c r="S9" i="10"/>
  <c r="S10" i="10"/>
  <c r="S11" i="10"/>
  <c r="S12" i="10"/>
  <c r="S13" i="10"/>
  <c r="S14" i="10"/>
  <c r="S15" i="10"/>
  <c r="S16" i="10"/>
  <c r="S17" i="10"/>
  <c r="S18" i="10"/>
  <c r="S19" i="10"/>
  <c r="S20" i="10"/>
  <c r="S21" i="10"/>
  <c r="S22" i="10"/>
  <c r="S23" i="10"/>
  <c r="S24" i="10"/>
  <c r="S25" i="10"/>
  <c r="S26" i="10"/>
  <c r="S27" i="10"/>
  <c r="S28" i="10"/>
  <c r="S29" i="10"/>
  <c r="S30" i="10"/>
  <c r="S31" i="10"/>
  <c r="S32" i="10"/>
  <c r="S33" i="10"/>
  <c r="S34" i="10"/>
  <c r="S35" i="10"/>
  <c r="S36" i="10"/>
  <c r="S37" i="10"/>
  <c r="S38" i="10"/>
  <c r="S39" i="10"/>
  <c r="S40" i="10"/>
  <c r="S41" i="10"/>
  <c r="S42" i="10"/>
  <c r="S43" i="10"/>
  <c r="S44" i="10"/>
  <c r="S45" i="10"/>
  <c r="S46" i="10"/>
  <c r="S47" i="10"/>
  <c r="S48" i="10"/>
  <c r="S49" i="10"/>
  <c r="S50" i="10"/>
  <c r="S51" i="10"/>
  <c r="S52" i="10"/>
  <c r="S53" i="10"/>
  <c r="S54" i="10"/>
  <c r="S55" i="10"/>
  <c r="S56" i="10"/>
  <c r="S57" i="10"/>
  <c r="S58" i="10"/>
  <c r="S59" i="10"/>
  <c r="S60" i="10"/>
  <c r="S61" i="10"/>
  <c r="S62" i="10"/>
  <c r="S63" i="10"/>
  <c r="S64" i="10"/>
  <c r="S65" i="10"/>
  <c r="S66" i="10"/>
  <c r="S67" i="10"/>
  <c r="S68" i="10"/>
  <c r="S69" i="10"/>
  <c r="S70" i="10"/>
  <c r="S71" i="10"/>
  <c r="S72" i="10"/>
  <c r="S73" i="10"/>
  <c r="S74" i="10"/>
  <c r="S75" i="10"/>
  <c r="S76" i="10"/>
  <c r="S77" i="10"/>
  <c r="S78" i="10"/>
  <c r="S79" i="10"/>
  <c r="S80" i="10"/>
  <c r="S81" i="10"/>
  <c r="S82" i="10"/>
  <c r="S83" i="10"/>
  <c r="S84" i="10"/>
  <c r="S85" i="10"/>
  <c r="S86" i="10"/>
  <c r="S87" i="10"/>
  <c r="S88" i="10"/>
  <c r="S89" i="10"/>
  <c r="S90" i="10"/>
  <c r="S91" i="10"/>
  <c r="S92" i="10"/>
  <c r="S93" i="10"/>
  <c r="S94" i="10"/>
  <c r="S95" i="10"/>
  <c r="S96" i="10"/>
  <c r="S97" i="10"/>
  <c r="S98" i="10"/>
  <c r="S99" i="10"/>
  <c r="S100" i="10"/>
  <c r="S101" i="10"/>
  <c r="S102" i="10"/>
  <c r="S103" i="10"/>
  <c r="S104" i="10"/>
  <c r="S105" i="10"/>
  <c r="S106" i="10"/>
  <c r="S107" i="10"/>
  <c r="S108" i="10"/>
  <c r="S109" i="10"/>
  <c r="S110" i="10"/>
  <c r="S111" i="10"/>
  <c r="S112" i="10"/>
  <c r="S113" i="10"/>
  <c r="S114" i="10"/>
  <c r="S115" i="10"/>
  <c r="S116" i="10"/>
  <c r="S117" i="10"/>
  <c r="S118" i="10"/>
  <c r="S119" i="10"/>
  <c r="S120" i="10"/>
  <c r="S121" i="10"/>
  <c r="S122" i="10"/>
  <c r="S123" i="10"/>
  <c r="S124" i="10"/>
  <c r="S125" i="10"/>
  <c r="S126" i="10"/>
  <c r="S127" i="10"/>
  <c r="S129" i="10"/>
  <c r="S130" i="10"/>
  <c r="S131" i="10"/>
  <c r="S132" i="10"/>
  <c r="S133" i="10"/>
  <c r="S134" i="10"/>
  <c r="S135" i="10"/>
  <c r="S136" i="10"/>
  <c r="S137" i="10"/>
  <c r="S138" i="10"/>
  <c r="S139" i="10"/>
  <c r="S140" i="10"/>
  <c r="S141" i="10"/>
  <c r="S142" i="10"/>
  <c r="S143" i="10"/>
  <c r="S144" i="10"/>
  <c r="S145" i="10"/>
  <c r="S146" i="10"/>
  <c r="S147" i="10"/>
  <c r="S148" i="10"/>
  <c r="S149" i="10"/>
  <c r="S150" i="10"/>
  <c r="S151" i="10"/>
  <c r="S152" i="10"/>
  <c r="S153" i="10"/>
  <c r="S154" i="10"/>
  <c r="S155" i="10"/>
  <c r="S156" i="10"/>
  <c r="S157" i="10"/>
  <c r="S158" i="10"/>
  <c r="S159" i="10"/>
  <c r="S160" i="10"/>
  <c r="S161" i="10"/>
  <c r="S162" i="10"/>
  <c r="S163" i="10"/>
  <c r="S164" i="10"/>
  <c r="S165" i="10"/>
  <c r="S166" i="10"/>
  <c r="S167" i="10"/>
  <c r="S168" i="10"/>
  <c r="S169" i="10"/>
  <c r="S170" i="10"/>
  <c r="S171" i="10"/>
  <c r="S172" i="10"/>
  <c r="S173" i="10"/>
  <c r="S174" i="10"/>
  <c r="S175" i="10"/>
  <c r="S176" i="10"/>
  <c r="S177" i="10"/>
  <c r="S178" i="10"/>
  <c r="S179" i="10"/>
  <c r="S180" i="10"/>
  <c r="S181" i="10"/>
  <c r="S182" i="10"/>
  <c r="S183" i="10"/>
  <c r="S184" i="10"/>
  <c r="S185" i="10"/>
  <c r="S186" i="10"/>
  <c r="S187" i="10"/>
  <c r="S188" i="10"/>
  <c r="S189" i="10"/>
  <c r="S190" i="10"/>
  <c r="S191" i="10"/>
  <c r="S192" i="10"/>
  <c r="S193" i="10"/>
  <c r="S194" i="10"/>
  <c r="S195" i="10"/>
  <c r="S196" i="10"/>
  <c r="S197" i="10"/>
  <c r="S198" i="10"/>
  <c r="S199" i="10"/>
  <c r="S200" i="10"/>
  <c r="S201" i="10"/>
  <c r="S202" i="10"/>
  <c r="S203" i="10"/>
  <c r="S204" i="10"/>
  <c r="S205" i="10"/>
  <c r="S206" i="10"/>
  <c r="S207" i="10"/>
  <c r="S208" i="10"/>
  <c r="S209" i="10"/>
  <c r="S210" i="10"/>
  <c r="S211" i="10"/>
  <c r="S212" i="10"/>
  <c r="S213" i="10"/>
  <c r="S214" i="10"/>
  <c r="S215" i="10"/>
  <c r="S216" i="10"/>
  <c r="S217" i="10"/>
  <c r="S218" i="10"/>
  <c r="S219" i="10"/>
  <c r="S220" i="10"/>
  <c r="S221" i="10"/>
  <c r="S222" i="10"/>
  <c r="S223" i="10"/>
  <c r="S224" i="10"/>
  <c r="S225" i="10"/>
  <c r="S226" i="10"/>
  <c r="S227" i="10"/>
  <c r="S228" i="10"/>
  <c r="S229" i="10"/>
  <c r="S230" i="10"/>
  <c r="S231" i="10"/>
  <c r="S232" i="10"/>
  <c r="S233" i="10"/>
  <c r="S234" i="10"/>
  <c r="S235" i="10"/>
  <c r="S236" i="10"/>
  <c r="S237" i="10"/>
  <c r="S238" i="10"/>
  <c r="S239" i="10"/>
  <c r="S240" i="10"/>
  <c r="S241" i="10"/>
  <c r="S242" i="10"/>
  <c r="S243" i="10"/>
  <c r="S244" i="10"/>
  <c r="S245" i="10"/>
  <c r="S246" i="10"/>
  <c r="S247" i="10"/>
  <c r="S248" i="10"/>
  <c r="S249" i="10"/>
  <c r="S250" i="10"/>
  <c r="S251" i="10"/>
  <c r="S252" i="10"/>
  <c r="S253" i="10"/>
  <c r="S254" i="10"/>
  <c r="S255" i="10"/>
  <c r="S256" i="10"/>
  <c r="S257" i="10"/>
  <c r="S258" i="10"/>
  <c r="S259" i="10"/>
  <c r="S260" i="10"/>
  <c r="S261" i="10"/>
  <c r="S262" i="10"/>
  <c r="S263" i="10"/>
  <c r="S264" i="10"/>
  <c r="S265" i="10"/>
  <c r="S266" i="10"/>
  <c r="S267" i="10"/>
  <c r="S268" i="10"/>
  <c r="S269" i="10"/>
  <c r="S270" i="10"/>
  <c r="S271" i="10"/>
  <c r="S272" i="10"/>
  <c r="S273" i="10"/>
  <c r="S274" i="10"/>
  <c r="S275" i="10"/>
  <c r="S276" i="10"/>
  <c r="S277" i="10"/>
  <c r="S278" i="10"/>
  <c r="S279" i="10"/>
  <c r="S280" i="10"/>
  <c r="S281" i="10"/>
  <c r="S282" i="10"/>
  <c r="S283" i="10"/>
  <c r="S284" i="10"/>
  <c r="S285" i="10"/>
  <c r="S286" i="10"/>
  <c r="S287" i="10"/>
  <c r="S288" i="10"/>
  <c r="S289" i="10"/>
  <c r="S290" i="10"/>
  <c r="S291" i="10"/>
  <c r="S292" i="10"/>
  <c r="S293" i="10"/>
  <c r="S294" i="10"/>
  <c r="S295" i="10"/>
  <c r="S296" i="10"/>
  <c r="S297" i="10"/>
  <c r="S298" i="10"/>
  <c r="S299" i="10"/>
  <c r="S300" i="10"/>
  <c r="S301" i="10"/>
  <c r="S302" i="10"/>
  <c r="S303" i="10"/>
  <c r="S304" i="10"/>
  <c r="S305" i="10"/>
  <c r="S306" i="10"/>
  <c r="S307" i="10"/>
  <c r="S308" i="10"/>
  <c r="S309" i="10"/>
  <c r="S310" i="10"/>
  <c r="S311" i="10"/>
  <c r="S312" i="10"/>
  <c r="S313" i="10"/>
  <c r="S314" i="10"/>
  <c r="S315" i="10"/>
  <c r="S316" i="10"/>
  <c r="S317" i="10"/>
  <c r="S318" i="10"/>
  <c r="S319" i="10"/>
  <c r="S320" i="10"/>
  <c r="S321" i="10"/>
  <c r="S322" i="10"/>
  <c r="S323" i="10"/>
  <c r="S324" i="10"/>
  <c r="S325" i="10"/>
  <c r="S326" i="10"/>
  <c r="S327" i="10"/>
  <c r="S328" i="10"/>
  <c r="S329" i="10"/>
  <c r="S330" i="10"/>
  <c r="S331" i="10"/>
  <c r="S332" i="10"/>
  <c r="S333" i="10"/>
  <c r="S334" i="10"/>
  <c r="S335" i="10"/>
  <c r="S336" i="10"/>
  <c r="S337" i="10"/>
  <c r="S338" i="10"/>
  <c r="S339" i="10"/>
  <c r="S340" i="10"/>
  <c r="S341" i="10"/>
  <c r="S342" i="10"/>
  <c r="S343" i="10"/>
  <c r="S344" i="10"/>
  <c r="S345" i="10"/>
  <c r="S346" i="10"/>
  <c r="S347" i="10"/>
  <c r="S348" i="10"/>
  <c r="S349" i="10"/>
  <c r="S350" i="10"/>
  <c r="S351" i="10"/>
  <c r="S352" i="10"/>
  <c r="S353" i="10"/>
  <c r="S354" i="10"/>
  <c r="S355" i="10"/>
  <c r="S356" i="10"/>
  <c r="S357" i="10"/>
  <c r="S358" i="10"/>
  <c r="S359" i="10"/>
  <c r="S360" i="10"/>
  <c r="S361" i="10"/>
  <c r="S362" i="10"/>
  <c r="S363" i="10"/>
  <c r="S364" i="10"/>
  <c r="S365" i="10"/>
  <c r="S366" i="10"/>
  <c r="S367" i="10"/>
  <c r="S368" i="10"/>
  <c r="S369" i="10"/>
  <c r="S370" i="10"/>
  <c r="S371" i="10"/>
  <c r="S372" i="10"/>
  <c r="S373" i="10"/>
  <c r="S374" i="10"/>
  <c r="S375" i="10"/>
  <c r="S376" i="10"/>
  <c r="S377" i="10"/>
  <c r="S378" i="10"/>
  <c r="S379" i="10"/>
  <c r="S380" i="10"/>
  <c r="S381" i="10"/>
  <c r="S382" i="10"/>
  <c r="S383" i="10"/>
  <c r="S384" i="10"/>
  <c r="S385" i="10"/>
  <c r="S386" i="10"/>
  <c r="S387" i="10"/>
  <c r="S388" i="10"/>
  <c r="S389" i="10"/>
  <c r="S390" i="10"/>
  <c r="S391" i="10"/>
  <c r="S392" i="10"/>
  <c r="S393" i="10"/>
  <c r="S394" i="10"/>
  <c r="S395" i="10"/>
  <c r="S396" i="10"/>
  <c r="S397" i="10"/>
  <c r="S398" i="10"/>
  <c r="S399" i="10"/>
  <c r="S400" i="10"/>
  <c r="S401" i="10"/>
  <c r="S402" i="10"/>
  <c r="S403" i="10"/>
  <c r="S404" i="10"/>
  <c r="S405" i="10"/>
  <c r="S406" i="10"/>
  <c r="S407" i="10"/>
  <c r="S408" i="10"/>
  <c r="S409" i="10"/>
  <c r="S410" i="10"/>
  <c r="S411" i="10"/>
  <c r="S412" i="10"/>
  <c r="S413" i="10"/>
  <c r="S414" i="10"/>
  <c r="S415" i="10"/>
  <c r="S416" i="10"/>
  <c r="S417" i="10"/>
  <c r="S418" i="10"/>
  <c r="S419" i="10"/>
  <c r="S420" i="10"/>
  <c r="S421" i="10"/>
  <c r="S422" i="10"/>
  <c r="S423" i="10"/>
  <c r="S424" i="10"/>
  <c r="S425" i="10"/>
  <c r="S426" i="10"/>
  <c r="S427" i="10"/>
  <c r="S428" i="10"/>
  <c r="S429" i="10"/>
  <c r="S430" i="10"/>
  <c r="S431" i="10"/>
  <c r="S432" i="10"/>
  <c r="S433" i="10"/>
  <c r="S434" i="10"/>
  <c r="S435" i="10"/>
  <c r="S436" i="10"/>
  <c r="S437" i="10"/>
  <c r="S438" i="10"/>
  <c r="S439" i="10"/>
  <c r="S440" i="10"/>
  <c r="S441" i="10"/>
  <c r="S442" i="10"/>
  <c r="S443" i="10"/>
  <c r="S444" i="10"/>
  <c r="S445" i="10"/>
  <c r="S446" i="10"/>
  <c r="S447" i="10"/>
  <c r="S448" i="10"/>
  <c r="S449" i="10"/>
  <c r="S450" i="10"/>
  <c r="S451" i="10"/>
  <c r="S452" i="10"/>
  <c r="S453" i="10"/>
  <c r="S454" i="10"/>
  <c r="S455" i="10"/>
  <c r="S456" i="10"/>
  <c r="S457" i="10"/>
  <c r="S458" i="10"/>
  <c r="S459" i="10"/>
  <c r="S460" i="10"/>
  <c r="S461" i="10"/>
  <c r="S462" i="10"/>
  <c r="S463" i="10"/>
  <c r="S464" i="10"/>
  <c r="S465" i="10"/>
  <c r="S466" i="10"/>
  <c r="S467" i="10"/>
  <c r="S468" i="10"/>
  <c r="S469" i="10"/>
  <c r="S470" i="10"/>
  <c r="S471" i="10"/>
  <c r="S472" i="10"/>
  <c r="S473" i="10"/>
  <c r="S474" i="10"/>
  <c r="S475" i="10"/>
  <c r="S476" i="10"/>
  <c r="S477" i="10"/>
  <c r="S478" i="10"/>
  <c r="S479" i="10"/>
  <c r="S480" i="10"/>
  <c r="S481" i="10"/>
  <c r="S482" i="10"/>
  <c r="S483" i="10"/>
  <c r="S484" i="10"/>
  <c r="S485" i="10"/>
  <c r="S486" i="10"/>
  <c r="S487" i="10"/>
  <c r="S488" i="10"/>
  <c r="S489" i="10"/>
  <c r="S490" i="10"/>
  <c r="S491" i="10"/>
  <c r="S492" i="10"/>
  <c r="S493" i="10"/>
  <c r="S494" i="10"/>
  <c r="S495" i="10"/>
  <c r="S496" i="10"/>
  <c r="S497" i="10"/>
  <c r="S498" i="10"/>
  <c r="S499" i="10"/>
  <c r="S500" i="10"/>
  <c r="S501" i="10"/>
  <c r="S502" i="10"/>
  <c r="S503" i="10"/>
  <c r="S504" i="10"/>
  <c r="S505" i="10"/>
  <c r="S506" i="10"/>
  <c r="S507" i="10"/>
  <c r="S508" i="10"/>
  <c r="S509" i="10"/>
  <c r="S510" i="10"/>
  <c r="S511" i="10"/>
  <c r="S512" i="10"/>
  <c r="S513" i="10"/>
  <c r="S514" i="10"/>
  <c r="S515" i="10"/>
  <c r="S516" i="10"/>
  <c r="S517" i="10"/>
  <c r="S518" i="10"/>
  <c r="S519" i="10"/>
  <c r="S520" i="10"/>
  <c r="S521" i="10"/>
  <c r="S522" i="10"/>
  <c r="S523" i="10"/>
  <c r="S524" i="10"/>
  <c r="S525" i="10"/>
  <c r="S526" i="10"/>
  <c r="S527" i="10"/>
  <c r="S528" i="10"/>
  <c r="S529" i="10"/>
  <c r="S530" i="10"/>
  <c r="S531" i="10"/>
  <c r="S532" i="10"/>
  <c r="S533" i="10"/>
  <c r="S534" i="10"/>
  <c r="S535" i="10"/>
  <c r="S536" i="10"/>
  <c r="S537" i="10"/>
  <c r="S538" i="10"/>
  <c r="S539" i="10"/>
  <c r="S540" i="10"/>
  <c r="S541" i="10"/>
  <c r="S542" i="10"/>
  <c r="S543" i="10"/>
  <c r="S544" i="10"/>
  <c r="S545" i="10"/>
  <c r="S546" i="10"/>
  <c r="S547" i="10"/>
  <c r="S548" i="10"/>
  <c r="S549" i="10"/>
  <c r="S550" i="10"/>
  <c r="S551" i="10"/>
  <c r="S552" i="10"/>
  <c r="S553" i="10"/>
  <c r="S554" i="10"/>
  <c r="S555" i="10"/>
  <c r="S556" i="10"/>
  <c r="S557" i="10"/>
  <c r="S558" i="10"/>
  <c r="S559" i="10"/>
  <c r="S560" i="10"/>
  <c r="S561" i="10"/>
  <c r="S562" i="10"/>
  <c r="S563" i="10"/>
  <c r="S564" i="10"/>
  <c r="S565" i="10"/>
  <c r="S566" i="10"/>
  <c r="S567" i="10"/>
  <c r="S568" i="10"/>
  <c r="S569" i="10"/>
  <c r="S570" i="10"/>
  <c r="S571" i="10"/>
  <c r="S572" i="10"/>
  <c r="S573" i="10"/>
  <c r="S574" i="10"/>
  <c r="S575" i="10"/>
  <c r="S576" i="10"/>
  <c r="S577" i="10"/>
  <c r="S578" i="10"/>
  <c r="S579" i="10"/>
  <c r="S580" i="10"/>
  <c r="S581" i="10"/>
  <c r="S582" i="10"/>
  <c r="S583" i="10"/>
  <c r="S584" i="10"/>
  <c r="S585" i="10"/>
  <c r="S586" i="10"/>
  <c r="S587" i="10"/>
  <c r="S588" i="10"/>
  <c r="S589" i="10"/>
  <c r="S590" i="10"/>
  <c r="S591" i="10"/>
  <c r="S592" i="10"/>
  <c r="S593" i="10"/>
  <c r="S594" i="10"/>
  <c r="S595" i="10"/>
  <c r="S596" i="10"/>
  <c r="S597" i="10"/>
  <c r="S598" i="10"/>
  <c r="S599" i="10"/>
  <c r="S600" i="10"/>
  <c r="S601" i="10"/>
  <c r="S602" i="10"/>
  <c r="S603" i="10"/>
  <c r="S604" i="10"/>
  <c r="S605" i="10"/>
  <c r="S606" i="10"/>
  <c r="S607" i="10"/>
  <c r="S608" i="10"/>
  <c r="S609" i="10"/>
  <c r="S610" i="10"/>
  <c r="S611" i="10"/>
  <c r="S612" i="10"/>
  <c r="S613" i="10"/>
  <c r="S614" i="10"/>
  <c r="S615" i="10"/>
  <c r="S616" i="10"/>
  <c r="S617" i="10"/>
  <c r="S618" i="10"/>
  <c r="S619" i="10"/>
  <c r="S620" i="10"/>
  <c r="S621" i="10"/>
  <c r="S622" i="10"/>
  <c r="S623" i="10"/>
  <c r="S624" i="10"/>
  <c r="S625" i="10"/>
  <c r="S626" i="10"/>
  <c r="S627" i="10"/>
  <c r="S628" i="10"/>
  <c r="S629" i="10"/>
  <c r="S630" i="10"/>
  <c r="S631" i="10"/>
  <c r="S632" i="10"/>
  <c r="S633" i="10"/>
  <c r="S634" i="10"/>
  <c r="S635" i="10"/>
  <c r="S636" i="10"/>
  <c r="S637" i="10"/>
  <c r="S638" i="10"/>
  <c r="S639" i="10"/>
  <c r="S640" i="10"/>
  <c r="S641" i="10"/>
  <c r="S642" i="10"/>
  <c r="S643" i="10"/>
  <c r="S644" i="10"/>
  <c r="S645" i="10"/>
  <c r="S646" i="10"/>
  <c r="S647" i="10"/>
  <c r="S648" i="10"/>
  <c r="S649" i="10"/>
  <c r="S650" i="10"/>
  <c r="S651" i="10"/>
  <c r="S652" i="10"/>
  <c r="S653" i="10"/>
  <c r="S654" i="10"/>
  <c r="S655" i="10"/>
  <c r="S656" i="10"/>
  <c r="S657" i="10"/>
  <c r="S658" i="10"/>
  <c r="S659" i="10"/>
  <c r="S660" i="10"/>
  <c r="S661" i="10"/>
  <c r="S662" i="10"/>
  <c r="S663" i="10"/>
  <c r="S664" i="10"/>
  <c r="S665" i="10"/>
  <c r="S666" i="10"/>
  <c r="S667" i="10"/>
  <c r="S668" i="10"/>
  <c r="S669" i="10"/>
  <c r="S670" i="10"/>
  <c r="S671" i="10"/>
  <c r="S672" i="10"/>
  <c r="S673" i="10"/>
  <c r="S674" i="10"/>
  <c r="S675" i="10"/>
  <c r="S676" i="10"/>
  <c r="S677" i="10"/>
  <c r="S678" i="10"/>
  <c r="S679" i="10"/>
  <c r="S680" i="10"/>
  <c r="S681" i="10"/>
  <c r="S682" i="10"/>
  <c r="S683" i="10"/>
  <c r="S684" i="10"/>
  <c r="S685" i="10"/>
  <c r="S686" i="10"/>
  <c r="S687" i="10"/>
  <c r="S688" i="10"/>
  <c r="S689" i="10"/>
  <c r="S690" i="10"/>
  <c r="S691" i="10"/>
  <c r="S692" i="10"/>
  <c r="S693" i="10"/>
  <c r="S694" i="10"/>
  <c r="S695" i="10"/>
  <c r="S696" i="10"/>
  <c r="S697" i="10"/>
  <c r="S698" i="10"/>
  <c r="S699" i="10"/>
  <c r="S700" i="10"/>
  <c r="S701" i="10"/>
  <c r="S702" i="10"/>
  <c r="S703" i="10"/>
  <c r="S704" i="10"/>
  <c r="S705" i="10"/>
  <c r="S706" i="10"/>
  <c r="S707" i="10"/>
  <c r="S708" i="10"/>
  <c r="S709" i="10"/>
  <c r="S710" i="10"/>
  <c r="S711" i="10"/>
  <c r="S712" i="10"/>
  <c r="S713" i="10"/>
  <c r="S714" i="10"/>
  <c r="S715" i="10"/>
  <c r="S716" i="10"/>
  <c r="S717" i="10"/>
  <c r="S718" i="10"/>
  <c r="S719" i="10"/>
  <c r="S720" i="10"/>
  <c r="S721" i="10"/>
  <c r="S722" i="10"/>
  <c r="S723" i="10"/>
  <c r="S724" i="10"/>
  <c r="S725" i="10"/>
  <c r="S726" i="10"/>
  <c r="S727" i="10"/>
  <c r="S728" i="10"/>
  <c r="S729" i="10"/>
  <c r="S730" i="10"/>
  <c r="S731" i="10"/>
  <c r="S732" i="10"/>
  <c r="S733" i="10"/>
  <c r="S734" i="10"/>
  <c r="S735" i="10"/>
  <c r="S736" i="10"/>
  <c r="S737" i="10"/>
  <c r="S738" i="10"/>
  <c r="S739" i="10"/>
  <c r="S740" i="10"/>
  <c r="S741" i="10"/>
  <c r="S742" i="10"/>
  <c r="S743" i="10"/>
  <c r="S744" i="10"/>
  <c r="S745" i="10"/>
  <c r="S746" i="10"/>
  <c r="S747" i="10"/>
  <c r="S748" i="10"/>
  <c r="S749" i="10"/>
  <c r="S750" i="10"/>
  <c r="S751" i="10"/>
  <c r="S752" i="10"/>
  <c r="S753" i="10"/>
  <c r="S754" i="10"/>
  <c r="S755" i="10"/>
  <c r="S756" i="10"/>
  <c r="S757" i="10"/>
  <c r="S758" i="10"/>
  <c r="S759" i="10"/>
  <c r="S760" i="10"/>
  <c r="S761" i="10"/>
  <c r="S762" i="10"/>
  <c r="S763" i="10"/>
  <c r="S764" i="10"/>
  <c r="S765" i="10"/>
  <c r="S766" i="10"/>
  <c r="S767" i="10"/>
  <c r="S768" i="10"/>
  <c r="S769" i="10"/>
  <c r="S770" i="10"/>
  <c r="S771" i="10"/>
  <c r="S772" i="10"/>
  <c r="S773" i="10"/>
  <c r="S774" i="10"/>
  <c r="S775" i="10"/>
  <c r="S776" i="10"/>
  <c r="S777" i="10"/>
  <c r="S778" i="10"/>
  <c r="S779" i="10"/>
  <c r="S780" i="10"/>
  <c r="S781" i="10"/>
  <c r="S782" i="10"/>
  <c r="S783" i="10"/>
  <c r="S784" i="10"/>
  <c r="S785" i="10"/>
  <c r="S786" i="10"/>
  <c r="S787" i="10"/>
  <c r="S788" i="10"/>
  <c r="S789" i="10"/>
  <c r="S790" i="10"/>
  <c r="S791" i="10"/>
  <c r="S792" i="10"/>
  <c r="S793" i="10"/>
  <c r="S794" i="10"/>
  <c r="S795" i="10"/>
  <c r="S796" i="10"/>
  <c r="S797" i="10"/>
  <c r="S798" i="10"/>
  <c r="S799" i="10"/>
  <c r="S800" i="10"/>
  <c r="S801" i="10"/>
  <c r="S802" i="10"/>
  <c r="S803" i="10"/>
  <c r="S804" i="10"/>
  <c r="S805" i="10"/>
  <c r="S806" i="10"/>
  <c r="S807" i="10"/>
  <c r="S808" i="10"/>
  <c r="S809" i="10"/>
  <c r="S810" i="10"/>
  <c r="S811" i="10"/>
  <c r="S812" i="10"/>
  <c r="S813" i="10"/>
  <c r="S814" i="10"/>
  <c r="S815" i="10"/>
  <c r="S816" i="10"/>
  <c r="S817" i="10"/>
  <c r="S818" i="10"/>
  <c r="S819" i="10"/>
  <c r="S820" i="10"/>
  <c r="S821" i="10"/>
  <c r="S822" i="10"/>
  <c r="S823" i="10"/>
  <c r="S824" i="10"/>
  <c r="S825" i="10"/>
  <c r="S826" i="10"/>
  <c r="S827" i="10"/>
  <c r="S828" i="10"/>
  <c r="S829" i="10"/>
  <c r="S830" i="10"/>
  <c r="S831" i="10"/>
  <c r="S832" i="10"/>
  <c r="S833" i="10"/>
  <c r="S834" i="10"/>
  <c r="S835" i="10"/>
  <c r="S836" i="10"/>
  <c r="S837" i="10"/>
  <c r="S838" i="10"/>
  <c r="S839" i="10"/>
  <c r="S840" i="10"/>
  <c r="S841" i="10"/>
  <c r="S842" i="10"/>
  <c r="S843" i="10"/>
  <c r="S844" i="10"/>
  <c r="S845" i="10"/>
  <c r="S846" i="10"/>
  <c r="S847" i="10"/>
  <c r="S848" i="10"/>
  <c r="S849" i="10"/>
  <c r="S850" i="10"/>
  <c r="S851" i="10"/>
  <c r="S852" i="10"/>
  <c r="S853" i="10"/>
  <c r="S854" i="10"/>
  <c r="S855" i="10"/>
  <c r="S856" i="10"/>
  <c r="S857" i="10"/>
  <c r="S858" i="10"/>
  <c r="S859" i="10"/>
  <c r="S860" i="10"/>
  <c r="S861" i="10"/>
  <c r="S862" i="10"/>
  <c r="S863" i="10"/>
  <c r="S864" i="10"/>
  <c r="S865" i="10"/>
  <c r="S866" i="10"/>
  <c r="S867" i="10"/>
  <c r="S868" i="10"/>
  <c r="S869" i="10"/>
  <c r="S870" i="10"/>
  <c r="S871" i="10"/>
  <c r="S872" i="10"/>
  <c r="S873" i="10"/>
  <c r="S874" i="10"/>
  <c r="S875" i="10"/>
  <c r="S876" i="10"/>
  <c r="S877" i="10"/>
  <c r="S878" i="10"/>
  <c r="S879" i="10"/>
  <c r="S880" i="10"/>
  <c r="S881" i="10"/>
  <c r="S882" i="10"/>
  <c r="S883" i="10"/>
  <c r="S884" i="10"/>
  <c r="S885" i="10"/>
  <c r="S886" i="10"/>
  <c r="S887" i="10"/>
  <c r="S888" i="10"/>
  <c r="S889" i="10"/>
  <c r="S890" i="10"/>
  <c r="S891" i="10"/>
  <c r="S892" i="10"/>
  <c r="S893" i="10"/>
  <c r="S894" i="10"/>
  <c r="S895" i="10"/>
  <c r="S896" i="10"/>
  <c r="S897" i="10"/>
  <c r="S898" i="10"/>
  <c r="S899" i="10"/>
  <c r="S900" i="10"/>
  <c r="S901" i="10"/>
  <c r="S902" i="10"/>
  <c r="S903" i="10"/>
  <c r="S904" i="10"/>
  <c r="S905" i="10"/>
  <c r="S906" i="10"/>
  <c r="S907" i="10"/>
  <c r="S908" i="10"/>
  <c r="S909" i="10"/>
  <c r="S910" i="10"/>
  <c r="S911" i="10"/>
  <c r="S912" i="10"/>
  <c r="S913" i="10"/>
  <c r="S914" i="10"/>
  <c r="S915" i="10"/>
  <c r="S916" i="10"/>
  <c r="S917" i="10"/>
  <c r="S918" i="10"/>
  <c r="S919" i="10"/>
  <c r="S920" i="10"/>
  <c r="S921" i="10"/>
  <c r="S922" i="10"/>
  <c r="S923" i="10"/>
  <c r="S924" i="10"/>
  <c r="S925" i="10"/>
  <c r="S926" i="10"/>
  <c r="S927" i="10"/>
  <c r="S928" i="10"/>
  <c r="S929" i="10"/>
  <c r="S930" i="10"/>
  <c r="S931" i="10"/>
  <c r="S932" i="10"/>
  <c r="S933" i="10"/>
  <c r="S934" i="10"/>
  <c r="S935" i="10"/>
  <c r="S936" i="10"/>
  <c r="S937" i="10"/>
  <c r="S938" i="10"/>
  <c r="S939" i="10"/>
  <c r="S940" i="10"/>
  <c r="S941" i="10"/>
  <c r="S942" i="10"/>
  <c r="S943" i="10"/>
  <c r="S944" i="10"/>
  <c r="S945" i="10"/>
  <c r="S946" i="10"/>
  <c r="S947" i="10"/>
  <c r="S948" i="10"/>
  <c r="S949" i="10"/>
  <c r="S950" i="10"/>
  <c r="S951" i="10"/>
  <c r="S952" i="10"/>
  <c r="S953" i="10"/>
  <c r="S954" i="10"/>
  <c r="S955" i="10"/>
  <c r="S956" i="10"/>
  <c r="S957" i="10"/>
  <c r="S958" i="10"/>
  <c r="S959" i="10"/>
  <c r="S960" i="10"/>
  <c r="S961" i="10"/>
  <c r="S962" i="10"/>
  <c r="S963" i="10"/>
  <c r="S964" i="10"/>
  <c r="S965" i="10"/>
  <c r="S966" i="10"/>
  <c r="S967" i="10"/>
  <c r="S968" i="10"/>
  <c r="S969" i="10"/>
  <c r="S970" i="10"/>
  <c r="S971" i="10"/>
  <c r="S972" i="10"/>
  <c r="S973" i="10"/>
  <c r="S974" i="10"/>
  <c r="S975" i="10"/>
  <c r="S976" i="10"/>
  <c r="S977" i="10"/>
  <c r="S978" i="10"/>
  <c r="S979" i="10"/>
  <c r="S980" i="10"/>
  <c r="S981" i="10"/>
  <c r="S982" i="10"/>
  <c r="S983" i="10"/>
  <c r="S984" i="10"/>
  <c r="S985" i="10"/>
  <c r="S986" i="10"/>
  <c r="S987" i="10"/>
  <c r="S988" i="10"/>
  <c r="S989" i="10"/>
  <c r="S990" i="10"/>
  <c r="S991" i="10"/>
  <c r="S992" i="10"/>
  <c r="S993" i="10"/>
  <c r="S994" i="10"/>
  <c r="S995" i="10"/>
  <c r="S996" i="10"/>
  <c r="S997" i="10"/>
  <c r="S998" i="10"/>
  <c r="S999" i="10"/>
  <c r="S1000" i="10"/>
  <c r="S1001" i="10"/>
  <c r="S1002" i="10"/>
  <c r="S1003" i="10"/>
  <c r="S1004" i="10"/>
  <c r="S1005" i="10"/>
  <c r="S1006" i="10"/>
  <c r="S1007" i="10"/>
  <c r="S1008" i="10"/>
  <c r="S1009" i="10"/>
  <c r="S1010" i="10"/>
  <c r="S1011" i="10"/>
  <c r="S1012" i="10"/>
  <c r="S1013" i="10"/>
  <c r="S1014" i="10"/>
  <c r="S1015" i="10"/>
  <c r="S1016" i="10"/>
  <c r="S1017" i="10"/>
  <c r="S1018" i="10"/>
  <c r="S1019" i="10"/>
  <c r="S1020" i="10"/>
  <c r="S1021" i="10"/>
  <c r="S1022" i="10"/>
  <c r="S1023" i="10"/>
  <c r="S1024" i="10"/>
  <c r="S1025" i="10"/>
  <c r="S1026" i="10"/>
  <c r="S1027" i="10"/>
  <c r="S1028" i="10"/>
  <c r="S1029" i="10"/>
  <c r="S1030" i="10"/>
  <c r="S1031" i="10"/>
  <c r="S1032" i="10"/>
  <c r="S1033" i="10"/>
  <c r="S1034" i="10"/>
  <c r="S1035" i="10"/>
  <c r="S1036" i="10"/>
  <c r="S1037" i="10"/>
  <c r="S1038" i="10"/>
  <c r="S1039" i="10"/>
  <c r="S1040" i="10"/>
  <c r="S1041" i="10"/>
  <c r="S1042" i="10"/>
  <c r="S1043" i="10"/>
  <c r="S1044" i="10"/>
  <c r="S1045" i="10"/>
  <c r="S1046" i="10"/>
  <c r="S1047" i="10"/>
  <c r="S1048" i="10"/>
  <c r="S1049" i="10"/>
  <c r="S1050" i="10"/>
  <c r="S1051" i="10"/>
  <c r="S1052" i="10"/>
  <c r="S1053" i="10"/>
  <c r="S1054" i="10"/>
  <c r="S1055" i="10"/>
  <c r="S1057" i="10"/>
  <c r="S1058" i="10"/>
  <c r="S1059" i="10"/>
  <c r="S1060" i="10"/>
  <c r="S1061" i="10"/>
  <c r="S1062" i="10"/>
  <c r="S1063" i="10"/>
  <c r="S1064" i="10"/>
  <c r="S1065" i="10"/>
  <c r="S1066" i="10"/>
  <c r="S1067" i="10"/>
  <c r="S1068" i="10"/>
  <c r="S1069" i="10"/>
  <c r="S1070" i="10"/>
  <c r="S1071" i="10"/>
  <c r="S1072" i="10"/>
  <c r="S1073" i="10"/>
  <c r="S1074" i="10"/>
  <c r="S1075" i="10"/>
  <c r="S1076" i="10"/>
  <c r="S1077" i="10"/>
  <c r="S1078" i="10"/>
  <c r="S1079" i="10"/>
  <c r="S1080" i="10"/>
  <c r="S1081" i="10"/>
  <c r="S1082" i="10"/>
  <c r="S1083" i="10"/>
  <c r="S1084" i="10"/>
  <c r="S1085" i="10"/>
  <c r="S1086" i="10"/>
  <c r="S1087" i="10"/>
  <c r="S1088" i="10"/>
  <c r="S1089" i="10"/>
  <c r="S1090" i="10"/>
  <c r="S1091" i="10"/>
  <c r="S1092" i="10"/>
  <c r="S1093" i="10"/>
  <c r="S1094" i="10"/>
  <c r="S1095" i="10"/>
  <c r="S1096" i="10"/>
  <c r="S1097" i="10"/>
  <c r="S1098" i="10"/>
  <c r="S1099" i="10"/>
  <c r="S1100" i="10"/>
  <c r="S1101" i="10"/>
  <c r="S1102" i="10"/>
  <c r="S1103" i="10"/>
  <c r="S1104" i="10"/>
  <c r="S1105" i="10"/>
  <c r="S1106" i="10"/>
  <c r="S1107" i="10"/>
  <c r="S1108" i="10"/>
  <c r="S1109" i="10"/>
  <c r="S1110" i="10"/>
  <c r="S1111" i="10"/>
  <c r="S1112" i="10"/>
  <c r="S1113" i="10"/>
  <c r="S1114" i="10"/>
  <c r="S1115" i="10"/>
  <c r="S1116" i="10"/>
  <c r="S1117" i="10"/>
  <c r="S1118" i="10"/>
  <c r="S1119" i="10"/>
  <c r="S1120" i="10"/>
  <c r="S1121" i="10"/>
  <c r="S1122" i="10"/>
  <c r="S1123" i="10"/>
  <c r="S1124" i="10"/>
  <c r="S1125" i="10"/>
  <c r="S1126" i="10"/>
  <c r="S1127" i="10"/>
  <c r="S1128" i="10"/>
  <c r="S1129" i="10"/>
  <c r="S1130" i="10"/>
  <c r="S1131" i="10"/>
  <c r="S1132" i="10"/>
  <c r="S1133" i="10"/>
  <c r="S1134" i="10"/>
  <c r="S1135" i="10"/>
  <c r="S1136" i="10"/>
  <c r="S1137" i="10"/>
  <c r="S1138" i="10"/>
  <c r="S1139" i="10"/>
  <c r="S1140" i="10"/>
  <c r="S1141" i="10"/>
  <c r="S1142" i="10"/>
  <c r="S1143" i="10"/>
  <c r="S1144" i="10"/>
  <c r="S1145" i="10"/>
  <c r="S1146" i="10"/>
  <c r="S1147" i="10"/>
  <c r="S1148" i="10"/>
  <c r="S1149" i="10"/>
  <c r="S1150" i="10"/>
  <c r="S1151" i="10"/>
  <c r="S1152" i="10"/>
  <c r="S1153" i="10"/>
  <c r="S1154" i="10"/>
  <c r="S1155" i="10"/>
  <c r="S1156" i="10"/>
  <c r="S1157" i="10"/>
  <c r="S1158" i="10"/>
  <c r="S1159" i="10"/>
  <c r="S1160" i="10"/>
  <c r="S1161" i="10"/>
  <c r="S1162" i="10"/>
  <c r="S1163" i="10"/>
  <c r="S1164" i="10"/>
  <c r="S1165" i="10"/>
  <c r="S1166" i="10"/>
  <c r="S1167" i="10"/>
  <c r="S1168" i="10"/>
  <c r="S1169" i="10"/>
  <c r="S1170" i="10"/>
  <c r="S1171" i="10"/>
  <c r="S1172" i="10"/>
  <c r="S1173" i="10"/>
  <c r="S1174" i="10"/>
  <c r="S1175" i="10"/>
  <c r="S1176" i="10"/>
  <c r="S1177" i="10"/>
  <c r="S1178" i="10"/>
  <c r="S1179" i="10"/>
  <c r="S1180" i="10"/>
  <c r="S1181" i="10"/>
  <c r="S1182" i="10"/>
  <c r="S1183" i="10"/>
  <c r="S1184" i="10"/>
  <c r="S1185" i="10"/>
  <c r="S1186" i="10"/>
  <c r="S1187" i="10"/>
  <c r="S1188" i="10"/>
  <c r="S1189" i="10"/>
  <c r="S1190" i="10"/>
  <c r="S1191" i="10"/>
  <c r="S1192" i="10"/>
  <c r="S1193" i="10"/>
  <c r="S1194" i="10"/>
  <c r="S1195" i="10"/>
  <c r="S1196" i="10"/>
  <c r="S1197" i="10"/>
  <c r="S1198" i="10"/>
  <c r="S1199" i="10"/>
  <c r="S1200" i="10"/>
  <c r="S1201" i="10"/>
  <c r="S1202" i="10"/>
  <c r="S1203" i="10"/>
  <c r="S1204" i="10"/>
  <c r="S1205" i="10"/>
  <c r="S1206" i="10"/>
  <c r="S6" i="10"/>
  <c r="D16" i="8"/>
  <c r="E16" i="8"/>
  <c r="F16" i="8"/>
  <c r="G16" i="8"/>
  <c r="C16" i="8"/>
  <c r="D15" i="8"/>
  <c r="E15" i="8"/>
  <c r="F15" i="8"/>
  <c r="G15" i="8"/>
  <c r="C15" i="8"/>
  <c r="D14" i="8"/>
  <c r="E14" i="8"/>
  <c r="F14" i="8"/>
  <c r="G14" i="8"/>
  <c r="C14" i="8"/>
  <c r="D13" i="8"/>
  <c r="E13" i="8"/>
  <c r="F13" i="8"/>
  <c r="G13" i="8"/>
  <c r="C13" i="8"/>
  <c r="D12" i="8"/>
  <c r="E12" i="8"/>
  <c r="F12" i="8"/>
  <c r="G12" i="8"/>
  <c r="C12" i="8"/>
  <c r="D11" i="8"/>
  <c r="E11" i="8"/>
  <c r="F11" i="8"/>
  <c r="G11" i="8"/>
  <c r="C11" i="8"/>
  <c r="D10" i="8"/>
  <c r="E10" i="8"/>
  <c r="F10" i="8"/>
  <c r="G10" i="8"/>
  <c r="C10" i="8"/>
  <c r="D9" i="8"/>
  <c r="E9" i="8"/>
  <c r="F9" i="8"/>
  <c r="G9" i="8"/>
  <c r="C9" i="8"/>
  <c r="D8" i="8"/>
  <c r="E8" i="8"/>
  <c r="F8" i="8"/>
  <c r="G8" i="8"/>
  <c r="C8" i="8"/>
  <c r="D7" i="8"/>
  <c r="E7" i="8"/>
  <c r="F7" i="8"/>
  <c r="G7" i="8"/>
  <c r="C7" i="8"/>
  <c r="D6" i="8"/>
  <c r="E6" i="8"/>
  <c r="F6" i="8"/>
  <c r="G6" i="8"/>
  <c r="C6" i="8"/>
  <c r="D5" i="8"/>
  <c r="E5" i="8"/>
  <c r="F5" i="8"/>
  <c r="G5" i="8"/>
  <c r="C5" i="8"/>
  <c r="D4" i="8"/>
  <c r="E4" i="8"/>
  <c r="F4" i="8"/>
  <c r="G4" i="8"/>
  <c r="C4" i="8"/>
  <c r="H17" i="14" l="1"/>
  <c r="AH146" i="10"/>
  <c r="M894" i="10"/>
  <c r="M494" i="10"/>
  <c r="M454" i="10"/>
  <c r="M358" i="10"/>
  <c r="M254" i="10"/>
  <c r="M174" i="10"/>
  <c r="M142" i="10"/>
  <c r="AE1182" i="10"/>
  <c r="AE1134" i="10"/>
  <c r="AE1086" i="10"/>
  <c r="AE1053" i="10"/>
  <c r="AE1013" i="10"/>
  <c r="AE733" i="10"/>
  <c r="AE645" i="10"/>
  <c r="AE605" i="10"/>
  <c r="AE597" i="10"/>
  <c r="AE573" i="10"/>
  <c r="AE565" i="10"/>
  <c r="AE557" i="10"/>
  <c r="AE549" i="10"/>
  <c r="AE541" i="10"/>
  <c r="AE533" i="10"/>
  <c r="AE501" i="10"/>
  <c r="AE469" i="10"/>
  <c r="AE389" i="10"/>
  <c r="AE365" i="10"/>
  <c r="AE149" i="10"/>
  <c r="S128" i="10"/>
  <c r="P973" i="10"/>
  <c r="P733" i="10"/>
  <c r="P725" i="10"/>
  <c r="P653" i="10"/>
  <c r="P613" i="10"/>
  <c r="P605" i="10"/>
  <c r="AE1066" i="10"/>
  <c r="AE1058" i="10"/>
  <c r="AE1009" i="10"/>
  <c r="AE1001" i="10"/>
  <c r="AE913" i="10"/>
  <c r="AE881" i="10"/>
  <c r="AE825" i="10"/>
  <c r="AE737" i="10"/>
  <c r="AE689" i="10"/>
  <c r="AE665" i="10"/>
  <c r="AE609" i="10"/>
  <c r="AE601" i="10"/>
  <c r="AE585" i="10"/>
  <c r="AE569" i="10"/>
  <c r="AE545" i="10"/>
  <c r="AE529" i="10"/>
  <c r="AE505" i="10"/>
  <c r="AE473" i="10"/>
  <c r="AE321" i="10"/>
  <c r="AE265" i="10"/>
  <c r="AE161" i="10"/>
  <c r="AE137" i="10"/>
  <c r="M941" i="10"/>
  <c r="M813" i="10"/>
  <c r="M781" i="10"/>
  <c r="M661" i="10"/>
  <c r="M557" i="10"/>
  <c r="AE984" i="10"/>
  <c r="AE976" i="10"/>
  <c r="AE960" i="10"/>
  <c r="AE832" i="10"/>
  <c r="AE808" i="10"/>
  <c r="AE752" i="10"/>
  <c r="AE728" i="10"/>
  <c r="AE672" i="10"/>
  <c r="AE656" i="10"/>
  <c r="AE648" i="10"/>
  <c r="AE624" i="10"/>
  <c r="AE608" i="10"/>
  <c r="AE552" i="10"/>
  <c r="AE544" i="10"/>
  <c r="AE512" i="10"/>
  <c r="AE480" i="10"/>
  <c r="AE464" i="10"/>
  <c r="AE400" i="10"/>
  <c r="AE392" i="10"/>
  <c r="AE368" i="10"/>
  <c r="AE152" i="10"/>
  <c r="AE144" i="10"/>
  <c r="AE112" i="10"/>
  <c r="AE32" i="10"/>
  <c r="M874" i="10"/>
  <c r="M834" i="10"/>
  <c r="M410" i="10"/>
  <c r="M346" i="10"/>
  <c r="M282" i="10"/>
  <c r="M242" i="10"/>
  <c r="M234" i="10"/>
  <c r="M218" i="10"/>
  <c r="M194" i="10"/>
  <c r="M186" i="10"/>
  <c r="M178" i="10"/>
  <c r="M162" i="10"/>
  <c r="M138" i="10"/>
  <c r="M130" i="10"/>
  <c r="M82" i="10"/>
  <c r="M50" i="10"/>
  <c r="P729" i="10"/>
  <c r="P721" i="10"/>
  <c r="P609" i="10"/>
  <c r="P601" i="10"/>
  <c r="P585" i="10"/>
  <c r="P553" i="10"/>
  <c r="P513" i="10"/>
  <c r="G53" i="10"/>
  <c r="G37" i="10"/>
  <c r="M1028" i="10"/>
  <c r="M948" i="10"/>
  <c r="M820" i="10"/>
  <c r="M740" i="10"/>
  <c r="M708" i="10"/>
  <c r="M636" i="10"/>
  <c r="M524" i="10"/>
  <c r="M396" i="10"/>
  <c r="M220" i="10"/>
  <c r="AO220" i="10" s="1"/>
  <c r="M188" i="10"/>
  <c r="M156" i="10"/>
  <c r="M124" i="10"/>
  <c r="AH882" i="10"/>
  <c r="P715" i="10"/>
  <c r="P667" i="10"/>
  <c r="P659" i="10"/>
  <c r="P651" i="10"/>
  <c r="P595" i="10"/>
  <c r="P579" i="10"/>
  <c r="P563" i="10"/>
  <c r="AE1189" i="10"/>
  <c r="AE1157" i="10"/>
  <c r="AE980" i="10"/>
  <c r="AE948" i="10"/>
  <c r="AE884" i="10"/>
  <c r="AE732" i="10"/>
  <c r="AE692" i="10"/>
  <c r="AE636" i="10"/>
  <c r="AE612" i="10"/>
  <c r="AE596" i="10"/>
  <c r="AE580" i="10"/>
  <c r="AE524" i="10"/>
  <c r="AE500" i="10"/>
  <c r="AE420" i="10"/>
  <c r="AE380" i="10"/>
  <c r="AE228" i="10"/>
  <c r="AE108" i="10"/>
  <c r="AE28" i="10"/>
  <c r="AB28" i="10"/>
  <c r="AE1132" i="10"/>
  <c r="AE1060" i="10"/>
  <c r="AE1011" i="10"/>
  <c r="AE947" i="10"/>
  <c r="AE931" i="10"/>
  <c r="AE891" i="10"/>
  <c r="AE835" i="10"/>
  <c r="AE779" i="10"/>
  <c r="AE723" i="10"/>
  <c r="AE659" i="10"/>
  <c r="AE643" i="10"/>
  <c r="AE595" i="10"/>
  <c r="AE587" i="10"/>
  <c r="AE563" i="10"/>
  <c r="AE555" i="10"/>
  <c r="AE547" i="10"/>
  <c r="AE515" i="10"/>
  <c r="AE499" i="10"/>
  <c r="AE491" i="10"/>
  <c r="AE467" i="10"/>
  <c r="AE443" i="10"/>
  <c r="AE363" i="10"/>
  <c r="AE315" i="10"/>
  <c r="AE259" i="10"/>
  <c r="AE131" i="10"/>
  <c r="G6" i="10"/>
  <c r="AH895" i="10"/>
  <c r="AH791" i="10"/>
  <c r="AH623" i="10"/>
  <c r="AH31" i="10"/>
  <c r="AB48" i="10"/>
  <c r="AE1039" i="10"/>
  <c r="AE1007" i="10"/>
  <c r="AE951" i="10"/>
  <c r="AE903" i="10"/>
  <c r="AE887" i="10"/>
  <c r="AE863" i="10"/>
  <c r="AE815" i="10"/>
  <c r="AE751" i="10"/>
  <c r="AE743" i="10"/>
  <c r="AE647" i="10"/>
  <c r="AE615" i="10"/>
  <c r="AE591" i="10"/>
  <c r="AE583" i="10"/>
  <c r="AE559" i="10"/>
  <c r="AE535" i="10"/>
  <c r="AE511" i="10"/>
  <c r="AE431" i="10"/>
  <c r="AE415" i="10"/>
  <c r="AE367" i="10"/>
  <c r="AE327" i="10"/>
  <c r="AE263" i="10"/>
  <c r="AE247" i="10"/>
  <c r="AE231" i="10"/>
  <c r="AE135" i="10"/>
  <c r="AE127" i="10"/>
  <c r="AE95" i="10"/>
  <c r="G1208" i="10"/>
  <c r="G1093" i="10"/>
  <c r="V1093" i="10" s="1"/>
  <c r="G901" i="10"/>
  <c r="G861" i="10"/>
  <c r="V861" i="10" s="1"/>
  <c r="G773" i="10"/>
  <c r="G733" i="10"/>
  <c r="G693" i="10"/>
  <c r="G629" i="10"/>
  <c r="G517" i="10"/>
  <c r="G477" i="10"/>
  <c r="G469" i="10"/>
  <c r="G413" i="10"/>
  <c r="G405" i="10"/>
  <c r="G349" i="10"/>
  <c r="G341" i="10"/>
  <c r="G285" i="10"/>
  <c r="G277" i="10"/>
  <c r="G221" i="10"/>
  <c r="G213" i="10"/>
  <c r="G157" i="10"/>
  <c r="G149" i="10"/>
  <c r="G1164" i="10"/>
  <c r="G1156" i="10"/>
  <c r="G1116" i="10"/>
  <c r="G436" i="10"/>
  <c r="V436" i="10" s="1"/>
  <c r="G356" i="10"/>
  <c r="G308" i="10"/>
  <c r="G260" i="10"/>
  <c r="G76" i="10"/>
  <c r="G68" i="10"/>
  <c r="G12" i="10"/>
  <c r="AE1107" i="10"/>
  <c r="AE1042" i="10"/>
  <c r="AE1018" i="10"/>
  <c r="AE714" i="10"/>
  <c r="AE658" i="10"/>
  <c r="AE642" i="10"/>
  <c r="AE610" i="10"/>
  <c r="AE578" i="10"/>
  <c r="AE570" i="10"/>
  <c r="AE522" i="10"/>
  <c r="AO522" i="10" s="1"/>
  <c r="AE474" i="10"/>
  <c r="AE466" i="10"/>
  <c r="AE442" i="10"/>
  <c r="AE410" i="10"/>
  <c r="AE386" i="10"/>
  <c r="AE298" i="10"/>
  <c r="AE282" i="10"/>
  <c r="AE274" i="10"/>
  <c r="AE250" i="10"/>
  <c r="AE234" i="10"/>
  <c r="AE186" i="10"/>
  <c r="AE130" i="10"/>
  <c r="M1043" i="10"/>
  <c r="G1003" i="10"/>
  <c r="M963" i="10"/>
  <c r="G843" i="10"/>
  <c r="M675" i="10"/>
  <c r="M643" i="10"/>
  <c r="M387" i="10"/>
  <c r="AO387" i="10" s="1"/>
  <c r="M307" i="10"/>
  <c r="M275" i="10"/>
  <c r="M211" i="10"/>
  <c r="AO211" i="10" s="1"/>
  <c r="M131" i="10"/>
  <c r="M75" i="10"/>
  <c r="AO75" i="10" s="1"/>
  <c r="M59" i="10"/>
  <c r="M27" i="10"/>
  <c r="M11" i="10"/>
  <c r="AO11" i="10" s="1"/>
  <c r="G1170" i="10"/>
  <c r="V1170" i="10" s="1"/>
  <c r="G1122" i="10"/>
  <c r="G946" i="10"/>
  <c r="V946" i="10" s="1"/>
  <c r="P842" i="10"/>
  <c r="P658" i="10"/>
  <c r="P650" i="10"/>
  <c r="P602" i="10"/>
  <c r="P586" i="10"/>
  <c r="P570" i="10"/>
  <c r="G1161" i="10"/>
  <c r="G1041" i="10"/>
  <c r="G969" i="10"/>
  <c r="G937" i="10"/>
  <c r="V937" i="10" s="1"/>
  <c r="G897" i="10"/>
  <c r="G777" i="10"/>
  <c r="G649" i="10"/>
  <c r="G609" i="10"/>
  <c r="G537" i="10"/>
  <c r="G497" i="10"/>
  <c r="G337" i="10"/>
  <c r="G289" i="10"/>
  <c r="G1160" i="10"/>
  <c r="G1152" i="10"/>
  <c r="G1000" i="10"/>
  <c r="V1000" i="10" s="1"/>
  <c r="G832" i="10"/>
  <c r="V832" i="10" s="1"/>
  <c r="G784" i="10"/>
  <c r="V784" i="10" s="1"/>
  <c r="G744" i="10"/>
  <c r="V744" i="10" s="1"/>
  <c r="G704" i="10"/>
  <c r="G664" i="10"/>
  <c r="G592" i="10"/>
  <c r="G520" i="10"/>
  <c r="G512" i="10"/>
  <c r="G448" i="10"/>
  <c r="V448" i="10" s="1"/>
  <c r="G440" i="10"/>
  <c r="G384" i="10"/>
  <c r="V384" i="10" s="1"/>
  <c r="G336" i="10"/>
  <c r="AE1111" i="10"/>
  <c r="AE1079" i="10"/>
  <c r="AE982" i="10"/>
  <c r="AE926" i="10"/>
  <c r="AE870" i="10"/>
  <c r="AE782" i="10"/>
  <c r="AE742" i="10"/>
  <c r="AE726" i="10"/>
  <c r="AE670" i="10"/>
  <c r="AE614" i="10"/>
  <c r="AE598" i="10"/>
  <c r="AE582" i="10"/>
  <c r="AE550" i="10"/>
  <c r="AE526" i="10"/>
  <c r="AE454" i="10"/>
  <c r="AE430" i="10"/>
  <c r="AE406" i="10"/>
  <c r="AE390" i="10"/>
  <c r="AE374" i="10"/>
  <c r="AE318" i="10"/>
  <c r="AE174" i="10"/>
  <c r="AE118" i="10"/>
  <c r="AE102" i="10"/>
  <c r="AE62" i="10"/>
  <c r="AE1056" i="10"/>
  <c r="S1056" i="10"/>
  <c r="G1167" i="10"/>
  <c r="G1127" i="10"/>
  <c r="V1127" i="10" s="1"/>
  <c r="G1095" i="10"/>
  <c r="G1063" i="10"/>
  <c r="V1063" i="10" s="1"/>
  <c r="G1055" i="10"/>
  <c r="G1015" i="10"/>
  <c r="V1015" i="10" s="1"/>
  <c r="G983" i="10"/>
  <c r="V983" i="10" s="1"/>
  <c r="G935" i="10"/>
  <c r="V935" i="10" s="1"/>
  <c r="G903" i="10"/>
  <c r="V903" i="10" s="1"/>
  <c r="G871" i="10"/>
  <c r="G839" i="10"/>
  <c r="V839" i="10" s="1"/>
  <c r="G799" i="10"/>
  <c r="Y799" i="10" s="1"/>
  <c r="G767" i="10"/>
  <c r="G727" i="10"/>
  <c r="G679" i="10"/>
  <c r="G671" i="10"/>
  <c r="G639" i="10"/>
  <c r="V639" i="10" s="1"/>
  <c r="G599" i="10"/>
  <c r="Y599" i="10" s="1"/>
  <c r="G567" i="10"/>
  <c r="V567" i="10" s="1"/>
  <c r="G535" i="10"/>
  <c r="V535" i="10" s="1"/>
  <c r="G487" i="10"/>
  <c r="G439" i="10"/>
  <c r="G431" i="10"/>
  <c r="G375" i="10"/>
  <c r="G367" i="10"/>
  <c r="Y367" i="10" s="1"/>
  <c r="P1151" i="10"/>
  <c r="P839" i="10"/>
  <c r="P735" i="10"/>
  <c r="P663" i="10"/>
  <c r="P655" i="10"/>
  <c r="P615" i="10"/>
  <c r="P583" i="10"/>
  <c r="P551" i="10"/>
  <c r="P527" i="10"/>
  <c r="P511" i="10"/>
  <c r="G1094" i="10"/>
  <c r="G982" i="10"/>
  <c r="G942" i="10"/>
  <c r="G886" i="10"/>
  <c r="G846" i="10"/>
  <c r="G814" i="10"/>
  <c r="V814" i="10" s="1"/>
  <c r="G766" i="10"/>
  <c r="G702" i="10"/>
  <c r="V702" i="10" s="1"/>
  <c r="G662" i="10"/>
  <c r="G582" i="10"/>
  <c r="V582" i="10" s="1"/>
  <c r="G574" i="10"/>
  <c r="G446" i="10"/>
  <c r="G406" i="10"/>
  <c r="V406" i="10" s="1"/>
  <c r="G398" i="10"/>
  <c r="V398" i="10" s="1"/>
  <c r="G310" i="10"/>
  <c r="G134" i="10"/>
  <c r="AE613" i="10"/>
  <c r="AE603" i="10"/>
  <c r="AE540" i="10"/>
  <c r="AE528" i="10"/>
  <c r="G734" i="10"/>
  <c r="V734" i="10" s="1"/>
  <c r="G499" i="10"/>
  <c r="V499" i="10" s="1"/>
  <c r="G705" i="10"/>
  <c r="V705" i="10" s="1"/>
  <c r="G880" i="10"/>
  <c r="AE437" i="10"/>
  <c r="AE407" i="10"/>
  <c r="AH912" i="10"/>
  <c r="G912" i="10"/>
  <c r="V912" i="10" s="1"/>
  <c r="AH830" i="10"/>
  <c r="AH827" i="10"/>
  <c r="AH713" i="10"/>
  <c r="AH542" i="10"/>
  <c r="G542" i="10"/>
  <c r="V542" i="10" s="1"/>
  <c r="AH456" i="10"/>
  <c r="V1116" i="10"/>
  <c r="G1202" i="10"/>
  <c r="G1194" i="10"/>
  <c r="G1186" i="10"/>
  <c r="G1178" i="10"/>
  <c r="G1162" i="10"/>
  <c r="G1154" i="10"/>
  <c r="M1146" i="10"/>
  <c r="AO1146" i="10" s="1"/>
  <c r="G1146" i="10"/>
  <c r="G1138" i="10"/>
  <c r="G1130" i="10"/>
  <c r="G1114" i="10"/>
  <c r="M1106" i="10"/>
  <c r="AO1106" i="10" s="1"/>
  <c r="G1106" i="10"/>
  <c r="G1098" i="10"/>
  <c r="G1090" i="10"/>
  <c r="M1082" i="10"/>
  <c r="G1082" i="10"/>
  <c r="G1074" i="10"/>
  <c r="G1066" i="10"/>
  <c r="V1066" i="10" s="1"/>
  <c r="M1058" i="10"/>
  <c r="G1058" i="10"/>
  <c r="M1050" i="10"/>
  <c r="G1050" i="10"/>
  <c r="G1042" i="10"/>
  <c r="G1034" i="10"/>
  <c r="M1018" i="10"/>
  <c r="G1018" i="10"/>
  <c r="G1010" i="10"/>
  <c r="M1002" i="10"/>
  <c r="G1002" i="10"/>
  <c r="M994" i="10"/>
  <c r="G994" i="10"/>
  <c r="M986" i="10"/>
  <c r="AO986" i="10" s="1"/>
  <c r="G986" i="10"/>
  <c r="G978" i="10"/>
  <c r="M970" i="10"/>
  <c r="AO970" i="10" s="1"/>
  <c r="G970" i="10"/>
  <c r="M962" i="10"/>
  <c r="G962" i="10"/>
  <c r="M954" i="10"/>
  <c r="G954" i="10"/>
  <c r="G938" i="10"/>
  <c r="M930" i="10"/>
  <c r="G930" i="10"/>
  <c r="M922" i="10"/>
  <c r="G922" i="10"/>
  <c r="M914" i="10"/>
  <c r="G914" i="10"/>
  <c r="M906" i="10"/>
  <c r="AO906" i="10" s="1"/>
  <c r="G906" i="10"/>
  <c r="M898" i="10"/>
  <c r="G898" i="10"/>
  <c r="M890" i="10"/>
  <c r="G890" i="10"/>
  <c r="M882" i="10"/>
  <c r="G882" i="10"/>
  <c r="V882" i="10" s="1"/>
  <c r="M866" i="10"/>
  <c r="AO866" i="10" s="1"/>
  <c r="G866" i="10"/>
  <c r="M858" i="10"/>
  <c r="G858" i="10"/>
  <c r="M850" i="10"/>
  <c r="G850" i="10"/>
  <c r="M842" i="10"/>
  <c r="G842" i="10"/>
  <c r="M826" i="10"/>
  <c r="AO826" i="10" s="1"/>
  <c r="G826" i="10"/>
  <c r="M818" i="10"/>
  <c r="G818" i="10"/>
  <c r="M810" i="10"/>
  <c r="G810" i="10"/>
  <c r="M802" i="10"/>
  <c r="G802" i="10"/>
  <c r="M794" i="10"/>
  <c r="AO794" i="10" s="1"/>
  <c r="G794" i="10"/>
  <c r="M786" i="10"/>
  <c r="G786" i="10"/>
  <c r="M778" i="10"/>
  <c r="G778" i="10"/>
  <c r="M770" i="10"/>
  <c r="G770" i="10"/>
  <c r="M762" i="10"/>
  <c r="G762" i="10"/>
  <c r="M754" i="10"/>
  <c r="G754" i="10"/>
  <c r="M746" i="10"/>
  <c r="G746" i="10"/>
  <c r="M738" i="10"/>
  <c r="G738" i="10"/>
  <c r="M730" i="10"/>
  <c r="G730" i="10"/>
  <c r="M722" i="10"/>
  <c r="G722" i="10"/>
  <c r="M714" i="10"/>
  <c r="G714" i="10"/>
  <c r="M706" i="10"/>
  <c r="G706" i="10"/>
  <c r="M698" i="10"/>
  <c r="G698" i="10"/>
  <c r="M690" i="10"/>
  <c r="G690" i="10"/>
  <c r="M682" i="10"/>
  <c r="G682" i="10"/>
  <c r="M674" i="10"/>
  <c r="AO674" i="10" s="1"/>
  <c r="G674" i="10"/>
  <c r="M658" i="10"/>
  <c r="G658" i="10"/>
  <c r="M650" i="10"/>
  <c r="G650" i="10"/>
  <c r="M642" i="10"/>
  <c r="G642" i="10"/>
  <c r="M634" i="10"/>
  <c r="G634" i="10"/>
  <c r="M626" i="10"/>
  <c r="AO626" i="10" s="1"/>
  <c r="G626" i="10"/>
  <c r="M618" i="10"/>
  <c r="G618" i="10"/>
  <c r="M610" i="10"/>
  <c r="G610" i="10"/>
  <c r="M602" i="10"/>
  <c r="G602" i="10"/>
  <c r="M594" i="10"/>
  <c r="G594" i="10"/>
  <c r="Y594" i="10" s="1"/>
  <c r="M586" i="10"/>
  <c r="G586" i="10"/>
  <c r="M578" i="10"/>
  <c r="G578" i="10"/>
  <c r="M570" i="10"/>
  <c r="G570" i="10"/>
  <c r="M562" i="10"/>
  <c r="AO562" i="10" s="1"/>
  <c r="G562" i="10"/>
  <c r="M554" i="10"/>
  <c r="G554" i="10"/>
  <c r="M546" i="10"/>
  <c r="G546" i="10"/>
  <c r="M538" i="10"/>
  <c r="AO538" i="10" s="1"/>
  <c r="G538" i="10"/>
  <c r="M530" i="10"/>
  <c r="AO530" i="10" s="1"/>
  <c r="G530" i="10"/>
  <c r="M514" i="10"/>
  <c r="G514" i="10"/>
  <c r="G506" i="10"/>
  <c r="G498" i="10"/>
  <c r="M490" i="10"/>
  <c r="G490" i="10"/>
  <c r="M482" i="10"/>
  <c r="G482" i="10"/>
  <c r="Y482" i="10" s="1"/>
  <c r="M466" i="10"/>
  <c r="G466" i="10"/>
  <c r="M458" i="10"/>
  <c r="G458" i="10"/>
  <c r="M450" i="10"/>
  <c r="AO450" i="10" s="1"/>
  <c r="G450" i="10"/>
  <c r="M442" i="10"/>
  <c r="G442" i="10"/>
  <c r="M434" i="10"/>
  <c r="G434" i="10"/>
  <c r="M426" i="10"/>
  <c r="G426" i="10"/>
  <c r="M418" i="10"/>
  <c r="AO418" i="10" s="1"/>
  <c r="G418" i="10"/>
  <c r="M402" i="10"/>
  <c r="G402" i="10"/>
  <c r="M394" i="10"/>
  <c r="G394" i="10"/>
  <c r="M386" i="10"/>
  <c r="G386" i="10"/>
  <c r="M378" i="10"/>
  <c r="G378" i="10"/>
  <c r="M370" i="10"/>
  <c r="AO370" i="10" s="1"/>
  <c r="G370" i="10"/>
  <c r="M362" i="10"/>
  <c r="G362" i="10"/>
  <c r="M354" i="10"/>
  <c r="G354" i="10"/>
  <c r="M338" i="10"/>
  <c r="G338" i="10"/>
  <c r="M330" i="10"/>
  <c r="AO330" i="10" s="1"/>
  <c r="G330" i="10"/>
  <c r="M322" i="10"/>
  <c r="G322" i="10"/>
  <c r="M314" i="10"/>
  <c r="G314" i="10"/>
  <c r="M306" i="10"/>
  <c r="AO306" i="10" s="1"/>
  <c r="G306" i="10"/>
  <c r="M298" i="10"/>
  <c r="G298" i="10"/>
  <c r="Y298" i="10" s="1"/>
  <c r="M290" i="10"/>
  <c r="G290" i="10"/>
  <c r="M274" i="10"/>
  <c r="G274" i="10"/>
  <c r="M266" i="10"/>
  <c r="G266" i="10"/>
  <c r="M258" i="10"/>
  <c r="G258" i="10"/>
  <c r="M250" i="10"/>
  <c r="G250" i="10"/>
  <c r="G90" i="10"/>
  <c r="G74" i="10"/>
  <c r="G66" i="10"/>
  <c r="G58" i="10"/>
  <c r="G42" i="10"/>
  <c r="G34" i="10"/>
  <c r="G124" i="10"/>
  <c r="G708" i="10"/>
  <c r="G597" i="10"/>
  <c r="G111" i="10"/>
  <c r="G64" i="10"/>
  <c r="G168" i="10"/>
  <c r="G346" i="10"/>
  <c r="G834" i="10"/>
  <c r="G1201" i="10"/>
  <c r="G1193" i="10"/>
  <c r="M1185" i="10"/>
  <c r="G1185" i="10"/>
  <c r="G1177" i="10"/>
  <c r="G1169" i="10"/>
  <c r="G1153" i="10"/>
  <c r="G1145" i="10"/>
  <c r="G1137" i="10"/>
  <c r="G1129" i="10"/>
  <c r="G1121" i="10"/>
  <c r="G1113" i="10"/>
  <c r="G1105" i="10"/>
  <c r="G1097" i="10"/>
  <c r="G1089" i="10"/>
  <c r="G1081" i="10"/>
  <c r="G1073" i="10"/>
  <c r="Y1073" i="10" s="1"/>
  <c r="G1065" i="10"/>
  <c r="G1057" i="10"/>
  <c r="G1049" i="10"/>
  <c r="G1033" i="10"/>
  <c r="G1025" i="10"/>
  <c r="G1017" i="10"/>
  <c r="G1009" i="10"/>
  <c r="G1001" i="10"/>
  <c r="G993" i="10"/>
  <c r="G985" i="10"/>
  <c r="G977" i="10"/>
  <c r="G961" i="10"/>
  <c r="G953" i="10"/>
  <c r="G945" i="10"/>
  <c r="Y945" i="10" s="1"/>
  <c r="G929" i="10"/>
  <c r="G921" i="10"/>
  <c r="G913" i="10"/>
  <c r="G905" i="10"/>
  <c r="G889" i="10"/>
  <c r="G881" i="10"/>
  <c r="G873" i="10"/>
  <c r="G865" i="10"/>
  <c r="G857" i="10"/>
  <c r="G849" i="10"/>
  <c r="G841" i="10"/>
  <c r="G833" i="10"/>
  <c r="G825" i="10"/>
  <c r="G817" i="10"/>
  <c r="G809" i="10"/>
  <c r="G801" i="10"/>
  <c r="G793" i="10"/>
  <c r="G785" i="10"/>
  <c r="G769" i="10"/>
  <c r="G761" i="10"/>
  <c r="G753" i="10"/>
  <c r="G745" i="10"/>
  <c r="G737" i="10"/>
  <c r="G729" i="10"/>
  <c r="G721" i="10"/>
  <c r="G713" i="10"/>
  <c r="V713" i="10" s="1"/>
  <c r="G697" i="10"/>
  <c r="G689" i="10"/>
  <c r="G681" i="10"/>
  <c r="G673" i="10"/>
  <c r="G665" i="10"/>
  <c r="G657" i="10"/>
  <c r="G641" i="10"/>
  <c r="G633" i="10"/>
  <c r="G625" i="10"/>
  <c r="G617" i="10"/>
  <c r="G601" i="10"/>
  <c r="G593" i="10"/>
  <c r="G585" i="10"/>
  <c r="G577" i="10"/>
  <c r="G569" i="10"/>
  <c r="G561" i="10"/>
  <c r="G553" i="10"/>
  <c r="G545" i="10"/>
  <c r="G529" i="10"/>
  <c r="G521" i="10"/>
  <c r="M513" i="10"/>
  <c r="G513" i="10"/>
  <c r="G505" i="10"/>
  <c r="G489" i="10"/>
  <c r="M481" i="10"/>
  <c r="AO481" i="10" s="1"/>
  <c r="G481" i="10"/>
  <c r="G473" i="10"/>
  <c r="G465" i="10"/>
  <c r="M457" i="10"/>
  <c r="AO457" i="10" s="1"/>
  <c r="G457" i="10"/>
  <c r="G449" i="10"/>
  <c r="Y449" i="10" s="1"/>
  <c r="M441" i="10"/>
  <c r="G441" i="10"/>
  <c r="M433" i="10"/>
  <c r="G433" i="10"/>
  <c r="M425" i="10"/>
  <c r="AO425" i="10" s="1"/>
  <c r="G425" i="10"/>
  <c r="M417" i="10"/>
  <c r="AO417" i="10" s="1"/>
  <c r="G417" i="10"/>
  <c r="G409" i="10"/>
  <c r="G401" i="10"/>
  <c r="G393" i="10"/>
  <c r="G385" i="10"/>
  <c r="G377" i="10"/>
  <c r="M369" i="10"/>
  <c r="AO369" i="10" s="1"/>
  <c r="G361" i="10"/>
  <c r="M353" i="10"/>
  <c r="G353" i="10"/>
  <c r="G345" i="10"/>
  <c r="M337" i="10"/>
  <c r="G329" i="10"/>
  <c r="M321" i="10"/>
  <c r="G321" i="10"/>
  <c r="Y321" i="10" s="1"/>
  <c r="G313" i="10"/>
  <c r="G305" i="10"/>
  <c r="M297" i="10"/>
  <c r="G297" i="10"/>
  <c r="G281" i="10"/>
  <c r="G273" i="10"/>
  <c r="G265" i="10"/>
  <c r="G257" i="10"/>
  <c r="G249" i="10"/>
  <c r="M241" i="10"/>
  <c r="G233" i="10"/>
  <c r="G217" i="10"/>
  <c r="G193" i="10"/>
  <c r="G185" i="10"/>
  <c r="G169" i="10"/>
  <c r="G153" i="10"/>
  <c r="G145" i="10"/>
  <c r="G137" i="10"/>
  <c r="G129" i="10"/>
  <c r="G105" i="10"/>
  <c r="G89" i="10"/>
  <c r="G57" i="10"/>
  <c r="G49" i="10"/>
  <c r="G25" i="10"/>
  <c r="G17" i="10"/>
  <c r="G9" i="10"/>
  <c r="G10" i="10"/>
  <c r="G59" i="10"/>
  <c r="G16" i="10"/>
  <c r="G188" i="10"/>
  <c r="G524" i="10"/>
  <c r="G780" i="10"/>
  <c r="G494" i="10"/>
  <c r="G119" i="10"/>
  <c r="G224" i="10"/>
  <c r="G50" i="10"/>
  <c r="G410" i="10"/>
  <c r="G115" i="10"/>
  <c r="P209" i="10"/>
  <c r="G209" i="10"/>
  <c r="P121" i="10"/>
  <c r="G121" i="10"/>
  <c r="M1200" i="10"/>
  <c r="G1200" i="10"/>
  <c r="M1192" i="10"/>
  <c r="G1192" i="10"/>
  <c r="G1184" i="10"/>
  <c r="G1176" i="10"/>
  <c r="G1168" i="10"/>
  <c r="G1144" i="10"/>
  <c r="G1136" i="10"/>
  <c r="G1128" i="10"/>
  <c r="M1120" i="10"/>
  <c r="G1120" i="10"/>
  <c r="G1112" i="10"/>
  <c r="G1104" i="10"/>
  <c r="G1096" i="10"/>
  <c r="G1088" i="10"/>
  <c r="G1072" i="10"/>
  <c r="G1064" i="10"/>
  <c r="G1056" i="10"/>
  <c r="G1048" i="10"/>
  <c r="G1040" i="10"/>
  <c r="G1032" i="10"/>
  <c r="G1024" i="10"/>
  <c r="G1016" i="10"/>
  <c r="G1008" i="10"/>
  <c r="M992" i="10"/>
  <c r="AO992" i="10" s="1"/>
  <c r="G992" i="10"/>
  <c r="G984" i="10"/>
  <c r="Y984" i="10" s="1"/>
  <c r="G976" i="10"/>
  <c r="G968" i="10"/>
  <c r="G960" i="10"/>
  <c r="G952" i="10"/>
  <c r="G944" i="10"/>
  <c r="G936" i="10"/>
  <c r="G928" i="10"/>
  <c r="G920" i="10"/>
  <c r="M904" i="10"/>
  <c r="G904" i="10"/>
  <c r="G896" i="10"/>
  <c r="G888" i="10"/>
  <c r="G872" i="10"/>
  <c r="G864" i="10"/>
  <c r="G856" i="10"/>
  <c r="G848" i="10"/>
  <c r="G840" i="10"/>
  <c r="G824" i="10"/>
  <c r="G816" i="10"/>
  <c r="G808" i="10"/>
  <c r="G800" i="10"/>
  <c r="M792" i="10"/>
  <c r="G792" i="10"/>
  <c r="G776" i="10"/>
  <c r="G768" i="10"/>
  <c r="G760" i="10"/>
  <c r="G752" i="10"/>
  <c r="G736" i="10"/>
  <c r="M728" i="10"/>
  <c r="G728" i="10"/>
  <c r="M720" i="10"/>
  <c r="G720" i="10"/>
  <c r="Y720" i="10" s="1"/>
  <c r="G712" i="10"/>
  <c r="Y712" i="10" s="1"/>
  <c r="M696" i="10"/>
  <c r="G696" i="10"/>
  <c r="G688" i="10"/>
  <c r="G680" i="10"/>
  <c r="G672" i="10"/>
  <c r="G656" i="10"/>
  <c r="G648" i="10"/>
  <c r="G640" i="10"/>
  <c r="Y640" i="10" s="1"/>
  <c r="M632" i="10"/>
  <c r="G624" i="10"/>
  <c r="G616" i="10"/>
  <c r="G608" i="10"/>
  <c r="G600" i="10"/>
  <c r="Y600" i="10" s="1"/>
  <c r="G584" i="10"/>
  <c r="M576" i="10"/>
  <c r="G576" i="10"/>
  <c r="G568" i="10"/>
  <c r="Y568" i="10" s="1"/>
  <c r="G560" i="10"/>
  <c r="G544" i="10"/>
  <c r="G536" i="10"/>
  <c r="G528" i="10"/>
  <c r="Y528" i="10" s="1"/>
  <c r="G504" i="10"/>
  <c r="G496" i="10"/>
  <c r="G488" i="10"/>
  <c r="G472" i="10"/>
  <c r="G464" i="10"/>
  <c r="M456" i="10"/>
  <c r="G456" i="10"/>
  <c r="V456" i="10" s="1"/>
  <c r="M432" i="10"/>
  <c r="G432" i="10"/>
  <c r="G424" i="10"/>
  <c r="M416" i="10"/>
  <c r="AO416" i="10" s="1"/>
  <c r="G416" i="10"/>
  <c r="M408" i="10"/>
  <c r="AO408" i="10" s="1"/>
  <c r="G408" i="10"/>
  <c r="G400" i="10"/>
  <c r="M376" i="10"/>
  <c r="AO376" i="10" s="1"/>
  <c r="G376" i="10"/>
  <c r="G368" i="10"/>
  <c r="M360" i="10"/>
  <c r="AO360" i="10" s="1"/>
  <c r="G360" i="10"/>
  <c r="M352" i="10"/>
  <c r="AO352" i="10" s="1"/>
  <c r="G352" i="10"/>
  <c r="G344" i="10"/>
  <c r="M328" i="10"/>
  <c r="AO328" i="10" s="1"/>
  <c r="M320" i="10"/>
  <c r="G320" i="10"/>
  <c r="M312" i="10"/>
  <c r="G312" i="10"/>
  <c r="G304" i="10"/>
  <c r="G280" i="10"/>
  <c r="G264" i="10"/>
  <c r="G248" i="10"/>
  <c r="G240" i="10"/>
  <c r="G208" i="10"/>
  <c r="G200" i="10"/>
  <c r="G192" i="10"/>
  <c r="G176" i="10"/>
  <c r="G144" i="10"/>
  <c r="G136" i="10"/>
  <c r="G128" i="10"/>
  <c r="G120" i="10"/>
  <c r="G96" i="10"/>
  <c r="G88" i="10"/>
  <c r="G80" i="10"/>
  <c r="G72" i="10"/>
  <c r="G56" i="10"/>
  <c r="G48" i="10"/>
  <c r="G40" i="10"/>
  <c r="G32" i="10"/>
  <c r="G18" i="10"/>
  <c r="G24" i="10"/>
  <c r="G596" i="10"/>
  <c r="G948" i="10"/>
  <c r="G1028" i="10"/>
  <c r="G661" i="10"/>
  <c r="G302" i="10"/>
  <c r="G175" i="10"/>
  <c r="G232" i="10"/>
  <c r="G241" i="10"/>
  <c r="G474" i="10"/>
  <c r="G187" i="10"/>
  <c r="G755" i="10"/>
  <c r="G1026" i="10"/>
  <c r="P1152" i="10"/>
  <c r="P736" i="10"/>
  <c r="P728" i="10"/>
  <c r="P664" i="10"/>
  <c r="P608" i="10"/>
  <c r="P576" i="10"/>
  <c r="P544" i="10"/>
  <c r="P512" i="10"/>
  <c r="P98" i="10"/>
  <c r="AO98" i="10" s="1"/>
  <c r="G98" i="10"/>
  <c r="G1207" i="10"/>
  <c r="G1199" i="10"/>
  <c r="G1191" i="10"/>
  <c r="G1183" i="10"/>
  <c r="G1175" i="10"/>
  <c r="G1159" i="10"/>
  <c r="G1151" i="10"/>
  <c r="G1143" i="10"/>
  <c r="G1135" i="10"/>
  <c r="G1119" i="10"/>
  <c r="G1111" i="10"/>
  <c r="G1103" i="10"/>
  <c r="G1087" i="10"/>
  <c r="G1079" i="10"/>
  <c r="G1071" i="10"/>
  <c r="G1047" i="10"/>
  <c r="G1039" i="10"/>
  <c r="G1031" i="10"/>
  <c r="G1023" i="10"/>
  <c r="G1007" i="10"/>
  <c r="G999" i="10"/>
  <c r="G991" i="10"/>
  <c r="G975" i="10"/>
  <c r="G967" i="10"/>
  <c r="G959" i="10"/>
  <c r="G951" i="10"/>
  <c r="Y951" i="10" s="1"/>
  <c r="G943" i="10"/>
  <c r="G927" i="10"/>
  <c r="G919" i="10"/>
  <c r="G911" i="10"/>
  <c r="G895" i="10"/>
  <c r="V895" i="10" s="1"/>
  <c r="G887" i="10"/>
  <c r="G879" i="10"/>
  <c r="G863" i="10"/>
  <c r="G855" i="10"/>
  <c r="G847" i="10"/>
  <c r="G831" i="10"/>
  <c r="G823" i="10"/>
  <c r="G815" i="10"/>
  <c r="G807" i="10"/>
  <c r="G791" i="10"/>
  <c r="G783" i="10"/>
  <c r="G775" i="10"/>
  <c r="G759" i="10"/>
  <c r="G751" i="10"/>
  <c r="G743" i="10"/>
  <c r="G735" i="10"/>
  <c r="G719" i="10"/>
  <c r="G711" i="10"/>
  <c r="G703" i="10"/>
  <c r="G695" i="10"/>
  <c r="G687" i="10"/>
  <c r="G663" i="10"/>
  <c r="Y663" i="10" s="1"/>
  <c r="G655" i="10"/>
  <c r="G647" i="10"/>
  <c r="G631" i="10"/>
  <c r="G623" i="10"/>
  <c r="V623" i="10" s="1"/>
  <c r="G615" i="10"/>
  <c r="G607" i="10"/>
  <c r="G591" i="10"/>
  <c r="G583" i="10"/>
  <c r="G575" i="10"/>
  <c r="G559" i="10"/>
  <c r="G551" i="10"/>
  <c r="G543" i="10"/>
  <c r="G527" i="10"/>
  <c r="G519" i="10"/>
  <c r="G511" i="10"/>
  <c r="G503" i="10"/>
  <c r="G495" i="10"/>
  <c r="M479" i="10"/>
  <c r="AO479" i="10" s="1"/>
  <c r="G479" i="10"/>
  <c r="M471" i="10"/>
  <c r="G471" i="10"/>
  <c r="G463" i="10"/>
  <c r="G455" i="10"/>
  <c r="G447" i="10"/>
  <c r="G423" i="10"/>
  <c r="G415" i="10"/>
  <c r="G407" i="10"/>
  <c r="Y407" i="10" s="1"/>
  <c r="G399" i="10"/>
  <c r="G391" i="10"/>
  <c r="G383" i="10"/>
  <c r="G359" i="10"/>
  <c r="G351" i="10"/>
  <c r="G343" i="10"/>
  <c r="G335" i="10"/>
  <c r="Y335" i="10" s="1"/>
  <c r="G327" i="10"/>
  <c r="G319" i="10"/>
  <c r="G295" i="10"/>
  <c r="G287" i="10"/>
  <c r="G279" i="10"/>
  <c r="G271" i="10"/>
  <c r="G263" i="10"/>
  <c r="G255" i="10"/>
  <c r="G231" i="10"/>
  <c r="G223" i="10"/>
  <c r="G215" i="10"/>
  <c r="G207" i="10"/>
  <c r="G199" i="10"/>
  <c r="G191" i="10"/>
  <c r="G167" i="10"/>
  <c r="G159" i="10"/>
  <c r="Y159" i="10" s="1"/>
  <c r="G151" i="10"/>
  <c r="G143" i="10"/>
  <c r="G135" i="10"/>
  <c r="G127" i="10"/>
  <c r="G103" i="10"/>
  <c r="G95" i="10"/>
  <c r="G87" i="10"/>
  <c r="G79" i="10"/>
  <c r="G71" i="10"/>
  <c r="G63" i="10"/>
  <c r="G55" i="10"/>
  <c r="G47" i="10"/>
  <c r="G23" i="10"/>
  <c r="G15" i="10"/>
  <c r="G7" i="10"/>
  <c r="G62" i="10"/>
  <c r="G268" i="10"/>
  <c r="G668" i="10"/>
  <c r="G852" i="10"/>
  <c r="G557" i="10"/>
  <c r="G813" i="10"/>
  <c r="G893" i="10"/>
  <c r="G142" i="10"/>
  <c r="G183" i="10"/>
  <c r="G392" i="10"/>
  <c r="G480" i="10"/>
  <c r="Y480" i="10" s="1"/>
  <c r="G161" i="10"/>
  <c r="G387" i="10"/>
  <c r="G531" i="10"/>
  <c r="G675" i="10"/>
  <c r="G1131" i="10"/>
  <c r="G1080" i="10"/>
  <c r="M1206" i="10"/>
  <c r="G1206" i="10"/>
  <c r="M1198" i="10"/>
  <c r="AO1198" i="10" s="1"/>
  <c r="G1198" i="10"/>
  <c r="M1190" i="10"/>
  <c r="AO1190" i="10" s="1"/>
  <c r="G1190" i="10"/>
  <c r="M1182" i="10"/>
  <c r="G1182" i="10"/>
  <c r="G1174" i="10"/>
  <c r="M1166" i="10"/>
  <c r="G1166" i="10"/>
  <c r="G1158" i="10"/>
  <c r="G1150" i="10"/>
  <c r="G1142" i="10"/>
  <c r="G1134" i="10"/>
  <c r="M1126" i="10"/>
  <c r="G1126" i="10"/>
  <c r="G1118" i="10"/>
  <c r="G1110" i="10"/>
  <c r="G1102" i="10"/>
  <c r="G1086" i="10"/>
  <c r="G1078" i="10"/>
  <c r="G1070" i="10"/>
  <c r="G1062" i="10"/>
  <c r="G1054" i="10"/>
  <c r="G1046" i="10"/>
  <c r="G1038" i="10"/>
  <c r="G1022" i="10"/>
  <c r="M1014" i="10"/>
  <c r="AO1014" i="10" s="1"/>
  <c r="G1014" i="10"/>
  <c r="G1006" i="10"/>
  <c r="M998" i="10"/>
  <c r="AO998" i="10" s="1"/>
  <c r="G998" i="10"/>
  <c r="G990" i="10"/>
  <c r="G974" i="10"/>
  <c r="G966" i="10"/>
  <c r="G958" i="10"/>
  <c r="G950" i="10"/>
  <c r="G934" i="10"/>
  <c r="G926" i="10"/>
  <c r="G918" i="10"/>
  <c r="G910" i="10"/>
  <c r="G902" i="10"/>
  <c r="G878" i="10"/>
  <c r="G870" i="10"/>
  <c r="G862" i="10"/>
  <c r="G854" i="10"/>
  <c r="G838" i="10"/>
  <c r="G830" i="10"/>
  <c r="V830" i="10" s="1"/>
  <c r="G822" i="10"/>
  <c r="M806" i="10"/>
  <c r="G806" i="10"/>
  <c r="G798" i="10"/>
  <c r="M790" i="10"/>
  <c r="AO790" i="10" s="1"/>
  <c r="G790" i="10"/>
  <c r="G782" i="10"/>
  <c r="G774" i="10"/>
  <c r="G758" i="10"/>
  <c r="G750" i="10"/>
  <c r="M742" i="10"/>
  <c r="G742" i="10"/>
  <c r="G726" i="10"/>
  <c r="M718" i="10"/>
  <c r="G718" i="10"/>
  <c r="G710" i="10"/>
  <c r="G694" i="10"/>
  <c r="G686" i="10"/>
  <c r="G678" i="10"/>
  <c r="G670" i="10"/>
  <c r="G654" i="10"/>
  <c r="G646" i="10"/>
  <c r="G638" i="10"/>
  <c r="G630" i="10"/>
  <c r="G622" i="10"/>
  <c r="G606" i="10"/>
  <c r="G598" i="10"/>
  <c r="G590" i="10"/>
  <c r="G566" i="10"/>
  <c r="G558" i="10"/>
  <c r="G550" i="10"/>
  <c r="M534" i="10"/>
  <c r="G534" i="10"/>
  <c r="G526" i="10"/>
  <c r="M518" i="10"/>
  <c r="AO518" i="10" s="1"/>
  <c r="G518" i="10"/>
  <c r="G510" i="10"/>
  <c r="M502" i="10"/>
  <c r="G502" i="10"/>
  <c r="G486" i="10"/>
  <c r="M478" i="10"/>
  <c r="G478" i="10"/>
  <c r="M470" i="10"/>
  <c r="AO470" i="10" s="1"/>
  <c r="G470" i="10"/>
  <c r="G462" i="10"/>
  <c r="G438" i="10"/>
  <c r="Y438" i="10" s="1"/>
  <c r="M430" i="10"/>
  <c r="G430" i="10"/>
  <c r="M422" i="10"/>
  <c r="G422" i="10"/>
  <c r="M414" i="10"/>
  <c r="AO414" i="10" s="1"/>
  <c r="G414" i="10"/>
  <c r="G390" i="10"/>
  <c r="M382" i="10"/>
  <c r="G382" i="10"/>
  <c r="G374" i="10"/>
  <c r="G366" i="10"/>
  <c r="M350" i="10"/>
  <c r="AO350" i="10" s="1"/>
  <c r="G350" i="10"/>
  <c r="G342" i="10"/>
  <c r="M334" i="10"/>
  <c r="AO334" i="10" s="1"/>
  <c r="G334" i="10"/>
  <c r="G326" i="10"/>
  <c r="G318" i="10"/>
  <c r="M294" i="10"/>
  <c r="G294" i="10"/>
  <c r="G286" i="10"/>
  <c r="G278" i="10"/>
  <c r="M270" i="10"/>
  <c r="AO270" i="10" s="1"/>
  <c r="G270" i="10"/>
  <c r="M262" i="10"/>
  <c r="AO262" i="10" s="1"/>
  <c r="G262" i="10"/>
  <c r="G246" i="10"/>
  <c r="M238" i="10"/>
  <c r="G238" i="10"/>
  <c r="G230" i="10"/>
  <c r="G222" i="10"/>
  <c r="M206" i="10"/>
  <c r="G206" i="10"/>
  <c r="G198" i="10"/>
  <c r="G190" i="10"/>
  <c r="M182" i="10"/>
  <c r="AO182" i="10" s="1"/>
  <c r="G182" i="10"/>
  <c r="G166" i="10"/>
  <c r="G158" i="10"/>
  <c r="G150" i="10"/>
  <c r="G126" i="10"/>
  <c r="G118" i="10"/>
  <c r="M110" i="10"/>
  <c r="G110" i="10"/>
  <c r="G102" i="10"/>
  <c r="M86" i="10"/>
  <c r="G86" i="10"/>
  <c r="M78" i="10"/>
  <c r="G78" i="10"/>
  <c r="G70" i="10"/>
  <c r="M54" i="10"/>
  <c r="G54" i="10"/>
  <c r="G46" i="10"/>
  <c r="M38" i="10"/>
  <c r="AO38" i="10" s="1"/>
  <c r="G38" i="10"/>
  <c r="G30" i="10"/>
  <c r="M22" i="10"/>
  <c r="AO22" i="10" s="1"/>
  <c r="G22" i="10"/>
  <c r="G14" i="10"/>
  <c r="G61" i="10"/>
  <c r="G156" i="10"/>
  <c r="G981" i="10"/>
  <c r="G214" i="10"/>
  <c r="G894" i="10"/>
  <c r="G239" i="10"/>
  <c r="G104" i="10"/>
  <c r="G552" i="10"/>
  <c r="G666" i="10"/>
  <c r="G874" i="10"/>
  <c r="G963" i="10"/>
  <c r="G1043" i="10"/>
  <c r="G1205" i="10"/>
  <c r="G1197" i="10"/>
  <c r="M1189" i="10"/>
  <c r="G1189" i="10"/>
  <c r="G1181" i="10"/>
  <c r="G1173" i="10"/>
  <c r="M1165" i="10"/>
  <c r="AO1165" i="10" s="1"/>
  <c r="G1165" i="10"/>
  <c r="M1157" i="10"/>
  <c r="G1157" i="10"/>
  <c r="G1149" i="10"/>
  <c r="G1141" i="10"/>
  <c r="G1133" i="10"/>
  <c r="G1125" i="10"/>
  <c r="G1117" i="10"/>
  <c r="G1109" i="10"/>
  <c r="M1101" i="10"/>
  <c r="G1101" i="10"/>
  <c r="G1085" i="10"/>
  <c r="M1077" i="10"/>
  <c r="G1077" i="10"/>
  <c r="M1069" i="10"/>
  <c r="G1069" i="10"/>
  <c r="Y1069" i="10" s="1"/>
  <c r="G1061" i="10"/>
  <c r="G1053" i="10"/>
  <c r="G1045" i="10"/>
  <c r="M1037" i="10"/>
  <c r="G1037" i="10"/>
  <c r="G1029" i="10"/>
  <c r="V1029" i="10" s="1"/>
  <c r="G1021" i="10"/>
  <c r="G1013" i="10"/>
  <c r="G1005" i="10"/>
  <c r="G997" i="10"/>
  <c r="G989" i="10"/>
  <c r="G973" i="10"/>
  <c r="M965" i="10"/>
  <c r="G965" i="10"/>
  <c r="G957" i="10"/>
  <c r="G949" i="10"/>
  <c r="G933" i="10"/>
  <c r="G925" i="10"/>
  <c r="G917" i="10"/>
  <c r="M909" i="10"/>
  <c r="G909" i="10"/>
  <c r="G885" i="10"/>
  <c r="M877" i="10"/>
  <c r="G877" i="10"/>
  <c r="G869" i="10"/>
  <c r="G853" i="10"/>
  <c r="M845" i="10"/>
  <c r="AO845" i="10" s="1"/>
  <c r="G845" i="10"/>
  <c r="G837" i="10"/>
  <c r="M829" i="10"/>
  <c r="AO829" i="10" s="1"/>
  <c r="G829" i="10"/>
  <c r="G821" i="10"/>
  <c r="G805" i="10"/>
  <c r="G797" i="10"/>
  <c r="M789" i="10"/>
  <c r="G789" i="10"/>
  <c r="M765" i="10"/>
  <c r="AO765" i="10" s="1"/>
  <c r="G765" i="10"/>
  <c r="G757" i="10"/>
  <c r="M749" i="10"/>
  <c r="AO749" i="10" s="1"/>
  <c r="G749" i="10"/>
  <c r="G741" i="10"/>
  <c r="M725" i="10"/>
  <c r="G725" i="10"/>
  <c r="M717" i="10"/>
  <c r="G717" i="10"/>
  <c r="G709" i="10"/>
  <c r="M701" i="10"/>
  <c r="AO701" i="10" s="1"/>
  <c r="G701" i="10"/>
  <c r="M685" i="10"/>
  <c r="G685" i="10"/>
  <c r="G677" i="10"/>
  <c r="G669" i="10"/>
  <c r="M653" i="10"/>
  <c r="AO653" i="10" s="1"/>
  <c r="G653" i="10"/>
  <c r="G645" i="10"/>
  <c r="M637" i="10"/>
  <c r="AO637" i="10" s="1"/>
  <c r="G637" i="10"/>
  <c r="M621" i="10"/>
  <c r="G621" i="10"/>
  <c r="G613" i="10"/>
  <c r="Y613" i="10" s="1"/>
  <c r="M605" i="10"/>
  <c r="G605" i="10"/>
  <c r="M589" i="10"/>
  <c r="G589" i="10"/>
  <c r="G581" i="10"/>
  <c r="Y581" i="10" s="1"/>
  <c r="M573" i="10"/>
  <c r="G573" i="10"/>
  <c r="M565" i="10"/>
  <c r="G565" i="10"/>
  <c r="G549" i="10"/>
  <c r="M541" i="10"/>
  <c r="G541" i="10"/>
  <c r="M533" i="10"/>
  <c r="G533" i="10"/>
  <c r="M509" i="10"/>
  <c r="G509" i="10"/>
  <c r="M501" i="10"/>
  <c r="G501" i="10"/>
  <c r="M493" i="10"/>
  <c r="AO493" i="10" s="1"/>
  <c r="G493" i="10"/>
  <c r="G485" i="10"/>
  <c r="G461" i="10"/>
  <c r="G453" i="10"/>
  <c r="G445" i="10"/>
  <c r="G437" i="10"/>
  <c r="Y437" i="10" s="1"/>
  <c r="G429" i="10"/>
  <c r="G421" i="10"/>
  <c r="G397" i="10"/>
  <c r="G389" i="10"/>
  <c r="G381" i="10"/>
  <c r="G373" i="10"/>
  <c r="G365" i="10"/>
  <c r="G357" i="10"/>
  <c r="G333" i="10"/>
  <c r="G325" i="10"/>
  <c r="G317" i="10"/>
  <c r="G309" i="10"/>
  <c r="G301" i="10"/>
  <c r="G293" i="10"/>
  <c r="G269" i="10"/>
  <c r="G261" i="10"/>
  <c r="G253" i="10"/>
  <c r="G245" i="10"/>
  <c r="G237" i="10"/>
  <c r="G229" i="10"/>
  <c r="G205" i="10"/>
  <c r="G197" i="10"/>
  <c r="G189" i="10"/>
  <c r="G181" i="10"/>
  <c r="G173" i="10"/>
  <c r="G165" i="10"/>
  <c r="G141" i="10"/>
  <c r="G133" i="10"/>
  <c r="G125" i="10"/>
  <c r="G117" i="10"/>
  <c r="G109" i="10"/>
  <c r="G101" i="10"/>
  <c r="M93" i="10"/>
  <c r="G93" i="10"/>
  <c r="G85" i="10"/>
  <c r="M77" i="10"/>
  <c r="G77" i="10"/>
  <c r="G69" i="10"/>
  <c r="M45" i="10"/>
  <c r="G45" i="10"/>
  <c r="G29" i="10"/>
  <c r="G21" i="10"/>
  <c r="M13" i="10"/>
  <c r="AO13" i="10" s="1"/>
  <c r="G13" i="10"/>
  <c r="G11" i="10"/>
  <c r="G740" i="10"/>
  <c r="G812" i="10"/>
  <c r="G988" i="10"/>
  <c r="G358" i="10"/>
  <c r="Y358" i="10" s="1"/>
  <c r="G247" i="10"/>
  <c r="G112" i="10"/>
  <c r="G272" i="10"/>
  <c r="G632" i="10"/>
  <c r="G369" i="10"/>
  <c r="G154" i="10"/>
  <c r="G522" i="10"/>
  <c r="G803" i="10"/>
  <c r="G883" i="10"/>
  <c r="P597" i="10"/>
  <c r="P565" i="10"/>
  <c r="P541" i="10"/>
  <c r="G1204" i="10"/>
  <c r="G1196" i="10"/>
  <c r="M1188" i="10"/>
  <c r="AO1188" i="10" s="1"/>
  <c r="G1188" i="10"/>
  <c r="G1180" i="10"/>
  <c r="G1172" i="10"/>
  <c r="M1148" i="10"/>
  <c r="G1148" i="10"/>
  <c r="M1140" i="10"/>
  <c r="G1140" i="10"/>
  <c r="G1132" i="10"/>
  <c r="M1124" i="10"/>
  <c r="AO1124" i="10" s="1"/>
  <c r="G1124" i="10"/>
  <c r="M1108" i="10"/>
  <c r="AO1108" i="10" s="1"/>
  <c r="G1108" i="10"/>
  <c r="G1100" i="10"/>
  <c r="G1092" i="10"/>
  <c r="M1084" i="10"/>
  <c r="AO1084" i="10" s="1"/>
  <c r="G1084" i="10"/>
  <c r="G1076" i="10"/>
  <c r="M1060" i="10"/>
  <c r="AO1060" i="10" s="1"/>
  <c r="G1060" i="10"/>
  <c r="M1052" i="10"/>
  <c r="G1052" i="10"/>
  <c r="M1044" i="10"/>
  <c r="G1044" i="10"/>
  <c r="M1036" i="10"/>
  <c r="AO1036" i="10" s="1"/>
  <c r="G1036" i="10"/>
  <c r="M1020" i="10"/>
  <c r="AO1020" i="10" s="1"/>
  <c r="G1020" i="10"/>
  <c r="M1012" i="10"/>
  <c r="G1012" i="10"/>
  <c r="M1004" i="10"/>
  <c r="G1004" i="10"/>
  <c r="M996" i="10"/>
  <c r="AO996" i="10" s="1"/>
  <c r="G996" i="10"/>
  <c r="M980" i="10"/>
  <c r="G980" i="10"/>
  <c r="M972" i="10"/>
  <c r="G972" i="10"/>
  <c r="M964" i="10"/>
  <c r="G964" i="10"/>
  <c r="M956" i="10"/>
  <c r="AO956" i="10" s="1"/>
  <c r="G956" i="10"/>
  <c r="M940" i="10"/>
  <c r="AO940" i="10" s="1"/>
  <c r="G940" i="10"/>
  <c r="M932" i="10"/>
  <c r="G932" i="10"/>
  <c r="M924" i="10"/>
  <c r="G924" i="10"/>
  <c r="M916" i="10"/>
  <c r="G916" i="10"/>
  <c r="M908" i="10"/>
  <c r="G908" i="10"/>
  <c r="M884" i="10"/>
  <c r="G884" i="10"/>
  <c r="Y884" i="10" s="1"/>
  <c r="M876" i="10"/>
  <c r="G876" i="10"/>
  <c r="M868" i="10"/>
  <c r="G868" i="10"/>
  <c r="M860" i="10"/>
  <c r="AO860" i="10" s="1"/>
  <c r="G860" i="10"/>
  <c r="M844" i="10"/>
  <c r="G844" i="10"/>
  <c r="M836" i="10"/>
  <c r="G836" i="10"/>
  <c r="V836" i="10" s="1"/>
  <c r="AO836" i="10" s="1"/>
  <c r="M828" i="10"/>
  <c r="AO828" i="10" s="1"/>
  <c r="G828" i="10"/>
  <c r="M804" i="10"/>
  <c r="AO804" i="10" s="1"/>
  <c r="G804" i="10"/>
  <c r="M796" i="10"/>
  <c r="G796" i="10"/>
  <c r="M788" i="10"/>
  <c r="G788" i="10"/>
  <c r="M772" i="10"/>
  <c r="G772" i="10"/>
  <c r="M764" i="10"/>
  <c r="AO764" i="10" s="1"/>
  <c r="G764" i="10"/>
  <c r="M756" i="10"/>
  <c r="G756" i="10"/>
  <c r="M748" i="10"/>
  <c r="G748" i="10"/>
  <c r="M732" i="10"/>
  <c r="G732" i="10"/>
  <c r="Y732" i="10" s="1"/>
  <c r="M724" i="10"/>
  <c r="G724" i="10"/>
  <c r="Y724" i="10" s="1"/>
  <c r="M716" i="10"/>
  <c r="G716" i="10"/>
  <c r="M700" i="10"/>
  <c r="G700" i="10"/>
  <c r="M692" i="10"/>
  <c r="G692" i="10"/>
  <c r="Y692" i="10" s="1"/>
  <c r="M684" i="10"/>
  <c r="AO684" i="10" s="1"/>
  <c r="G684" i="10"/>
  <c r="M676" i="10"/>
  <c r="G676" i="10"/>
  <c r="M660" i="10"/>
  <c r="G660" i="10"/>
  <c r="M652" i="10"/>
  <c r="G652" i="10"/>
  <c r="M644" i="10"/>
  <c r="G644" i="10"/>
  <c r="M628" i="10"/>
  <c r="G628" i="10"/>
  <c r="M620" i="10"/>
  <c r="G620" i="10"/>
  <c r="M612" i="10"/>
  <c r="G612" i="10"/>
  <c r="M604" i="10"/>
  <c r="AO604" i="10" s="1"/>
  <c r="G604" i="10"/>
  <c r="M588" i="10"/>
  <c r="G588" i="10"/>
  <c r="M580" i="10"/>
  <c r="G580" i="10"/>
  <c r="M572" i="10"/>
  <c r="G572" i="10"/>
  <c r="M556" i="10"/>
  <c r="G556" i="10"/>
  <c r="Y556" i="10" s="1"/>
  <c r="M548" i="10"/>
  <c r="G548" i="10"/>
  <c r="M540" i="10"/>
  <c r="G540" i="10"/>
  <c r="Y540" i="10" s="1"/>
  <c r="M532" i="10"/>
  <c r="G532" i="10"/>
  <c r="M516" i="10"/>
  <c r="G516" i="10"/>
  <c r="G508" i="10"/>
  <c r="G500" i="10"/>
  <c r="G492" i="10"/>
  <c r="M484" i="10"/>
  <c r="G484" i="10"/>
  <c r="G476" i="10"/>
  <c r="G460" i="10"/>
  <c r="G452" i="10"/>
  <c r="M444" i="10"/>
  <c r="G444" i="10"/>
  <c r="M428" i="10"/>
  <c r="G428" i="10"/>
  <c r="M420" i="10"/>
  <c r="G420" i="10"/>
  <c r="M412" i="10"/>
  <c r="G412" i="10"/>
  <c r="G404" i="10"/>
  <c r="M388" i="10"/>
  <c r="AO388" i="10" s="1"/>
  <c r="G388" i="10"/>
  <c r="M380" i="10"/>
  <c r="AO380" i="10" s="1"/>
  <c r="G380" i="10"/>
  <c r="G372" i="10"/>
  <c r="M364" i="10"/>
  <c r="G364" i="10"/>
  <c r="M348" i="10"/>
  <c r="G348" i="10"/>
  <c r="G340" i="10"/>
  <c r="M332" i="10"/>
  <c r="AO332" i="10" s="1"/>
  <c r="G332" i="10"/>
  <c r="G324" i="10"/>
  <c r="M300" i="10"/>
  <c r="G300" i="10"/>
  <c r="G292" i="10"/>
  <c r="M284" i="10"/>
  <c r="AO284" i="10" s="1"/>
  <c r="G284" i="10"/>
  <c r="G276" i="10"/>
  <c r="M252" i="10"/>
  <c r="AO252" i="10" s="1"/>
  <c r="G252" i="10"/>
  <c r="G244" i="10"/>
  <c r="M236" i="10"/>
  <c r="AO236" i="10" s="1"/>
  <c r="G236" i="10"/>
  <c r="G228" i="10"/>
  <c r="G212" i="10"/>
  <c r="M204" i="10"/>
  <c r="G204" i="10"/>
  <c r="G196" i="10"/>
  <c r="G180" i="10"/>
  <c r="M172" i="10"/>
  <c r="AO172" i="10" s="1"/>
  <c r="G172" i="10"/>
  <c r="M164" i="10"/>
  <c r="AO164" i="10" s="1"/>
  <c r="G164" i="10"/>
  <c r="G148" i="10"/>
  <c r="V148" i="10" s="1"/>
  <c r="M140" i="10"/>
  <c r="AO140" i="10" s="1"/>
  <c r="G140" i="10"/>
  <c r="G132" i="10"/>
  <c r="M108" i="10"/>
  <c r="AO108" i="10" s="1"/>
  <c r="G108" i="10"/>
  <c r="G100" i="10"/>
  <c r="G92" i="10"/>
  <c r="G84" i="10"/>
  <c r="G60" i="10"/>
  <c r="G52" i="10"/>
  <c r="G44" i="10"/>
  <c r="G36" i="10"/>
  <c r="M28" i="10"/>
  <c r="G28" i="10"/>
  <c r="M20" i="10"/>
  <c r="G20" i="10"/>
  <c r="G19" i="10"/>
  <c r="G91" i="10"/>
  <c r="G220" i="10"/>
  <c r="G396" i="10"/>
  <c r="G564" i="10"/>
  <c r="G636" i="10"/>
  <c r="G820" i="10"/>
  <c r="G892" i="10"/>
  <c r="G1068" i="10"/>
  <c r="G94" i="10"/>
  <c r="G454" i="10"/>
  <c r="Y454" i="10" s="1"/>
  <c r="G1030" i="10"/>
  <c r="G303" i="10"/>
  <c r="G218" i="10"/>
  <c r="G147" i="10"/>
  <c r="V147" i="10" s="1"/>
  <c r="AO147" i="10" s="1"/>
  <c r="G227" i="10"/>
  <c r="G643" i="10"/>
  <c r="P732" i="10"/>
  <c r="P668" i="10"/>
  <c r="P652" i="10"/>
  <c r="P644" i="10"/>
  <c r="P612" i="10"/>
  <c r="AO612" i="10" s="1"/>
  <c r="P604" i="10"/>
  <c r="P596" i="10"/>
  <c r="P572" i="10"/>
  <c r="P564" i="10"/>
  <c r="P548" i="10"/>
  <c r="AO548" i="10" s="1"/>
  <c r="G1203" i="10"/>
  <c r="G1195" i="10"/>
  <c r="M1187" i="10"/>
  <c r="G1187" i="10"/>
  <c r="M1179" i="10"/>
  <c r="AO1179" i="10" s="1"/>
  <c r="G1179" i="10"/>
  <c r="M1171" i="10"/>
  <c r="AO1171" i="10" s="1"/>
  <c r="G1171" i="10"/>
  <c r="M1163" i="10"/>
  <c r="AO1163" i="10" s="1"/>
  <c r="G1163" i="10"/>
  <c r="M1155" i="10"/>
  <c r="AO1155" i="10" s="1"/>
  <c r="G1155" i="10"/>
  <c r="M1147" i="10"/>
  <c r="G1147" i="10"/>
  <c r="M1139" i="10"/>
  <c r="AO1139" i="10" s="1"/>
  <c r="G1139" i="10"/>
  <c r="M1123" i="10"/>
  <c r="AO1123" i="10" s="1"/>
  <c r="G1123" i="10"/>
  <c r="M1115" i="10"/>
  <c r="AO1115" i="10" s="1"/>
  <c r="G1115" i="10"/>
  <c r="M1107" i="10"/>
  <c r="G1107" i="10"/>
  <c r="M1099" i="10"/>
  <c r="G1099" i="10"/>
  <c r="M1083" i="10"/>
  <c r="AO1083" i="10" s="1"/>
  <c r="G1083" i="10"/>
  <c r="M1075" i="10"/>
  <c r="AO1075" i="10" s="1"/>
  <c r="G1075" i="10"/>
  <c r="G1067" i="10"/>
  <c r="M1059" i="10"/>
  <c r="AO1059" i="10" s="1"/>
  <c r="G1059" i="10"/>
  <c r="M1051" i="10"/>
  <c r="AO1051" i="10" s="1"/>
  <c r="G1051" i="10"/>
  <c r="M1035" i="10"/>
  <c r="G1035" i="10"/>
  <c r="Y1035" i="10" s="1"/>
  <c r="M1027" i="10"/>
  <c r="G1027" i="10"/>
  <c r="M1019" i="10"/>
  <c r="AO1019" i="10" s="1"/>
  <c r="G1019" i="10"/>
  <c r="M1011" i="10"/>
  <c r="G1011" i="10"/>
  <c r="M995" i="10"/>
  <c r="G995" i="10"/>
  <c r="M987" i="10"/>
  <c r="G987" i="10"/>
  <c r="M979" i="10"/>
  <c r="G979" i="10"/>
  <c r="M971" i="10"/>
  <c r="AO971" i="10" s="1"/>
  <c r="G971" i="10"/>
  <c r="M955" i="10"/>
  <c r="G955" i="10"/>
  <c r="M947" i="10"/>
  <c r="G947" i="10"/>
  <c r="M939" i="10"/>
  <c r="G939" i="10"/>
  <c r="M931" i="10"/>
  <c r="AO931" i="10" s="1"/>
  <c r="G931" i="10"/>
  <c r="G923" i="10"/>
  <c r="M915" i="10"/>
  <c r="AO915" i="10" s="1"/>
  <c r="G915" i="10"/>
  <c r="M907" i="10"/>
  <c r="AO907" i="10" s="1"/>
  <c r="G907" i="10"/>
  <c r="M899" i="10"/>
  <c r="AO899" i="10" s="1"/>
  <c r="G899" i="10"/>
  <c r="G891" i="10"/>
  <c r="G875" i="10"/>
  <c r="M867" i="10"/>
  <c r="AO867" i="10" s="1"/>
  <c r="G867" i="10"/>
  <c r="M859" i="10"/>
  <c r="G859" i="10"/>
  <c r="M851" i="10"/>
  <c r="AO851" i="10" s="1"/>
  <c r="G851" i="10"/>
  <c r="M835" i="10"/>
  <c r="AO835" i="10" s="1"/>
  <c r="G835" i="10"/>
  <c r="M827" i="10"/>
  <c r="G827" i="10"/>
  <c r="V827" i="10" s="1"/>
  <c r="M819" i="10"/>
  <c r="AO819" i="10" s="1"/>
  <c r="G819" i="10"/>
  <c r="M811" i="10"/>
  <c r="AO811" i="10" s="1"/>
  <c r="G811" i="10"/>
  <c r="M795" i="10"/>
  <c r="G795" i="10"/>
  <c r="Y795" i="10" s="1"/>
  <c r="M787" i="10"/>
  <c r="AO787" i="10" s="1"/>
  <c r="G787" i="10"/>
  <c r="M779" i="10"/>
  <c r="AO779" i="10" s="1"/>
  <c r="G779" i="10"/>
  <c r="M771" i="10"/>
  <c r="AO771" i="10" s="1"/>
  <c r="G771" i="10"/>
  <c r="M763" i="10"/>
  <c r="AO763" i="10" s="1"/>
  <c r="G763" i="10"/>
  <c r="M747" i="10"/>
  <c r="AO747" i="10" s="1"/>
  <c r="G747" i="10"/>
  <c r="M739" i="10"/>
  <c r="G739" i="10"/>
  <c r="M731" i="10"/>
  <c r="AO731" i="10" s="1"/>
  <c r="G731" i="10"/>
  <c r="M723" i="10"/>
  <c r="AO723" i="10" s="1"/>
  <c r="G723" i="10"/>
  <c r="M715" i="10"/>
  <c r="AO715" i="10" s="1"/>
  <c r="G715" i="10"/>
  <c r="M707" i="10"/>
  <c r="AO707" i="10" s="1"/>
  <c r="G707" i="10"/>
  <c r="M699" i="10"/>
  <c r="AO699" i="10" s="1"/>
  <c r="G699" i="10"/>
  <c r="M691" i="10"/>
  <c r="AO691" i="10" s="1"/>
  <c r="G691" i="10"/>
  <c r="M683" i="10"/>
  <c r="AO683" i="10" s="1"/>
  <c r="G683" i="10"/>
  <c r="M667" i="10"/>
  <c r="AO667" i="10" s="1"/>
  <c r="G667" i="10"/>
  <c r="M659" i="10"/>
  <c r="G659" i="10"/>
  <c r="M651" i="10"/>
  <c r="G651" i="10"/>
  <c r="M635" i="10"/>
  <c r="AO635" i="10" s="1"/>
  <c r="G635" i="10"/>
  <c r="M627" i="10"/>
  <c r="G627" i="10"/>
  <c r="M619" i="10"/>
  <c r="AO619" i="10" s="1"/>
  <c r="G619" i="10"/>
  <c r="M611" i="10"/>
  <c r="AO611" i="10" s="1"/>
  <c r="G611" i="10"/>
  <c r="M603" i="10"/>
  <c r="G603" i="10"/>
  <c r="Y603" i="10" s="1"/>
  <c r="M595" i="10"/>
  <c r="G595" i="10"/>
  <c r="M587" i="10"/>
  <c r="G587" i="10"/>
  <c r="M579" i="10"/>
  <c r="G579" i="10"/>
  <c r="M571" i="10"/>
  <c r="G571" i="10"/>
  <c r="Y571" i="10" s="1"/>
  <c r="M563" i="10"/>
  <c r="G563" i="10"/>
  <c r="M555" i="10"/>
  <c r="G555" i="10"/>
  <c r="M547" i="10"/>
  <c r="G547" i="10"/>
  <c r="M539" i="10"/>
  <c r="AO539" i="10" s="1"/>
  <c r="G539" i="10"/>
  <c r="M523" i="10"/>
  <c r="G523" i="10"/>
  <c r="G515" i="10"/>
  <c r="G507" i="10"/>
  <c r="M491" i="10"/>
  <c r="G491" i="10"/>
  <c r="G483" i="10"/>
  <c r="G475" i="10"/>
  <c r="M467" i="10"/>
  <c r="AO467" i="10" s="1"/>
  <c r="G467" i="10"/>
  <c r="M459" i="10"/>
  <c r="G459" i="10"/>
  <c r="V459" i="10" s="1"/>
  <c r="G451" i="10"/>
  <c r="M443" i="10"/>
  <c r="G443" i="10"/>
  <c r="G435" i="10"/>
  <c r="G427" i="10"/>
  <c r="G419" i="10"/>
  <c r="G411" i="10"/>
  <c r="G403" i="10"/>
  <c r="G395" i="10"/>
  <c r="G379" i="10"/>
  <c r="M371" i="10"/>
  <c r="AO371" i="10" s="1"/>
  <c r="G371" i="10"/>
  <c r="G363" i="10"/>
  <c r="M355" i="10"/>
  <c r="AO355" i="10" s="1"/>
  <c r="G355" i="10"/>
  <c r="G347" i="10"/>
  <c r="G339" i="10"/>
  <c r="G331" i="10"/>
  <c r="M323" i="10"/>
  <c r="AO323" i="10" s="1"/>
  <c r="G323" i="10"/>
  <c r="G315" i="10"/>
  <c r="G299" i="10"/>
  <c r="G291" i="10"/>
  <c r="G283" i="10"/>
  <c r="G267" i="10"/>
  <c r="G259" i="10"/>
  <c r="G251" i="10"/>
  <c r="G243" i="10"/>
  <c r="G235" i="10"/>
  <c r="G219" i="10"/>
  <c r="G203" i="10"/>
  <c r="G179" i="10"/>
  <c r="G171" i="10"/>
  <c r="G163" i="10"/>
  <c r="G155" i="10"/>
  <c r="G139" i="10"/>
  <c r="G123" i="10"/>
  <c r="G107" i="10"/>
  <c r="G99" i="10"/>
  <c r="G83" i="10"/>
  <c r="G67" i="10"/>
  <c r="G51" i="10"/>
  <c r="G33" i="10"/>
  <c r="G39" i="10"/>
  <c r="G116" i="10"/>
  <c r="G316" i="10"/>
  <c r="G468" i="10"/>
  <c r="G900" i="10"/>
  <c r="G525" i="10"/>
  <c r="G781" i="10"/>
  <c r="G941" i="10"/>
  <c r="G174" i="10"/>
  <c r="G254" i="10"/>
  <c r="G614" i="10"/>
  <c r="G311" i="10"/>
  <c r="G160" i="10"/>
  <c r="Y160" i="10" s="1"/>
  <c r="G328" i="10"/>
  <c r="G282" i="10"/>
  <c r="G1091" i="10"/>
  <c r="G162" i="10"/>
  <c r="G226" i="10"/>
  <c r="G275" i="10"/>
  <c r="G41" i="10"/>
  <c r="G27" i="10"/>
  <c r="G81" i="10"/>
  <c r="G106" i="10"/>
  <c r="G170" i="10"/>
  <c r="G234" i="10"/>
  <c r="G195" i="10"/>
  <c r="G26" i="10"/>
  <c r="G35" i="10"/>
  <c r="G184" i="10"/>
  <c r="G288" i="10"/>
  <c r="G177" i="10"/>
  <c r="G114" i="10"/>
  <c r="G178" i="10"/>
  <c r="G242" i="10"/>
  <c r="G43" i="10"/>
  <c r="G75" i="10"/>
  <c r="G296" i="10"/>
  <c r="G97" i="10"/>
  <c r="G122" i="10"/>
  <c r="G186" i="10"/>
  <c r="G131" i="10"/>
  <c r="G211" i="10"/>
  <c r="M225" i="10"/>
  <c r="AO225" i="10" s="1"/>
  <c r="M209" i="10"/>
  <c r="AO209" i="10" s="1"/>
  <c r="M201" i="10"/>
  <c r="M161" i="10"/>
  <c r="M113" i="10"/>
  <c r="AO113" i="10" s="1"/>
  <c r="M89" i="10"/>
  <c r="AO89" i="10" s="1"/>
  <c r="M65" i="10"/>
  <c r="AO65" i="10" s="1"/>
  <c r="M57" i="10"/>
  <c r="AO57" i="10" s="1"/>
  <c r="M49" i="10"/>
  <c r="AO49" i="10" s="1"/>
  <c r="M9" i="10"/>
  <c r="G65" i="10"/>
  <c r="G225" i="10"/>
  <c r="G82" i="10"/>
  <c r="G130" i="10"/>
  <c r="G194" i="10"/>
  <c r="M272" i="10"/>
  <c r="AO272" i="10" s="1"/>
  <c r="M256" i="10"/>
  <c r="M224" i="10"/>
  <c r="M192" i="10"/>
  <c r="M136" i="10"/>
  <c r="M112" i="10"/>
  <c r="AO112" i="10" s="1"/>
  <c r="M64" i="10"/>
  <c r="AO64" i="10" s="1"/>
  <c r="M32" i="10"/>
  <c r="G73" i="10"/>
  <c r="G31" i="10"/>
  <c r="G256" i="10"/>
  <c r="G138" i="10"/>
  <c r="G202" i="10"/>
  <c r="G8" i="10"/>
  <c r="G152" i="10"/>
  <c r="G216" i="10"/>
  <c r="G113" i="10"/>
  <c r="G201" i="10"/>
  <c r="G146" i="10"/>
  <c r="V146" i="10" s="1"/>
  <c r="AO146" i="10" s="1"/>
  <c r="G210" i="10"/>
  <c r="G307" i="10"/>
  <c r="M1204" i="10"/>
  <c r="AO1204" i="10" s="1"/>
  <c r="M1196" i="10"/>
  <c r="M1180" i="10"/>
  <c r="M1172" i="10"/>
  <c r="AO1172" i="10" s="1"/>
  <c r="M1164" i="10"/>
  <c r="M1156" i="10"/>
  <c r="AO1156" i="10" s="1"/>
  <c r="M1132" i="10"/>
  <c r="M1116" i="10"/>
  <c r="M1100" i="10"/>
  <c r="M1092" i="10"/>
  <c r="AO1092" i="10" s="1"/>
  <c r="M1076" i="10"/>
  <c r="M508" i="10"/>
  <c r="AO508" i="10" s="1"/>
  <c r="M500" i="10"/>
  <c r="M492" i="10"/>
  <c r="AO492" i="10" s="1"/>
  <c r="M476" i="10"/>
  <c r="AO476" i="10" s="1"/>
  <c r="M460" i="10"/>
  <c r="AO460" i="10" s="1"/>
  <c r="M452" i="10"/>
  <c r="M436" i="10"/>
  <c r="M404" i="10"/>
  <c r="M372" i="10"/>
  <c r="AO372" i="10" s="1"/>
  <c r="M356" i="10"/>
  <c r="AO356" i="10" s="1"/>
  <c r="M340" i="10"/>
  <c r="M324" i="10"/>
  <c r="AO324" i="10" s="1"/>
  <c r="M308" i="10"/>
  <c r="AO308" i="10" s="1"/>
  <c r="M292" i="10"/>
  <c r="M276" i="10"/>
  <c r="AO276" i="10" s="1"/>
  <c r="M260" i="10"/>
  <c r="M244" i="10"/>
  <c r="M228" i="10"/>
  <c r="M212" i="10"/>
  <c r="AO212" i="10" s="1"/>
  <c r="M196" i="10"/>
  <c r="M180" i="10"/>
  <c r="M148" i="10"/>
  <c r="M132" i="10"/>
  <c r="AO132" i="10" s="1"/>
  <c r="M100" i="10"/>
  <c r="M92" i="10"/>
  <c r="M84" i="10"/>
  <c r="AO84" i="10" s="1"/>
  <c r="M76" i="10"/>
  <c r="AO76" i="10" s="1"/>
  <c r="M68" i="10"/>
  <c r="AO68" i="10" s="1"/>
  <c r="M60" i="10"/>
  <c r="M52" i="10"/>
  <c r="M44" i="10"/>
  <c r="AO44" i="10" s="1"/>
  <c r="M36" i="10"/>
  <c r="M12" i="10"/>
  <c r="AO12" i="10" s="1"/>
  <c r="M1203" i="10"/>
  <c r="M1195" i="10"/>
  <c r="AO1195" i="10" s="1"/>
  <c r="M1067" i="10"/>
  <c r="AO1067" i="10" s="1"/>
  <c r="M1003" i="10"/>
  <c r="AO1003" i="10" s="1"/>
  <c r="M923" i="10"/>
  <c r="M891" i="10"/>
  <c r="AO891" i="10" s="1"/>
  <c r="M875" i="10"/>
  <c r="M843" i="10"/>
  <c r="AO843" i="10" s="1"/>
  <c r="M515" i="10"/>
  <c r="M507" i="10"/>
  <c r="AO507" i="10" s="1"/>
  <c r="M499" i="10"/>
  <c r="M483" i="10"/>
  <c r="AO483" i="10" s="1"/>
  <c r="M475" i="10"/>
  <c r="M451" i="10"/>
  <c r="M435" i="10"/>
  <c r="M427" i="10"/>
  <c r="AO427" i="10" s="1"/>
  <c r="M419" i="10"/>
  <c r="AO419" i="10" s="1"/>
  <c r="M411" i="10"/>
  <c r="AO411" i="10" s="1"/>
  <c r="M403" i="10"/>
  <c r="AO403" i="10" s="1"/>
  <c r="M395" i="10"/>
  <c r="AO395" i="10" s="1"/>
  <c r="M379" i="10"/>
  <c r="M363" i="10"/>
  <c r="AO363" i="10" s="1"/>
  <c r="M347" i="10"/>
  <c r="M339" i="10"/>
  <c r="AO339" i="10" s="1"/>
  <c r="M331" i="10"/>
  <c r="AO331" i="10" s="1"/>
  <c r="M315" i="10"/>
  <c r="M299" i="10"/>
  <c r="AO299" i="10" s="1"/>
  <c r="M291" i="10"/>
  <c r="AO291" i="10" s="1"/>
  <c r="M283" i="10"/>
  <c r="AO283" i="10" s="1"/>
  <c r="M267" i="10"/>
  <c r="AO267" i="10" s="1"/>
  <c r="M259" i="10"/>
  <c r="M251" i="10"/>
  <c r="M243" i="10"/>
  <c r="AO243" i="10" s="1"/>
  <c r="M235" i="10"/>
  <c r="AO235" i="10" s="1"/>
  <c r="M227" i="10"/>
  <c r="AO227" i="10" s="1"/>
  <c r="M219" i="10"/>
  <c r="AO219" i="10" s="1"/>
  <c r="M203" i="10"/>
  <c r="M187" i="10"/>
  <c r="M179" i="10"/>
  <c r="M171" i="10"/>
  <c r="M163" i="10"/>
  <c r="AO163" i="10" s="1"/>
  <c r="M155" i="10"/>
  <c r="M139" i="10"/>
  <c r="AO139" i="10" s="1"/>
  <c r="M123" i="10"/>
  <c r="AO123" i="10" s="1"/>
  <c r="M115" i="10"/>
  <c r="M107" i="10"/>
  <c r="M99" i="10"/>
  <c r="M83" i="10"/>
  <c r="AO83" i="10" s="1"/>
  <c r="M67" i="10"/>
  <c r="M51" i="10"/>
  <c r="AO51" i="10" s="1"/>
  <c r="M1202" i="10"/>
  <c r="AO1202" i="10" s="1"/>
  <c r="M1194" i="10"/>
  <c r="M1186" i="10"/>
  <c r="M1178" i="10"/>
  <c r="M1170" i="10"/>
  <c r="M1162" i="10"/>
  <c r="AO1162" i="10" s="1"/>
  <c r="M1154" i="10"/>
  <c r="AO1154" i="10" s="1"/>
  <c r="M1138" i="10"/>
  <c r="AO1138" i="10" s="1"/>
  <c r="M1130" i="10"/>
  <c r="AO1130" i="10" s="1"/>
  <c r="M1122" i="10"/>
  <c r="AO1122" i="10" s="1"/>
  <c r="M1114" i="10"/>
  <c r="M1098" i="10"/>
  <c r="M1090" i="10"/>
  <c r="M1074" i="10"/>
  <c r="M1066" i="10"/>
  <c r="AO1066" i="10" s="1"/>
  <c r="M1042" i="10"/>
  <c r="M1034" i="10"/>
  <c r="AO1034" i="10" s="1"/>
  <c r="M1010" i="10"/>
  <c r="AO1010" i="10" s="1"/>
  <c r="M978" i="10"/>
  <c r="AO978" i="10" s="1"/>
  <c r="M946" i="10"/>
  <c r="M938" i="10"/>
  <c r="M506" i="10"/>
  <c r="M498" i="10"/>
  <c r="AO498" i="10" s="1"/>
  <c r="M90" i="10"/>
  <c r="AO90" i="10" s="1"/>
  <c r="M74" i="10"/>
  <c r="AO74" i="10" s="1"/>
  <c r="M66" i="10"/>
  <c r="AO66" i="10" s="1"/>
  <c r="M58" i="10"/>
  <c r="AO58" i="10" s="1"/>
  <c r="M42" i="10"/>
  <c r="AO42" i="10" s="1"/>
  <c r="M34" i="10"/>
  <c r="M18" i="10"/>
  <c r="AO18" i="10" s="1"/>
  <c r="M6" i="10"/>
  <c r="AO6" i="10" s="1"/>
  <c r="M1201" i="10"/>
  <c r="AO1201" i="10" s="1"/>
  <c r="M1193" i="10"/>
  <c r="M1177" i="10"/>
  <c r="AO1177" i="10" s="1"/>
  <c r="M1169" i="10"/>
  <c r="AO1169" i="10" s="1"/>
  <c r="M1161" i="10"/>
  <c r="AO1161" i="10" s="1"/>
  <c r="M1153" i="10"/>
  <c r="M1145" i="10"/>
  <c r="AO1145" i="10" s="1"/>
  <c r="M1137" i="10"/>
  <c r="AO1137" i="10" s="1"/>
  <c r="M1129" i="10"/>
  <c r="AO1129" i="10" s="1"/>
  <c r="M1121" i="10"/>
  <c r="AO1121" i="10" s="1"/>
  <c r="M1113" i="10"/>
  <c r="AO1113" i="10" s="1"/>
  <c r="M1105" i="10"/>
  <c r="M1097" i="10"/>
  <c r="AO1097" i="10" s="1"/>
  <c r="M1089" i="10"/>
  <c r="AO1089" i="10" s="1"/>
  <c r="M1081" i="10"/>
  <c r="M1073" i="10"/>
  <c r="M1065" i="10"/>
  <c r="AO1065" i="10" s="1"/>
  <c r="M1057" i="10"/>
  <c r="AO1057" i="10" s="1"/>
  <c r="M1049" i="10"/>
  <c r="AO1049" i="10" s="1"/>
  <c r="M1041" i="10"/>
  <c r="AO1041" i="10" s="1"/>
  <c r="M1033" i="10"/>
  <c r="M1025" i="10"/>
  <c r="M1017" i="10"/>
  <c r="AO1017" i="10" s="1"/>
  <c r="M1009" i="10"/>
  <c r="M1001" i="10"/>
  <c r="AO1001" i="10" s="1"/>
  <c r="M993" i="10"/>
  <c r="AO993" i="10" s="1"/>
  <c r="M985" i="10"/>
  <c r="M977" i="10"/>
  <c r="M969" i="10"/>
  <c r="AO969" i="10" s="1"/>
  <c r="M961" i="10"/>
  <c r="M953" i="10"/>
  <c r="AO953" i="10" s="1"/>
  <c r="M945" i="10"/>
  <c r="M937" i="10"/>
  <c r="M929" i="10"/>
  <c r="AO929" i="10" s="1"/>
  <c r="M921" i="10"/>
  <c r="AO921" i="10" s="1"/>
  <c r="M913" i="10"/>
  <c r="M905" i="10"/>
  <c r="AO905" i="10" s="1"/>
  <c r="M897" i="10"/>
  <c r="M889" i="10"/>
  <c r="AO889" i="10" s="1"/>
  <c r="M881" i="10"/>
  <c r="AO881" i="10" s="1"/>
  <c r="M873" i="10"/>
  <c r="AO873" i="10" s="1"/>
  <c r="M865" i="10"/>
  <c r="AO865" i="10" s="1"/>
  <c r="M857" i="10"/>
  <c r="M849" i="10"/>
  <c r="M841" i="10"/>
  <c r="AO841" i="10" s="1"/>
  <c r="M833" i="10"/>
  <c r="AO833" i="10" s="1"/>
  <c r="M825" i="10"/>
  <c r="AO825" i="10" s="1"/>
  <c r="M817" i="10"/>
  <c r="M809" i="10"/>
  <c r="AO809" i="10" s="1"/>
  <c r="M801" i="10"/>
  <c r="AO801" i="10" s="1"/>
  <c r="M793" i="10"/>
  <c r="AO793" i="10" s="1"/>
  <c r="M785" i="10"/>
  <c r="AO785" i="10" s="1"/>
  <c r="M777" i="10"/>
  <c r="AO777" i="10" s="1"/>
  <c r="M769" i="10"/>
  <c r="M761" i="10"/>
  <c r="AO761" i="10" s="1"/>
  <c r="M753" i="10"/>
  <c r="AO753" i="10" s="1"/>
  <c r="M745" i="10"/>
  <c r="M737" i="10"/>
  <c r="M729" i="10"/>
  <c r="M721" i="10"/>
  <c r="M713" i="10"/>
  <c r="M705" i="10"/>
  <c r="M697" i="10"/>
  <c r="AO697" i="10" s="1"/>
  <c r="M689" i="10"/>
  <c r="M681" i="10"/>
  <c r="AO681" i="10" s="1"/>
  <c r="M673" i="10"/>
  <c r="AO673" i="10" s="1"/>
  <c r="M665" i="10"/>
  <c r="M657" i="10"/>
  <c r="M649" i="10"/>
  <c r="AO649" i="10" s="1"/>
  <c r="M641" i="10"/>
  <c r="M633" i="10"/>
  <c r="AO633" i="10" s="1"/>
  <c r="M625" i="10"/>
  <c r="AO625" i="10" s="1"/>
  <c r="M617" i="10"/>
  <c r="AO617" i="10" s="1"/>
  <c r="M609" i="10"/>
  <c r="AO609" i="10" s="1"/>
  <c r="M601" i="10"/>
  <c r="AO601" i="10" s="1"/>
  <c r="M593" i="10"/>
  <c r="M585" i="10"/>
  <c r="M577" i="10"/>
  <c r="M569" i="10"/>
  <c r="AO569" i="10" s="1"/>
  <c r="M561" i="10"/>
  <c r="AO561" i="10" s="1"/>
  <c r="M553" i="10"/>
  <c r="AO553" i="10" s="1"/>
  <c r="M545" i="10"/>
  <c r="M537" i="10"/>
  <c r="AO537" i="10" s="1"/>
  <c r="M529" i="10"/>
  <c r="M521" i="10"/>
  <c r="M505" i="10"/>
  <c r="M497" i="10"/>
  <c r="AO497" i="10" s="1"/>
  <c r="M489" i="10"/>
  <c r="AO489" i="10" s="1"/>
  <c r="M473" i="10"/>
  <c r="AO473" i="10" s="1"/>
  <c r="M465" i="10"/>
  <c r="M449" i="10"/>
  <c r="M409" i="10"/>
  <c r="M401" i="10"/>
  <c r="AO401" i="10" s="1"/>
  <c r="M393" i="10"/>
  <c r="M385" i="10"/>
  <c r="M377" i="10"/>
  <c r="AO377" i="10" s="1"/>
  <c r="M361" i="10"/>
  <c r="AO361" i="10" s="1"/>
  <c r="M345" i="10"/>
  <c r="M329" i="10"/>
  <c r="AO329" i="10" s="1"/>
  <c r="M313" i="10"/>
  <c r="M305" i="10"/>
  <c r="AO305" i="10" s="1"/>
  <c r="M289" i="10"/>
  <c r="M281" i="10"/>
  <c r="AO281" i="10" s="1"/>
  <c r="M273" i="10"/>
  <c r="M265" i="10"/>
  <c r="AO265" i="10" s="1"/>
  <c r="M257" i="10"/>
  <c r="AO257" i="10" s="1"/>
  <c r="M249" i="10"/>
  <c r="AO249" i="10" s="1"/>
  <c r="M233" i="10"/>
  <c r="AO233" i="10" s="1"/>
  <c r="M217" i="10"/>
  <c r="AO217" i="10" s="1"/>
  <c r="M193" i="10"/>
  <c r="AO193" i="10" s="1"/>
  <c r="M185" i="10"/>
  <c r="M169" i="10"/>
  <c r="AO169" i="10" s="1"/>
  <c r="M153" i="10"/>
  <c r="AO153" i="10" s="1"/>
  <c r="M145" i="10"/>
  <c r="AO145" i="10" s="1"/>
  <c r="M137" i="10"/>
  <c r="M129" i="10"/>
  <c r="M121" i="10"/>
  <c r="M105" i="10"/>
  <c r="AO105" i="10" s="1"/>
  <c r="M25" i="10"/>
  <c r="AO25" i="10" s="1"/>
  <c r="M17" i="10"/>
  <c r="AO17" i="10" s="1"/>
  <c r="S1208" i="10"/>
  <c r="M1208" i="10"/>
  <c r="M1184" i="10"/>
  <c r="AO1184" i="10" s="1"/>
  <c r="M1176" i="10"/>
  <c r="AO1176" i="10" s="1"/>
  <c r="M1168" i="10"/>
  <c r="M1160" i="10"/>
  <c r="M1152" i="10"/>
  <c r="M1144" i="10"/>
  <c r="AO1144" i="10" s="1"/>
  <c r="M1136" i="10"/>
  <c r="AO1136" i="10" s="1"/>
  <c r="M1128" i="10"/>
  <c r="AO1128" i="10" s="1"/>
  <c r="M1112" i="10"/>
  <c r="M1104" i="10"/>
  <c r="AO1104" i="10" s="1"/>
  <c r="M1096" i="10"/>
  <c r="M1088" i="10"/>
  <c r="M1072" i="10"/>
  <c r="M1064" i="10"/>
  <c r="M1056" i="10"/>
  <c r="M1048" i="10"/>
  <c r="M1040" i="10"/>
  <c r="M1032" i="10"/>
  <c r="M1024" i="10"/>
  <c r="AO1024" i="10" s="1"/>
  <c r="M1016" i="10"/>
  <c r="AO1016" i="10" s="1"/>
  <c r="M1008" i="10"/>
  <c r="AO1008" i="10" s="1"/>
  <c r="M1000" i="10"/>
  <c r="M984" i="10"/>
  <c r="M976" i="10"/>
  <c r="M968" i="10"/>
  <c r="M960" i="10"/>
  <c r="AO960" i="10" s="1"/>
  <c r="M952" i="10"/>
  <c r="AO952" i="10" s="1"/>
  <c r="M944" i="10"/>
  <c r="M936" i="10"/>
  <c r="AO936" i="10" s="1"/>
  <c r="M928" i="10"/>
  <c r="AO928" i="10" s="1"/>
  <c r="M920" i="10"/>
  <c r="AO920" i="10" s="1"/>
  <c r="M912" i="10"/>
  <c r="M896" i="10"/>
  <c r="AO896" i="10" s="1"/>
  <c r="M888" i="10"/>
  <c r="M880" i="10"/>
  <c r="AO880" i="10" s="1"/>
  <c r="M872" i="10"/>
  <c r="AO872" i="10" s="1"/>
  <c r="M864" i="10"/>
  <c r="AO864" i="10" s="1"/>
  <c r="M856" i="10"/>
  <c r="AO856" i="10" s="1"/>
  <c r="M848" i="10"/>
  <c r="AO848" i="10" s="1"/>
  <c r="M840" i="10"/>
  <c r="AO840" i="10" s="1"/>
  <c r="M832" i="10"/>
  <c r="M824" i="10"/>
  <c r="AO824" i="10" s="1"/>
  <c r="M816" i="10"/>
  <c r="M808" i="10"/>
  <c r="M800" i="10"/>
  <c r="AO800" i="10" s="1"/>
  <c r="M784" i="10"/>
  <c r="M776" i="10"/>
  <c r="M768" i="10"/>
  <c r="AO768" i="10" s="1"/>
  <c r="M760" i="10"/>
  <c r="AO760" i="10" s="1"/>
  <c r="M752" i="10"/>
  <c r="M744" i="10"/>
  <c r="M736" i="10"/>
  <c r="M712" i="10"/>
  <c r="M704" i="10"/>
  <c r="AO704" i="10" s="1"/>
  <c r="M688" i="10"/>
  <c r="AO688" i="10" s="1"/>
  <c r="M680" i="10"/>
  <c r="M672" i="10"/>
  <c r="M664" i="10"/>
  <c r="M656" i="10"/>
  <c r="M648" i="10"/>
  <c r="M640" i="10"/>
  <c r="M624" i="10"/>
  <c r="M616" i="10"/>
  <c r="AO616" i="10" s="1"/>
  <c r="M608" i="10"/>
  <c r="M600" i="10"/>
  <c r="M592" i="10"/>
  <c r="AO592" i="10" s="1"/>
  <c r="M584" i="10"/>
  <c r="AO584" i="10" s="1"/>
  <c r="M568" i="10"/>
  <c r="M560" i="10"/>
  <c r="M544" i="10"/>
  <c r="M536" i="10"/>
  <c r="AO536" i="10" s="1"/>
  <c r="M528" i="10"/>
  <c r="M520" i="10"/>
  <c r="AO520" i="10" s="1"/>
  <c r="M512" i="10"/>
  <c r="AO512" i="10" s="1"/>
  <c r="M504" i="10"/>
  <c r="AO504" i="10" s="1"/>
  <c r="M496" i="10"/>
  <c r="M488" i="10"/>
  <c r="AO488" i="10" s="1"/>
  <c r="M472" i="10"/>
  <c r="M464" i="10"/>
  <c r="AO464" i="10" s="1"/>
  <c r="M448" i="10"/>
  <c r="M440" i="10"/>
  <c r="AO440" i="10" s="1"/>
  <c r="M424" i="10"/>
  <c r="M400" i="10"/>
  <c r="M384" i="10"/>
  <c r="M368" i="10"/>
  <c r="M344" i="10"/>
  <c r="M336" i="10"/>
  <c r="AO336" i="10" s="1"/>
  <c r="M304" i="10"/>
  <c r="AO304" i="10" s="1"/>
  <c r="M280" i="10"/>
  <c r="AO280" i="10" s="1"/>
  <c r="M264" i="10"/>
  <c r="M248" i="10"/>
  <c r="AO248" i="10" s="1"/>
  <c r="M240" i="10"/>
  <c r="M232" i="10"/>
  <c r="AO232" i="10" s="1"/>
  <c r="M208" i="10"/>
  <c r="AO208" i="10" s="1"/>
  <c r="M200" i="10"/>
  <c r="M176" i="10"/>
  <c r="AO176" i="10" s="1"/>
  <c r="M168" i="10"/>
  <c r="AO168" i="10" s="1"/>
  <c r="M144" i="10"/>
  <c r="M128" i="10"/>
  <c r="AO128" i="10" s="1"/>
  <c r="M120" i="10"/>
  <c r="M104" i="10"/>
  <c r="AO104" i="10" s="1"/>
  <c r="M96" i="10"/>
  <c r="AO96" i="10" s="1"/>
  <c r="M88" i="10"/>
  <c r="AO88" i="10" s="1"/>
  <c r="M80" i="10"/>
  <c r="AO80" i="10" s="1"/>
  <c r="M72" i="10"/>
  <c r="AO72" i="10" s="1"/>
  <c r="M56" i="10"/>
  <c r="M48" i="10"/>
  <c r="AO48" i="10" s="1"/>
  <c r="M40" i="10"/>
  <c r="M24" i="10"/>
  <c r="AO24" i="10" s="1"/>
  <c r="M16" i="10"/>
  <c r="M1207" i="10"/>
  <c r="AO1207" i="10" s="1"/>
  <c r="M1199" i="10"/>
  <c r="AO1199" i="10" s="1"/>
  <c r="M1191" i="10"/>
  <c r="M1183" i="10"/>
  <c r="AO1183" i="10" s="1"/>
  <c r="M1175" i="10"/>
  <c r="AO1175" i="10" s="1"/>
  <c r="M1167" i="10"/>
  <c r="M1159" i="10"/>
  <c r="AO1159" i="10" s="1"/>
  <c r="M1151" i="10"/>
  <c r="M1143" i="10"/>
  <c r="AO1143" i="10" s="1"/>
  <c r="M1135" i="10"/>
  <c r="AO1135" i="10" s="1"/>
  <c r="M1127" i="10"/>
  <c r="M1119" i="10"/>
  <c r="AO1119" i="10" s="1"/>
  <c r="M1111" i="10"/>
  <c r="M1103" i="10"/>
  <c r="M1095" i="10"/>
  <c r="AO1095" i="10" s="1"/>
  <c r="M1087" i="10"/>
  <c r="M1079" i="10"/>
  <c r="AO1079" i="10" s="1"/>
  <c r="M1071" i="10"/>
  <c r="AO1071" i="10" s="1"/>
  <c r="M1063" i="10"/>
  <c r="M1055" i="10"/>
  <c r="AO1055" i="10" s="1"/>
  <c r="M1047" i="10"/>
  <c r="AO1047" i="10" s="1"/>
  <c r="M1039" i="10"/>
  <c r="M1031" i="10"/>
  <c r="AO1031" i="10" s="1"/>
  <c r="M1023" i="10"/>
  <c r="AO1023" i="10" s="1"/>
  <c r="M1015" i="10"/>
  <c r="M1007" i="10"/>
  <c r="M999" i="10"/>
  <c r="M991" i="10"/>
  <c r="AO991" i="10" s="1"/>
  <c r="M983" i="10"/>
  <c r="M975" i="10"/>
  <c r="M967" i="10"/>
  <c r="M959" i="10"/>
  <c r="AO959" i="10" s="1"/>
  <c r="M951" i="10"/>
  <c r="M943" i="10"/>
  <c r="M935" i="10"/>
  <c r="M927" i="10"/>
  <c r="AO927" i="10" s="1"/>
  <c r="M919" i="10"/>
  <c r="AO919" i="10" s="1"/>
  <c r="M911" i="10"/>
  <c r="M903" i="10"/>
  <c r="M895" i="10"/>
  <c r="M887" i="10"/>
  <c r="M879" i="10"/>
  <c r="M871" i="10"/>
  <c r="AO871" i="10" s="1"/>
  <c r="M863" i="10"/>
  <c r="M855" i="10"/>
  <c r="M847" i="10"/>
  <c r="M839" i="10"/>
  <c r="M831" i="10"/>
  <c r="AO831" i="10" s="1"/>
  <c r="M823" i="10"/>
  <c r="AO823" i="10" s="1"/>
  <c r="M815" i="10"/>
  <c r="AO815" i="10" s="1"/>
  <c r="M807" i="10"/>
  <c r="AO807" i="10" s="1"/>
  <c r="M799" i="10"/>
  <c r="M791" i="10"/>
  <c r="AO791" i="10" s="1"/>
  <c r="M783" i="10"/>
  <c r="AO783" i="10" s="1"/>
  <c r="M775" i="10"/>
  <c r="AO775" i="10" s="1"/>
  <c r="M767" i="10"/>
  <c r="AO767" i="10" s="1"/>
  <c r="M759" i="10"/>
  <c r="AO759" i="10" s="1"/>
  <c r="M751" i="10"/>
  <c r="AO751" i="10" s="1"/>
  <c r="M743" i="10"/>
  <c r="AO743" i="10" s="1"/>
  <c r="M735" i="10"/>
  <c r="M727" i="10"/>
  <c r="M719" i="10"/>
  <c r="M711" i="10"/>
  <c r="AO711" i="10" s="1"/>
  <c r="M703" i="10"/>
  <c r="AO703" i="10" s="1"/>
  <c r="M695" i="10"/>
  <c r="AO695" i="10" s="1"/>
  <c r="M687" i="10"/>
  <c r="AO687" i="10" s="1"/>
  <c r="M679" i="10"/>
  <c r="AO679" i="10" s="1"/>
  <c r="M671" i="10"/>
  <c r="M663" i="10"/>
  <c r="M655" i="10"/>
  <c r="M647" i="10"/>
  <c r="M639" i="10"/>
  <c r="M631" i="10"/>
  <c r="AO631" i="10" s="1"/>
  <c r="M623" i="10"/>
  <c r="M615" i="10"/>
  <c r="M607" i="10"/>
  <c r="AO607" i="10" s="1"/>
  <c r="M599" i="10"/>
  <c r="AO599" i="10" s="1"/>
  <c r="M591" i="10"/>
  <c r="M583" i="10"/>
  <c r="AO583" i="10" s="1"/>
  <c r="M575" i="10"/>
  <c r="AO575" i="10" s="1"/>
  <c r="M567" i="10"/>
  <c r="M559" i="10"/>
  <c r="M551" i="10"/>
  <c r="AO551" i="10" s="1"/>
  <c r="M543" i="10"/>
  <c r="AO543" i="10" s="1"/>
  <c r="M535" i="10"/>
  <c r="M527" i="10"/>
  <c r="M519" i="10"/>
  <c r="AO519" i="10" s="1"/>
  <c r="M511" i="10"/>
  <c r="M503" i="10"/>
  <c r="AO503" i="10" s="1"/>
  <c r="M495" i="10"/>
  <c r="AO495" i="10" s="1"/>
  <c r="M487" i="10"/>
  <c r="AO487" i="10" s="1"/>
  <c r="M463" i="10"/>
  <c r="M455" i="10"/>
  <c r="AO455" i="10" s="1"/>
  <c r="M447" i="10"/>
  <c r="AO447" i="10" s="1"/>
  <c r="M439" i="10"/>
  <c r="AO439" i="10" s="1"/>
  <c r="M431" i="10"/>
  <c r="M423" i="10"/>
  <c r="AO423" i="10" s="1"/>
  <c r="M415" i="10"/>
  <c r="AO415" i="10" s="1"/>
  <c r="M407" i="10"/>
  <c r="M399" i="10"/>
  <c r="AO399" i="10" s="1"/>
  <c r="M391" i="10"/>
  <c r="AO391" i="10" s="1"/>
  <c r="M383" i="10"/>
  <c r="AO383" i="10" s="1"/>
  <c r="M375" i="10"/>
  <c r="AO375" i="10" s="1"/>
  <c r="M367" i="10"/>
  <c r="M359" i="10"/>
  <c r="AO359" i="10" s="1"/>
  <c r="M351" i="10"/>
  <c r="AO351" i="10" s="1"/>
  <c r="M343" i="10"/>
  <c r="AO343" i="10" s="1"/>
  <c r="M335" i="10"/>
  <c r="M327" i="10"/>
  <c r="M319" i="10"/>
  <c r="AO319" i="10" s="1"/>
  <c r="M311" i="10"/>
  <c r="M303" i="10"/>
  <c r="AO303" i="10" s="1"/>
  <c r="M295" i="10"/>
  <c r="AO295" i="10" s="1"/>
  <c r="M287" i="10"/>
  <c r="AO287" i="10" s="1"/>
  <c r="M279" i="10"/>
  <c r="AO279" i="10" s="1"/>
  <c r="M271" i="10"/>
  <c r="M263" i="10"/>
  <c r="M255" i="10"/>
  <c r="M247" i="10"/>
  <c r="AO247" i="10" s="1"/>
  <c r="M239" i="10"/>
  <c r="M231" i="10"/>
  <c r="AO231" i="10" s="1"/>
  <c r="M223" i="10"/>
  <c r="AO223" i="10" s="1"/>
  <c r="M215" i="10"/>
  <c r="AO215" i="10" s="1"/>
  <c r="M207" i="10"/>
  <c r="M199" i="10"/>
  <c r="M191" i="10"/>
  <c r="AO191" i="10" s="1"/>
  <c r="M183" i="10"/>
  <c r="AO183" i="10" s="1"/>
  <c r="M175" i="10"/>
  <c r="M167" i="10"/>
  <c r="AO167" i="10" s="1"/>
  <c r="M159" i="10"/>
  <c r="M151" i="10"/>
  <c r="AO151" i="10" s="1"/>
  <c r="M143" i="10"/>
  <c r="M135" i="10"/>
  <c r="AO135" i="10" s="1"/>
  <c r="M127" i="10"/>
  <c r="M119" i="10"/>
  <c r="AO119" i="10" s="1"/>
  <c r="M111" i="10"/>
  <c r="M103" i="10"/>
  <c r="M95" i="10"/>
  <c r="M87" i="10"/>
  <c r="AO87" i="10" s="1"/>
  <c r="M79" i="10"/>
  <c r="M71" i="10"/>
  <c r="AO71" i="10" s="1"/>
  <c r="M63" i="10"/>
  <c r="M55" i="10"/>
  <c r="AO55" i="10" s="1"/>
  <c r="M47" i="10"/>
  <c r="AO47" i="10" s="1"/>
  <c r="M39" i="10"/>
  <c r="M23" i="10"/>
  <c r="AO23" i="10" s="1"/>
  <c r="M15" i="10"/>
  <c r="AO15" i="10" s="1"/>
  <c r="M7" i="10"/>
  <c r="M1174" i="10"/>
  <c r="AO1174" i="10" s="1"/>
  <c r="M1158" i="10"/>
  <c r="M1150" i="10"/>
  <c r="M1142" i="10"/>
  <c r="M1134" i="10"/>
  <c r="AO1134" i="10" s="1"/>
  <c r="M1118" i="10"/>
  <c r="AO1118" i="10" s="1"/>
  <c r="M1110" i="10"/>
  <c r="AO1110" i="10" s="1"/>
  <c r="M1102" i="10"/>
  <c r="AO1102" i="10" s="1"/>
  <c r="M1094" i="10"/>
  <c r="AO1094" i="10" s="1"/>
  <c r="M1086" i="10"/>
  <c r="M1078" i="10"/>
  <c r="AO1078" i="10" s="1"/>
  <c r="M1070" i="10"/>
  <c r="AO1070" i="10" s="1"/>
  <c r="M1062" i="10"/>
  <c r="AO1062" i="10" s="1"/>
  <c r="M1054" i="10"/>
  <c r="AO1054" i="10" s="1"/>
  <c r="M1046" i="10"/>
  <c r="AO1046" i="10" s="1"/>
  <c r="M1038" i="10"/>
  <c r="M1022" i="10"/>
  <c r="AO1022" i="10" s="1"/>
  <c r="M1006" i="10"/>
  <c r="M990" i="10"/>
  <c r="AO990" i="10" s="1"/>
  <c r="M982" i="10"/>
  <c r="AO982" i="10" s="1"/>
  <c r="M974" i="10"/>
  <c r="M966" i="10"/>
  <c r="AO966" i="10" s="1"/>
  <c r="M958" i="10"/>
  <c r="M950" i="10"/>
  <c r="M942" i="10"/>
  <c r="AO942" i="10" s="1"/>
  <c r="M934" i="10"/>
  <c r="M926" i="10"/>
  <c r="AO926" i="10" s="1"/>
  <c r="M918" i="10"/>
  <c r="AO918" i="10" s="1"/>
  <c r="M910" i="10"/>
  <c r="AO910" i="10" s="1"/>
  <c r="M902" i="10"/>
  <c r="AO902" i="10" s="1"/>
  <c r="M886" i="10"/>
  <c r="AO886" i="10" s="1"/>
  <c r="M878" i="10"/>
  <c r="AO878" i="10" s="1"/>
  <c r="M870" i="10"/>
  <c r="M862" i="10"/>
  <c r="AO862" i="10" s="1"/>
  <c r="M854" i="10"/>
  <c r="AO854" i="10" s="1"/>
  <c r="M846" i="10"/>
  <c r="AO846" i="10" s="1"/>
  <c r="M838" i="10"/>
  <c r="M830" i="10"/>
  <c r="M822" i="10"/>
  <c r="AO822" i="10" s="1"/>
  <c r="M814" i="10"/>
  <c r="M798" i="10"/>
  <c r="AO798" i="10" s="1"/>
  <c r="M782" i="10"/>
  <c r="AO782" i="10" s="1"/>
  <c r="M774" i="10"/>
  <c r="M766" i="10"/>
  <c r="AO766" i="10" s="1"/>
  <c r="M758" i="10"/>
  <c r="M750" i="10"/>
  <c r="AO750" i="10" s="1"/>
  <c r="M734" i="10"/>
  <c r="M726" i="10"/>
  <c r="M710" i="10"/>
  <c r="AO710" i="10" s="1"/>
  <c r="M702" i="10"/>
  <c r="M694" i="10"/>
  <c r="M686" i="10"/>
  <c r="AO686" i="10" s="1"/>
  <c r="M678" i="10"/>
  <c r="AO678" i="10" s="1"/>
  <c r="M670" i="10"/>
  <c r="AO670" i="10" s="1"/>
  <c r="M662" i="10"/>
  <c r="AO662" i="10" s="1"/>
  <c r="M654" i="10"/>
  <c r="M646" i="10"/>
  <c r="AO646" i="10" s="1"/>
  <c r="M638" i="10"/>
  <c r="M630" i="10"/>
  <c r="AO630" i="10" s="1"/>
  <c r="M622" i="10"/>
  <c r="AO622" i="10" s="1"/>
  <c r="M606" i="10"/>
  <c r="M598" i="10"/>
  <c r="M590" i="10"/>
  <c r="M582" i="10"/>
  <c r="M574" i="10"/>
  <c r="AO574" i="10" s="1"/>
  <c r="M566" i="10"/>
  <c r="M558" i="10"/>
  <c r="AO558" i="10" s="1"/>
  <c r="M550" i="10"/>
  <c r="M542" i="10"/>
  <c r="M526" i="10"/>
  <c r="M510" i="10"/>
  <c r="AO510" i="10" s="1"/>
  <c r="M486" i="10"/>
  <c r="AO486" i="10" s="1"/>
  <c r="M462" i="10"/>
  <c r="AO462" i="10" s="1"/>
  <c r="M446" i="10"/>
  <c r="M438" i="10"/>
  <c r="M406" i="10"/>
  <c r="M398" i="10"/>
  <c r="M390" i="10"/>
  <c r="M374" i="10"/>
  <c r="M366" i="10"/>
  <c r="AO366" i="10" s="1"/>
  <c r="M342" i="10"/>
  <c r="AO342" i="10" s="1"/>
  <c r="M326" i="10"/>
  <c r="AO326" i="10" s="1"/>
  <c r="M318" i="10"/>
  <c r="AO318" i="10" s="1"/>
  <c r="M310" i="10"/>
  <c r="AO310" i="10" s="1"/>
  <c r="M286" i="10"/>
  <c r="AO286" i="10" s="1"/>
  <c r="M278" i="10"/>
  <c r="AO278" i="10" s="1"/>
  <c r="M246" i="10"/>
  <c r="M230" i="10"/>
  <c r="AO230" i="10" s="1"/>
  <c r="M222" i="10"/>
  <c r="AO222" i="10" s="1"/>
  <c r="M198" i="10"/>
  <c r="M190" i="10"/>
  <c r="M166" i="10"/>
  <c r="AO166" i="10" s="1"/>
  <c r="M158" i="10"/>
  <c r="M150" i="10"/>
  <c r="M134" i="10"/>
  <c r="AO134" i="10" s="1"/>
  <c r="M126" i="10"/>
  <c r="AO126" i="10" s="1"/>
  <c r="M118" i="10"/>
  <c r="AO118" i="10" s="1"/>
  <c r="M102" i="10"/>
  <c r="M70" i="10"/>
  <c r="AO70" i="10" s="1"/>
  <c r="M46" i="10"/>
  <c r="AO46" i="10" s="1"/>
  <c r="M30" i="10"/>
  <c r="AO30" i="10" s="1"/>
  <c r="M14" i="10"/>
  <c r="AO14" i="10" s="1"/>
  <c r="P1150" i="10"/>
  <c r="AO1150" i="10" s="1"/>
  <c r="P838" i="10"/>
  <c r="P726" i="10"/>
  <c r="P654" i="10"/>
  <c r="P614" i="10"/>
  <c r="AO614" i="10" s="1"/>
  <c r="P598" i="10"/>
  <c r="P582" i="10"/>
  <c r="P566" i="10"/>
  <c r="P550" i="10"/>
  <c r="P526" i="10"/>
  <c r="M1205" i="10"/>
  <c r="AO1205" i="10" s="1"/>
  <c r="M1197" i="10"/>
  <c r="AO1197" i="10" s="1"/>
  <c r="M1181" i="10"/>
  <c r="AO1181" i="10" s="1"/>
  <c r="M1173" i="10"/>
  <c r="AO1173" i="10" s="1"/>
  <c r="M1149" i="10"/>
  <c r="AO1149" i="10" s="1"/>
  <c r="M1141" i="10"/>
  <c r="AO1141" i="10" s="1"/>
  <c r="M1133" i="10"/>
  <c r="AO1133" i="10" s="1"/>
  <c r="M1125" i="10"/>
  <c r="M1117" i="10"/>
  <c r="M1109" i="10"/>
  <c r="AO1109" i="10" s="1"/>
  <c r="M1093" i="10"/>
  <c r="M1085" i="10"/>
  <c r="M1061" i="10"/>
  <c r="AO1061" i="10" s="1"/>
  <c r="M1053" i="10"/>
  <c r="AO1053" i="10" s="1"/>
  <c r="M1045" i="10"/>
  <c r="M1029" i="10"/>
  <c r="M1021" i="10"/>
  <c r="AO1021" i="10" s="1"/>
  <c r="M1013" i="10"/>
  <c r="M1005" i="10"/>
  <c r="AO1005" i="10" s="1"/>
  <c r="M997" i="10"/>
  <c r="AO997" i="10" s="1"/>
  <c r="M989" i="10"/>
  <c r="M973" i="10"/>
  <c r="AO973" i="10" s="1"/>
  <c r="M957" i="10"/>
  <c r="AO957" i="10" s="1"/>
  <c r="M949" i="10"/>
  <c r="M933" i="10"/>
  <c r="AO933" i="10" s="1"/>
  <c r="M925" i="10"/>
  <c r="AO925" i="10" s="1"/>
  <c r="M917" i="10"/>
  <c r="AO917" i="10" s="1"/>
  <c r="M901" i="10"/>
  <c r="AO901" i="10" s="1"/>
  <c r="M885" i="10"/>
  <c r="AO885" i="10" s="1"/>
  <c r="M869" i="10"/>
  <c r="AO869" i="10" s="1"/>
  <c r="M861" i="10"/>
  <c r="M853" i="10"/>
  <c r="AO853" i="10" s="1"/>
  <c r="M837" i="10"/>
  <c r="AO837" i="10" s="1"/>
  <c r="M821" i="10"/>
  <c r="AO821" i="10" s="1"/>
  <c r="M805" i="10"/>
  <c r="AO805" i="10" s="1"/>
  <c r="M797" i="10"/>
  <c r="M773" i="10"/>
  <c r="AO773" i="10" s="1"/>
  <c r="M757" i="10"/>
  <c r="M741" i="10"/>
  <c r="AO741" i="10" s="1"/>
  <c r="M733" i="10"/>
  <c r="M709" i="10"/>
  <c r="AO709" i="10" s="1"/>
  <c r="M693" i="10"/>
  <c r="AO693" i="10" s="1"/>
  <c r="M677" i="10"/>
  <c r="M669" i="10"/>
  <c r="M645" i="10"/>
  <c r="M629" i="10"/>
  <c r="AO629" i="10" s="1"/>
  <c r="M613" i="10"/>
  <c r="M581" i="10"/>
  <c r="M549" i="10"/>
  <c r="AO549" i="10" s="1"/>
  <c r="M517" i="10"/>
  <c r="AO517" i="10" s="1"/>
  <c r="M485" i="10"/>
  <c r="AO485" i="10" s="1"/>
  <c r="M477" i="10"/>
  <c r="AO477" i="10" s="1"/>
  <c r="M469" i="10"/>
  <c r="AO469" i="10" s="1"/>
  <c r="M461" i="10"/>
  <c r="AO461" i="10" s="1"/>
  <c r="M453" i="10"/>
  <c r="AO453" i="10" s="1"/>
  <c r="M445" i="10"/>
  <c r="M437" i="10"/>
  <c r="M429" i="10"/>
  <c r="M421" i="10"/>
  <c r="AO421" i="10" s="1"/>
  <c r="M413" i="10"/>
  <c r="AO413" i="10" s="1"/>
  <c r="M405" i="10"/>
  <c r="AO405" i="10" s="1"/>
  <c r="M397" i="10"/>
  <c r="AO397" i="10" s="1"/>
  <c r="M389" i="10"/>
  <c r="AO389" i="10" s="1"/>
  <c r="M381" i="10"/>
  <c r="AO381" i="10" s="1"/>
  <c r="M373" i="10"/>
  <c r="M365" i="10"/>
  <c r="AO365" i="10" s="1"/>
  <c r="M357" i="10"/>
  <c r="M349" i="10"/>
  <c r="AO349" i="10" s="1"/>
  <c r="M341" i="10"/>
  <c r="AO341" i="10" s="1"/>
  <c r="M333" i="10"/>
  <c r="M325" i="10"/>
  <c r="AO325" i="10" s="1"/>
  <c r="M317" i="10"/>
  <c r="M309" i="10"/>
  <c r="M301" i="10"/>
  <c r="AO301" i="10" s="1"/>
  <c r="M293" i="10"/>
  <c r="AO293" i="10" s="1"/>
  <c r="M285" i="10"/>
  <c r="AO285" i="10" s="1"/>
  <c r="M277" i="10"/>
  <c r="AO277" i="10" s="1"/>
  <c r="M269" i="10"/>
  <c r="AO269" i="10" s="1"/>
  <c r="M261" i="10"/>
  <c r="M253" i="10"/>
  <c r="AO253" i="10" s="1"/>
  <c r="M245" i="10"/>
  <c r="AO245" i="10" s="1"/>
  <c r="M237" i="10"/>
  <c r="AO237" i="10" s="1"/>
  <c r="M229" i="10"/>
  <c r="AO229" i="10" s="1"/>
  <c r="M221" i="10"/>
  <c r="AO221" i="10" s="1"/>
  <c r="M213" i="10"/>
  <c r="AO213" i="10" s="1"/>
  <c r="M205" i="10"/>
  <c r="AO205" i="10" s="1"/>
  <c r="M197" i="10"/>
  <c r="AO197" i="10" s="1"/>
  <c r="M189" i="10"/>
  <c r="AO189" i="10" s="1"/>
  <c r="M181" i="10"/>
  <c r="AO181" i="10" s="1"/>
  <c r="M173" i="10"/>
  <c r="M165" i="10"/>
  <c r="AO165" i="10" s="1"/>
  <c r="M157" i="10"/>
  <c r="AO157" i="10" s="1"/>
  <c r="M149" i="10"/>
  <c r="AO149" i="10" s="1"/>
  <c r="M141" i="10"/>
  <c r="AO141" i="10" s="1"/>
  <c r="M133" i="10"/>
  <c r="AO133" i="10" s="1"/>
  <c r="M125" i="10"/>
  <c r="M117" i="10"/>
  <c r="AO117" i="10" s="1"/>
  <c r="M109" i="10"/>
  <c r="AO109" i="10" s="1"/>
  <c r="M101" i="10"/>
  <c r="AO101" i="10" s="1"/>
  <c r="M85" i="10"/>
  <c r="AO85" i="10" s="1"/>
  <c r="M69" i="10"/>
  <c r="AO69" i="10" s="1"/>
  <c r="M53" i="10"/>
  <c r="AO53" i="10" s="1"/>
  <c r="M37" i="10"/>
  <c r="AO37" i="10" s="1"/>
  <c r="M29" i="10"/>
  <c r="M21" i="10"/>
  <c r="AO21" i="10" s="1"/>
  <c r="AO1166" i="10"/>
  <c r="AO1158" i="10"/>
  <c r="AO1142" i="10"/>
  <c r="AO1086" i="10"/>
  <c r="AO1038" i="10"/>
  <c r="AO1030" i="10"/>
  <c r="AO1006" i="10"/>
  <c r="AO950" i="10"/>
  <c r="AO718" i="10"/>
  <c r="AO1185" i="10"/>
  <c r="AO1153" i="10"/>
  <c r="AO1025" i="10"/>
  <c r="AO897" i="10"/>
  <c r="AO849" i="10"/>
  <c r="AO769" i="10"/>
  <c r="AO689" i="10"/>
  <c r="AO657" i="10"/>
  <c r="AO529" i="10"/>
  <c r="AO441" i="10"/>
  <c r="AO433" i="10"/>
  <c r="AO385" i="10"/>
  <c r="AO353" i="10"/>
  <c r="AO337" i="10"/>
  <c r="AO297" i="10"/>
  <c r="AO289" i="10"/>
  <c r="AO273" i="10"/>
  <c r="AO241" i="10"/>
  <c r="AO177" i="10"/>
  <c r="AO129" i="10"/>
  <c r="AO97" i="10"/>
  <c r="AO81" i="10"/>
  <c r="AO73" i="10"/>
  <c r="AO41" i="10"/>
  <c r="AO33" i="10"/>
  <c r="AO1192" i="10"/>
  <c r="AO1160" i="10"/>
  <c r="AO1120" i="10"/>
  <c r="AO888" i="10"/>
  <c r="AO808" i="10"/>
  <c r="AO792" i="10"/>
  <c r="AO736" i="10"/>
  <c r="AO728" i="10"/>
  <c r="AO552" i="10"/>
  <c r="AO392" i="10"/>
  <c r="AO320" i="10"/>
  <c r="AO312" i="10"/>
  <c r="AO296" i="10"/>
  <c r="AO288" i="10"/>
  <c r="AO216" i="10"/>
  <c r="AO184" i="10"/>
  <c r="AO152" i="10"/>
  <c r="AO120" i="10"/>
  <c r="AO56" i="10"/>
  <c r="AO32" i="10"/>
  <c r="AO16" i="10"/>
  <c r="AO8" i="10"/>
  <c r="AO1167" i="10"/>
  <c r="AO911" i="10"/>
  <c r="AO735" i="10"/>
  <c r="AO719" i="10"/>
  <c r="AO671" i="10"/>
  <c r="AO591" i="10"/>
  <c r="AO471" i="10"/>
  <c r="AO431" i="10"/>
  <c r="AO271" i="10"/>
  <c r="AO255" i="10"/>
  <c r="AO207" i="10"/>
  <c r="AO143" i="10"/>
  <c r="AO127" i="10"/>
  <c r="AO111" i="10"/>
  <c r="AO79" i="10"/>
  <c r="AO31" i="10"/>
  <c r="AO638" i="10"/>
  <c r="AO502" i="10"/>
  <c r="AO494" i="10"/>
  <c r="AO478" i="10"/>
  <c r="AO446" i="10"/>
  <c r="AO422" i="10"/>
  <c r="AO302" i="10"/>
  <c r="AO238" i="10"/>
  <c r="AO214" i="10"/>
  <c r="AO174" i="10"/>
  <c r="AO110" i="10"/>
  <c r="AO94" i="10"/>
  <c r="AO78" i="10"/>
  <c r="AO62" i="10"/>
  <c r="AO54" i="10"/>
  <c r="AO1189" i="10"/>
  <c r="AO1157" i="10"/>
  <c r="AO1125" i="10"/>
  <c r="AO1101" i="10"/>
  <c r="AO1037" i="10"/>
  <c r="AO1013" i="10"/>
  <c r="AO981" i="10"/>
  <c r="AO941" i="10"/>
  <c r="AO909" i="10"/>
  <c r="AO893" i="10"/>
  <c r="AO813" i="10"/>
  <c r="AO781" i="10"/>
  <c r="AO717" i="10"/>
  <c r="AO685" i="10"/>
  <c r="AO565" i="10"/>
  <c r="AO525" i="10"/>
  <c r="AO509" i="10"/>
  <c r="AO445" i="10"/>
  <c r="AO429" i="10"/>
  <c r="AO317" i="10"/>
  <c r="AO125" i="10"/>
  <c r="AO77" i="10"/>
  <c r="AO61" i="10"/>
  <c r="AO45" i="10"/>
  <c r="AO29" i="10"/>
  <c r="AO1180" i="10"/>
  <c r="AO1164" i="10"/>
  <c r="AO1148" i="10"/>
  <c r="AO1140" i="10"/>
  <c r="AO1100" i="10"/>
  <c r="AO1068" i="10"/>
  <c r="AO1052" i="10"/>
  <c r="AO1044" i="10"/>
  <c r="AO1028" i="10"/>
  <c r="AO1012" i="10"/>
  <c r="AO1004" i="10"/>
  <c r="AO988" i="10"/>
  <c r="AO964" i="10"/>
  <c r="AO924" i="10"/>
  <c r="AO916" i="10"/>
  <c r="AO900" i="10"/>
  <c r="AO892" i="10"/>
  <c r="AO876" i="10"/>
  <c r="AO852" i="10"/>
  <c r="AO820" i="10"/>
  <c r="AO812" i="10"/>
  <c r="AO780" i="10"/>
  <c r="AO748" i="10"/>
  <c r="AO740" i="10"/>
  <c r="AO708" i="10"/>
  <c r="AO676" i="10"/>
  <c r="AO660" i="10"/>
  <c r="AO636" i="10"/>
  <c r="AO620" i="10"/>
  <c r="AO588" i="10"/>
  <c r="AO532" i="10"/>
  <c r="AO484" i="10"/>
  <c r="AO468" i="10"/>
  <c r="AO452" i="10"/>
  <c r="AO444" i="10"/>
  <c r="AO428" i="10"/>
  <c r="AO420" i="10"/>
  <c r="AO348" i="10"/>
  <c r="AO268" i="10"/>
  <c r="AO260" i="10"/>
  <c r="AO156" i="10"/>
  <c r="AO124" i="10"/>
  <c r="AO116" i="10"/>
  <c r="AO100" i="10"/>
  <c r="AO52" i="10"/>
  <c r="AO36" i="10"/>
  <c r="AO20" i="10"/>
  <c r="AO1147" i="10"/>
  <c r="AO1131" i="10"/>
  <c r="AO1091" i="10"/>
  <c r="AO1043" i="10"/>
  <c r="AO1027" i="10"/>
  <c r="AO995" i="10"/>
  <c r="AO987" i="10"/>
  <c r="AO955" i="10"/>
  <c r="AO947" i="10"/>
  <c r="AO883" i="10"/>
  <c r="AO875" i="10"/>
  <c r="AO803" i="10"/>
  <c r="AO755" i="10"/>
  <c r="AO643" i="10"/>
  <c r="AO595" i="10"/>
  <c r="AO435" i="10"/>
  <c r="AO379" i="10"/>
  <c r="AO275" i="10"/>
  <c r="AO203" i="10"/>
  <c r="AO195" i="10"/>
  <c r="AO179" i="10"/>
  <c r="AO115" i="10"/>
  <c r="AO99" i="10"/>
  <c r="AO91" i="10"/>
  <c r="AO43" i="10"/>
  <c r="AO35" i="10"/>
  <c r="AO27" i="10"/>
  <c r="AO19" i="10"/>
  <c r="AO1186" i="10"/>
  <c r="AO1090" i="10"/>
  <c r="AO1082" i="10"/>
  <c r="AO1050" i="10"/>
  <c r="AO1026" i="10"/>
  <c r="AO1002" i="10"/>
  <c r="AO962" i="10"/>
  <c r="AO938" i="10"/>
  <c r="AO922" i="10"/>
  <c r="AO898" i="10"/>
  <c r="AO890" i="10"/>
  <c r="AO874" i="10"/>
  <c r="AO858" i="10"/>
  <c r="AO850" i="10"/>
  <c r="AO818" i="10"/>
  <c r="AO810" i="10"/>
  <c r="AO786" i="10"/>
  <c r="AO746" i="10"/>
  <c r="AO738" i="10"/>
  <c r="AO714" i="10"/>
  <c r="AO690" i="10"/>
  <c r="AO666" i="10"/>
  <c r="AO650" i="10"/>
  <c r="AO642" i="10"/>
  <c r="AO610" i="10"/>
  <c r="AO586" i="10"/>
  <c r="AO546" i="10"/>
  <c r="AO506" i="10"/>
  <c r="AO490" i="10"/>
  <c r="AO474" i="10"/>
  <c r="AO458" i="10"/>
  <c r="AO434" i="10"/>
  <c r="AO410" i="10"/>
  <c r="AO394" i="10"/>
  <c r="AO378" i="10"/>
  <c r="AO362" i="10"/>
  <c r="AO354" i="10"/>
  <c r="AO346" i="10"/>
  <c r="AO322" i="10"/>
  <c r="AO314" i="10"/>
  <c r="AO290" i="10"/>
  <c r="AO266" i="10"/>
  <c r="AO250" i="10"/>
  <c r="AO242" i="10"/>
  <c r="AO226" i="10"/>
  <c r="AO218" i="10"/>
  <c r="AO210" i="10"/>
  <c r="AO202" i="10"/>
  <c r="AO170" i="10"/>
  <c r="AO162" i="10"/>
  <c r="AO154" i="10"/>
  <c r="AO138" i="10"/>
  <c r="AO122" i="10"/>
  <c r="AO114" i="10"/>
  <c r="AO106" i="10"/>
  <c r="AO82" i="10"/>
  <c r="AO50" i="10"/>
  <c r="AO34" i="10"/>
  <c r="AO26" i="10"/>
  <c r="AO10" i="10"/>
  <c r="H15" i="8"/>
  <c r="G17" i="8"/>
  <c r="H5" i="8"/>
  <c r="H16" i="8"/>
  <c r="H14" i="8"/>
  <c r="H13" i="8"/>
  <c r="H12" i="8"/>
  <c r="H11" i="8"/>
  <c r="H9" i="8"/>
  <c r="E17" i="8"/>
  <c r="H8" i="8"/>
  <c r="F17" i="8"/>
  <c r="H7" i="8"/>
  <c r="H6" i="8"/>
  <c r="D17" i="8"/>
  <c r="H4" i="8"/>
  <c r="C17" i="8"/>
  <c r="H10" i="8"/>
  <c r="AO1151" i="10" l="1"/>
  <c r="AO1152" i="10"/>
  <c r="AO654" i="10"/>
  <c r="AO186" i="10"/>
  <c r="K15" i="14"/>
  <c r="N15" i="14" s="1"/>
  <c r="Q5" i="14" s="1"/>
  <c r="M13" i="14"/>
  <c r="L10" i="14"/>
  <c r="M5" i="14"/>
  <c r="N5" i="14" s="1"/>
  <c r="Q15" i="14" s="1"/>
  <c r="M9" i="14"/>
  <c r="N9" i="14" s="1"/>
  <c r="Q11" i="14" s="1"/>
  <c r="L4" i="14"/>
  <c r="M6" i="14"/>
  <c r="I8" i="14"/>
  <c r="J16" i="14"/>
  <c r="L8" i="14"/>
  <c r="I10" i="14"/>
  <c r="K10" i="14"/>
  <c r="K11" i="14"/>
  <c r="L11" i="14"/>
  <c r="I12" i="14"/>
  <c r="M4" i="14"/>
  <c r="I11" i="14"/>
  <c r="I13" i="14"/>
  <c r="K13" i="14"/>
  <c r="K8" i="14"/>
  <c r="L12" i="14"/>
  <c r="K14" i="14"/>
  <c r="M10" i="14"/>
  <c r="M11" i="14"/>
  <c r="K12" i="14"/>
  <c r="M8" i="14"/>
  <c r="M14" i="14"/>
  <c r="L6" i="14"/>
  <c r="N6" i="14" s="1"/>
  <c r="Q14" i="14" s="1"/>
  <c r="M7" i="14"/>
  <c r="N7" i="14" s="1"/>
  <c r="Q13" i="14" s="1"/>
  <c r="M12" i="14"/>
  <c r="AO459" i="10"/>
  <c r="AO121" i="10"/>
  <c r="AO533" i="10"/>
  <c r="AO515" i="10"/>
  <c r="AO578" i="10"/>
  <c r="AO1039" i="10"/>
  <c r="AO259" i="10"/>
  <c r="AO28" i="10"/>
  <c r="AO1107" i="10"/>
  <c r="AO913" i="10"/>
  <c r="AO513" i="10"/>
  <c r="AO882" i="10"/>
  <c r="AO799" i="10"/>
  <c r="V727" i="10"/>
  <c r="Y727" i="10"/>
  <c r="AO367" i="10"/>
  <c r="AO659" i="10"/>
  <c r="AO585" i="10"/>
  <c r="AO980" i="10"/>
  <c r="AO742" i="10"/>
  <c r="AO733" i="10"/>
  <c r="AO672" i="10"/>
  <c r="AO1208" i="10"/>
  <c r="AO644" i="10"/>
  <c r="AO608" i="10"/>
  <c r="AO541" i="10"/>
  <c r="AO572" i="10"/>
  <c r="AO652" i="10"/>
  <c r="AO664" i="10"/>
  <c r="AO148" i="10"/>
  <c r="AO895" i="10"/>
  <c r="AO1073" i="10"/>
  <c r="AO651" i="10"/>
  <c r="AO298" i="10"/>
  <c r="AO1029" i="10"/>
  <c r="AO912" i="10"/>
  <c r="AO830" i="10"/>
  <c r="AO827" i="10"/>
  <c r="AO623" i="10"/>
  <c r="AO713" i="10"/>
  <c r="AO795" i="10"/>
  <c r="AO456" i="10"/>
  <c r="AO542" i="10"/>
  <c r="AO984" i="10"/>
  <c r="AO159" i="10"/>
  <c r="AO358" i="10"/>
  <c r="AO556" i="10"/>
  <c r="AO160" i="10"/>
  <c r="AO1069" i="10"/>
  <c r="AO321" i="10"/>
  <c r="V67" i="10"/>
  <c r="AO67" i="10" s="1"/>
  <c r="V171" i="10"/>
  <c r="AO171" i="10" s="1"/>
  <c r="V451" i="10"/>
  <c r="AO451" i="10" s="1"/>
  <c r="V1011" i="10"/>
  <c r="V1203" i="10"/>
  <c r="V396" i="10"/>
  <c r="AO396" i="10" s="1"/>
  <c r="V300" i="10"/>
  <c r="AO300" i="10" s="1"/>
  <c r="V364" i="10"/>
  <c r="V412" i="10"/>
  <c r="AO412" i="10" s="1"/>
  <c r="V516" i="10"/>
  <c r="AO516" i="10" s="1"/>
  <c r="V724" i="10"/>
  <c r="AO724" i="10" s="1"/>
  <c r="V908" i="10"/>
  <c r="V589" i="10"/>
  <c r="AO589" i="10" s="1"/>
  <c r="V86" i="10"/>
  <c r="AO86" i="10" s="1"/>
  <c r="V158" i="10"/>
  <c r="AO158" i="10" s="1"/>
  <c r="V390" i="10"/>
  <c r="V566" i="10"/>
  <c r="AO566" i="10" s="1"/>
  <c r="V95" i="10"/>
  <c r="AO95" i="10" s="1"/>
  <c r="V939" i="10"/>
  <c r="AO939" i="10" s="1"/>
  <c r="V196" i="10"/>
  <c r="V692" i="10"/>
  <c r="AO692" i="10" s="1"/>
  <c r="V732" i="10"/>
  <c r="AO732" i="10" s="1"/>
  <c r="V772" i="10"/>
  <c r="AO772" i="10" s="1"/>
  <c r="V1111" i="10"/>
  <c r="V1191" i="10"/>
  <c r="AO1191" i="10" s="1"/>
  <c r="V904" i="10"/>
  <c r="AO904" i="10" s="1"/>
  <c r="V999" i="10"/>
  <c r="AO999" i="10" s="1"/>
  <c r="V256" i="10"/>
  <c r="V311" i="10"/>
  <c r="AO311" i="10" s="1"/>
  <c r="V979" i="10"/>
  <c r="AO979" i="10" s="1"/>
  <c r="V634" i="10"/>
  <c r="AO634" i="10" s="1"/>
  <c r="V770" i="10"/>
  <c r="V914" i="10"/>
  <c r="AO914" i="10" s="1"/>
  <c r="V201" i="10"/>
  <c r="AO201" i="10" s="1"/>
  <c r="V316" i="10"/>
  <c r="AO316" i="10" s="1"/>
  <c r="V107" i="10"/>
  <c r="V523" i="10"/>
  <c r="AO523" i="10" s="1"/>
  <c r="V563" i="10"/>
  <c r="AO563" i="10" s="1"/>
  <c r="V627" i="10"/>
  <c r="AO627" i="10" s="1"/>
  <c r="V739" i="10"/>
  <c r="V859" i="10"/>
  <c r="AO859" i="10" s="1"/>
  <c r="V60" i="10"/>
  <c r="AO60" i="10" s="1"/>
  <c r="V204" i="10"/>
  <c r="AO204" i="10" s="1"/>
  <c r="V1132" i="10"/>
  <c r="V261" i="10"/>
  <c r="AO261" i="10" s="1"/>
  <c r="V357" i="10"/>
  <c r="AO357" i="10" s="1"/>
  <c r="V437" i="10"/>
  <c r="AO437" i="10" s="1"/>
  <c r="V965" i="10"/>
  <c r="V1077" i="10"/>
  <c r="AO1077" i="10" s="1"/>
  <c r="V294" i="10"/>
  <c r="AO294" i="10" s="1"/>
  <c r="V526" i="10"/>
  <c r="AO526" i="10" s="1"/>
  <c r="V606" i="10"/>
  <c r="AO606" i="10" s="1"/>
  <c r="V974" i="10"/>
  <c r="AO974" i="10" s="1"/>
  <c r="V161" i="10"/>
  <c r="AO161" i="10" s="1"/>
  <c r="V527" i="10"/>
  <c r="AO527" i="10" s="1"/>
  <c r="V615" i="10"/>
  <c r="AO615" i="10" s="1"/>
  <c r="V863" i="10"/>
  <c r="AO863" i="10" s="1"/>
  <c r="V951" i="10"/>
  <c r="AO951" i="10" s="1"/>
  <c r="V200" i="10"/>
  <c r="AO200" i="10" s="1"/>
  <c r="V576" i="10"/>
  <c r="V640" i="10"/>
  <c r="AO640" i="10" s="1"/>
  <c r="V712" i="10"/>
  <c r="AO712" i="10" s="1"/>
  <c r="V976" i="10"/>
  <c r="AO976" i="10" s="1"/>
  <c r="V1040" i="10"/>
  <c r="V1112" i="10"/>
  <c r="AO1112" i="10" s="1"/>
  <c r="V524" i="10"/>
  <c r="AO524" i="10" s="1"/>
  <c r="V465" i="10"/>
  <c r="AO465" i="10" s="1"/>
  <c r="V521" i="10"/>
  <c r="V593" i="10"/>
  <c r="AO593" i="10" s="1"/>
  <c r="V745" i="10"/>
  <c r="AO745" i="10" s="1"/>
  <c r="V817" i="10"/>
  <c r="AO817" i="10" s="1"/>
  <c r="V961" i="10"/>
  <c r="V1033" i="10"/>
  <c r="AO1033" i="10" s="1"/>
  <c r="V1105" i="10"/>
  <c r="AO1105" i="10" s="1"/>
  <c r="V102" i="10"/>
  <c r="AO102" i="10" s="1"/>
  <c r="V806" i="10"/>
  <c r="V557" i="10"/>
  <c r="AO557" i="10" s="1"/>
  <c r="V463" i="10"/>
  <c r="AO463" i="10" s="1"/>
  <c r="V855" i="10"/>
  <c r="AO855" i="10" s="1"/>
  <c r="V943" i="10"/>
  <c r="V596" i="10"/>
  <c r="AO596" i="10" s="1"/>
  <c r="V192" i="10"/>
  <c r="AO192" i="10" s="1"/>
  <c r="V472" i="10"/>
  <c r="AO472" i="10" s="1"/>
  <c r="V568" i="10"/>
  <c r="AO568" i="10" s="1"/>
  <c r="V968" i="10"/>
  <c r="AO968" i="10" s="1"/>
  <c r="V737" i="10"/>
  <c r="AO737" i="10" s="1"/>
  <c r="V602" i="10"/>
  <c r="AO602" i="10" s="1"/>
  <c r="V706" i="10"/>
  <c r="V802" i="10"/>
  <c r="AO802" i="10" s="1"/>
  <c r="V1042" i="10"/>
  <c r="AO1042" i="10" s="1"/>
  <c r="V254" i="10"/>
  <c r="AO254" i="10" s="1"/>
  <c r="V315" i="10"/>
  <c r="V540" i="10"/>
  <c r="AO540" i="10" s="1"/>
  <c r="V580" i="10"/>
  <c r="AO580" i="10" s="1"/>
  <c r="V700" i="10"/>
  <c r="AO700" i="10" s="1"/>
  <c r="V788" i="10"/>
  <c r="V1196" i="10"/>
  <c r="AO1196" i="10" s="1"/>
  <c r="V613" i="10"/>
  <c r="AO613" i="10" s="1"/>
  <c r="V669" i="10"/>
  <c r="AO669" i="10" s="1"/>
  <c r="V190" i="10"/>
  <c r="V246" i="10"/>
  <c r="AO246" i="10" s="1"/>
  <c r="V534" i="10"/>
  <c r="AO534" i="10" s="1"/>
  <c r="V694" i="10"/>
  <c r="AO694" i="10" s="1"/>
  <c r="V758" i="10"/>
  <c r="V1206" i="10"/>
  <c r="AO1206" i="10" s="1"/>
  <c r="V480" i="10"/>
  <c r="AO480" i="10" s="1"/>
  <c r="V668" i="10"/>
  <c r="AO668" i="10" s="1"/>
  <c r="V63" i="10"/>
  <c r="AO63" i="10" s="1"/>
  <c r="V879" i="10"/>
  <c r="AO879" i="10" s="1"/>
  <c r="V368" i="10"/>
  <c r="AO368" i="10" s="1"/>
  <c r="V424" i="10"/>
  <c r="AO424" i="10" s="1"/>
  <c r="V496" i="10"/>
  <c r="V648" i="10"/>
  <c r="AO648" i="10" s="1"/>
  <c r="V720" i="10"/>
  <c r="AO720" i="10" s="1"/>
  <c r="V776" i="10"/>
  <c r="AO776" i="10" s="1"/>
  <c r="V1048" i="10"/>
  <c r="AO1048" i="10" s="1"/>
  <c r="V188" i="10"/>
  <c r="AO188" i="10" s="1"/>
  <c r="V185" i="10"/>
  <c r="AO185" i="10" s="1"/>
  <c r="V977" i="10"/>
  <c r="AO977" i="10" s="1"/>
  <c r="V274" i="10"/>
  <c r="V386" i="10"/>
  <c r="AO386" i="10" s="1"/>
  <c r="V426" i="10"/>
  <c r="AO426" i="10" s="1"/>
  <c r="V682" i="10"/>
  <c r="AO682" i="10" s="1"/>
  <c r="V778" i="10"/>
  <c r="V1098" i="10"/>
  <c r="AO1098" i="10" s="1"/>
  <c r="V868" i="10"/>
  <c r="AO868" i="10" s="1"/>
  <c r="V1076" i="10"/>
  <c r="AO1076" i="10" s="1"/>
  <c r="V173" i="10"/>
  <c r="V333" i="10"/>
  <c r="AO333" i="10" s="1"/>
  <c r="V501" i="10"/>
  <c r="AO501" i="10" s="1"/>
  <c r="V605" i="10"/>
  <c r="AO605" i="10" s="1"/>
  <c r="V757" i="10"/>
  <c r="V1032" i="10"/>
  <c r="AO1032" i="10" s="1"/>
  <c r="V665" i="10"/>
  <c r="AO665" i="10" s="1"/>
  <c r="V338" i="10"/>
  <c r="AO338" i="10" s="1"/>
  <c r="V570" i="10"/>
  <c r="V842" i="10"/>
  <c r="AO842" i="10" s="1"/>
  <c r="V994" i="10"/>
  <c r="AO994" i="10" s="1"/>
  <c r="V194" i="10"/>
  <c r="AO194" i="10" s="1"/>
  <c r="V131" i="10"/>
  <c r="V178" i="10"/>
  <c r="AO178" i="10" s="1"/>
  <c r="V234" i="10"/>
  <c r="AO234" i="10" s="1"/>
  <c r="V39" i="10"/>
  <c r="AO39" i="10" s="1"/>
  <c r="V475" i="10"/>
  <c r="V571" i="10"/>
  <c r="AO571" i="10" s="1"/>
  <c r="V603" i="10"/>
  <c r="AO603" i="10" s="1"/>
  <c r="V1187" i="10"/>
  <c r="AO1187" i="10" s="1"/>
  <c r="V92" i="10"/>
  <c r="V340" i="10"/>
  <c r="AO340" i="10" s="1"/>
  <c r="V373" i="10"/>
  <c r="AO373" i="10" s="1"/>
  <c r="V573" i="10"/>
  <c r="AO573" i="10" s="1"/>
  <c r="V621" i="10"/>
  <c r="V677" i="10"/>
  <c r="AO677" i="10" s="1"/>
  <c r="V725" i="10"/>
  <c r="AO725" i="10" s="1"/>
  <c r="V789" i="10"/>
  <c r="AO789" i="10" s="1"/>
  <c r="V1085" i="10"/>
  <c r="V198" i="10"/>
  <c r="AO198" i="10" s="1"/>
  <c r="V374" i="10"/>
  <c r="AO374" i="10" s="1"/>
  <c r="V430" i="10"/>
  <c r="AO430" i="10" s="1"/>
  <c r="V774" i="10"/>
  <c r="V1126" i="10"/>
  <c r="AO1126" i="10" s="1"/>
  <c r="V327" i="10"/>
  <c r="AO327" i="10" s="1"/>
  <c r="V407" i="10"/>
  <c r="AO407" i="10" s="1"/>
  <c r="V887" i="10"/>
  <c r="V967" i="10"/>
  <c r="AO967" i="10" s="1"/>
  <c r="V175" i="10"/>
  <c r="AO175" i="10" s="1"/>
  <c r="V240" i="10"/>
  <c r="AO240" i="10" s="1"/>
  <c r="V432" i="10"/>
  <c r="V656" i="10"/>
  <c r="AO656" i="10" s="1"/>
  <c r="V1056" i="10"/>
  <c r="AO1056" i="10" s="1"/>
  <c r="V393" i="10"/>
  <c r="AO393" i="10" s="1"/>
  <c r="V545" i="10"/>
  <c r="V985" i="10"/>
  <c r="AO985" i="10" s="1"/>
  <c r="V597" i="10"/>
  <c r="AO597" i="10" s="1"/>
  <c r="V1058" i="10"/>
  <c r="AO1058" i="10" s="1"/>
  <c r="V716" i="10"/>
  <c r="V756" i="10"/>
  <c r="AO756" i="10" s="1"/>
  <c r="V796" i="10"/>
  <c r="AO796" i="10" s="1"/>
  <c r="V844" i="10"/>
  <c r="AO844" i="10" s="1"/>
  <c r="V884" i="10"/>
  <c r="AO884" i="10" s="1"/>
  <c r="V932" i="10"/>
  <c r="AO932" i="10" s="1"/>
  <c r="V972" i="10"/>
  <c r="AO972" i="10" s="1"/>
  <c r="V632" i="10"/>
  <c r="AO632" i="10" s="1"/>
  <c r="V989" i="10"/>
  <c r="V1045" i="10"/>
  <c r="AO1045" i="10" s="1"/>
  <c r="V239" i="10"/>
  <c r="AO239" i="10" s="1"/>
  <c r="V206" i="10"/>
  <c r="AO206" i="10" s="1"/>
  <c r="V382" i="10"/>
  <c r="V550" i="10"/>
  <c r="AO550" i="10" s="1"/>
  <c r="V838" i="10"/>
  <c r="AO838" i="10" s="1"/>
  <c r="V1182" i="10"/>
  <c r="AO1182" i="10" s="1"/>
  <c r="V1080" i="10"/>
  <c r="V335" i="10"/>
  <c r="AO335" i="10" s="1"/>
  <c r="V559" i="10"/>
  <c r="AO559" i="10" s="1"/>
  <c r="V647" i="10"/>
  <c r="AO647" i="10" s="1"/>
  <c r="V975" i="10"/>
  <c r="V1200" i="10"/>
  <c r="AO1200" i="10" s="1"/>
  <c r="V59" i="10"/>
  <c r="AO59" i="10" s="1"/>
  <c r="V345" i="10"/>
  <c r="AO345" i="10" s="1"/>
  <c r="V1193" i="10"/>
  <c r="V466" i="10"/>
  <c r="AO466" i="10" s="1"/>
  <c r="V514" i="10"/>
  <c r="AO514" i="10" s="1"/>
  <c r="V554" i="10"/>
  <c r="AO554" i="10" s="1"/>
  <c r="V618" i="10"/>
  <c r="V722" i="10"/>
  <c r="AO722" i="10" s="1"/>
  <c r="V754" i="10"/>
  <c r="AO754" i="10" s="1"/>
  <c r="V930" i="10"/>
  <c r="AO930" i="10" s="1"/>
  <c r="V1178" i="10"/>
  <c r="V40" i="10"/>
  <c r="AO40" i="10" s="1"/>
  <c r="V528" i="10"/>
  <c r="AO528" i="10" s="1"/>
  <c r="V600" i="10"/>
  <c r="AO600" i="10" s="1"/>
  <c r="V1064" i="10"/>
  <c r="V282" i="10"/>
  <c r="AO282" i="10" s="1"/>
  <c r="V491" i="10"/>
  <c r="AO491" i="10" s="1"/>
  <c r="V547" i="10"/>
  <c r="AO547" i="10" s="1"/>
  <c r="V579" i="10"/>
  <c r="V923" i="10"/>
  <c r="AO923" i="10" s="1"/>
  <c r="V564" i="10"/>
  <c r="AO564" i="10" s="1"/>
  <c r="V292" i="10"/>
  <c r="AO292" i="10" s="1"/>
  <c r="V404" i="10"/>
  <c r="V309" i="10"/>
  <c r="AO309" i="10" s="1"/>
  <c r="V581" i="10"/>
  <c r="AO581" i="10" s="1"/>
  <c r="V797" i="10"/>
  <c r="AO797" i="10" s="1"/>
  <c r="V894" i="10"/>
  <c r="V150" i="10"/>
  <c r="AO150" i="10" s="1"/>
  <c r="V438" i="10"/>
  <c r="AO438" i="10" s="1"/>
  <c r="V934" i="10"/>
  <c r="AO934" i="10" s="1"/>
  <c r="V142" i="10"/>
  <c r="V7" i="10"/>
  <c r="AO7" i="10" s="1"/>
  <c r="V263" i="10"/>
  <c r="AO263" i="10" s="1"/>
  <c r="V655" i="10"/>
  <c r="AO655" i="10" s="1"/>
  <c r="V661" i="10"/>
  <c r="V136" i="10"/>
  <c r="AO136" i="10" s="1"/>
  <c r="V264" i="10"/>
  <c r="AO264" i="10" s="1"/>
  <c r="V344" i="10"/>
  <c r="AO344" i="10" s="1"/>
  <c r="V400" i="10"/>
  <c r="V680" i="10"/>
  <c r="AO680" i="10" s="1"/>
  <c r="V944" i="10"/>
  <c r="AO944" i="10" s="1"/>
  <c r="V1072" i="10"/>
  <c r="AO1072" i="10" s="1"/>
  <c r="V224" i="10"/>
  <c r="V409" i="10"/>
  <c r="AO409" i="10" s="1"/>
  <c r="V1018" i="10"/>
  <c r="AO1018" i="10" s="1"/>
  <c r="V1114" i="10"/>
  <c r="AO1114" i="10" s="1"/>
  <c r="V155" i="10"/>
  <c r="V1035" i="10"/>
  <c r="AO1035" i="10" s="1"/>
  <c r="V500" i="10"/>
  <c r="AO500" i="10" s="1"/>
  <c r="V628" i="10"/>
  <c r="AO628" i="10" s="1"/>
  <c r="V307" i="10"/>
  <c r="V675" i="10"/>
  <c r="AO675" i="10" s="1"/>
  <c r="V663" i="10"/>
  <c r="AO663" i="10" s="1"/>
  <c r="V1087" i="10"/>
  <c r="AO1087" i="10" s="1"/>
  <c r="V144" i="10"/>
  <c r="V544" i="10"/>
  <c r="AO544" i="10" s="1"/>
  <c r="V1088" i="10"/>
  <c r="AO1088" i="10" s="1"/>
  <c r="V9" i="10"/>
  <c r="AO9" i="10" s="1"/>
  <c r="V137" i="10"/>
  <c r="V449" i="10"/>
  <c r="AO449" i="10" s="1"/>
  <c r="V505" i="10"/>
  <c r="AO505" i="10" s="1"/>
  <c r="V641" i="10"/>
  <c r="AO641" i="10" s="1"/>
  <c r="V721" i="10"/>
  <c r="V857" i="10"/>
  <c r="AO857" i="10" s="1"/>
  <c r="V1009" i="10"/>
  <c r="AO1009" i="10" s="1"/>
  <c r="V1081" i="10"/>
  <c r="AO1081" i="10" s="1"/>
  <c r="V834" i="10"/>
  <c r="V258" i="10"/>
  <c r="AO258" i="10" s="1"/>
  <c r="V402" i="10"/>
  <c r="AO402" i="10" s="1"/>
  <c r="V442" i="10"/>
  <c r="AO442" i="10" s="1"/>
  <c r="V482" i="10"/>
  <c r="AO482" i="10" s="1"/>
  <c r="V594" i="10"/>
  <c r="AO594" i="10" s="1"/>
  <c r="V658" i="10"/>
  <c r="AO658" i="10" s="1"/>
  <c r="V698" i="10"/>
  <c r="AO698" i="10" s="1"/>
  <c r="V730" i="10"/>
  <c r="V762" i="10"/>
  <c r="AO762" i="10" s="1"/>
  <c r="V1074" i="10"/>
  <c r="AO1074" i="10" s="1"/>
  <c r="V1194" i="10"/>
  <c r="AO1194" i="10" s="1"/>
  <c r="V130" i="10"/>
  <c r="V251" i="10"/>
  <c r="AO251" i="10" s="1"/>
  <c r="V443" i="10"/>
  <c r="AO443" i="10" s="1"/>
  <c r="V228" i="10"/>
  <c r="AO228" i="10" s="1"/>
  <c r="V347" i="10"/>
  <c r="V555" i="10"/>
  <c r="AO555" i="10" s="1"/>
  <c r="V587" i="10"/>
  <c r="AO587" i="10" s="1"/>
  <c r="V1099" i="10"/>
  <c r="AO1099" i="10" s="1"/>
  <c r="V454" i="10"/>
  <c r="AO454" i="10" s="1"/>
  <c r="V180" i="10"/>
  <c r="AO180" i="10" s="1"/>
  <c r="V244" i="10"/>
  <c r="AO244" i="10" s="1"/>
  <c r="V93" i="10"/>
  <c r="AO93" i="10" s="1"/>
  <c r="V645" i="10"/>
  <c r="V877" i="10"/>
  <c r="AO877" i="10" s="1"/>
  <c r="V949" i="10"/>
  <c r="AO949" i="10" s="1"/>
  <c r="V1117" i="10"/>
  <c r="AO1117" i="10" s="1"/>
  <c r="V963" i="10"/>
  <c r="V590" i="10"/>
  <c r="AO590" i="10" s="1"/>
  <c r="V870" i="10"/>
  <c r="AO870" i="10" s="1"/>
  <c r="V958" i="10"/>
  <c r="AO958" i="10" s="1"/>
  <c r="V531" i="10"/>
  <c r="V103" i="10"/>
  <c r="AO103" i="10" s="1"/>
  <c r="V199" i="10"/>
  <c r="AO199" i="10" s="1"/>
  <c r="V511" i="10"/>
  <c r="AO511" i="10" s="1"/>
  <c r="V847" i="10"/>
  <c r="AO847" i="10" s="1"/>
  <c r="V1007" i="10"/>
  <c r="AO1007" i="10" s="1"/>
  <c r="V1103" i="10"/>
  <c r="AO1103" i="10" s="1"/>
  <c r="V187" i="10"/>
  <c r="AO187" i="10" s="1"/>
  <c r="V948" i="10"/>
  <c r="V560" i="10"/>
  <c r="AO560" i="10" s="1"/>
  <c r="V624" i="10"/>
  <c r="AO624" i="10" s="1"/>
  <c r="V696" i="10"/>
  <c r="AO696" i="10" s="1"/>
  <c r="V752" i="10"/>
  <c r="V816" i="10"/>
  <c r="AO816" i="10" s="1"/>
  <c r="V1096" i="10"/>
  <c r="AO1096" i="10" s="1"/>
  <c r="V1168" i="10"/>
  <c r="AO1168" i="10" s="1"/>
  <c r="V313" i="10"/>
  <c r="V577" i="10"/>
  <c r="AO577" i="10" s="1"/>
  <c r="V729" i="10"/>
  <c r="AO729" i="10" s="1"/>
  <c r="V945" i="10"/>
  <c r="AO945" i="10" s="1"/>
  <c r="V954" i="10"/>
  <c r="AO598" i="10"/>
  <c r="AO726" i="10"/>
  <c r="AO1127" i="10"/>
  <c r="AO406" i="10"/>
  <c r="AO582" i="10"/>
  <c r="AO814" i="10"/>
  <c r="AO384" i="10"/>
  <c r="AO448" i="10"/>
  <c r="AO1203" i="10"/>
  <c r="AO1116" i="10"/>
  <c r="AO937" i="10"/>
  <c r="AO839" i="10"/>
  <c r="AO861" i="10"/>
  <c r="AO1093" i="10"/>
  <c r="AO734" i="10"/>
  <c r="AO744" i="10"/>
  <c r="AO1170" i="10"/>
  <c r="AO935" i="10"/>
  <c r="AO535" i="10"/>
  <c r="AO567" i="10"/>
  <c r="AO727" i="10"/>
  <c r="AO983" i="10"/>
  <c r="AO1015" i="10"/>
  <c r="AO436" i="10"/>
  <c r="AO1063" i="10"/>
  <c r="AO705" i="10"/>
  <c r="AO702" i="10"/>
  <c r="AO784" i="10"/>
  <c r="AO1000" i="10"/>
  <c r="AO946" i="10"/>
  <c r="AO499" i="10"/>
  <c r="AO903" i="10"/>
  <c r="AO639" i="10"/>
  <c r="AO398" i="10"/>
  <c r="AO832" i="10"/>
  <c r="H17" i="8"/>
  <c r="M16" i="8" s="1"/>
  <c r="N14" i="14" l="1"/>
  <c r="Q6" i="14" s="1"/>
  <c r="M17" i="14"/>
  <c r="N8" i="14"/>
  <c r="Q12" i="14" s="1"/>
  <c r="I17" i="14"/>
  <c r="N12" i="14"/>
  <c r="Q8" i="14" s="1"/>
  <c r="L17" i="14"/>
  <c r="N4" i="14"/>
  <c r="K17" i="14"/>
  <c r="N10" i="14"/>
  <c r="Q10" i="14" s="1"/>
  <c r="N13" i="14"/>
  <c r="Q7" i="14" s="1"/>
  <c r="N11" i="14"/>
  <c r="Q9" i="14" s="1"/>
  <c r="J17" i="14"/>
  <c r="N16" i="14"/>
  <c r="Q4" i="14" s="1"/>
  <c r="AO954" i="10"/>
  <c r="AO313" i="10"/>
  <c r="AO752" i="10"/>
  <c r="AO948" i="10"/>
  <c r="AO531" i="10"/>
  <c r="AO963" i="10"/>
  <c r="AO645" i="10"/>
  <c r="AO347" i="10"/>
  <c r="AO130" i="10"/>
  <c r="AO730" i="10"/>
  <c r="AO834" i="10"/>
  <c r="AO721" i="10"/>
  <c r="AO137" i="10"/>
  <c r="AO144" i="10"/>
  <c r="AO307" i="10"/>
  <c r="AO155" i="10"/>
  <c r="AO224" i="10"/>
  <c r="AO400" i="10"/>
  <c r="AO661" i="10"/>
  <c r="AO142" i="10"/>
  <c r="AO894" i="10"/>
  <c r="AO404" i="10"/>
  <c r="AO579" i="10"/>
  <c r="AO1064" i="10"/>
  <c r="AO1178" i="10"/>
  <c r="AO618" i="10"/>
  <c r="AO1193" i="10"/>
  <c r="AO975" i="10"/>
  <c r="AO1080" i="10"/>
  <c r="AO382" i="10"/>
  <c r="AO989" i="10"/>
  <c r="AO716" i="10"/>
  <c r="AO545" i="10"/>
  <c r="AO432" i="10"/>
  <c r="AO887" i="10"/>
  <c r="AO774" i="10"/>
  <c r="AO1085" i="10"/>
  <c r="AO621" i="10"/>
  <c r="AO92" i="10"/>
  <c r="AO475" i="10"/>
  <c r="AO131" i="10"/>
  <c r="AO570" i="10"/>
  <c r="AO757" i="10"/>
  <c r="AO173" i="10"/>
  <c r="AO778" i="10"/>
  <c r="AO274" i="10"/>
  <c r="AO496" i="10"/>
  <c r="AO758" i="10"/>
  <c r="AO190" i="10"/>
  <c r="AO788" i="10"/>
  <c r="AO315" i="10"/>
  <c r="AO706" i="10"/>
  <c r="AO943" i="10"/>
  <c r="AO806" i="10"/>
  <c r="AO961" i="10"/>
  <c r="AO521" i="10"/>
  <c r="AO1040" i="10"/>
  <c r="AO576" i="10"/>
  <c r="AO965" i="10"/>
  <c r="AO1132" i="10"/>
  <c r="AO739" i="10"/>
  <c r="AO107" i="10"/>
  <c r="AO770" i="10"/>
  <c r="AO256" i="10"/>
  <c r="AO1111" i="10"/>
  <c r="AO196" i="10"/>
  <c r="AO390" i="10"/>
  <c r="AO908" i="10"/>
  <c r="AO364" i="10"/>
  <c r="AO1011" i="10"/>
  <c r="I16" i="8"/>
  <c r="L16" i="8"/>
  <c r="J16" i="8"/>
  <c r="K16" i="8"/>
  <c r="M15" i="8"/>
  <c r="L15" i="8"/>
  <c r="K15" i="8"/>
  <c r="J15" i="8"/>
  <c r="J14" i="8"/>
  <c r="I15" i="8"/>
  <c r="I14" i="8"/>
  <c r="L14" i="8"/>
  <c r="M14" i="8"/>
  <c r="K14" i="8"/>
  <c r="K12" i="8"/>
  <c r="K13" i="8"/>
  <c r="M13" i="8"/>
  <c r="L13" i="8"/>
  <c r="I13" i="8"/>
  <c r="J13" i="8"/>
  <c r="J12" i="8"/>
  <c r="L12" i="8"/>
  <c r="I11" i="8"/>
  <c r="M12" i="8"/>
  <c r="I12" i="8"/>
  <c r="J11" i="8"/>
  <c r="M8" i="8"/>
  <c r="M11" i="8"/>
  <c r="L11" i="8"/>
  <c r="K11" i="8"/>
  <c r="J4" i="8"/>
  <c r="M6" i="8"/>
  <c r="L6" i="8"/>
  <c r="K4" i="8"/>
  <c r="I4" i="8"/>
  <c r="J7" i="8"/>
  <c r="I10" i="8"/>
  <c r="J8" i="8"/>
  <c r="I5" i="8"/>
  <c r="K6" i="8"/>
  <c r="L8" i="8"/>
  <c r="J5" i="8"/>
  <c r="M7" i="8"/>
  <c r="I9" i="8"/>
  <c r="J10" i="8"/>
  <c r="L5" i="8"/>
  <c r="K10" i="8"/>
  <c r="M10" i="8"/>
  <c r="L4" i="8"/>
  <c r="K7" i="8"/>
  <c r="I6" i="8"/>
  <c r="K8" i="8"/>
  <c r="M5" i="8"/>
  <c r="J6" i="8"/>
  <c r="L10" i="8"/>
  <c r="I7" i="8"/>
  <c r="I8" i="8"/>
  <c r="M4" i="8"/>
  <c r="K5" i="8"/>
  <c r="L7" i="8"/>
  <c r="M9" i="8"/>
  <c r="J9" i="8"/>
  <c r="L9" i="8"/>
  <c r="K9" i="8"/>
  <c r="N17" i="14" l="1"/>
  <c r="Q16" i="14"/>
  <c r="N16" i="8"/>
  <c r="Q4" i="8" s="1"/>
  <c r="N14" i="8"/>
  <c r="Q6" i="8" s="1"/>
  <c r="N15" i="8"/>
  <c r="Q5" i="8" s="1"/>
  <c r="N13" i="8"/>
  <c r="Q7" i="8" s="1"/>
  <c r="N11" i="8"/>
  <c r="Q9" i="8" s="1"/>
  <c r="N12" i="8"/>
  <c r="Q8" i="8" s="1"/>
  <c r="K17" i="8"/>
  <c r="N10" i="8"/>
  <c r="Q10" i="8" s="1"/>
  <c r="N4" i="8"/>
  <c r="Q16" i="8" s="1"/>
  <c r="N6" i="8"/>
  <c r="Q14" i="8" s="1"/>
  <c r="N8" i="8"/>
  <c r="Q12" i="8" s="1"/>
  <c r="M17" i="8"/>
  <c r="J17" i="8"/>
  <c r="L17" i="8"/>
  <c r="I17" i="8"/>
  <c r="N7" i="8"/>
  <c r="Q13" i="8" s="1"/>
  <c r="N5" i="8"/>
  <c r="Q15" i="8" s="1"/>
  <c r="N9" i="8"/>
  <c r="Q11" i="8" s="1"/>
  <c r="D6" i="1"/>
  <c r="D1073" i="1"/>
  <c r="D160" i="1"/>
  <c r="D146" i="1"/>
  <c r="D100" i="1"/>
  <c r="D99" i="1"/>
  <c r="D97" i="1"/>
  <c r="D96" i="1"/>
  <c r="D62" i="1"/>
  <c r="D60" i="1"/>
  <c r="D57" i="1"/>
  <c r="D55" i="1"/>
  <c r="D32" i="1"/>
  <c r="D11" i="1"/>
  <c r="D35" i="1"/>
  <c r="D34" i="1"/>
  <c r="D1073" i="10" l="1"/>
  <c r="Z1073" i="1"/>
  <c r="D34" i="10"/>
  <c r="Z34" i="1"/>
  <c r="D35" i="10"/>
  <c r="Z35" i="1"/>
  <c r="D99" i="10"/>
  <c r="Z99" i="1"/>
  <c r="Z32" i="1"/>
  <c r="D32" i="10"/>
  <c r="D100" i="10"/>
  <c r="Z100" i="1"/>
  <c r="Z96" i="1"/>
  <c r="D96" i="10"/>
  <c r="D97" i="10"/>
  <c r="Z97" i="1"/>
  <c r="D11" i="10"/>
  <c r="Z11" i="1"/>
  <c r="Z55" i="1"/>
  <c r="D55" i="10"/>
  <c r="D146" i="10"/>
  <c r="Z146" i="1"/>
  <c r="D57" i="10"/>
  <c r="Z57" i="1"/>
  <c r="Z160" i="1"/>
  <c r="D160" i="10"/>
  <c r="D60" i="10"/>
  <c r="Z60" i="1"/>
  <c r="Z1072" i="1"/>
  <c r="D1072" i="10"/>
  <c r="D62" i="10"/>
  <c r="Z62" i="1"/>
  <c r="Z6" i="1"/>
  <c r="D6" i="10"/>
  <c r="N17" i="8"/>
</calcChain>
</file>

<file path=xl/sharedStrings.xml><?xml version="1.0" encoding="utf-8"?>
<sst xmlns="http://schemas.openxmlformats.org/spreadsheetml/2006/main" count="12306" uniqueCount="1276">
  <si>
    <t>nudo inicial</t>
  </si>
  <si>
    <t xml:space="preserve">longitud </t>
  </si>
  <si>
    <t xml:space="preserve">diametro </t>
  </si>
  <si>
    <t>Descripción</t>
  </si>
  <si>
    <t>Cantidad</t>
  </si>
  <si>
    <t>[UND]</t>
  </si>
  <si>
    <t>Ampliación</t>
  </si>
  <si>
    <t>tramo</t>
  </si>
  <si>
    <t>Diametro</t>
  </si>
  <si>
    <t>[Pulg]</t>
  </si>
  <si>
    <t>5</t>
  </si>
  <si>
    <t>6</t>
  </si>
  <si>
    <t>7</t>
  </si>
  <si>
    <t>nudo final</t>
  </si>
  <si>
    <t>accesorios</t>
  </si>
  <si>
    <t>Reducción</t>
  </si>
  <si>
    <t>Codo</t>
  </si>
  <si>
    <t>Tapón</t>
  </si>
  <si>
    <t xml:space="preserve">Ventosas </t>
  </si>
  <si>
    <t>Purgas</t>
  </si>
  <si>
    <t>Galápago</t>
  </si>
  <si>
    <t>PTAP1</t>
  </si>
  <si>
    <t>PTAP2</t>
  </si>
  <si>
    <t>3"</t>
  </si>
  <si>
    <t>Material</t>
  </si>
  <si>
    <t>PVC</t>
  </si>
  <si>
    <t>HF</t>
  </si>
  <si>
    <t>HG</t>
  </si>
  <si>
    <t>AC</t>
  </si>
  <si>
    <t>AP</t>
  </si>
  <si>
    <t>8"</t>
  </si>
  <si>
    <t>Válvula Reguladora de Presión</t>
  </si>
  <si>
    <t xml:space="preserve">Válvula de Corte </t>
  </si>
  <si>
    <t xml:space="preserve">Hidrantes de Columna </t>
  </si>
  <si>
    <t>Hidrantes de Piso</t>
  </si>
  <si>
    <t>N1</t>
  </si>
  <si>
    <t>N2</t>
  </si>
  <si>
    <t>CQ1</t>
  </si>
  <si>
    <t>[m]</t>
  </si>
  <si>
    <t>T. CARIONGO</t>
  </si>
  <si>
    <t>T.CARIONGO</t>
  </si>
  <si>
    <t>10"</t>
  </si>
  <si>
    <t>T.1</t>
  </si>
  <si>
    <t>12"</t>
  </si>
  <si>
    <t>N3</t>
  </si>
  <si>
    <t>T.2</t>
  </si>
  <si>
    <t>N4</t>
  </si>
  <si>
    <t>16"</t>
  </si>
  <si>
    <t>N5</t>
  </si>
  <si>
    <t>N6</t>
  </si>
  <si>
    <t>N7</t>
  </si>
  <si>
    <t>N8</t>
  </si>
  <si>
    <t>TP1</t>
  </si>
  <si>
    <t>2"</t>
  </si>
  <si>
    <t>TP2</t>
  </si>
  <si>
    <t>6"</t>
  </si>
  <si>
    <t>1"</t>
  </si>
  <si>
    <t>TPD</t>
  </si>
  <si>
    <t>TPL</t>
  </si>
  <si>
    <t>TP3</t>
  </si>
  <si>
    <t>TP4</t>
  </si>
  <si>
    <t>TP5</t>
  </si>
  <si>
    <t>TP6</t>
  </si>
  <si>
    <t>N9</t>
  </si>
  <si>
    <t>TP7</t>
  </si>
  <si>
    <t>TP8</t>
  </si>
  <si>
    <t>TP9</t>
  </si>
  <si>
    <t>N10</t>
  </si>
  <si>
    <t>TP10</t>
  </si>
  <si>
    <t>TP11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</si>
  <si>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</si>
  <si>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</si>
  <si>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</si>
  <si>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</si>
  <si>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</si>
  <si>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</si>
  <si>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</si>
  <si>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</si>
  <si>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</si>
  <si>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</si>
  <si>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</si>
  <si>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</si>
  <si>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N24</t>
  </si>
  <si>
    <t>TP12</t>
  </si>
  <si>
    <t>N23</t>
  </si>
  <si>
    <t>TP13</t>
  </si>
  <si>
    <t>N25</t>
  </si>
  <si>
    <t>TP14</t>
  </si>
  <si>
    <t>TP15</t>
  </si>
  <si>
    <t>N26</t>
  </si>
  <si>
    <t>TP16</t>
  </si>
  <si>
    <t>N33</t>
  </si>
  <si>
    <t xml:space="preserve">T. LOS PINOS </t>
  </si>
  <si>
    <t>N27</t>
  </si>
  <si>
    <t>N28</t>
  </si>
  <si>
    <t>TPL17</t>
  </si>
  <si>
    <t>TP18</t>
  </si>
  <si>
    <t>N29</t>
  </si>
  <si>
    <t>N34</t>
  </si>
  <si>
    <t>N30</t>
  </si>
  <si>
    <t>TP19</t>
  </si>
  <si>
    <t>N31</t>
  </si>
  <si>
    <t>TP20</t>
  </si>
  <si>
    <t>N32</t>
  </si>
  <si>
    <t>TP21</t>
  </si>
  <si>
    <t>TP22</t>
  </si>
  <si>
    <t>N35</t>
  </si>
  <si>
    <t>TP23</t>
  </si>
  <si>
    <t>N36</t>
  </si>
  <si>
    <t>TP24</t>
  </si>
  <si>
    <t>N37</t>
  </si>
  <si>
    <t>TP25</t>
  </si>
  <si>
    <t>TP26</t>
  </si>
  <si>
    <t>N38</t>
  </si>
  <si>
    <t>N39</t>
  </si>
  <si>
    <t>N40</t>
  </si>
  <si>
    <t>N41</t>
  </si>
  <si>
    <t>TP27</t>
  </si>
  <si>
    <t>N42</t>
  </si>
  <si>
    <t>TP28</t>
  </si>
  <si>
    <t>TP29</t>
  </si>
  <si>
    <t>N43</t>
  </si>
  <si>
    <t>TP30</t>
  </si>
  <si>
    <t>N44</t>
  </si>
  <si>
    <t>N45</t>
  </si>
  <si>
    <t>T. JURADO 2</t>
  </si>
  <si>
    <t>4"</t>
  </si>
  <si>
    <t>N46</t>
  </si>
  <si>
    <t>CQ2</t>
  </si>
  <si>
    <t>N47</t>
  </si>
  <si>
    <t>N48</t>
  </si>
  <si>
    <t>N49</t>
  </si>
  <si>
    <t>N50</t>
  </si>
  <si>
    <t>N51</t>
  </si>
  <si>
    <t>N52</t>
  </si>
  <si>
    <t>T. TRINIDAD</t>
  </si>
  <si>
    <t>T.PROGRESO2</t>
  </si>
  <si>
    <t>T.TRINIDAD</t>
  </si>
  <si>
    <t>N53</t>
  </si>
  <si>
    <t>N54</t>
  </si>
  <si>
    <t>N55</t>
  </si>
  <si>
    <t>TP31</t>
  </si>
  <si>
    <t>TP32</t>
  </si>
  <si>
    <t>N56</t>
  </si>
  <si>
    <t>TP33</t>
  </si>
  <si>
    <t>N57</t>
  </si>
  <si>
    <t>TP34</t>
  </si>
  <si>
    <t>N58</t>
  </si>
  <si>
    <t>TP35</t>
  </si>
  <si>
    <t>N59</t>
  </si>
  <si>
    <t>TP36</t>
  </si>
  <si>
    <t>N60</t>
  </si>
  <si>
    <t>TP37</t>
  </si>
  <si>
    <t>TP38</t>
  </si>
  <si>
    <t>N61</t>
  </si>
  <si>
    <t>TP39</t>
  </si>
  <si>
    <t>TP40</t>
  </si>
  <si>
    <t>N62</t>
  </si>
  <si>
    <t>N63</t>
  </si>
  <si>
    <t>TP41</t>
  </si>
  <si>
    <t>TP42</t>
  </si>
  <si>
    <t>N64</t>
  </si>
  <si>
    <t>N65</t>
  </si>
  <si>
    <t>TP43</t>
  </si>
  <si>
    <t>TP44</t>
  </si>
  <si>
    <t>N66</t>
  </si>
  <si>
    <t>N67</t>
  </si>
  <si>
    <t>N68</t>
  </si>
  <si>
    <t>TP45</t>
  </si>
  <si>
    <t>TP46</t>
  </si>
  <si>
    <t>N69</t>
  </si>
  <si>
    <t>N70</t>
  </si>
  <si>
    <t>TP47</t>
  </si>
  <si>
    <t>TP48</t>
  </si>
  <si>
    <t>N71</t>
  </si>
  <si>
    <t>N72</t>
  </si>
  <si>
    <t>TP49</t>
  </si>
  <si>
    <t>N73</t>
  </si>
  <si>
    <t>TP50</t>
  </si>
  <si>
    <t>N74</t>
  </si>
  <si>
    <t>TP51</t>
  </si>
  <si>
    <t>N75</t>
  </si>
  <si>
    <t>N76</t>
  </si>
  <si>
    <t>CQ3</t>
  </si>
  <si>
    <t>N77</t>
  </si>
  <si>
    <t>N78</t>
  </si>
  <si>
    <t>TP52</t>
  </si>
  <si>
    <t>TP53</t>
  </si>
  <si>
    <t>CQ4</t>
  </si>
  <si>
    <t>N79</t>
  </si>
  <si>
    <t>N80</t>
  </si>
  <si>
    <t>N81</t>
  </si>
  <si>
    <t>TP54</t>
  </si>
  <si>
    <t>N82</t>
  </si>
  <si>
    <t>TP55</t>
  </si>
  <si>
    <t>N83</t>
  </si>
  <si>
    <t>TP56</t>
  </si>
  <si>
    <t>N84</t>
  </si>
  <si>
    <t>TP57</t>
  </si>
  <si>
    <t>TP58</t>
  </si>
  <si>
    <t>N85</t>
  </si>
  <si>
    <t>TP59</t>
  </si>
  <si>
    <t>N86</t>
  </si>
  <si>
    <t>TP60</t>
  </si>
  <si>
    <t>N87</t>
  </si>
  <si>
    <t>N88</t>
  </si>
  <si>
    <t>TP61</t>
  </si>
  <si>
    <t>N89</t>
  </si>
  <si>
    <t>TP62</t>
  </si>
  <si>
    <t>N90</t>
  </si>
  <si>
    <t>TP63</t>
  </si>
  <si>
    <t>N91</t>
  </si>
  <si>
    <t>N92</t>
  </si>
  <si>
    <t>TP64</t>
  </si>
  <si>
    <t>TP65</t>
  </si>
  <si>
    <t>N93</t>
  </si>
  <si>
    <t>N94</t>
  </si>
  <si>
    <t>N95</t>
  </si>
  <si>
    <t>TP66</t>
  </si>
  <si>
    <t>1 1/2"</t>
  </si>
  <si>
    <t>N96</t>
  </si>
  <si>
    <t>TP67</t>
  </si>
  <si>
    <t>N97</t>
  </si>
  <si>
    <t>TP68</t>
  </si>
  <si>
    <t>N98</t>
  </si>
  <si>
    <t>TP69</t>
  </si>
  <si>
    <r>
      <t>3</t>
    </r>
    <r>
      <rPr>
        <b/>
        <sz val="11"/>
        <color theme="1"/>
        <rFont val="Calibri"/>
        <family val="2"/>
        <scheme val="minor"/>
      </rPr>
      <t>"</t>
    </r>
  </si>
  <si>
    <t>N99</t>
  </si>
  <si>
    <t>TP70</t>
  </si>
  <si>
    <t>TP71</t>
  </si>
  <si>
    <t>N100</t>
  </si>
  <si>
    <t>N101</t>
  </si>
  <si>
    <t>N102</t>
  </si>
  <si>
    <t>TP72</t>
  </si>
  <si>
    <t>N103</t>
  </si>
  <si>
    <t>TP73</t>
  </si>
  <si>
    <t>N104</t>
  </si>
  <si>
    <t>TP74</t>
  </si>
  <si>
    <t>N105</t>
  </si>
  <si>
    <t>N106</t>
  </si>
  <si>
    <t>N107</t>
  </si>
  <si>
    <t>TP75</t>
  </si>
  <si>
    <t>N108</t>
  </si>
  <si>
    <t>TP76</t>
  </si>
  <si>
    <t>N109</t>
  </si>
  <si>
    <t>TP77</t>
  </si>
  <si>
    <t>N110</t>
  </si>
  <si>
    <t>N111</t>
  </si>
  <si>
    <t>N112</t>
  </si>
  <si>
    <t>TP78</t>
  </si>
  <si>
    <t>N113</t>
  </si>
  <si>
    <t>TP79</t>
  </si>
  <si>
    <t>TP80</t>
  </si>
  <si>
    <t>N114</t>
  </si>
  <si>
    <t>TP81</t>
  </si>
  <si>
    <t>TP82</t>
  </si>
  <si>
    <t>N115</t>
  </si>
  <si>
    <t>N116</t>
  </si>
  <si>
    <t>TP83</t>
  </si>
  <si>
    <t>N117</t>
  </si>
  <si>
    <t>TP84</t>
  </si>
  <si>
    <t>TP85</t>
  </si>
  <si>
    <t>N118</t>
  </si>
  <si>
    <t>N119</t>
  </si>
  <si>
    <t>N120</t>
  </si>
  <si>
    <t>N121</t>
  </si>
  <si>
    <t>N122</t>
  </si>
  <si>
    <t>TP86</t>
  </si>
  <si>
    <t>N123</t>
  </si>
  <si>
    <t>TP87</t>
  </si>
  <si>
    <t>N124</t>
  </si>
  <si>
    <t>N125</t>
  </si>
  <si>
    <t>TP88</t>
  </si>
  <si>
    <t>N126</t>
  </si>
  <si>
    <t>N127</t>
  </si>
  <si>
    <t>N128</t>
  </si>
  <si>
    <t>TP89</t>
  </si>
  <si>
    <t>TP90</t>
  </si>
  <si>
    <t>N129</t>
  </si>
  <si>
    <t>TP91</t>
  </si>
  <si>
    <t>TP92</t>
  </si>
  <si>
    <t>N130</t>
  </si>
  <si>
    <t>TP93</t>
  </si>
  <si>
    <t>M131</t>
  </si>
  <si>
    <t>N131</t>
  </si>
  <si>
    <t>TP94</t>
  </si>
  <si>
    <t>N132</t>
  </si>
  <si>
    <t>TP95</t>
  </si>
  <si>
    <t>N133</t>
  </si>
  <si>
    <t>TP96</t>
  </si>
  <si>
    <t>N134</t>
  </si>
  <si>
    <t>N135</t>
  </si>
  <si>
    <t>N136</t>
  </si>
  <si>
    <t>TP97</t>
  </si>
  <si>
    <t>TP98</t>
  </si>
  <si>
    <t>N137</t>
  </si>
  <si>
    <t>N138</t>
  </si>
  <si>
    <t>TP99</t>
  </si>
  <si>
    <t>N139</t>
  </si>
  <si>
    <t>N140</t>
  </si>
  <si>
    <t>TP100</t>
  </si>
  <si>
    <t>N141</t>
  </si>
  <si>
    <t>TP101</t>
  </si>
  <si>
    <t>N142</t>
  </si>
  <si>
    <t>TP102</t>
  </si>
  <si>
    <t>TP103</t>
  </si>
  <si>
    <t>N143</t>
  </si>
  <si>
    <t>TP104</t>
  </si>
  <si>
    <t>N144</t>
  </si>
  <si>
    <t>N145</t>
  </si>
  <si>
    <t>TP105</t>
  </si>
  <si>
    <t>N146</t>
  </si>
  <si>
    <t>TP106</t>
  </si>
  <si>
    <t>N147</t>
  </si>
  <si>
    <t>TP107</t>
  </si>
  <si>
    <t>TP108</t>
  </si>
  <si>
    <t>N148</t>
  </si>
  <si>
    <t>N149</t>
  </si>
  <si>
    <t>TP109</t>
  </si>
  <si>
    <t>N150</t>
  </si>
  <si>
    <t>N151</t>
  </si>
  <si>
    <t>TP110</t>
  </si>
  <si>
    <t>TP111</t>
  </si>
  <si>
    <t>N152</t>
  </si>
  <si>
    <t>NTD</t>
  </si>
  <si>
    <t>N153</t>
  </si>
  <si>
    <t>N154</t>
  </si>
  <si>
    <t>N155</t>
  </si>
  <si>
    <t>TP112</t>
  </si>
  <si>
    <t>N156</t>
  </si>
  <si>
    <t>TP113</t>
  </si>
  <si>
    <t>N157</t>
  </si>
  <si>
    <t>TP114</t>
  </si>
  <si>
    <t>TP115</t>
  </si>
  <si>
    <t>N158</t>
  </si>
  <si>
    <t>N159</t>
  </si>
  <si>
    <t>N160</t>
  </si>
  <si>
    <t>TP116</t>
  </si>
  <si>
    <t>TP117</t>
  </si>
  <si>
    <t>N161</t>
  </si>
  <si>
    <t>TP118</t>
  </si>
  <si>
    <t>N162</t>
  </si>
  <si>
    <t>TP119</t>
  </si>
  <si>
    <t>N163</t>
  </si>
  <si>
    <t>TP120</t>
  </si>
  <si>
    <t>N164</t>
  </si>
  <si>
    <t>TP121</t>
  </si>
  <si>
    <t>TP122</t>
  </si>
  <si>
    <t>N165</t>
  </si>
  <si>
    <t>N166</t>
  </si>
  <si>
    <t>TP123</t>
  </si>
  <si>
    <t>N167</t>
  </si>
  <si>
    <t>TP124</t>
  </si>
  <si>
    <t>TP125</t>
  </si>
  <si>
    <t>N168</t>
  </si>
  <si>
    <t>TP126</t>
  </si>
  <si>
    <t>TP127</t>
  </si>
  <si>
    <t>N169</t>
  </si>
  <si>
    <t>N170</t>
  </si>
  <si>
    <t>TP128</t>
  </si>
  <si>
    <t>N171</t>
  </si>
  <si>
    <t>TP129</t>
  </si>
  <si>
    <t>N172</t>
  </si>
  <si>
    <t>TP130</t>
  </si>
  <si>
    <t>N173</t>
  </si>
  <si>
    <t>TP131</t>
  </si>
  <si>
    <t>N174</t>
  </si>
  <si>
    <t>N175</t>
  </si>
  <si>
    <t>TP132</t>
  </si>
  <si>
    <t>TP133</t>
  </si>
  <si>
    <t>N176</t>
  </si>
  <si>
    <t>TP134</t>
  </si>
  <si>
    <t>TP135</t>
  </si>
  <si>
    <t>N177</t>
  </si>
  <si>
    <t>T.PROGRESO1</t>
  </si>
  <si>
    <t>1/2"</t>
  </si>
  <si>
    <t>2 1/2"</t>
  </si>
  <si>
    <t>N178</t>
  </si>
  <si>
    <t>N179</t>
  </si>
  <si>
    <t>N180</t>
  </si>
  <si>
    <t>TP136</t>
  </si>
  <si>
    <t>TP137</t>
  </si>
  <si>
    <t>N181</t>
  </si>
  <si>
    <t>TP138</t>
  </si>
  <si>
    <t>TP139</t>
  </si>
  <si>
    <t>N182</t>
  </si>
  <si>
    <t>TP140</t>
  </si>
  <si>
    <t>TP141</t>
  </si>
  <si>
    <t>E.B.1</t>
  </si>
  <si>
    <t>E.B.2</t>
  </si>
  <si>
    <t>N183</t>
  </si>
  <si>
    <t>N184</t>
  </si>
  <si>
    <t>TP142</t>
  </si>
  <si>
    <t>N185</t>
  </si>
  <si>
    <t>TP143</t>
  </si>
  <si>
    <t>TP144</t>
  </si>
  <si>
    <t>N186</t>
  </si>
  <si>
    <t>N187</t>
  </si>
  <si>
    <t>N188</t>
  </si>
  <si>
    <t>N189</t>
  </si>
  <si>
    <t>N190</t>
  </si>
  <si>
    <t>TP145</t>
  </si>
  <si>
    <t>N191</t>
  </si>
  <si>
    <t>N192</t>
  </si>
  <si>
    <t>N193</t>
  </si>
  <si>
    <t>N194</t>
  </si>
  <si>
    <t>TP146</t>
  </si>
  <si>
    <t>N195</t>
  </si>
  <si>
    <t>TP147</t>
  </si>
  <si>
    <t>N196</t>
  </si>
  <si>
    <t>N197</t>
  </si>
  <si>
    <t>TP148</t>
  </si>
  <si>
    <t>TP149</t>
  </si>
  <si>
    <t>N198</t>
  </si>
  <si>
    <t>TP150</t>
  </si>
  <si>
    <t>N199</t>
  </si>
  <si>
    <t>N200</t>
  </si>
  <si>
    <t>TP151</t>
  </si>
  <si>
    <t>N201</t>
  </si>
  <si>
    <t>N202</t>
  </si>
  <si>
    <t>TP152</t>
  </si>
  <si>
    <t>N203</t>
  </si>
  <si>
    <t>TP153</t>
  </si>
  <si>
    <t>N204</t>
  </si>
  <si>
    <t>TP154</t>
  </si>
  <si>
    <t>N205</t>
  </si>
  <si>
    <t>TP155</t>
  </si>
  <si>
    <t>N206</t>
  </si>
  <si>
    <t>N207</t>
  </si>
  <si>
    <t>N208</t>
  </si>
  <si>
    <t>N209</t>
  </si>
  <si>
    <t>N210</t>
  </si>
  <si>
    <t>N211</t>
  </si>
  <si>
    <t>N212</t>
  </si>
  <si>
    <t>N213</t>
  </si>
  <si>
    <t>TP156</t>
  </si>
  <si>
    <t>TP157</t>
  </si>
  <si>
    <t>N214</t>
  </si>
  <si>
    <t>TP158</t>
  </si>
  <si>
    <t>N215</t>
  </si>
  <si>
    <t>TP159</t>
  </si>
  <si>
    <t>N216</t>
  </si>
  <si>
    <t>TP160</t>
  </si>
  <si>
    <t>TP161</t>
  </si>
  <si>
    <t>N217</t>
  </si>
  <si>
    <t>N218</t>
  </si>
  <si>
    <t>N219</t>
  </si>
  <si>
    <t>N220</t>
  </si>
  <si>
    <t>TP162</t>
  </si>
  <si>
    <t>N221</t>
  </si>
  <si>
    <t>TP163</t>
  </si>
  <si>
    <t>N222</t>
  </si>
  <si>
    <t>N223</t>
  </si>
  <si>
    <t>TP164</t>
  </si>
  <si>
    <t>N224</t>
  </si>
  <si>
    <t>TP165</t>
  </si>
  <si>
    <t>N225</t>
  </si>
  <si>
    <t>N226</t>
  </si>
  <si>
    <t>N227</t>
  </si>
  <si>
    <t>N228</t>
  </si>
  <si>
    <t>N229</t>
  </si>
  <si>
    <t>N230</t>
  </si>
  <si>
    <t>N231</t>
  </si>
  <si>
    <t>N232</t>
  </si>
  <si>
    <t>TP166</t>
  </si>
  <si>
    <t>TP167</t>
  </si>
  <si>
    <t>TP168</t>
  </si>
  <si>
    <t>N233</t>
  </si>
  <si>
    <t>TP169</t>
  </si>
  <si>
    <t>TP170</t>
  </si>
  <si>
    <t>N234</t>
  </si>
  <si>
    <t>N235</t>
  </si>
  <si>
    <t>N236</t>
  </si>
  <si>
    <t>TP171</t>
  </si>
  <si>
    <t>TP172</t>
  </si>
  <si>
    <t>N237</t>
  </si>
  <si>
    <t>N238</t>
  </si>
  <si>
    <t>TP173</t>
  </si>
  <si>
    <t>N239</t>
  </si>
  <si>
    <t>TP174</t>
  </si>
  <si>
    <t>N240</t>
  </si>
  <si>
    <t>N241</t>
  </si>
  <si>
    <t>N242</t>
  </si>
  <si>
    <t>N243</t>
  </si>
  <si>
    <t>TP175</t>
  </si>
  <si>
    <t>T.PROVINCIAL</t>
  </si>
  <si>
    <t>N244</t>
  </si>
  <si>
    <t>N245</t>
  </si>
  <si>
    <t>TP176</t>
  </si>
  <si>
    <t>N246</t>
  </si>
  <si>
    <t>T. PROVINCIAL</t>
  </si>
  <si>
    <t>N247</t>
  </si>
  <si>
    <t>TP177</t>
  </si>
  <si>
    <t>N248</t>
  </si>
  <si>
    <t>N249</t>
  </si>
  <si>
    <t>N250</t>
  </si>
  <si>
    <t xml:space="preserve">T. JURADO 2 </t>
  </si>
  <si>
    <t>N251</t>
  </si>
  <si>
    <t>N252</t>
  </si>
  <si>
    <t>E.B.3</t>
  </si>
  <si>
    <t>TP178</t>
  </si>
  <si>
    <t>N253</t>
  </si>
  <si>
    <t>N254</t>
  </si>
  <si>
    <t>N255</t>
  </si>
  <si>
    <t>N256</t>
  </si>
  <si>
    <t>TP179</t>
  </si>
  <si>
    <t>N257</t>
  </si>
  <si>
    <t>TP180</t>
  </si>
  <si>
    <t>TP181</t>
  </si>
  <si>
    <t>N258</t>
  </si>
  <si>
    <t>TP182</t>
  </si>
  <si>
    <t>N259</t>
  </si>
  <si>
    <t>N260</t>
  </si>
  <si>
    <t>TP183</t>
  </si>
  <si>
    <t>N261</t>
  </si>
  <si>
    <t>TP184</t>
  </si>
  <si>
    <t>N262</t>
  </si>
  <si>
    <t>TP185</t>
  </si>
  <si>
    <t>N263</t>
  </si>
  <si>
    <t>TP186</t>
  </si>
  <si>
    <t>TP187</t>
  </si>
  <si>
    <t>N264</t>
  </si>
  <si>
    <t>N265</t>
  </si>
  <si>
    <t>N266</t>
  </si>
  <si>
    <t>TP188</t>
  </si>
  <si>
    <t>N267</t>
  </si>
  <si>
    <t>TP189</t>
  </si>
  <si>
    <t>TP190</t>
  </si>
  <si>
    <t xml:space="preserve">NO SE SABE SI PASA POR ENCIMA </t>
  </si>
  <si>
    <t>N268</t>
  </si>
  <si>
    <t>N269</t>
  </si>
  <si>
    <t>N270</t>
  </si>
  <si>
    <t>N271</t>
  </si>
  <si>
    <t>TP191</t>
  </si>
  <si>
    <t>N272</t>
  </si>
  <si>
    <t>TP192</t>
  </si>
  <si>
    <t>Cruz</t>
  </si>
  <si>
    <t>N273</t>
  </si>
  <si>
    <t>N274</t>
  </si>
  <si>
    <t>N275</t>
  </si>
  <si>
    <t>TP193</t>
  </si>
  <si>
    <t>N276</t>
  </si>
  <si>
    <t>N277</t>
  </si>
  <si>
    <t>N278</t>
  </si>
  <si>
    <t>N279</t>
  </si>
  <si>
    <t>N280</t>
  </si>
  <si>
    <t>TP194</t>
  </si>
  <si>
    <t>N281</t>
  </si>
  <si>
    <t>TP195</t>
  </si>
  <si>
    <t>TP196</t>
  </si>
  <si>
    <t>N282</t>
  </si>
  <si>
    <t>N283</t>
  </si>
  <si>
    <t>TP197</t>
  </si>
  <si>
    <t>N284</t>
  </si>
  <si>
    <t>N285</t>
  </si>
  <si>
    <t>N286</t>
  </si>
  <si>
    <t>N287</t>
  </si>
  <si>
    <t>N288</t>
  </si>
  <si>
    <t>TP198</t>
  </si>
  <si>
    <t>N289</t>
  </si>
  <si>
    <t>N290</t>
  </si>
  <si>
    <t>N291</t>
  </si>
  <si>
    <t>N292</t>
  </si>
  <si>
    <t>N293</t>
  </si>
  <si>
    <t>N294</t>
  </si>
  <si>
    <t>TP199</t>
  </si>
  <si>
    <t>N295</t>
  </si>
  <si>
    <t>N296</t>
  </si>
  <si>
    <t>N297</t>
  </si>
  <si>
    <t>N298</t>
  </si>
  <si>
    <t>N299</t>
  </si>
  <si>
    <t>N300</t>
  </si>
  <si>
    <t>TP200</t>
  </si>
  <si>
    <t>N301</t>
  </si>
  <si>
    <t>N302</t>
  </si>
  <si>
    <t>N303</t>
  </si>
  <si>
    <t>N304</t>
  </si>
  <si>
    <t>N305</t>
  </si>
  <si>
    <t>TP201</t>
  </si>
  <si>
    <t>N306</t>
  </si>
  <si>
    <t>N307</t>
  </si>
  <si>
    <t>TP202</t>
  </si>
  <si>
    <t>N308</t>
  </si>
  <si>
    <t>TP203</t>
  </si>
  <si>
    <t>N309</t>
  </si>
  <si>
    <t>N310</t>
  </si>
  <si>
    <t>N311</t>
  </si>
  <si>
    <t>N312</t>
  </si>
  <si>
    <t>N313</t>
  </si>
  <si>
    <t>TP204</t>
  </si>
  <si>
    <t>TP205</t>
  </si>
  <si>
    <t>N314</t>
  </si>
  <si>
    <t>N315</t>
  </si>
  <si>
    <t>TP206</t>
  </si>
  <si>
    <t>N316</t>
  </si>
  <si>
    <t>N317</t>
  </si>
  <si>
    <t>N318</t>
  </si>
  <si>
    <t>TP 207</t>
  </si>
  <si>
    <t>N319</t>
  </si>
  <si>
    <t>N320</t>
  </si>
  <si>
    <t>N321</t>
  </si>
  <si>
    <t>N322</t>
  </si>
  <si>
    <t>TP208</t>
  </si>
  <si>
    <t>N323</t>
  </si>
  <si>
    <t>N324</t>
  </si>
  <si>
    <t>TP209</t>
  </si>
  <si>
    <t>N325</t>
  </si>
  <si>
    <t>N326</t>
  </si>
  <si>
    <t>N327</t>
  </si>
  <si>
    <t>TP210</t>
  </si>
  <si>
    <t>N328</t>
  </si>
  <si>
    <t>TP211</t>
  </si>
  <si>
    <t>N329</t>
  </si>
  <si>
    <t>N330</t>
  </si>
  <si>
    <t>N331</t>
  </si>
  <si>
    <t>TP212</t>
  </si>
  <si>
    <t>N332</t>
  </si>
  <si>
    <t>N333</t>
  </si>
  <si>
    <t>N334</t>
  </si>
  <si>
    <t>N335</t>
  </si>
  <si>
    <t>TP214</t>
  </si>
  <si>
    <t>TP215</t>
  </si>
  <si>
    <t>N336</t>
  </si>
  <si>
    <t>TP216</t>
  </si>
  <si>
    <t>N337</t>
  </si>
  <si>
    <t>TP217</t>
  </si>
  <si>
    <t>N338</t>
  </si>
  <si>
    <t>N339</t>
  </si>
  <si>
    <t>TP218</t>
  </si>
  <si>
    <t>N340</t>
  </si>
  <si>
    <t>TP219</t>
  </si>
  <si>
    <t>N341</t>
  </si>
  <si>
    <t>TP220</t>
  </si>
  <si>
    <t>N342</t>
  </si>
  <si>
    <t>T. SANTA MARTA</t>
  </si>
  <si>
    <t>N343</t>
  </si>
  <si>
    <t>TP221</t>
  </si>
  <si>
    <t>N344</t>
  </si>
  <si>
    <t>N345</t>
  </si>
  <si>
    <t>TP222</t>
  </si>
  <si>
    <t>N346</t>
  </si>
  <si>
    <t>N347</t>
  </si>
  <si>
    <t>TP223</t>
  </si>
  <si>
    <t>N348</t>
  </si>
  <si>
    <t>N349</t>
  </si>
  <si>
    <t>TP224</t>
  </si>
  <si>
    <t>TP225</t>
  </si>
  <si>
    <t>N350</t>
  </si>
  <si>
    <t>N351</t>
  </si>
  <si>
    <t>N352</t>
  </si>
  <si>
    <t>TP226</t>
  </si>
  <si>
    <t>TP227</t>
  </si>
  <si>
    <t>N353</t>
  </si>
  <si>
    <t>TP228</t>
  </si>
  <si>
    <t>N354</t>
  </si>
  <si>
    <t>N355</t>
  </si>
  <si>
    <t>N356</t>
  </si>
  <si>
    <t>TP229</t>
  </si>
  <si>
    <t>N357</t>
  </si>
  <si>
    <t>TP230</t>
  </si>
  <si>
    <t>TP231</t>
  </si>
  <si>
    <t>N358</t>
  </si>
  <si>
    <t>TP232</t>
  </si>
  <si>
    <t>N359</t>
  </si>
  <si>
    <t>TP233</t>
  </si>
  <si>
    <t>N360</t>
  </si>
  <si>
    <t>N361</t>
  </si>
  <si>
    <t>TP234</t>
  </si>
  <si>
    <t>N362</t>
  </si>
  <si>
    <t>N363</t>
  </si>
  <si>
    <t>TP235</t>
  </si>
  <si>
    <t>N364</t>
  </si>
  <si>
    <t>TP236</t>
  </si>
  <si>
    <t>TP237</t>
  </si>
  <si>
    <t>N365</t>
  </si>
  <si>
    <t>N366</t>
  </si>
  <si>
    <t>N367</t>
  </si>
  <si>
    <t>TP238</t>
  </si>
  <si>
    <t>TP239</t>
  </si>
  <si>
    <t>N368</t>
  </si>
  <si>
    <t>TP240</t>
  </si>
  <si>
    <t>N369</t>
  </si>
  <si>
    <t>TP241</t>
  </si>
  <si>
    <t>N370</t>
  </si>
  <si>
    <t>TP242</t>
  </si>
  <si>
    <t>N371</t>
  </si>
  <si>
    <t>TP243</t>
  </si>
  <si>
    <t>N372</t>
  </si>
  <si>
    <t>TP244</t>
  </si>
  <si>
    <t>N373</t>
  </si>
  <si>
    <t>N374</t>
  </si>
  <si>
    <t>TP245</t>
  </si>
  <si>
    <t>N375</t>
  </si>
  <si>
    <t>N376</t>
  </si>
  <si>
    <t>TP246</t>
  </si>
  <si>
    <t>N377</t>
  </si>
  <si>
    <t>TP247</t>
  </si>
  <si>
    <t>TP248</t>
  </si>
  <si>
    <t>N378</t>
  </si>
  <si>
    <t>TP249</t>
  </si>
  <si>
    <t>N379</t>
  </si>
  <si>
    <t>N380</t>
  </si>
  <si>
    <t>N381</t>
  </si>
  <si>
    <t>N382</t>
  </si>
  <si>
    <t>N383</t>
  </si>
  <si>
    <t>N384</t>
  </si>
  <si>
    <t>N385</t>
  </si>
  <si>
    <t>TP250</t>
  </si>
  <si>
    <t>N386</t>
  </si>
  <si>
    <t>TP251</t>
  </si>
  <si>
    <t>N387</t>
  </si>
  <si>
    <t>N388</t>
  </si>
  <si>
    <t>N389</t>
  </si>
  <si>
    <t>TP252</t>
  </si>
  <si>
    <t>TP253</t>
  </si>
  <si>
    <t>N390</t>
  </si>
  <si>
    <t>N391</t>
  </si>
  <si>
    <t>N392</t>
  </si>
  <si>
    <t>N393</t>
  </si>
  <si>
    <t>TP254</t>
  </si>
  <si>
    <t>N394</t>
  </si>
  <si>
    <t>N395</t>
  </si>
  <si>
    <t>TP255</t>
  </si>
  <si>
    <t>TP256</t>
  </si>
  <si>
    <t>N396</t>
  </si>
  <si>
    <t>N397</t>
  </si>
  <si>
    <t>N398</t>
  </si>
  <si>
    <t>TP257</t>
  </si>
  <si>
    <t>TP258</t>
  </si>
  <si>
    <t>T. PICAPIEDRA</t>
  </si>
  <si>
    <t>T. ANIMES</t>
  </si>
  <si>
    <t>CQ5</t>
  </si>
  <si>
    <t>N399</t>
  </si>
  <si>
    <t>T. JURADO 3</t>
  </si>
  <si>
    <t>N400</t>
  </si>
  <si>
    <t>N401</t>
  </si>
  <si>
    <t>TP259</t>
  </si>
  <si>
    <t>TP260</t>
  </si>
  <si>
    <t>N402</t>
  </si>
  <si>
    <t>N403</t>
  </si>
  <si>
    <t>N404</t>
  </si>
  <si>
    <t>TP261</t>
  </si>
  <si>
    <t>TP262</t>
  </si>
  <si>
    <t>N405</t>
  </si>
  <si>
    <t>N406</t>
  </si>
  <si>
    <t>TP263</t>
  </si>
  <si>
    <t>TP264</t>
  </si>
  <si>
    <t>N407</t>
  </si>
  <si>
    <t>N408</t>
  </si>
  <si>
    <t>N409</t>
  </si>
  <si>
    <t>N410</t>
  </si>
  <si>
    <t>TP265</t>
  </si>
  <si>
    <t>N411</t>
  </si>
  <si>
    <t>TP266</t>
  </si>
  <si>
    <t>N412</t>
  </si>
  <si>
    <t>TP267</t>
  </si>
  <si>
    <t>N413</t>
  </si>
  <si>
    <t>TP268</t>
  </si>
  <si>
    <t>N414</t>
  </si>
  <si>
    <t>TP269</t>
  </si>
  <si>
    <t>N415</t>
  </si>
  <si>
    <t>N416</t>
  </si>
  <si>
    <t>N417</t>
  </si>
  <si>
    <t>N418</t>
  </si>
  <si>
    <t>N419</t>
  </si>
  <si>
    <t>TP270</t>
  </si>
  <si>
    <t>TP271</t>
  </si>
  <si>
    <t>N420</t>
  </si>
  <si>
    <t>N421</t>
  </si>
  <si>
    <t>N422</t>
  </si>
  <si>
    <t>TP272</t>
  </si>
  <si>
    <t>N423</t>
  </si>
  <si>
    <t>TP273</t>
  </si>
  <si>
    <t>N424</t>
  </si>
  <si>
    <t>N425</t>
  </si>
  <si>
    <t>TP274</t>
  </si>
  <si>
    <t>TP275</t>
  </si>
  <si>
    <t>N426</t>
  </si>
  <si>
    <t>TP276</t>
  </si>
  <si>
    <t>TP277</t>
  </si>
  <si>
    <t>N427</t>
  </si>
  <si>
    <t>N428</t>
  </si>
  <si>
    <t>TP278</t>
  </si>
  <si>
    <t>TP279</t>
  </si>
  <si>
    <t>N429</t>
  </si>
  <si>
    <t>N430</t>
  </si>
  <si>
    <t>TP280</t>
  </si>
  <si>
    <t>N431</t>
  </si>
  <si>
    <t>N432</t>
  </si>
  <si>
    <t>TP281</t>
  </si>
  <si>
    <t>N433</t>
  </si>
  <si>
    <t>N434</t>
  </si>
  <si>
    <t>N435</t>
  </si>
  <si>
    <t>TP282</t>
  </si>
  <si>
    <t>TP283</t>
  </si>
  <si>
    <t>3/4"</t>
  </si>
  <si>
    <t>N436</t>
  </si>
  <si>
    <t>N437</t>
  </si>
  <si>
    <t>TP284</t>
  </si>
  <si>
    <t>N438</t>
  </si>
  <si>
    <t>N439</t>
  </si>
  <si>
    <t>TP285</t>
  </si>
  <si>
    <t>TP286</t>
  </si>
  <si>
    <t>N440</t>
  </si>
  <si>
    <t>N441</t>
  </si>
  <si>
    <t>TP287</t>
  </si>
  <si>
    <t>N442</t>
  </si>
  <si>
    <t>TP288</t>
  </si>
  <si>
    <t>N443</t>
  </si>
  <si>
    <t>TP289</t>
  </si>
  <si>
    <t>N444</t>
  </si>
  <si>
    <t>TP290</t>
  </si>
  <si>
    <t>N445</t>
  </si>
  <si>
    <t>TP291</t>
  </si>
  <si>
    <t>N446</t>
  </si>
  <si>
    <t>TP292</t>
  </si>
  <si>
    <t>N447</t>
  </si>
  <si>
    <t>TP293</t>
  </si>
  <si>
    <t>TP294</t>
  </si>
  <si>
    <t>N448</t>
  </si>
  <si>
    <t>TP295</t>
  </si>
  <si>
    <t>N449</t>
  </si>
  <si>
    <t>TP296</t>
  </si>
  <si>
    <t>N450</t>
  </si>
  <si>
    <t>N451</t>
  </si>
  <si>
    <t>TP297</t>
  </si>
  <si>
    <t>N452</t>
  </si>
  <si>
    <t>TP298</t>
  </si>
  <si>
    <t>N453</t>
  </si>
  <si>
    <t>TP299</t>
  </si>
  <si>
    <t>N454</t>
  </si>
  <si>
    <t>TP300</t>
  </si>
  <si>
    <t>N455</t>
  </si>
  <si>
    <t>N456</t>
  </si>
  <si>
    <t>TP302</t>
  </si>
  <si>
    <t>TP301</t>
  </si>
  <si>
    <t>N457</t>
  </si>
  <si>
    <t>TP303</t>
  </si>
  <si>
    <t>N458</t>
  </si>
  <si>
    <t>TP304</t>
  </si>
  <si>
    <t>N459</t>
  </si>
  <si>
    <t>CQ6</t>
  </si>
  <si>
    <t>N460</t>
  </si>
  <si>
    <t>N461</t>
  </si>
  <si>
    <t>TP305</t>
  </si>
  <si>
    <t>N462</t>
  </si>
  <si>
    <t>N463</t>
  </si>
  <si>
    <t>TP306</t>
  </si>
  <si>
    <t>N464</t>
  </si>
  <si>
    <t>TP307</t>
  </si>
  <si>
    <t>TP308</t>
  </si>
  <si>
    <t>N465</t>
  </si>
  <si>
    <t>N466</t>
  </si>
  <si>
    <t>TP309</t>
  </si>
  <si>
    <t>N467</t>
  </si>
  <si>
    <t>N468</t>
  </si>
  <si>
    <t>TP310</t>
  </si>
  <si>
    <t>N469</t>
  </si>
  <si>
    <t>TP311</t>
  </si>
  <si>
    <t>N470</t>
  </si>
  <si>
    <t>N471</t>
  </si>
  <si>
    <t>N472</t>
  </si>
  <si>
    <t>N473</t>
  </si>
  <si>
    <t>N474</t>
  </si>
  <si>
    <t>N475</t>
  </si>
  <si>
    <t>TP312</t>
  </si>
  <si>
    <t>N476</t>
  </si>
  <si>
    <t>TP313</t>
  </si>
  <si>
    <t>TP314</t>
  </si>
  <si>
    <t>N477</t>
  </si>
  <si>
    <t>N478</t>
  </si>
  <si>
    <t>N479</t>
  </si>
  <si>
    <t>TP315</t>
  </si>
  <si>
    <t>TP316</t>
  </si>
  <si>
    <t>N480</t>
  </si>
  <si>
    <t>TP317</t>
  </si>
  <si>
    <t>TP318</t>
  </si>
  <si>
    <t>N481</t>
  </si>
  <si>
    <t>N482</t>
  </si>
  <si>
    <t>N483</t>
  </si>
  <si>
    <t>TP319</t>
  </si>
  <si>
    <t>N484</t>
  </si>
  <si>
    <t>N485</t>
  </si>
  <si>
    <t>TP320</t>
  </si>
  <si>
    <t>TP321</t>
  </si>
  <si>
    <t>N486</t>
  </si>
  <si>
    <t>TP322</t>
  </si>
  <si>
    <t>N487</t>
  </si>
  <si>
    <t>N488</t>
  </si>
  <si>
    <t>TP323</t>
  </si>
  <si>
    <t>TP324</t>
  </si>
  <si>
    <t>N489</t>
  </si>
  <si>
    <t>N490</t>
  </si>
  <si>
    <t>N491</t>
  </si>
  <si>
    <t>N492</t>
  </si>
  <si>
    <t>N493</t>
  </si>
  <si>
    <t>TP325</t>
  </si>
  <si>
    <t>N494</t>
  </si>
  <si>
    <t>N495</t>
  </si>
  <si>
    <t>N496</t>
  </si>
  <si>
    <t>TP326</t>
  </si>
  <si>
    <t>N497</t>
  </si>
  <si>
    <t>TP327</t>
  </si>
  <si>
    <t>N498</t>
  </si>
  <si>
    <t>TP328</t>
  </si>
  <si>
    <t>N499</t>
  </si>
  <si>
    <t>N500</t>
  </si>
  <si>
    <t xml:space="preserve"> TP329</t>
  </si>
  <si>
    <t>N501</t>
  </si>
  <si>
    <t>TP330</t>
  </si>
  <si>
    <t>N502</t>
  </si>
  <si>
    <t>TP331</t>
  </si>
  <si>
    <t>N503</t>
  </si>
  <si>
    <t>TP332</t>
  </si>
  <si>
    <t>TP333</t>
  </si>
  <si>
    <t>N504</t>
  </si>
  <si>
    <t>TP334</t>
  </si>
  <si>
    <t>N505</t>
  </si>
  <si>
    <t>N506</t>
  </si>
  <si>
    <t>N507</t>
  </si>
  <si>
    <t>TP335</t>
  </si>
  <si>
    <t>N508</t>
  </si>
  <si>
    <t>N509</t>
  </si>
  <si>
    <t>TP336</t>
  </si>
  <si>
    <t>N510</t>
  </si>
  <si>
    <t>TP337</t>
  </si>
  <si>
    <t>N511</t>
  </si>
  <si>
    <t>N512</t>
  </si>
  <si>
    <t>N513</t>
  </si>
  <si>
    <t>TP338</t>
  </si>
  <si>
    <t>N514</t>
  </si>
  <si>
    <t>TP339</t>
  </si>
  <si>
    <t>N515</t>
  </si>
  <si>
    <t>TP340</t>
  </si>
  <si>
    <t>N516</t>
  </si>
  <si>
    <t>TP341</t>
  </si>
  <si>
    <t>N517</t>
  </si>
  <si>
    <t>N518</t>
  </si>
  <si>
    <t>N519</t>
  </si>
  <si>
    <t>TP342</t>
  </si>
  <si>
    <t>N520</t>
  </si>
  <si>
    <t>N521</t>
  </si>
  <si>
    <t>TP343</t>
  </si>
  <si>
    <t>N522</t>
  </si>
  <si>
    <t>TP344</t>
  </si>
  <si>
    <t>N523</t>
  </si>
  <si>
    <t>TP345</t>
  </si>
  <si>
    <t>N524</t>
  </si>
  <si>
    <t>N525</t>
  </si>
  <si>
    <t>N526</t>
  </si>
  <si>
    <t>N527</t>
  </si>
  <si>
    <t>TP347</t>
  </si>
  <si>
    <t>TP346</t>
  </si>
  <si>
    <t>N528</t>
  </si>
  <si>
    <t>N529</t>
  </si>
  <si>
    <t>TP348</t>
  </si>
  <si>
    <t>N530</t>
  </si>
  <si>
    <t>TP349</t>
  </si>
  <si>
    <t>N531</t>
  </si>
  <si>
    <t>TP350</t>
  </si>
  <si>
    <t>N532</t>
  </si>
  <si>
    <t>N533</t>
  </si>
  <si>
    <t>TP351</t>
  </si>
  <si>
    <t>TP352</t>
  </si>
  <si>
    <t>N534</t>
  </si>
  <si>
    <t>TP353</t>
  </si>
  <si>
    <t>N535</t>
  </si>
  <si>
    <t>TP354</t>
  </si>
  <si>
    <t>N536</t>
  </si>
  <si>
    <t>TP355</t>
  </si>
  <si>
    <t>TP356</t>
  </si>
  <si>
    <t>N537</t>
  </si>
  <si>
    <t>TP357</t>
  </si>
  <si>
    <t>N538</t>
  </si>
  <si>
    <t>TP358</t>
  </si>
  <si>
    <t>N539</t>
  </si>
  <si>
    <t>TP359</t>
  </si>
  <si>
    <t>N540</t>
  </si>
  <si>
    <t>N541</t>
  </si>
  <si>
    <t>N542</t>
  </si>
  <si>
    <t>TP360</t>
  </si>
  <si>
    <t>TP361</t>
  </si>
  <si>
    <t>N543</t>
  </si>
  <si>
    <t>N544</t>
  </si>
  <si>
    <t>N545</t>
  </si>
  <si>
    <t>N546</t>
  </si>
  <si>
    <t>N547</t>
  </si>
  <si>
    <t>TP362</t>
  </si>
  <si>
    <t>N548</t>
  </si>
  <si>
    <t>N549</t>
  </si>
  <si>
    <t>TP363</t>
  </si>
  <si>
    <t>N550</t>
  </si>
  <si>
    <t>N551</t>
  </si>
  <si>
    <t>TP364</t>
  </si>
  <si>
    <t>N552</t>
  </si>
  <si>
    <t>N553</t>
  </si>
  <si>
    <t>TP365</t>
  </si>
  <si>
    <t>N554</t>
  </si>
  <si>
    <t>N555</t>
  </si>
  <si>
    <t>TP366</t>
  </si>
  <si>
    <t>TP367</t>
  </si>
  <si>
    <t>N556</t>
  </si>
  <si>
    <t>TP368</t>
  </si>
  <si>
    <t>N557</t>
  </si>
  <si>
    <t>N558</t>
  </si>
  <si>
    <t>N559</t>
  </si>
  <si>
    <t>N560</t>
  </si>
  <si>
    <t>N561</t>
  </si>
  <si>
    <t>TP369</t>
  </si>
  <si>
    <t>N562</t>
  </si>
  <si>
    <t>TP370</t>
  </si>
  <si>
    <t>N563</t>
  </si>
  <si>
    <t>TP371</t>
  </si>
  <si>
    <t>TP372</t>
  </si>
  <si>
    <t>N564</t>
  </si>
  <si>
    <t>N565</t>
  </si>
  <si>
    <t>N566</t>
  </si>
  <si>
    <t>TP373</t>
  </si>
  <si>
    <t>N567</t>
  </si>
  <si>
    <t>TP374</t>
  </si>
  <si>
    <t>N568</t>
  </si>
  <si>
    <t>N569</t>
  </si>
  <si>
    <t>TP375</t>
  </si>
  <si>
    <t>N570</t>
  </si>
  <si>
    <t>N571</t>
  </si>
  <si>
    <t>N572</t>
  </si>
  <si>
    <t>TP376</t>
  </si>
  <si>
    <t>CQ7</t>
  </si>
  <si>
    <t>N573</t>
  </si>
  <si>
    <t>TP377</t>
  </si>
  <si>
    <t>N574</t>
  </si>
  <si>
    <t>N575</t>
  </si>
  <si>
    <t>N576</t>
  </si>
  <si>
    <t>TP378</t>
  </si>
  <si>
    <t>TP379</t>
  </si>
  <si>
    <t>N577</t>
  </si>
  <si>
    <t>N578</t>
  </si>
  <si>
    <t>N579</t>
  </si>
  <si>
    <t>N580</t>
  </si>
  <si>
    <t>TP380</t>
  </si>
  <si>
    <t>TP381</t>
  </si>
  <si>
    <t>N581</t>
  </si>
  <si>
    <t>N582</t>
  </si>
  <si>
    <t>N583</t>
  </si>
  <si>
    <t>N584</t>
  </si>
  <si>
    <t>N585</t>
  </si>
  <si>
    <t>TP382</t>
  </si>
  <si>
    <t>CQ8</t>
  </si>
  <si>
    <t>N586</t>
  </si>
  <si>
    <t>N587</t>
  </si>
  <si>
    <t>TP383</t>
  </si>
  <si>
    <t>N588</t>
  </si>
  <si>
    <t>TP384</t>
  </si>
  <si>
    <t>TP385</t>
  </si>
  <si>
    <t>N589</t>
  </si>
  <si>
    <t>TP386</t>
  </si>
  <si>
    <t>N590</t>
  </si>
  <si>
    <t>TP387</t>
  </si>
  <si>
    <t>TP388</t>
  </si>
  <si>
    <t>N591</t>
  </si>
  <si>
    <t>N592</t>
  </si>
  <si>
    <t>TP389</t>
  </si>
  <si>
    <t>N593</t>
  </si>
  <si>
    <t>TP390</t>
  </si>
  <si>
    <t>N594</t>
  </si>
  <si>
    <t>TP391</t>
  </si>
  <si>
    <t>TP392</t>
  </si>
  <si>
    <t>N595</t>
  </si>
  <si>
    <t>N596</t>
  </si>
  <si>
    <t>TP393</t>
  </si>
  <si>
    <t>N597</t>
  </si>
  <si>
    <t>TP394</t>
  </si>
  <si>
    <t>N598</t>
  </si>
  <si>
    <t>N599</t>
  </si>
  <si>
    <t>TP395</t>
  </si>
  <si>
    <t>N600</t>
  </si>
  <si>
    <t>TP396</t>
  </si>
  <si>
    <t>N601</t>
  </si>
  <si>
    <t>TP397</t>
  </si>
  <si>
    <t>N602</t>
  </si>
  <si>
    <t>TP398</t>
  </si>
  <si>
    <t>TP399</t>
  </si>
  <si>
    <t>N603</t>
  </si>
  <si>
    <t>N604</t>
  </si>
  <si>
    <t>TP400</t>
  </si>
  <si>
    <t>N605</t>
  </si>
  <si>
    <t>TP401</t>
  </si>
  <si>
    <t>TP402</t>
  </si>
  <si>
    <t>N606</t>
  </si>
  <si>
    <t>N607</t>
  </si>
  <si>
    <t>N608</t>
  </si>
  <si>
    <t>TP403</t>
  </si>
  <si>
    <t>N609</t>
  </si>
  <si>
    <t>TP404</t>
  </si>
  <si>
    <t>N610</t>
  </si>
  <si>
    <t>N611</t>
  </si>
  <si>
    <t>TP405</t>
  </si>
  <si>
    <t>N612</t>
  </si>
  <si>
    <t>N613</t>
  </si>
  <si>
    <t>N614</t>
  </si>
  <si>
    <t>N615</t>
  </si>
  <si>
    <t>TP406</t>
  </si>
  <si>
    <t>N616</t>
  </si>
  <si>
    <t>TP407</t>
  </si>
  <si>
    <t>N617</t>
  </si>
  <si>
    <t>TP408</t>
  </si>
  <si>
    <t>TP409</t>
  </si>
  <si>
    <t>N618</t>
  </si>
  <si>
    <t>TP410</t>
  </si>
  <si>
    <t>TP411</t>
  </si>
  <si>
    <t>N619</t>
  </si>
  <si>
    <t>TP412</t>
  </si>
  <si>
    <t>N620</t>
  </si>
  <si>
    <t>TP413</t>
  </si>
  <si>
    <t>N621</t>
  </si>
  <si>
    <t>TP414</t>
  </si>
  <si>
    <t>N622</t>
  </si>
  <si>
    <t>TP415</t>
  </si>
  <si>
    <t>TP416</t>
  </si>
  <si>
    <t>N623</t>
  </si>
  <si>
    <t>T. VILLA CRISTINA</t>
  </si>
  <si>
    <t>T.VILLA CRISTINA</t>
  </si>
  <si>
    <t>N624</t>
  </si>
  <si>
    <t>N625</t>
  </si>
  <si>
    <t>TP417</t>
  </si>
  <si>
    <t>N626</t>
  </si>
  <si>
    <t>N627</t>
  </si>
  <si>
    <t>N628</t>
  </si>
  <si>
    <t>TP418</t>
  </si>
  <si>
    <t>TP419</t>
  </si>
  <si>
    <t>N629</t>
  </si>
  <si>
    <t>TP420</t>
  </si>
  <si>
    <t>TP421</t>
  </si>
  <si>
    <t>N630</t>
  </si>
  <si>
    <t>TP422</t>
  </si>
  <si>
    <t>N631</t>
  </si>
  <si>
    <t>N632</t>
  </si>
  <si>
    <t>TP423</t>
  </si>
  <si>
    <t>N633</t>
  </si>
  <si>
    <t>TP424</t>
  </si>
  <si>
    <t>TP425</t>
  </si>
  <si>
    <t>N634</t>
  </si>
  <si>
    <t>TP426</t>
  </si>
  <si>
    <t>TP427</t>
  </si>
  <si>
    <t>N635</t>
  </si>
  <si>
    <t>TP428</t>
  </si>
  <si>
    <t>N636</t>
  </si>
  <si>
    <t>TP429</t>
  </si>
  <si>
    <t>TP430</t>
  </si>
  <si>
    <t>N637</t>
  </si>
  <si>
    <t>N638</t>
  </si>
  <si>
    <t>N639</t>
  </si>
  <si>
    <t>TP431</t>
  </si>
  <si>
    <t>N640</t>
  </si>
  <si>
    <t>TP432</t>
  </si>
  <si>
    <t>N641</t>
  </si>
  <si>
    <t>TP433</t>
  </si>
  <si>
    <t>N642</t>
  </si>
  <si>
    <t>TP434</t>
  </si>
  <si>
    <t>N643</t>
  </si>
  <si>
    <t>TP435</t>
  </si>
  <si>
    <t>N644</t>
  </si>
  <si>
    <t>TP436</t>
  </si>
  <si>
    <t>TP437</t>
  </si>
  <si>
    <t>longitud</t>
  </si>
  <si>
    <t>diametro</t>
  </si>
  <si>
    <t>material</t>
  </si>
  <si>
    <t>Total general</t>
  </si>
  <si>
    <t>Suma de longitud</t>
  </si>
  <si>
    <t>MATERIAL</t>
  </si>
  <si>
    <t>DIAMETRO</t>
  </si>
  <si>
    <t>PVC [m]</t>
  </si>
  <si>
    <t>HF [m]</t>
  </si>
  <si>
    <t>HG [m]</t>
  </si>
  <si>
    <t>AC [m]</t>
  </si>
  <si>
    <t>AP [m]</t>
  </si>
  <si>
    <t>SUBTOTAL</t>
  </si>
  <si>
    <t>SUBTOTAL [%]</t>
  </si>
  <si>
    <t>Total</t>
  </si>
  <si>
    <t>DIAMETROS</t>
  </si>
  <si>
    <t>DISTRIBUCIÓN DE RED POR MATERIAL Y DIAMETRO</t>
  </si>
  <si>
    <t>CODO</t>
  </si>
  <si>
    <t>REDUCCIÓN</t>
  </si>
  <si>
    <t>V. REG. PRESIÓN</t>
  </si>
  <si>
    <t>V. CORTE</t>
  </si>
  <si>
    <t>HID. PISO</t>
  </si>
  <si>
    <t>HID. COLUMNA</t>
  </si>
  <si>
    <t>TAPÓN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</si>
  <si>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</si>
  <si>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</si>
  <si>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</si>
  <si>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</si>
  <si>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</si>
  <si>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</si>
  <si>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</si>
  <si>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</si>
  <si>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</si>
  <si>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</si>
  <si>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</si>
  <si>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</si>
  <si>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</si>
  <si>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</si>
  <si>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</si>
  <si>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</si>
  <si>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</si>
  <si>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</si>
  <si>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</si>
  <si>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</si>
  <si>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</si>
  <si>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AMPLIACIÓN</t>
  </si>
  <si>
    <t>TP438</t>
  </si>
  <si>
    <t>Longitud</t>
  </si>
  <si>
    <t>NF</t>
  </si>
  <si>
    <t>NI</t>
  </si>
  <si>
    <t>Ø</t>
  </si>
  <si>
    <t>TRAMO</t>
  </si>
  <si>
    <t>LONGITUD</t>
  </si>
  <si>
    <t>CANT</t>
  </si>
  <si>
    <t>N645</t>
  </si>
  <si>
    <t>CRUZ</t>
  </si>
  <si>
    <t>N648</t>
  </si>
  <si>
    <t>N647</t>
  </si>
  <si>
    <t>N646</t>
  </si>
  <si>
    <t>n1</t>
  </si>
  <si>
    <t>n2</t>
  </si>
  <si>
    <t>long</t>
  </si>
  <si>
    <t xml:space="preserve">comprobación </t>
  </si>
  <si>
    <t>GALAPAGO</t>
  </si>
  <si>
    <t>Km</t>
  </si>
  <si>
    <t>[-]</t>
  </si>
  <si>
    <t>Km TOTAL</t>
  </si>
  <si>
    <t xml:space="preserve">Km para accesorios </t>
  </si>
  <si>
    <t xml:space="preserve">ACCESORIO </t>
  </si>
  <si>
    <t xml:space="preserve">Entrada de T.A a ras de la pared </t>
  </si>
  <si>
    <t xml:space="preserve">Entrada de T.A tuberia entrante </t>
  </si>
  <si>
    <t xml:space="preserve">Salida de tuberia a deposito </t>
  </si>
  <si>
    <t>Codo 90°</t>
  </si>
  <si>
    <t>Tee salida lateral</t>
  </si>
  <si>
    <t xml:space="preserve">Tee salida bilateral </t>
  </si>
  <si>
    <t>Tee paso directo</t>
  </si>
  <si>
    <t>Valvula compuerta abierta</t>
  </si>
  <si>
    <t xml:space="preserve">Valvula de cierre rápido </t>
  </si>
  <si>
    <t>Valvula de check</t>
  </si>
  <si>
    <t>Canastilla de succión</t>
  </si>
  <si>
    <t>d1/d2</t>
  </si>
  <si>
    <t>Km REDUCCION</t>
  </si>
  <si>
    <t>Km AMPLIACIÓN</t>
  </si>
  <si>
    <t>BUSC</t>
  </si>
  <si>
    <t>TPB</t>
  </si>
  <si>
    <t>Valvula de globo abierta</t>
  </si>
  <si>
    <t>VRP</t>
  </si>
  <si>
    <t>VC</t>
  </si>
  <si>
    <t xml:space="preserve">REDUCCIÓN </t>
  </si>
  <si>
    <t>29</t>
  </si>
  <si>
    <t>30</t>
  </si>
  <si>
    <t>31</t>
  </si>
  <si>
    <t>32</t>
  </si>
  <si>
    <t>33</t>
  </si>
  <si>
    <t>34</t>
  </si>
  <si>
    <t>35</t>
  </si>
  <si>
    <t xml:space="preserve">DIAMETRO </t>
  </si>
  <si>
    <t>1</t>
  </si>
  <si>
    <t>2</t>
  </si>
  <si>
    <t>3</t>
  </si>
  <si>
    <t>4</t>
  </si>
  <si>
    <t>DIAMETRO2</t>
  </si>
  <si>
    <t>ACCESORIO 1</t>
  </si>
  <si>
    <t>ACCESORIO 2</t>
  </si>
  <si>
    <t>ACCESORIO 3</t>
  </si>
  <si>
    <t>ACCESORIO 4</t>
  </si>
  <si>
    <t>ACCESORIO 5</t>
  </si>
  <si>
    <t xml:space="preserve">CAN DE TUBERÍA </t>
  </si>
  <si>
    <t>AP[m]</t>
  </si>
  <si>
    <t>total longitud</t>
  </si>
  <si>
    <t>km total</t>
  </si>
  <si>
    <t>factor Km para 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</si>
</sst>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Times New Roman"/>
      <family val="1"/>
    </font>
    <font>
      <sz val="16"/>
      <color theme="1"/>
      <name val="Tahoma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wrapText="1"/>
    </xf>
    <xf numFmtId="2" fontId="0" fillId="0" borderId="0" xfId="0" applyNumberForma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horizontal="left" wrapText="1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2" fillId="3" borderId="4" xfId="0" applyFont="1" applyFill="1" applyBorder="1"/>
    <xf numFmtId="0" fontId="0" fillId="0" borderId="4" xfId="0" applyBorder="1" applyAlignment="1">
      <alignment wrapText="1"/>
    </xf>
    <xf numFmtId="0" fontId="4" fillId="0" borderId="4" xfId="0" applyFont="1" applyBorder="1" applyAlignment="1">
      <alignment horizontal="left" vertical="center" wrapText="1"/>
    </xf>
    <xf numFmtId="0" fontId="0" fillId="4" borderId="0" xfId="0" applyFill="1"/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left" wrapText="1"/>
    </xf>
    <xf numFmtId="2" fontId="0" fillId="4" borderId="0" xfId="0" applyNumberFormat="1" applyFill="1" applyAlignment="1">
      <alignment horizontal="center" wrapText="1"/>
    </xf>
    <xf numFmtId="2" fontId="0" fillId="4" borderId="0" xfId="0" applyNumberFormat="1" applyFill="1" applyAlignment="1">
      <alignment horizontal="center"/>
    </xf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12" fontId="0" fillId="0" borderId="0" xfId="0" applyNumberFormat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left" wrapText="1"/>
    </xf>
    <xf numFmtId="2" fontId="0" fillId="5" borderId="0" xfId="0" applyNumberFormat="1" applyFill="1" applyAlignment="1">
      <alignment horizontal="center" wrapText="1"/>
    </xf>
    <xf numFmtId="2" fontId="0" fillId="5" borderId="0" xfId="0" applyNumberForma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2" fontId="0" fillId="6" borderId="0" xfId="0" applyNumberFormat="1" applyFill="1" applyAlignment="1">
      <alignment horizontal="left" wrapText="1"/>
    </xf>
    <xf numFmtId="2" fontId="0" fillId="6" borderId="0" xfId="0" applyNumberFormat="1" applyFill="1" applyAlignment="1">
      <alignment horizontal="center" wrapText="1"/>
    </xf>
    <xf numFmtId="2" fontId="0" fillId="6" borderId="0" xfId="0" applyNumberFormat="1" applyFill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7" borderId="1" xfId="0" applyFill="1" applyBorder="1" applyAlignment="1">
      <alignment horizontal="center" vertical="center"/>
    </xf>
    <xf numFmtId="0" fontId="0" fillId="7" borderId="0" xfId="0" applyFill="1"/>
    <xf numFmtId="0" fontId="0" fillId="0" borderId="0" xfId="0" pivotButton="1"/>
    <xf numFmtId="10" fontId="0" fillId="0" borderId="0" xfId="0" applyNumberFormat="1"/>
    <xf numFmtId="0" fontId="6" fillId="0" borderId="0" xfId="0" applyFont="1" applyAlignment="1">
      <alignment horizontal="center"/>
    </xf>
    <xf numFmtId="0" fontId="6" fillId="0" borderId="0" xfId="0" applyFont="1"/>
    <xf numFmtId="10" fontId="6" fillId="0" borderId="0" xfId="1" applyNumberFormat="1" applyFont="1"/>
    <xf numFmtId="0" fontId="7" fillId="0" borderId="0" xfId="0" applyFont="1" applyAlignment="1">
      <alignment horizontal="center"/>
    </xf>
    <xf numFmtId="10" fontId="7" fillId="0" borderId="0" xfId="1" applyNumberFormat="1" applyFont="1" applyFill="1" applyBorder="1" applyAlignment="1"/>
    <xf numFmtId="10" fontId="7" fillId="0" borderId="0" xfId="1" applyNumberFormat="1" applyFont="1" applyAlignment="1"/>
    <xf numFmtId="10" fontId="6" fillId="0" borderId="0" xfId="0" applyNumberFormat="1" applyFont="1"/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pivotButton="1" applyAlignment="1">
      <alignment wrapText="1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/>
    </xf>
    <xf numFmtId="0" fontId="9" fillId="8" borderId="1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6" xfId="0" applyBorder="1"/>
    <xf numFmtId="2" fontId="4" fillId="0" borderId="0" xfId="0" applyNumberFormat="1" applyFont="1" applyAlignment="1">
      <alignment horizontal="left" wrapText="1"/>
    </xf>
    <xf numFmtId="0" fontId="0" fillId="4" borderId="0" xfId="0" applyFill="1" applyAlignment="1">
      <alignment wrapText="1"/>
    </xf>
    <xf numFmtId="2" fontId="8" fillId="0" borderId="0" xfId="0" applyNumberFormat="1" applyFont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2" fontId="0" fillId="0" borderId="0" xfId="0" applyNumberFormat="1"/>
    <xf numFmtId="0" fontId="8" fillId="0" borderId="0" xfId="0" applyFont="1" applyAlignment="1">
      <alignment horizontal="center"/>
    </xf>
    <xf numFmtId="0" fontId="8" fillId="0" borderId="0" xfId="0" applyFont="1"/>
    <xf numFmtId="0" fontId="8" fillId="9" borderId="1" xfId="0" applyFont="1" applyFill="1" applyBorder="1" applyAlignment="1">
      <alignment horizontal="center"/>
    </xf>
    <xf numFmtId="0" fontId="8" fillId="0" borderId="1" xfId="0" applyFont="1" applyBorder="1"/>
    <xf numFmtId="0" fontId="8" fillId="9" borderId="1" xfId="0" applyFont="1" applyFill="1" applyBorder="1"/>
    <xf numFmtId="10" fontId="8" fillId="0" borderId="1" xfId="1" applyNumberFormat="1" applyFont="1" applyFill="1" applyBorder="1"/>
    <xf numFmtId="10" fontId="8" fillId="10" borderId="1" xfId="1" applyNumberFormat="1" applyFont="1" applyFill="1" applyBorder="1"/>
    <xf numFmtId="0" fontId="8" fillId="0" borderId="1" xfId="0" applyFont="1" applyBorder="1" applyAlignment="1">
      <alignment horizontal="center"/>
    </xf>
    <xf numFmtId="10" fontId="8" fillId="0" borderId="1" xfId="1" applyNumberFormat="1" applyFont="1" applyFill="1" applyBorder="1" applyAlignment="1"/>
    <xf numFmtId="10" fontId="8" fillId="9" borderId="1" xfId="1" applyNumberFormat="1" applyFont="1" applyFill="1" applyBorder="1"/>
    <xf numFmtId="10" fontId="8" fillId="0" borderId="1" xfId="1" applyNumberFormat="1" applyFont="1" applyBorder="1" applyAlignment="1"/>
    <xf numFmtId="10" fontId="8" fillId="9" borderId="1" xfId="0" applyNumberFormat="1" applyFont="1" applyFill="1" applyBorder="1"/>
    <xf numFmtId="2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8" borderId="2" xfId="0" applyFont="1" applyFill="1" applyBorder="1" applyAlignment="1">
      <alignment horizontal="center" vertical="center" wrapText="1"/>
    </xf>
    <xf numFmtId="0" fontId="9" fillId="8" borderId="13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/>
    </xf>
    <xf numFmtId="0" fontId="9" fillId="8" borderId="10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8" borderId="2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10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13" xfId="0" applyFont="1" applyFill="1" applyBorder="1" applyAlignment="1">
      <alignment horizontal="center" vertical="center"/>
    </xf>
    <xf numFmtId="0" fontId="9" fillId="8" borderId="12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7" xfId="0" applyBorder="1"/>
  </cellXfs>
  <cellStyles count="2">
    <cellStyle name="Normal" xfId="0" builtinId="0"/>
    <cellStyle name="Porcentaje" xfId="1" builtinId="5"/>
  </cellStyles>
  <dxfs count="191">
    <dxf>
      <border>
        <bottom style="medium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ahoma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Tahoma"/>
        <family val="2"/>
        <scheme val="none"/>
      </font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center" vertical="bottom" textRotation="0" wrapText="1" indent="0" justifyLastLine="0" shrinkToFit="0" readingOrder="0"/>
    </dxf>
    <dxf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4" formatCode="0.00%"/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4" formatCode="0.00%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4" formatCode="0.00%"/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4" formatCode="0.00%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4" formatCode="0.00%"/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4" formatCode="0.00%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4" formatCode="0.00%"/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4" formatCode="0.00%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4" formatCode="0.00%"/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4" formatCode="0.00%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4" formatCode="0.00%"/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4" formatCode="0.00%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numFmt numFmtId="17" formatCode="#\ ?/?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border outline="0">
        <bottom style="thin">
          <color theme="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alignment vertical="bottom" textRotation="0" indent="0" justifyLastLine="0" shrinkToFit="0" readingOrder="0"/>
    </dxf>
    <dxf>
      <alignment vertical="bottom" textRotation="0" indent="0" justifyLastLine="0" shrinkToFit="0" readingOrder="0"/>
    </dxf>
    <dxf>
      <alignment vertical="bottom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1" indent="0" justifyLastLine="0" shrinkToFit="0" readingOrder="0"/>
    </dxf>
    <dxf>
      <numFmt numFmtId="2" formatCode="0.00"/>
      <alignment horizontal="left" vertical="bottom" textRotation="0" wrapText="1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1" indent="0" justifyLastLine="0" shrinkToFit="0" readingOrder="0"/>
    </dxf>
    <dxf>
      <numFmt numFmtId="2" formatCode="0.00"/>
      <alignment horizontal="left" vertical="bottom" textRotation="0" wrapText="1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1" indent="0" justifyLastLine="0" shrinkToFit="0" readingOrder="0"/>
    </dxf>
    <dxf>
      <numFmt numFmtId="2" formatCode="0.00"/>
      <alignment horizontal="left" vertical="bottom" textRotation="0" wrapText="1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1" indent="0" justifyLastLine="0" shrinkToFit="0" readingOrder="0"/>
    </dxf>
    <dxf>
      <numFmt numFmtId="2" formatCode="0.00"/>
      <alignment horizontal="left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vertical="bottom" textRotation="0" indent="0" justifyLastLine="0" shrinkToFit="0" readingOrder="0"/>
    </dxf>
    <dxf>
      <alignment vertical="bottom" textRotation="0" indent="0" justifyLastLine="0" shrinkToFit="0" readingOrder="0"/>
    </dxf>
    <dxf>
      <border outline="0">
        <top style="thin">
          <color indexed="64"/>
        </top>
      </border>
    </dxf>
    <dxf>
      <alignment vertical="bottom" textRotation="0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13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externalLink" Target="externalLinks/externalLink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8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7.xml"/><Relationship Id="rId14" Type="http://schemas.openxmlformats.org/officeDocument/2006/relationships/pivotCacheDefinition" Target="pivotCache/pivotCacheDefinition2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s-CO"/>
              <a:t>DISTRIBUCIÓN  POR  DIÁMETRO Y CLASIFICACIÓN SEGÚN EL RAS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ofPieChart>
        <c:ofPieType val="bar"/>
        <c:varyColors val="1"/>
        <c:ser>
          <c:idx val="6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E7D-4416-92EF-A9615D05AC5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E7D-4416-92EF-A9615D05AC5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E7D-4416-92EF-A9615D05AC5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E7D-4416-92EF-A9615D05AC5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E7D-4416-92EF-A9615D05AC5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E7D-4416-92EF-A9615D05AC5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E7D-4416-92EF-A9615D05AC5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E7D-4416-92EF-A9615D05AC5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E7D-4416-92EF-A9615D05AC5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FE7D-4416-92EF-A9615D05AC5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FE7D-4416-92EF-A9615D05AC55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FE7D-4416-92EF-A9615D05AC55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FE7D-4416-92EF-A9615D05AC55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FE7D-4416-92EF-A9615D05AC55}"/>
              </c:ext>
            </c:extLst>
          </c:dPt>
          <c:dLbls>
            <c:dLbl>
              <c:idx val="0"/>
              <c:layout>
                <c:manualLayout>
                  <c:x val="3.1175429527074645E-2"/>
                  <c:y val="-6.0737239772387999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E7D-4416-92EF-A9615D05AC55}"/>
                </c:ext>
              </c:extLst>
            </c:dLbl>
            <c:dLbl>
              <c:idx val="1"/>
              <c:layout>
                <c:manualLayout>
                  <c:x val="-6.4596530701171051E-4"/>
                  <c:y val="0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E7D-4416-92EF-A9615D05AC55}"/>
                </c:ext>
              </c:extLst>
            </c:dLbl>
            <c:dLbl>
              <c:idx val="2"/>
              <c:layout>
                <c:manualLayout>
                  <c:x val="-1.901177815709941E-2"/>
                  <c:y val="0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E7D-4416-92EF-A9615D05AC55}"/>
                </c:ext>
              </c:extLst>
            </c:dLbl>
            <c:dLbl>
              <c:idx val="3"/>
              <c:layout>
                <c:manualLayout>
                  <c:x val="-1.1636864762909189E-2"/>
                  <c:y val="-7.0317063515134681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E7D-4416-92EF-A9615D05AC55}"/>
                </c:ext>
              </c:extLst>
            </c:dLbl>
            <c:dLbl>
              <c:idx val="7"/>
              <c:layout>
                <c:manualLayout>
                  <c:x val="1.2290185919374681E-2"/>
                  <c:y val="0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FE7D-4416-92EF-A9615D05AC55}"/>
                </c:ext>
              </c:extLst>
            </c:dLbl>
            <c:dLbl>
              <c:idx val="8"/>
              <c:layout>
                <c:manualLayout>
                  <c:x val="1.6627898596801076E-2"/>
                  <c:y val="0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FE7D-4416-92EF-A9615D05AC55}"/>
                </c:ext>
              </c:extLst>
            </c:dLbl>
            <c:dLbl>
              <c:idx val="9"/>
              <c:layout>
                <c:manualLayout>
                  <c:x val="1.807380282260998E-2"/>
                  <c:y val="-0.1260032391524894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FE7D-4416-92EF-A9615D05AC55}"/>
                </c:ext>
              </c:extLst>
            </c:dLbl>
            <c:dLbl>
              <c:idx val="10"/>
              <c:layout>
                <c:manualLayout>
                  <c:x val="1.9519707048418673E-2"/>
                  <c:y val="-8.27483958613363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FE7D-4416-92EF-A9615D05AC55}"/>
                </c:ext>
              </c:extLst>
            </c:dLbl>
            <c:dLbl>
              <c:idx val="11"/>
              <c:layout>
                <c:manualLayout>
                  <c:x val="2.0242659161323177E-2"/>
                  <c:y val="-2.444838968630404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FE7D-4416-92EF-A9615D05AC55}"/>
                </c:ext>
              </c:extLst>
            </c:dLbl>
            <c:dLbl>
              <c:idx val="12"/>
              <c:layout>
                <c:manualLayout>
                  <c:x val="2.0242659161323177E-2"/>
                  <c:y val="6.20612968960022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FE7D-4416-92EF-A9615D05AC55}"/>
                </c:ext>
              </c:extLst>
            </c:dLbl>
            <c:dLbl>
              <c:idx val="13"/>
              <c:layout>
                <c:manualLayout>
                  <c:x val="2.6721551551205779E-2"/>
                  <c:y val="-0.36048545136670357"/>
                </c:manualLayout>
              </c:layout>
              <c:tx>
                <c:rich>
                  <a:bodyPr/>
                  <a:lstStyle/>
                  <a:p>
                    <a:r>
                      <a:rPr lang="en-US" baseline="0"/>
                      <a:t>NO PERMITIDOS POR LA NORMA
</a:t>
                    </a:r>
                    <a:fld id="{D3499BB1-AF66-4A8F-B4BD-F4918A483129}" type="PERCENTAGE">
                      <a:rPr lang="en-US" baseline="0"/>
                      <a:pPr/>
                      <a:t>[PORCENTAJE]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B-FE7D-4416-92EF-A9615D05AC55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/>
              <a:lstStyle/>
              <a:p>
                <a:pPr>
                  <a:defRPr/>
                </a:pPr>
                <a:endParaRPr lang="es-CO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</c:ext>
            </c:extLst>
          </c:dLbls>
          <c:cat>
            <c:strRef>
              <c:f>'[1]Analisis de dist. de tub.'!$P$4:$P$16</c:f>
              <c:strCache>
                <c:ptCount val="13"/>
                <c:pt idx="0">
                  <c:v>16"</c:v>
                </c:pt>
                <c:pt idx="1">
                  <c:v>12"</c:v>
                </c:pt>
                <c:pt idx="2">
                  <c:v>10"</c:v>
                </c:pt>
                <c:pt idx="3">
                  <c:v>8"</c:v>
                </c:pt>
                <c:pt idx="4">
                  <c:v>6"</c:v>
                </c:pt>
                <c:pt idx="5">
                  <c:v>4"</c:v>
                </c:pt>
                <c:pt idx="6">
                  <c:v>3"</c:v>
                </c:pt>
                <c:pt idx="7">
                  <c:v>2 1/2"</c:v>
                </c:pt>
                <c:pt idx="8">
                  <c:v>2"</c:v>
                </c:pt>
                <c:pt idx="9">
                  <c:v>1 1/2"</c:v>
                </c:pt>
                <c:pt idx="10">
                  <c:v>1"</c:v>
                </c:pt>
                <c:pt idx="11">
                  <c:v>3/4"</c:v>
                </c:pt>
                <c:pt idx="12">
                  <c:v>1/2"</c:v>
                </c:pt>
              </c:strCache>
            </c:strRef>
          </c:cat>
          <c:val>
            <c:numRef>
              <c:f>'[1]Analisis de dist. de tub.'!$Q$4:$Q$16</c:f>
              <c:numCache>
                <c:formatCode>General</c:formatCode>
                <c:ptCount val="13"/>
                <c:pt idx="0">
                  <c:v>1.5238478916919207E-2</c:v>
                </c:pt>
                <c:pt idx="1">
                  <c:v>2.0720580535748177E-2</c:v>
                </c:pt>
                <c:pt idx="2">
                  <c:v>2.1036280604250095E-2</c:v>
                </c:pt>
                <c:pt idx="3">
                  <c:v>0.11722993053497308</c:v>
                </c:pt>
                <c:pt idx="4">
                  <c:v>9.3823315877358565E-2</c:v>
                </c:pt>
                <c:pt idx="5">
                  <c:v>5.4734869966216591E-2</c:v>
                </c:pt>
                <c:pt idx="6">
                  <c:v>0.30749584791303802</c:v>
                </c:pt>
                <c:pt idx="7">
                  <c:v>1.038989509050393E-2</c:v>
                </c:pt>
                <c:pt idx="8">
                  <c:v>0.31222787598569451</c:v>
                </c:pt>
                <c:pt idx="9">
                  <c:v>2.0363628539862188E-2</c:v>
                </c:pt>
                <c:pt idx="10">
                  <c:v>2.0513727955313064E-2</c:v>
                </c:pt>
                <c:pt idx="11">
                  <c:v>3.9044483384833291E-3</c:v>
                </c:pt>
                <c:pt idx="12">
                  <c:v>2.321119741639263E-3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FE7D-4416-92EF-A9615D05AC55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gapWidth val="100"/>
        <c:splitType val="pos"/>
        <c:splitPos val="6"/>
        <c:secondPieSize val="75"/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cap="all" spc="120" normalizeH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>
                <a:solidFill>
                  <a:sysClr val="windowText" lastClr="000000"/>
                </a:solidFill>
              </a:rPr>
              <a:t>DISTRIBUCIÓN DE RED POR MATERIAL Y DIÁMETRO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cap="all" spc="120" normalizeH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O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l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l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l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l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l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l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l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l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l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l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l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l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l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v>1 1/2"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Lit>
              <c:ptCount val="5"/>
              <c:pt idx="0">
                <c:v>AC</c:v>
              </c:pt>
              <c:pt idx="1">
                <c:v>AP</c:v>
              </c:pt>
              <c:pt idx="2">
                <c:v>HF</c:v>
              </c:pt>
              <c:pt idx="3">
                <c:v>HG</c:v>
              </c:pt>
              <c:pt idx="4">
                <c:v>PVC</c:v>
              </c:pt>
            </c:strLit>
          </c:cat>
          <c:val>
            <c:numLit>
              <c:formatCode>General</c:formatCode>
              <c:ptCount val="5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2.0363628539862184E-2</c:v>
              </c:pt>
            </c:numLit>
          </c:val>
          <c:extLst>
            <c:ext xmlns:c16="http://schemas.microsoft.com/office/drawing/2014/chart" uri="{C3380CC4-5D6E-409C-BE32-E72D297353CC}">
              <c16:uniqueId val="{00000000-B7C5-4928-B482-29ED5921B2D5}"/>
            </c:ext>
          </c:extLst>
        </c:ser>
        <c:ser>
          <c:idx val="1"/>
          <c:order val="1"/>
          <c:tx>
            <c:v>1"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Lit>
              <c:ptCount val="5"/>
              <c:pt idx="0">
                <c:v>AC</c:v>
              </c:pt>
              <c:pt idx="1">
                <c:v>AP</c:v>
              </c:pt>
              <c:pt idx="2">
                <c:v>HF</c:v>
              </c:pt>
              <c:pt idx="3">
                <c:v>HG</c:v>
              </c:pt>
              <c:pt idx="4">
                <c:v>PVC</c:v>
              </c:pt>
            </c:strLit>
          </c:cat>
          <c:val>
            <c:numLit>
              <c:formatCode>General</c:formatCode>
              <c:ptCount val="5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1.3372570382183433E-3</c:v>
              </c:pt>
              <c:pt idx="4">
                <c:v>1.9176470917094717E-2</c:v>
              </c:pt>
            </c:numLit>
          </c:val>
          <c:extLst>
            <c:ext xmlns:c16="http://schemas.microsoft.com/office/drawing/2014/chart" uri="{C3380CC4-5D6E-409C-BE32-E72D297353CC}">
              <c16:uniqueId val="{00000001-B7C5-4928-B482-29ED5921B2D5}"/>
            </c:ext>
          </c:extLst>
        </c:ser>
        <c:ser>
          <c:idx val="2"/>
          <c:order val="2"/>
          <c:tx>
            <c:v>1/2"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Lit>
              <c:ptCount val="5"/>
              <c:pt idx="0">
                <c:v>AC</c:v>
              </c:pt>
              <c:pt idx="1">
                <c:v>AP</c:v>
              </c:pt>
              <c:pt idx="2">
                <c:v>HF</c:v>
              </c:pt>
              <c:pt idx="3">
                <c:v>HG</c:v>
              </c:pt>
              <c:pt idx="4">
                <c:v>PVC</c:v>
              </c:pt>
            </c:strLit>
          </c:cat>
          <c:val>
            <c:numLit>
              <c:formatCode>General</c:formatCode>
              <c:ptCount val="5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4.8028424695623019E-4</c:v>
              </c:pt>
              <c:pt idx="4">
                <c:v>1.8408354946830325E-3</c:v>
              </c:pt>
            </c:numLit>
          </c:val>
          <c:extLst>
            <c:ext xmlns:c16="http://schemas.microsoft.com/office/drawing/2014/chart" uri="{C3380CC4-5D6E-409C-BE32-E72D297353CC}">
              <c16:uniqueId val="{00000002-B7C5-4928-B482-29ED5921B2D5}"/>
            </c:ext>
          </c:extLst>
        </c:ser>
        <c:ser>
          <c:idx val="3"/>
          <c:order val="3"/>
          <c:tx>
            <c:v>10"</c:v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Lit>
              <c:ptCount val="5"/>
              <c:pt idx="0">
                <c:v>AC</c:v>
              </c:pt>
              <c:pt idx="1">
                <c:v>AP</c:v>
              </c:pt>
              <c:pt idx="2">
                <c:v>HF</c:v>
              </c:pt>
              <c:pt idx="3">
                <c:v>HG</c:v>
              </c:pt>
              <c:pt idx="4">
                <c:v>PVC</c:v>
              </c:pt>
            </c:strLit>
          </c:cat>
          <c:val>
            <c:numLit>
              <c:formatCode>General</c:formatCode>
              <c:ptCount val="5"/>
              <c:pt idx="0">
                <c:v>0</c:v>
              </c:pt>
              <c:pt idx="1">
                <c:v>0</c:v>
              </c:pt>
              <c:pt idx="2">
                <c:v>7.2295908630453775E-3</c:v>
              </c:pt>
              <c:pt idx="3">
                <c:v>0</c:v>
              </c:pt>
              <c:pt idx="4">
                <c:v>1.3806689741204716E-2</c:v>
              </c:pt>
            </c:numLit>
          </c:val>
          <c:extLst>
            <c:ext xmlns:c16="http://schemas.microsoft.com/office/drawing/2014/chart" uri="{C3380CC4-5D6E-409C-BE32-E72D297353CC}">
              <c16:uniqueId val="{00000003-B7C5-4928-B482-29ED5921B2D5}"/>
            </c:ext>
          </c:extLst>
        </c:ser>
        <c:ser>
          <c:idx val="4"/>
          <c:order val="4"/>
          <c:tx>
            <c:v>12"</c:v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Lit>
              <c:ptCount val="5"/>
              <c:pt idx="0">
                <c:v>AC</c:v>
              </c:pt>
              <c:pt idx="1">
                <c:v>AP</c:v>
              </c:pt>
              <c:pt idx="2">
                <c:v>HF</c:v>
              </c:pt>
              <c:pt idx="3">
                <c:v>HG</c:v>
              </c:pt>
              <c:pt idx="4">
                <c:v>PVC</c:v>
              </c:pt>
            </c:strLit>
          </c:cat>
          <c:val>
            <c:numLit>
              <c:formatCode>General</c:formatCode>
              <c:ptCount val="5"/>
              <c:pt idx="0">
                <c:v>0</c:v>
              </c:pt>
              <c:pt idx="1">
                <c:v>0</c:v>
              </c:pt>
              <c:pt idx="2">
                <c:v>2.0720580535748174E-2</c:v>
              </c:pt>
              <c:pt idx="3">
                <c:v>0</c:v>
              </c:pt>
              <c:pt idx="4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4-B7C5-4928-B482-29ED5921B2D5}"/>
            </c:ext>
          </c:extLst>
        </c:ser>
        <c:ser>
          <c:idx val="5"/>
          <c:order val="5"/>
          <c:tx>
            <c:v>16"</c:v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Lit>
              <c:ptCount val="5"/>
              <c:pt idx="0">
                <c:v>AC</c:v>
              </c:pt>
              <c:pt idx="1">
                <c:v>AP</c:v>
              </c:pt>
              <c:pt idx="2">
                <c:v>HF</c:v>
              </c:pt>
              <c:pt idx="3">
                <c:v>HG</c:v>
              </c:pt>
              <c:pt idx="4">
                <c:v>PVC</c:v>
              </c:pt>
            </c:strLit>
          </c:cat>
          <c:val>
            <c:numLit>
              <c:formatCode>General</c:formatCode>
              <c:ptCount val="5"/>
              <c:pt idx="0">
                <c:v>0</c:v>
              </c:pt>
              <c:pt idx="1">
                <c:v>1.5238478916919204E-2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5-B7C5-4928-B482-29ED5921B2D5}"/>
            </c:ext>
          </c:extLst>
        </c:ser>
        <c:ser>
          <c:idx val="6"/>
          <c:order val="6"/>
          <c:tx>
            <c:v>2 1/2"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Lit>
              <c:ptCount val="5"/>
              <c:pt idx="0">
                <c:v>AC</c:v>
              </c:pt>
              <c:pt idx="1">
                <c:v>AP</c:v>
              </c:pt>
              <c:pt idx="2">
                <c:v>HF</c:v>
              </c:pt>
              <c:pt idx="3">
                <c:v>HG</c:v>
              </c:pt>
              <c:pt idx="4">
                <c:v>PVC</c:v>
              </c:pt>
            </c:strLit>
          </c:cat>
          <c:val>
            <c:numLit>
              <c:formatCode>General</c:formatCode>
              <c:ptCount val="5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1.0389895090503929E-2</c:v>
              </c:pt>
            </c:numLit>
          </c:val>
          <c:extLst>
            <c:ext xmlns:c16="http://schemas.microsoft.com/office/drawing/2014/chart" uri="{C3380CC4-5D6E-409C-BE32-E72D297353CC}">
              <c16:uniqueId val="{00000006-B7C5-4928-B482-29ED5921B2D5}"/>
            </c:ext>
          </c:extLst>
        </c:ser>
        <c:ser>
          <c:idx val="7"/>
          <c:order val="7"/>
          <c:tx>
            <c:v>2"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Lit>
              <c:ptCount val="5"/>
              <c:pt idx="0">
                <c:v>AC</c:v>
              </c:pt>
              <c:pt idx="1">
                <c:v>AP</c:v>
              </c:pt>
              <c:pt idx="2">
                <c:v>HF</c:v>
              </c:pt>
              <c:pt idx="3">
                <c:v>HG</c:v>
              </c:pt>
              <c:pt idx="4">
                <c:v>PVC</c:v>
              </c:pt>
            </c:strLit>
          </c:cat>
          <c:val>
            <c:numLit>
              <c:formatCode>General</c:formatCode>
              <c:ptCount val="5"/>
              <c:pt idx="0">
                <c:v>3.9981334138155313E-4</c:v>
              </c:pt>
              <c:pt idx="1">
                <c:v>0</c:v>
              </c:pt>
              <c:pt idx="2">
                <c:v>4.4131938741480767E-4</c:v>
              </c:pt>
              <c:pt idx="3">
                <c:v>4.4347939593286471E-3</c:v>
              </c:pt>
              <c:pt idx="4">
                <c:v>0.30695194929756947</c:v>
              </c:pt>
            </c:numLit>
          </c:val>
          <c:extLst>
            <c:ext xmlns:c16="http://schemas.microsoft.com/office/drawing/2014/chart" uri="{C3380CC4-5D6E-409C-BE32-E72D297353CC}">
              <c16:uniqueId val="{00000007-B7C5-4928-B482-29ED5921B2D5}"/>
            </c:ext>
          </c:extLst>
        </c:ser>
        <c:ser>
          <c:idx val="8"/>
          <c:order val="8"/>
          <c:tx>
            <c:v>3"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Lit>
              <c:ptCount val="5"/>
              <c:pt idx="0">
                <c:v>AC</c:v>
              </c:pt>
              <c:pt idx="1">
                <c:v>AP</c:v>
              </c:pt>
              <c:pt idx="2">
                <c:v>HF</c:v>
              </c:pt>
              <c:pt idx="3">
                <c:v>HG</c:v>
              </c:pt>
              <c:pt idx="4">
                <c:v>PVC</c:v>
              </c:pt>
            </c:strLit>
          </c:cat>
          <c:val>
            <c:numLit>
              <c:formatCode>General</c:formatCode>
              <c:ptCount val="5"/>
              <c:pt idx="0">
                <c:v>1.6606060780606741E-2</c:v>
              </c:pt>
              <c:pt idx="1">
                <c:v>0</c:v>
              </c:pt>
              <c:pt idx="2">
                <c:v>4.4566481631584005E-2</c:v>
              </c:pt>
              <c:pt idx="3">
                <c:v>3.7948384944689792E-4</c:v>
              </c:pt>
              <c:pt idx="4">
                <c:v>0.24594382165140036</c:v>
              </c:pt>
            </c:numLit>
          </c:val>
          <c:extLst>
            <c:ext xmlns:c16="http://schemas.microsoft.com/office/drawing/2014/chart" uri="{C3380CC4-5D6E-409C-BE32-E72D297353CC}">
              <c16:uniqueId val="{00000008-B7C5-4928-B482-29ED5921B2D5}"/>
            </c:ext>
          </c:extLst>
        </c:ser>
        <c:ser>
          <c:idx val="9"/>
          <c:order val="9"/>
          <c:tx>
            <c:v>3/4"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Lit>
              <c:ptCount val="5"/>
              <c:pt idx="0">
                <c:v>AC</c:v>
              </c:pt>
              <c:pt idx="1">
                <c:v>AP</c:v>
              </c:pt>
              <c:pt idx="2">
                <c:v>HF</c:v>
              </c:pt>
              <c:pt idx="3">
                <c:v>HG</c:v>
              </c:pt>
              <c:pt idx="4">
                <c:v>PVC</c:v>
              </c:pt>
            </c:strLit>
          </c:cat>
          <c:val>
            <c:numLit>
              <c:formatCode>General</c:formatCode>
              <c:ptCount val="5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3.9044483384833286E-3</c:v>
              </c:pt>
            </c:numLit>
          </c:val>
          <c:extLst>
            <c:ext xmlns:c16="http://schemas.microsoft.com/office/drawing/2014/chart" uri="{C3380CC4-5D6E-409C-BE32-E72D297353CC}">
              <c16:uniqueId val="{00000009-B7C5-4928-B482-29ED5921B2D5}"/>
            </c:ext>
          </c:extLst>
        </c:ser>
        <c:ser>
          <c:idx val="10"/>
          <c:order val="10"/>
          <c:tx>
            <c:v>4"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Lit>
              <c:ptCount val="5"/>
              <c:pt idx="0">
                <c:v>AC</c:v>
              </c:pt>
              <c:pt idx="1">
                <c:v>AP</c:v>
              </c:pt>
              <c:pt idx="2">
                <c:v>HF</c:v>
              </c:pt>
              <c:pt idx="3">
                <c:v>HG</c:v>
              </c:pt>
              <c:pt idx="4">
                <c:v>PVC</c:v>
              </c:pt>
            </c:strLit>
          </c:cat>
          <c:val>
            <c:numLit>
              <c:formatCode>General</c:formatCode>
              <c:ptCount val="5"/>
              <c:pt idx="0">
                <c:v>4.7909835992670868E-4</c:v>
              </c:pt>
              <c:pt idx="1">
                <c:v>0</c:v>
              </c:pt>
              <c:pt idx="2">
                <c:v>1.2575569592128553E-2</c:v>
              </c:pt>
              <c:pt idx="3">
                <c:v>2.559144209707518E-3</c:v>
              </c:pt>
              <c:pt idx="4">
                <c:v>3.9121057804453803E-2</c:v>
              </c:pt>
            </c:numLit>
          </c:val>
          <c:extLst>
            <c:ext xmlns:c16="http://schemas.microsoft.com/office/drawing/2014/chart" uri="{C3380CC4-5D6E-409C-BE32-E72D297353CC}">
              <c16:uniqueId val="{0000000A-B7C5-4928-B482-29ED5921B2D5}"/>
            </c:ext>
          </c:extLst>
        </c:ser>
        <c:ser>
          <c:idx val="11"/>
          <c:order val="11"/>
          <c:tx>
            <c:v>6"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Lit>
              <c:ptCount val="5"/>
              <c:pt idx="0">
                <c:v>AC</c:v>
              </c:pt>
              <c:pt idx="1">
                <c:v>AP</c:v>
              </c:pt>
              <c:pt idx="2">
                <c:v>HF</c:v>
              </c:pt>
              <c:pt idx="3">
                <c:v>HG</c:v>
              </c:pt>
              <c:pt idx="4">
                <c:v>PVC</c:v>
              </c:pt>
            </c:strLit>
          </c:cat>
          <c:val>
            <c:numLit>
              <c:formatCode>General</c:formatCode>
              <c:ptCount val="5"/>
              <c:pt idx="0">
                <c:v>6.7422760001284113E-3</c:v>
              </c:pt>
              <c:pt idx="1">
                <c:v>0</c:v>
              </c:pt>
              <c:pt idx="2">
                <c:v>8.7736157754824406E-3</c:v>
              </c:pt>
              <c:pt idx="3">
                <c:v>8.7968252787745081E-3</c:v>
              </c:pt>
              <c:pt idx="4">
                <c:v>6.9510598822973196E-2</c:v>
              </c:pt>
            </c:numLit>
          </c:val>
          <c:extLst>
            <c:ext xmlns:c16="http://schemas.microsoft.com/office/drawing/2014/chart" uri="{C3380CC4-5D6E-409C-BE32-E72D297353CC}">
              <c16:uniqueId val="{0000000B-B7C5-4928-B482-29ED5921B2D5}"/>
            </c:ext>
          </c:extLst>
        </c:ser>
        <c:ser>
          <c:idx val="12"/>
          <c:order val="12"/>
          <c:tx>
            <c:v>8"</c:v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Lit>
              <c:ptCount val="5"/>
              <c:pt idx="0">
                <c:v>AC</c:v>
              </c:pt>
              <c:pt idx="1">
                <c:v>AP</c:v>
              </c:pt>
              <c:pt idx="2">
                <c:v>HF</c:v>
              </c:pt>
              <c:pt idx="3">
                <c:v>HG</c:v>
              </c:pt>
              <c:pt idx="4">
                <c:v>PVC</c:v>
              </c:pt>
            </c:strLit>
          </c:cat>
          <c:val>
            <c:numLit>
              <c:formatCode>General</c:formatCode>
              <c:ptCount val="5"/>
              <c:pt idx="0">
                <c:v>2.4221403753112204E-2</c:v>
              </c:pt>
              <c:pt idx="1">
                <c:v>0</c:v>
              </c:pt>
              <c:pt idx="2">
                <c:v>4.6234347032389697E-3</c:v>
              </c:pt>
              <c:pt idx="3">
                <c:v>0</c:v>
              </c:pt>
              <c:pt idx="4">
                <c:v>8.8385092078621885E-2</c:v>
              </c:pt>
            </c:numLit>
          </c:val>
          <c:extLst>
            <c:ext xmlns:c16="http://schemas.microsoft.com/office/drawing/2014/chart" uri="{C3380CC4-5D6E-409C-BE32-E72D297353CC}">
              <c16:uniqueId val="{0000000C-B7C5-4928-B482-29ED5921B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gapDepth val="75"/>
        <c:shape val="box"/>
        <c:axId val="1854676768"/>
        <c:axId val="1854681088"/>
        <c:axId val="0"/>
      </c:bar3DChart>
      <c:catAx>
        <c:axId val="185467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O"/>
          </a:p>
        </c:txPr>
        <c:crossAx val="1854681088"/>
        <c:crosses val="autoZero"/>
        <c:auto val="1"/>
        <c:lblAlgn val="ctr"/>
        <c:lblOffset val="100"/>
        <c:noMultiLvlLbl val="0"/>
      </c:catAx>
      <c:valAx>
        <c:axId val="185468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PORCENTAJE DE PRESENCIA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O"/>
          </a:p>
        </c:txPr>
        <c:crossAx val="1854676768"/>
        <c:crosses val="autoZero"/>
        <c:crossBetween val="between"/>
        <c:majorUnit val="0.1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s-CO"/>
    </a:p>
  </c:txPr>
  <c:userShapes r:id="rId3"/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CO" sz="3600" b="1">
                <a:solidFill>
                  <a:sysClr val="windowText" lastClr="000000"/>
                </a:solidFill>
              </a:rPr>
              <a:t>DISTRIBUCIÓN  POR  DIÁMETRO Y CLASIFICACIÓN SEGÚN EL RAS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ofPieChart>
        <c:ofPieType val="bar"/>
        <c:varyColors val="1"/>
        <c:ser>
          <c:idx val="6"/>
          <c:order val="0"/>
          <c:tx>
            <c:strRef>
              <c:f>'ANALISIS DE TUBERÍA DE RED'!$P$4:$P$16</c:f>
              <c:strCache>
                <c:ptCount val="13"/>
                <c:pt idx="0">
                  <c:v>16"</c:v>
                </c:pt>
                <c:pt idx="1">
                  <c:v>12"</c:v>
                </c:pt>
                <c:pt idx="2">
                  <c:v>10"</c:v>
                </c:pt>
                <c:pt idx="3">
                  <c:v>8"</c:v>
                </c:pt>
                <c:pt idx="4">
                  <c:v>6"</c:v>
                </c:pt>
                <c:pt idx="5">
                  <c:v>4"</c:v>
                </c:pt>
                <c:pt idx="6">
                  <c:v>3"</c:v>
                </c:pt>
                <c:pt idx="7">
                  <c:v>2 1/2"</c:v>
                </c:pt>
                <c:pt idx="8">
                  <c:v>2"</c:v>
                </c:pt>
                <c:pt idx="9">
                  <c:v>1 1/2"</c:v>
                </c:pt>
                <c:pt idx="10">
                  <c:v>1"</c:v>
                </c:pt>
                <c:pt idx="11">
                  <c:v>3/4"</c:v>
                </c:pt>
                <c:pt idx="12">
                  <c:v>1/2"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F24-49AF-A5D3-820ECEDD230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F24-49AF-A5D3-820ECEDD230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F24-49AF-A5D3-820ECEDD230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F24-49AF-A5D3-820ECEDD230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F24-49AF-A5D3-820ECEDD230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F24-49AF-A5D3-820ECEDD230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F24-49AF-A5D3-820ECEDD230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F24-49AF-A5D3-820ECEDD230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EF24-49AF-A5D3-820ECEDD230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EF24-49AF-A5D3-820ECEDD230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EF24-49AF-A5D3-820ECEDD230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EF24-49AF-A5D3-820ECEDD230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EF24-49AF-A5D3-820ECEDD230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EF24-49AF-A5D3-820ECEDD2306}"/>
              </c:ext>
            </c:extLst>
          </c:dPt>
          <c:dLbls>
            <c:dLbl>
              <c:idx val="0"/>
              <c:layout>
                <c:manualLayout>
                  <c:x val="3.1175429527074645E-2"/>
                  <c:y val="-6.0737239772387999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F24-49AF-A5D3-820ECEDD2306}"/>
                </c:ext>
              </c:extLst>
            </c:dLbl>
            <c:dLbl>
              <c:idx val="1"/>
              <c:layout>
                <c:manualLayout>
                  <c:x val="-6.4596530701171051E-4"/>
                  <c:y val="0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F24-49AF-A5D3-820ECEDD2306}"/>
                </c:ext>
              </c:extLst>
            </c:dLbl>
            <c:dLbl>
              <c:idx val="2"/>
              <c:layout>
                <c:manualLayout>
                  <c:x val="-1.901177815709941E-2"/>
                  <c:y val="0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F24-49AF-A5D3-820ECEDD2306}"/>
                </c:ext>
              </c:extLst>
            </c:dLbl>
            <c:dLbl>
              <c:idx val="3"/>
              <c:layout>
                <c:manualLayout>
                  <c:x val="-1.1636864762909189E-2"/>
                  <c:y val="-7.0317063515134681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F24-49AF-A5D3-820ECEDD2306}"/>
                </c:ext>
              </c:extLst>
            </c:dLbl>
            <c:dLbl>
              <c:idx val="7"/>
              <c:layout>
                <c:manualLayout>
                  <c:x val="1.2290185919374681E-2"/>
                  <c:y val="0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F24-49AF-A5D3-820ECEDD2306}"/>
                </c:ext>
              </c:extLst>
            </c:dLbl>
            <c:dLbl>
              <c:idx val="8"/>
              <c:layout>
                <c:manualLayout>
                  <c:x val="1.6627898596801076E-2"/>
                  <c:y val="0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EF24-49AF-A5D3-820ECEDD2306}"/>
                </c:ext>
              </c:extLst>
            </c:dLbl>
            <c:dLbl>
              <c:idx val="9"/>
              <c:layout>
                <c:manualLayout>
                  <c:x val="1.807380282260998E-2"/>
                  <c:y val="-0.1260032391524894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EF24-49AF-A5D3-820ECEDD2306}"/>
                </c:ext>
              </c:extLst>
            </c:dLbl>
            <c:dLbl>
              <c:idx val="10"/>
              <c:layout>
                <c:manualLayout>
                  <c:x val="1.9519707048418673E-2"/>
                  <c:y val="-8.27483958613363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EF24-49AF-A5D3-820ECEDD2306}"/>
                </c:ext>
              </c:extLst>
            </c:dLbl>
            <c:dLbl>
              <c:idx val="11"/>
              <c:layout>
                <c:manualLayout>
                  <c:x val="2.0242659161323177E-2"/>
                  <c:y val="-2.444838968630404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EF24-49AF-A5D3-820ECEDD2306}"/>
                </c:ext>
              </c:extLst>
            </c:dLbl>
            <c:dLbl>
              <c:idx val="12"/>
              <c:layout>
                <c:manualLayout>
                  <c:x val="2.0242659161323177E-2"/>
                  <c:y val="6.20612968960022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EF24-49AF-A5D3-820ECEDD2306}"/>
                </c:ext>
              </c:extLst>
            </c:dLbl>
            <c:dLbl>
              <c:idx val="13"/>
              <c:layout>
                <c:manualLayout>
                  <c:x val="2.6721551551205779E-2"/>
                  <c:y val="-0.36048545136670357"/>
                </c:manualLayout>
              </c:layout>
              <c:tx>
                <c:rich>
                  <a:bodyPr/>
                  <a:lstStyle/>
                  <a:p>
                    <a:r>
                      <a:rPr lang="en-US" baseline="0"/>
                      <a:t>NO PERMITIDOS POR LA NORMA
</a:t>
                    </a:r>
                    <a:fld id="{D3499BB1-AF66-4A8F-B4BD-F4918A483129}" type="PERCENTAGE">
                      <a:rPr lang="en-US" baseline="0"/>
                      <a:pPr/>
                      <a:t>[PORCENTAJE]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B-EF24-49AF-A5D3-820ECEDD2306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</c:ext>
            </c:extLst>
          </c:dLbls>
          <c:cat>
            <c:strRef>
              <c:f>[2]Hoja1!$P$4:$P$16</c:f>
              <c:strCache>
                <c:ptCount val="13"/>
                <c:pt idx="0">
                  <c:v>16"</c:v>
                </c:pt>
                <c:pt idx="1">
                  <c:v>12"</c:v>
                </c:pt>
                <c:pt idx="2">
                  <c:v>10"</c:v>
                </c:pt>
                <c:pt idx="3">
                  <c:v>8"</c:v>
                </c:pt>
                <c:pt idx="4">
                  <c:v>6"</c:v>
                </c:pt>
                <c:pt idx="5">
                  <c:v>4"</c:v>
                </c:pt>
                <c:pt idx="6">
                  <c:v>3"</c:v>
                </c:pt>
                <c:pt idx="7">
                  <c:v>2 1/2"</c:v>
                </c:pt>
                <c:pt idx="8">
                  <c:v>2"</c:v>
                </c:pt>
                <c:pt idx="9">
                  <c:v>1 1/2"</c:v>
                </c:pt>
                <c:pt idx="10">
                  <c:v>1"</c:v>
                </c:pt>
                <c:pt idx="11">
                  <c:v>3/4"</c:v>
                </c:pt>
                <c:pt idx="12">
                  <c:v>1/2"</c:v>
                </c:pt>
              </c:strCache>
            </c:strRef>
          </c:cat>
          <c:val>
            <c:numRef>
              <c:f>'ANALISIS DE TUBERÍA DE RED'!$Q$4:$Q$16</c:f>
              <c:numCache>
                <c:formatCode>0.00%</c:formatCode>
                <c:ptCount val="13"/>
                <c:pt idx="0">
                  <c:v>1.5240557378540763E-2</c:v>
                </c:pt>
                <c:pt idx="1">
                  <c:v>2.0723406731962032E-2</c:v>
                </c:pt>
                <c:pt idx="2">
                  <c:v>2.1039149860567253E-2</c:v>
                </c:pt>
                <c:pt idx="3">
                  <c:v>0.11724592018281411</c:v>
                </c:pt>
                <c:pt idx="4">
                  <c:v>9.383611296572425E-2</c:v>
                </c:pt>
                <c:pt idx="5">
                  <c:v>5.4605939952552938E-2</c:v>
                </c:pt>
                <c:pt idx="6">
                  <c:v>0.30753778899666978</c:v>
                </c:pt>
                <c:pt idx="7">
                  <c:v>1.0391312226578688E-2</c:v>
                </c:pt>
                <c:pt idx="8">
                  <c:v>0.31227046249717993</c:v>
                </c:pt>
                <c:pt idx="9">
                  <c:v>2.036640604939096E-2</c:v>
                </c:pt>
                <c:pt idx="10">
                  <c:v>2.051652593774311E-2</c:v>
                </c:pt>
                <c:pt idx="11">
                  <c:v>3.9049808880946869E-3</c:v>
                </c:pt>
                <c:pt idx="12">
                  <c:v>2.3214363321814252E-3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EF24-49AF-A5D3-820ECEDD2306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gapWidth val="100"/>
        <c:splitType val="pos"/>
        <c:splitPos val="6"/>
        <c:secondPieSize val="75"/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[Caracterización_por_nodos_sistema_acueducto.xlsx]Hoja7!TablaDinámica3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>
              <a:lumMod val="80000"/>
              <a:lumOff val="20000"/>
            </a:schemeClr>
          </a:solidFill>
          <a:ln>
            <a:noFill/>
          </a:ln>
          <a:effectLst/>
          <a:sp3d/>
        </c:spP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Hoja7!$I$3:$I$4</c:f>
              <c:strCache>
                <c:ptCount val="1"/>
                <c:pt idx="0">
                  <c:v>1 1/2"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Hoja7!$H$5:$H$10</c:f>
              <c:strCache>
                <c:ptCount val="5"/>
                <c:pt idx="0">
                  <c:v>AC</c:v>
                </c:pt>
                <c:pt idx="1">
                  <c:v>AP</c:v>
                </c:pt>
                <c:pt idx="2">
                  <c:v>HF</c:v>
                </c:pt>
                <c:pt idx="3">
                  <c:v>HG</c:v>
                </c:pt>
                <c:pt idx="4">
                  <c:v>PVC</c:v>
                </c:pt>
              </c:strCache>
            </c:strRef>
          </c:cat>
          <c:val>
            <c:numRef>
              <c:f>Hoja7!$I$5:$I$10</c:f>
              <c:numCache>
                <c:formatCode>0.00%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2.036640604939096E-2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8-4E91-8C86-14A708DC6FE7}"/>
            </c:ext>
          </c:extLst>
        </c:ser>
        <c:ser>
          <c:idx val="1"/>
          <c:order val="1"/>
          <c:tx>
            <c:strRef>
              <c:f>Hoja7!$J$3:$J$4</c:f>
              <c:strCache>
                <c:ptCount val="1"/>
                <c:pt idx="0">
                  <c:v>1"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Hoja7!$H$5:$H$10</c:f>
              <c:strCache>
                <c:ptCount val="5"/>
                <c:pt idx="0">
                  <c:v>AC</c:v>
                </c:pt>
                <c:pt idx="1">
                  <c:v>AP</c:v>
                </c:pt>
                <c:pt idx="2">
                  <c:v>HF</c:v>
                </c:pt>
                <c:pt idx="3">
                  <c:v>HG</c:v>
                </c:pt>
                <c:pt idx="4">
                  <c:v>PVC</c:v>
                </c:pt>
              </c:strCache>
            </c:strRef>
          </c:cat>
          <c:val>
            <c:numRef>
              <c:f>Hoja7!$J$5:$J$10</c:f>
              <c:numCache>
                <c:formatCode>0.00%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1.3374394342072901E-3</c:v>
                </c:pt>
                <c:pt idx="4">
                  <c:v>1.9179086503535819E-2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D8-4E91-8C86-14A708DC6FE7}"/>
            </c:ext>
          </c:extLst>
        </c:ser>
        <c:ser>
          <c:idx val="2"/>
          <c:order val="2"/>
          <c:tx>
            <c:strRef>
              <c:f>Hoja7!$K$3:$K$4</c:f>
              <c:strCache>
                <c:ptCount val="1"/>
                <c:pt idx="0">
                  <c:v>1/2"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Hoja7!$H$5:$H$10</c:f>
              <c:strCache>
                <c:ptCount val="5"/>
                <c:pt idx="0">
                  <c:v>AC</c:v>
                </c:pt>
                <c:pt idx="1">
                  <c:v>AP</c:v>
                </c:pt>
                <c:pt idx="2">
                  <c:v>HF</c:v>
                </c:pt>
                <c:pt idx="3">
                  <c:v>HG</c:v>
                </c:pt>
                <c:pt idx="4">
                  <c:v>PVC</c:v>
                </c:pt>
              </c:strCache>
            </c:strRef>
          </c:cat>
          <c:val>
            <c:numRef>
              <c:f>Hoja7!$K$5:$K$10</c:f>
              <c:numCache>
                <c:formatCode>0.00%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4.8034975561888482E-4</c:v>
                </c:pt>
                <c:pt idx="4">
                  <c:v>1.8410865765625404E-3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D8-4E91-8C86-14A708DC6FE7}"/>
            </c:ext>
          </c:extLst>
        </c:ser>
        <c:ser>
          <c:idx val="3"/>
          <c:order val="3"/>
          <c:tx>
            <c:strRef>
              <c:f>Hoja7!$L$3:$L$4</c:f>
              <c:strCache>
                <c:ptCount val="1"/>
                <c:pt idx="0">
                  <c:v>10"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Hoja7!$H$5:$H$10</c:f>
              <c:strCache>
                <c:ptCount val="5"/>
                <c:pt idx="0">
                  <c:v>AC</c:v>
                </c:pt>
                <c:pt idx="1">
                  <c:v>AP</c:v>
                </c:pt>
                <c:pt idx="2">
                  <c:v>HF</c:v>
                </c:pt>
                <c:pt idx="3">
                  <c:v>HG</c:v>
                </c:pt>
                <c:pt idx="4">
                  <c:v>PVC</c:v>
                </c:pt>
              </c:strCache>
            </c:strRef>
          </c:cat>
          <c:val>
            <c:numRef>
              <c:f>Hoja7!$L$5:$L$10</c:f>
              <c:numCache>
                <c:formatCode>0.00%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7.2305769474984476E-3</c:v>
                </c:pt>
                <c:pt idx="3">
                  <c:v>0</c:v>
                </c:pt>
                <c:pt idx="4">
                  <c:v>1.3808572913068804E-2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D8-4E91-8C86-14A708DC6FE7}"/>
            </c:ext>
          </c:extLst>
        </c:ser>
        <c:ser>
          <c:idx val="4"/>
          <c:order val="4"/>
          <c:tx>
            <c:strRef>
              <c:f>Hoja7!$M$3:$M$4</c:f>
              <c:strCache>
                <c:ptCount val="1"/>
                <c:pt idx="0">
                  <c:v>12"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Hoja7!$H$5:$H$10</c:f>
              <c:strCache>
                <c:ptCount val="5"/>
                <c:pt idx="0">
                  <c:v>AC</c:v>
                </c:pt>
                <c:pt idx="1">
                  <c:v>AP</c:v>
                </c:pt>
                <c:pt idx="2">
                  <c:v>HF</c:v>
                </c:pt>
                <c:pt idx="3">
                  <c:v>HG</c:v>
                </c:pt>
                <c:pt idx="4">
                  <c:v>PVC</c:v>
                </c:pt>
              </c:strCache>
            </c:strRef>
          </c:cat>
          <c:val>
            <c:numRef>
              <c:f>Hoja7!$M$5:$M$10</c:f>
              <c:numCache>
                <c:formatCode>0.00%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2.0723406731962032E-2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DD8-4E91-8C86-14A708DC6FE7}"/>
            </c:ext>
          </c:extLst>
        </c:ser>
        <c:ser>
          <c:idx val="5"/>
          <c:order val="5"/>
          <c:tx>
            <c:strRef>
              <c:f>Hoja7!$N$3:$N$4</c:f>
              <c:strCache>
                <c:ptCount val="1"/>
                <c:pt idx="0">
                  <c:v>16"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Hoja7!$H$5:$H$10</c:f>
              <c:strCache>
                <c:ptCount val="5"/>
                <c:pt idx="0">
                  <c:v>AC</c:v>
                </c:pt>
                <c:pt idx="1">
                  <c:v>AP</c:v>
                </c:pt>
                <c:pt idx="2">
                  <c:v>HF</c:v>
                </c:pt>
                <c:pt idx="3">
                  <c:v>HG</c:v>
                </c:pt>
                <c:pt idx="4">
                  <c:v>PVC</c:v>
                </c:pt>
              </c:strCache>
            </c:strRef>
          </c:cat>
          <c:val>
            <c:numRef>
              <c:f>Hoja7!$N$5:$N$10</c:f>
              <c:numCache>
                <c:formatCode>0.00%</c:formatCode>
                <c:ptCount val="5"/>
                <c:pt idx="0">
                  <c:v>0</c:v>
                </c:pt>
                <c:pt idx="1">
                  <c:v>1.5240557378540763E-2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DD8-4E91-8C86-14A708DC6FE7}"/>
            </c:ext>
          </c:extLst>
        </c:ser>
        <c:ser>
          <c:idx val="6"/>
          <c:order val="6"/>
          <c:tx>
            <c:strRef>
              <c:f>Hoja7!$O$3:$O$4</c:f>
              <c:strCache>
                <c:ptCount val="1"/>
                <c:pt idx="0">
                  <c:v>2 1/2"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Hoja7!$H$5:$H$10</c:f>
              <c:strCache>
                <c:ptCount val="5"/>
                <c:pt idx="0">
                  <c:v>AC</c:v>
                </c:pt>
                <c:pt idx="1">
                  <c:v>AP</c:v>
                </c:pt>
                <c:pt idx="2">
                  <c:v>HF</c:v>
                </c:pt>
                <c:pt idx="3">
                  <c:v>HG</c:v>
                </c:pt>
                <c:pt idx="4">
                  <c:v>PVC</c:v>
                </c:pt>
              </c:strCache>
            </c:strRef>
          </c:cat>
          <c:val>
            <c:numRef>
              <c:f>Hoja7!$O$5:$O$10</c:f>
              <c:numCache>
                <c:formatCode>0.00%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1.0391312226578688E-2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DD8-4E91-8C86-14A708DC6FE7}"/>
            </c:ext>
          </c:extLst>
        </c:ser>
        <c:ser>
          <c:idx val="7"/>
          <c:order val="7"/>
          <c:tx>
            <c:strRef>
              <c:f>Hoja7!$P$3:$P$4</c:f>
              <c:strCache>
                <c:ptCount val="1"/>
                <c:pt idx="0">
                  <c:v>2"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Hoja7!$H$5:$H$10</c:f>
              <c:strCache>
                <c:ptCount val="5"/>
                <c:pt idx="0">
                  <c:v>AC</c:v>
                </c:pt>
                <c:pt idx="1">
                  <c:v>AP</c:v>
                </c:pt>
                <c:pt idx="2">
                  <c:v>HF</c:v>
                </c:pt>
                <c:pt idx="3">
                  <c:v>HG</c:v>
                </c:pt>
                <c:pt idx="4">
                  <c:v>PVC</c:v>
                </c:pt>
              </c:strCache>
            </c:strRef>
          </c:cat>
          <c:val>
            <c:numRef>
              <c:f>Hoja7!$P$5:$P$10</c:f>
              <c:numCache>
                <c:formatCode>0.00%</c:formatCode>
                <c:ptCount val="5"/>
                <c:pt idx="0">
                  <c:v>3.9986787416598519E-4</c:v>
                </c:pt>
                <c:pt idx="1">
                  <c:v>0</c:v>
                </c:pt>
                <c:pt idx="2">
                  <c:v>4.4137958144169133E-4</c:v>
                </c:pt>
                <c:pt idx="3">
                  <c:v>4.4353988457542697E-3</c:v>
                </c:pt>
                <c:pt idx="4">
                  <c:v>0.306993816195818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DD8-4E91-8C86-14A708DC6FE7}"/>
            </c:ext>
          </c:extLst>
        </c:ser>
        <c:ser>
          <c:idx val="8"/>
          <c:order val="8"/>
          <c:tx>
            <c:strRef>
              <c:f>Hoja7!$Q$3:$Q$4</c:f>
              <c:strCache>
                <c:ptCount val="1"/>
                <c:pt idx="0">
                  <c:v>3"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Hoja7!$H$5:$H$10</c:f>
              <c:strCache>
                <c:ptCount val="5"/>
                <c:pt idx="0">
                  <c:v>AC</c:v>
                </c:pt>
                <c:pt idx="1">
                  <c:v>AP</c:v>
                </c:pt>
                <c:pt idx="2">
                  <c:v>HF</c:v>
                </c:pt>
                <c:pt idx="3">
                  <c:v>HG</c:v>
                </c:pt>
                <c:pt idx="4">
                  <c:v>PVC</c:v>
                </c:pt>
              </c:strCache>
            </c:strRef>
          </c:cat>
          <c:val>
            <c:numRef>
              <c:f>Hoja7!$Q$5:$Q$10</c:f>
              <c:numCache>
                <c:formatCode>0.00%</c:formatCode>
                <c:ptCount val="5"/>
                <c:pt idx="0">
                  <c:v>1.6608325774390302E-2</c:v>
                </c:pt>
                <c:pt idx="1">
                  <c:v>0</c:v>
                </c:pt>
                <c:pt idx="2">
                  <c:v>4.4572560304014776E-2</c:v>
                </c:pt>
                <c:pt idx="3">
                  <c:v>3.7953560937788422E-4</c:v>
                </c:pt>
                <c:pt idx="4">
                  <c:v>0.24597736730888684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DD8-4E91-8C86-14A708DC6FE7}"/>
            </c:ext>
          </c:extLst>
        </c:ser>
        <c:ser>
          <c:idx val="9"/>
          <c:order val="9"/>
          <c:tx>
            <c:strRef>
              <c:f>Hoja7!$R$3:$R$4</c:f>
              <c:strCache>
                <c:ptCount val="1"/>
                <c:pt idx="0">
                  <c:v>3/4"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Hoja7!$H$5:$H$10</c:f>
              <c:strCache>
                <c:ptCount val="5"/>
                <c:pt idx="0">
                  <c:v>AC</c:v>
                </c:pt>
                <c:pt idx="1">
                  <c:v>AP</c:v>
                </c:pt>
                <c:pt idx="2">
                  <c:v>HF</c:v>
                </c:pt>
                <c:pt idx="3">
                  <c:v>HG</c:v>
                </c:pt>
                <c:pt idx="4">
                  <c:v>PVC</c:v>
                </c:pt>
              </c:strCache>
            </c:strRef>
          </c:cat>
          <c:val>
            <c:numRef>
              <c:f>Hoja7!$R$5:$R$10</c:f>
              <c:numCache>
                <c:formatCode>0.00%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3.9049808880946869E-3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DD8-4E91-8C86-14A708DC6FE7}"/>
            </c:ext>
          </c:extLst>
        </c:ser>
        <c:ser>
          <c:idx val="10"/>
          <c:order val="10"/>
          <c:tx>
            <c:strRef>
              <c:f>Hoja7!$S$3:$S$4</c:f>
              <c:strCache>
                <c:ptCount val="1"/>
                <c:pt idx="0">
                  <c:v>4"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Hoja7!$H$5:$H$10</c:f>
              <c:strCache>
                <c:ptCount val="5"/>
                <c:pt idx="0">
                  <c:v>AC</c:v>
                </c:pt>
                <c:pt idx="1">
                  <c:v>AP</c:v>
                </c:pt>
                <c:pt idx="2">
                  <c:v>HF</c:v>
                </c:pt>
                <c:pt idx="3">
                  <c:v>HG</c:v>
                </c:pt>
                <c:pt idx="4">
                  <c:v>PVC</c:v>
                </c:pt>
              </c:strCache>
            </c:strRef>
          </c:cat>
          <c:val>
            <c:numRef>
              <c:f>Hoja7!$S$5:$S$10</c:f>
              <c:numCache>
                <c:formatCode>0.00%</c:formatCode>
                <c:ptCount val="5"/>
                <c:pt idx="0">
                  <c:v>4.791637068395789E-4</c:v>
                </c:pt>
                <c:pt idx="1">
                  <c:v>0</c:v>
                </c:pt>
                <c:pt idx="2">
                  <c:v>1.2577284844609392E-2</c:v>
                </c:pt>
                <c:pt idx="3">
                  <c:v>2.5594932657421071E-3</c:v>
                </c:pt>
                <c:pt idx="4">
                  <c:v>3.8989998135361859E-2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DD8-4E91-8C86-14A708DC6FE7}"/>
            </c:ext>
          </c:extLst>
        </c:ser>
        <c:ser>
          <c:idx val="11"/>
          <c:order val="11"/>
          <c:tx>
            <c:strRef>
              <c:f>Hoja7!$T$3:$T$4</c:f>
              <c:strCache>
                <c:ptCount val="1"/>
                <c:pt idx="0">
                  <c:v>6"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Hoja7!$H$5:$H$10</c:f>
              <c:strCache>
                <c:ptCount val="5"/>
                <c:pt idx="0">
                  <c:v>AC</c:v>
                </c:pt>
                <c:pt idx="1">
                  <c:v>AP</c:v>
                </c:pt>
                <c:pt idx="2">
                  <c:v>HF</c:v>
                </c:pt>
                <c:pt idx="3">
                  <c:v>HG</c:v>
                </c:pt>
                <c:pt idx="4">
                  <c:v>PVC</c:v>
                </c:pt>
              </c:strCache>
            </c:strRef>
          </c:cat>
          <c:val>
            <c:numRef>
              <c:f>Hoja7!$T$5:$T$10</c:f>
              <c:numCache>
                <c:formatCode>0.00%</c:formatCode>
                <c:ptCount val="5"/>
                <c:pt idx="0">
                  <c:v>6.7431956169736766E-3</c:v>
                </c:pt>
                <c:pt idx="1">
                  <c:v>0</c:v>
                </c:pt>
                <c:pt idx="2">
                  <c:v>8.774812458154712E-3</c:v>
                </c:pt>
                <c:pt idx="3">
                  <c:v>8.7980251271211288E-3</c:v>
                </c:pt>
                <c:pt idx="4">
                  <c:v>6.9520079763474726E-2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DD8-4E91-8C86-14A708DC6FE7}"/>
            </c:ext>
          </c:extLst>
        </c:ser>
        <c:ser>
          <c:idx val="12"/>
          <c:order val="12"/>
          <c:tx>
            <c:strRef>
              <c:f>Hoja7!$U$3:$U$4</c:f>
              <c:strCache>
                <c:ptCount val="1"/>
                <c:pt idx="0">
                  <c:v>8"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Hoja7!$H$5:$H$10</c:f>
              <c:strCache>
                <c:ptCount val="5"/>
                <c:pt idx="0">
                  <c:v>AC</c:v>
                </c:pt>
                <c:pt idx="1">
                  <c:v>AP</c:v>
                </c:pt>
                <c:pt idx="2">
                  <c:v>HF</c:v>
                </c:pt>
                <c:pt idx="3">
                  <c:v>HG</c:v>
                </c:pt>
                <c:pt idx="4">
                  <c:v>PVC</c:v>
                </c:pt>
              </c:strCache>
            </c:strRef>
          </c:cat>
          <c:val>
            <c:numRef>
              <c:f>Hoja7!$U$5:$U$10</c:f>
              <c:numCache>
                <c:formatCode>0.00%</c:formatCode>
                <c:ptCount val="5"/>
                <c:pt idx="0">
                  <c:v>2.4224707446242968E-2</c:v>
                </c:pt>
                <c:pt idx="1">
                  <c:v>0</c:v>
                </c:pt>
                <c:pt idx="2">
                  <c:v>4.6240653194338571E-3</c:v>
                </c:pt>
                <c:pt idx="3">
                  <c:v>0</c:v>
                </c:pt>
                <c:pt idx="4">
                  <c:v>8.8397147417137292E-2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DD8-4E91-8C86-14A708DC6F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95278496"/>
        <c:axId val="395286656"/>
        <c:axId val="0"/>
      </c:bar3DChart>
      <c:catAx>
        <c:axId val="39527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95286656"/>
        <c:crosses val="autoZero"/>
        <c:auto val="1"/>
        <c:lblAlgn val="ctr"/>
        <c:lblOffset val="100"/>
        <c:noMultiLvlLbl val="0"/>
      </c:catAx>
      <c:valAx>
        <c:axId val="39528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952784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4F85EF-3DBF-4B22-82B3-E51203A871D0}">
  <sheetPr/>
  <sheetViews>
    <sheetView zoomScale="106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A650595-2D2F-414A-A7EF-F60CBFF9186C}">
  <sheetPr/>
  <sheetViews>
    <sheetView zoomScale="106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344" cy="629908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DC5B2F3-E01B-C59E-4055-E2C306EDC9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1344" cy="629908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79D4909-8493-B513-D127-E15BDD1CD04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0.22059</cdr:x>
      <cdr:y>0.43196</cdr:y>
    </cdr:from>
    <cdr:to>
      <cdr:x>0.28646</cdr:x>
      <cdr:y>0.47519</cdr:y>
    </cdr:to>
    <cdr:sp macro="" textlink="'tabla dinamica para analisis'!$X$4">
      <cdr:nvSpPr>
        <cdr:cNvPr id="2" name="Rectángulo 1">
          <a:extLst xmlns:a="http://schemas.openxmlformats.org/drawingml/2006/main">
            <a:ext uri="{FF2B5EF4-FFF2-40B4-BE49-F238E27FC236}">
              <a16:creationId xmlns:a16="http://schemas.microsoft.com/office/drawing/2014/main" id="{19541A93-FBE3-B8B6-6D10-D1180AFC2165}"/>
            </a:ext>
          </a:extLst>
        </cdr:cNvPr>
        <cdr:cNvSpPr/>
      </cdr:nvSpPr>
      <cdr:spPr>
        <a:xfrm xmlns:a="http://schemas.openxmlformats.org/drawingml/2006/main">
          <a:off x="1913987" y="2719373"/>
          <a:ext cx="571500" cy="27214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fld id="{7D0F7B38-756F-40CE-B11D-004A2D75ED23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4,84%</a:t>
          </a:fld>
          <a:endParaRPr lang="es-CO"/>
        </a:p>
      </cdr:txBody>
    </cdr:sp>
  </cdr:relSizeAnchor>
  <cdr:relSizeAnchor xmlns:cdr="http://schemas.openxmlformats.org/drawingml/2006/chartDrawing">
    <cdr:from>
      <cdr:x>0.48778</cdr:x>
      <cdr:y>0.4041</cdr:y>
    </cdr:from>
    <cdr:to>
      <cdr:x>0.55365</cdr:x>
      <cdr:y>0.44733</cdr:y>
    </cdr:to>
    <cdr:sp macro="" textlink="'tabla dinamica para analisis'!$X$6">
      <cdr:nvSpPr>
        <cdr:cNvPr id="3" name="Rectángulo 2">
          <a:extLst xmlns:a="http://schemas.openxmlformats.org/drawingml/2006/main">
            <a:ext uri="{FF2B5EF4-FFF2-40B4-BE49-F238E27FC236}">
              <a16:creationId xmlns:a16="http://schemas.microsoft.com/office/drawing/2014/main" id="{FA0485D2-0438-CDD9-EABA-669EBA85E3D8}"/>
            </a:ext>
          </a:extLst>
        </cdr:cNvPr>
        <cdr:cNvSpPr/>
      </cdr:nvSpPr>
      <cdr:spPr>
        <a:xfrm xmlns:a="http://schemas.openxmlformats.org/drawingml/2006/main">
          <a:off x="4232301" y="2543988"/>
          <a:ext cx="571500" cy="27214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AF8B6EF1-4F6A-4D7B-976F-0F1F230582DD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9,89%</a:t>
          </a:fld>
          <a:endParaRPr lang="es-CO"/>
        </a:p>
      </cdr:txBody>
    </cdr:sp>
  </cdr:relSizeAnchor>
  <cdr:relSizeAnchor xmlns:cdr="http://schemas.openxmlformats.org/drawingml/2006/chartDrawing">
    <cdr:from>
      <cdr:x>0.35761</cdr:x>
      <cdr:y>0.44223</cdr:y>
    </cdr:from>
    <cdr:to>
      <cdr:x>0.42348</cdr:x>
      <cdr:y>0.48546</cdr:y>
    </cdr:to>
    <cdr:sp macro="" textlink="'tabla dinamica para analisis'!$X$5">
      <cdr:nvSpPr>
        <cdr:cNvPr id="4" name="Rectángulo 3">
          <a:extLst xmlns:a="http://schemas.openxmlformats.org/drawingml/2006/main">
            <a:ext uri="{FF2B5EF4-FFF2-40B4-BE49-F238E27FC236}">
              <a16:creationId xmlns:a16="http://schemas.microsoft.com/office/drawing/2014/main" id="{FA0485D2-0438-CDD9-EABA-669EBA85E3D8}"/>
            </a:ext>
          </a:extLst>
        </cdr:cNvPr>
        <cdr:cNvSpPr/>
      </cdr:nvSpPr>
      <cdr:spPr>
        <a:xfrm xmlns:a="http://schemas.openxmlformats.org/drawingml/2006/main">
          <a:off x="3102908" y="2784040"/>
          <a:ext cx="571500" cy="27214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41FA1B35-2602-498F-A3A8-8292CE079969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1,52%</a:t>
          </a:fld>
          <a:endParaRPr lang="es-CO"/>
        </a:p>
      </cdr:txBody>
    </cdr:sp>
  </cdr:relSizeAnchor>
  <cdr:relSizeAnchor xmlns:cdr="http://schemas.openxmlformats.org/drawingml/2006/chartDrawing">
    <cdr:from>
      <cdr:x>0.75326</cdr:x>
      <cdr:y>0.11961</cdr:y>
    </cdr:from>
    <cdr:to>
      <cdr:x>0.84777</cdr:x>
      <cdr:y>0.15477</cdr:y>
    </cdr:to>
    <cdr:sp macro="" textlink="'tabla dinamica para analisis'!$X$8">
      <cdr:nvSpPr>
        <cdr:cNvPr id="5" name="Rectángulo 4">
          <a:extLst xmlns:a="http://schemas.openxmlformats.org/drawingml/2006/main">
            <a:ext uri="{FF2B5EF4-FFF2-40B4-BE49-F238E27FC236}">
              <a16:creationId xmlns:a16="http://schemas.microsoft.com/office/drawing/2014/main" id="{FA0485D2-0438-CDD9-EABA-669EBA85E3D8}"/>
            </a:ext>
          </a:extLst>
        </cdr:cNvPr>
        <cdr:cNvSpPr/>
      </cdr:nvSpPr>
      <cdr:spPr>
        <a:xfrm xmlns:a="http://schemas.openxmlformats.org/drawingml/2006/main">
          <a:off x="6535757" y="752980"/>
          <a:ext cx="820057" cy="2213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6893420F-2CDF-4084-B355-A28ED817980F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81,94%</a:t>
          </a:fld>
          <a:endParaRPr lang="es-CO"/>
        </a:p>
      </cdr:txBody>
    </cdr:sp>
  </cdr:relSizeAnchor>
  <cdr:relSizeAnchor xmlns:cdr="http://schemas.openxmlformats.org/drawingml/2006/chartDrawing">
    <cdr:from>
      <cdr:x>0.62312</cdr:x>
      <cdr:y>0.44435</cdr:y>
    </cdr:from>
    <cdr:to>
      <cdr:x>0.68899</cdr:x>
      <cdr:y>0.48758</cdr:y>
    </cdr:to>
    <cdr:sp macro="" textlink="'tabla dinamica para analisis'!$X$7">
      <cdr:nvSpPr>
        <cdr:cNvPr id="6" name="Rectángulo 5">
          <a:extLst xmlns:a="http://schemas.openxmlformats.org/drawingml/2006/main">
            <a:ext uri="{FF2B5EF4-FFF2-40B4-BE49-F238E27FC236}">
              <a16:creationId xmlns:a16="http://schemas.microsoft.com/office/drawing/2014/main" id="{FA0485D2-0438-CDD9-EABA-669EBA85E3D8}"/>
            </a:ext>
          </a:extLst>
        </cdr:cNvPr>
        <cdr:cNvSpPr/>
      </cdr:nvSpPr>
      <cdr:spPr>
        <a:xfrm xmlns:a="http://schemas.openxmlformats.org/drawingml/2006/main">
          <a:off x="5406623" y="2797388"/>
          <a:ext cx="571500" cy="27214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EA27EA25-CE61-4830-B0E2-34C20E05914A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1,80%</a:t>
          </a:fld>
          <a:endParaRPr lang="es-CO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0</xdr:rowOff>
    </xdr:from>
    <xdr:to>
      <xdr:col>15</xdr:col>
      <xdr:colOff>968285</xdr:colOff>
      <xdr:row>59</xdr:row>
      <xdr:rowOff>179634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5AFC18F-A4D2-4A41-A978-4E568113D1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62</xdr:row>
      <xdr:rowOff>0</xdr:rowOff>
    </xdr:from>
    <xdr:to>
      <xdr:col>13</xdr:col>
      <xdr:colOff>694195</xdr:colOff>
      <xdr:row>110</xdr:row>
      <xdr:rowOff>129153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A6BBE7D-8427-4AE7-A10A-8162C73FAE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indy%20Yojana%20Becerra\Desktop\tesis\objetivo%201\Caracterizaci&#243;n_por_nodos_sistema_acueducto.xlsx" TargetMode="External"/><Relationship Id="rId1" Type="http://schemas.openxmlformats.org/officeDocument/2006/relationships/externalLinkPath" Target="/Users/Sindy%20Yojana%20Becerra/Desktop/tesis/objetivo%201/Caracterizaci&#243;n_por_nodos_sistema_acueducto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indy%20Yojana%20Becerra\Desktop\tesis\objetivo%201\CANTIDAD%20DE%20TUBERIA.xlsx" TargetMode="External"/><Relationship Id="rId1" Type="http://schemas.openxmlformats.org/officeDocument/2006/relationships/externalLinkPath" Target="/Users/Sindy%20Yojana%20Becerra/Desktop/tesis/objetivo%201/CANTIDAD%20DE%20TUBER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racterización por nodos "/>
      <sheetName val="tabla dinamica para analisis"/>
      <sheetName val="Analisis de dist. de tub."/>
      <sheetName val="Grafico x dis. y clasificación"/>
      <sheetName val="Gráfico dis por material y diam"/>
    </sheetNames>
    <sheetDataSet>
      <sheetData sheetId="0"/>
      <sheetData sheetId="1">
        <row r="4">
          <cell r="B4" t="str">
            <v>1 1/2"</v>
          </cell>
          <cell r="G4">
            <v>2404.0299999999997</v>
          </cell>
          <cell r="H4">
            <v>2404.0299999999997</v>
          </cell>
        </row>
        <row r="5">
          <cell r="B5" t="str">
            <v>1"</v>
          </cell>
          <cell r="F5">
            <v>157.87</v>
          </cell>
          <cell r="G5">
            <v>2263.88</v>
          </cell>
          <cell r="H5">
            <v>2421.75</v>
          </cell>
        </row>
        <row r="6">
          <cell r="B6" t="str">
            <v>1/2"</v>
          </cell>
          <cell r="F6">
            <v>56.7</v>
          </cell>
          <cell r="G6">
            <v>217.32</v>
          </cell>
          <cell r="H6">
            <v>274.02</v>
          </cell>
        </row>
        <row r="7">
          <cell r="B7" t="str">
            <v>10"</v>
          </cell>
          <cell r="E7">
            <v>853.49</v>
          </cell>
          <cell r="G7">
            <v>1629.95</v>
          </cell>
          <cell r="H7">
            <v>2483.44</v>
          </cell>
        </row>
        <row r="8">
          <cell r="B8" t="str">
            <v>12"</v>
          </cell>
          <cell r="E8">
            <v>2446.1699999999996</v>
          </cell>
          <cell r="H8">
            <v>2446.1699999999996</v>
          </cell>
        </row>
        <row r="9">
          <cell r="B9" t="str">
            <v>16"</v>
          </cell>
          <cell r="D9">
            <v>1798.9799999999998</v>
          </cell>
          <cell r="H9">
            <v>1798.9799999999998</v>
          </cell>
        </row>
        <row r="10">
          <cell r="B10" t="str">
            <v>2 1/2"</v>
          </cell>
          <cell r="G10">
            <v>1226.58</v>
          </cell>
          <cell r="H10">
            <v>1226.58</v>
          </cell>
        </row>
        <row r="11">
          <cell r="B11" t="str">
            <v>2"</v>
          </cell>
          <cell r="C11">
            <v>47.199999999999996</v>
          </cell>
          <cell r="E11">
            <v>52.1</v>
          </cell>
          <cell r="F11">
            <v>523.54999999999995</v>
          </cell>
          <cell r="G11">
            <v>36237.240000000013</v>
          </cell>
          <cell r="H11">
            <v>36860.090000000011</v>
          </cell>
        </row>
        <row r="12">
          <cell r="B12" t="str">
            <v>3"</v>
          </cell>
          <cell r="C12">
            <v>1960.4299999999998</v>
          </cell>
          <cell r="E12">
            <v>5261.2999999999984</v>
          </cell>
          <cell r="F12">
            <v>44.8</v>
          </cell>
          <cell r="G12">
            <v>29034.920000000027</v>
          </cell>
          <cell r="H12">
            <v>36301.450000000026</v>
          </cell>
        </row>
        <row r="13">
          <cell r="B13" t="str">
            <v>3/4"</v>
          </cell>
          <cell r="G13">
            <v>460.94</v>
          </cell>
          <cell r="H13">
            <v>460.94</v>
          </cell>
        </row>
        <row r="14">
          <cell r="B14" t="str">
            <v>4"</v>
          </cell>
          <cell r="C14">
            <v>56.56</v>
          </cell>
          <cell r="E14">
            <v>1484.6100000000001</v>
          </cell>
          <cell r="F14">
            <v>302.12</v>
          </cell>
          <cell r="G14">
            <v>4618.4399999999978</v>
          </cell>
          <cell r="H14">
            <v>6461.7299999999977</v>
          </cell>
        </row>
        <row r="15">
          <cell r="B15" t="str">
            <v>6"</v>
          </cell>
          <cell r="C15">
            <v>795.95999999999992</v>
          </cell>
          <cell r="E15">
            <v>1035.7699999999998</v>
          </cell>
          <cell r="F15">
            <v>1038.51</v>
          </cell>
          <cell r="G15">
            <v>8206.0799999999981</v>
          </cell>
          <cell r="H15">
            <v>11076.319999999998</v>
          </cell>
        </row>
        <row r="16">
          <cell r="B16" t="str">
            <v>8"</v>
          </cell>
          <cell r="C16">
            <v>2859.46</v>
          </cell>
          <cell r="E16">
            <v>545.82000000000005</v>
          </cell>
          <cell r="G16">
            <v>10434.309999999998</v>
          </cell>
          <cell r="H16">
            <v>13839.589999999998</v>
          </cell>
        </row>
      </sheetData>
      <sheetData sheetId="2">
        <row r="4">
          <cell r="P4" t="str">
            <v>16"</v>
          </cell>
          <cell r="Q4">
            <v>1.5238478916919207E-2</v>
          </cell>
        </row>
        <row r="5">
          <cell r="P5" t="str">
            <v>12"</v>
          </cell>
          <cell r="Q5">
            <v>2.0720580535748177E-2</v>
          </cell>
        </row>
        <row r="6">
          <cell r="P6" t="str">
            <v>10"</v>
          </cell>
          <cell r="Q6">
            <v>2.1036280604250095E-2</v>
          </cell>
        </row>
        <row r="7">
          <cell r="P7" t="str">
            <v>8"</v>
          </cell>
          <cell r="Q7">
            <v>0.11722993053497308</v>
          </cell>
        </row>
        <row r="8">
          <cell r="P8" t="str">
            <v>6"</v>
          </cell>
          <cell r="Q8">
            <v>9.3823315877358565E-2</v>
          </cell>
        </row>
        <row r="9">
          <cell r="P9" t="str">
            <v>4"</v>
          </cell>
          <cell r="Q9">
            <v>5.4734869966216591E-2</v>
          </cell>
        </row>
        <row r="10">
          <cell r="P10" t="str">
            <v>3"</v>
          </cell>
          <cell r="Q10">
            <v>0.30749584791303802</v>
          </cell>
        </row>
        <row r="11">
          <cell r="P11" t="str">
            <v>2 1/2"</v>
          </cell>
          <cell r="Q11">
            <v>1.038989509050393E-2</v>
          </cell>
        </row>
        <row r="12">
          <cell r="P12" t="str">
            <v>2"</v>
          </cell>
          <cell r="Q12">
            <v>0.31222787598569451</v>
          </cell>
        </row>
        <row r="13">
          <cell r="P13" t="str">
            <v>1 1/2"</v>
          </cell>
          <cell r="Q13">
            <v>2.0363628539862188E-2</v>
          </cell>
        </row>
        <row r="14">
          <cell r="P14" t="str">
            <v>1"</v>
          </cell>
          <cell r="Q14">
            <v>2.0513727955313064E-2</v>
          </cell>
        </row>
        <row r="15">
          <cell r="P15" t="str">
            <v>3/4"</v>
          </cell>
          <cell r="Q15">
            <v>3.9044483384833291E-3</v>
          </cell>
        </row>
        <row r="16">
          <cell r="P16" t="str">
            <v>1/2"</v>
          </cell>
          <cell r="Q16">
            <v>2.321119741639263E-3</v>
          </cell>
        </row>
      </sheetData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</sheetNames>
    <sheetDataSet>
      <sheetData sheetId="0">
        <row r="4">
          <cell r="P4" t="str">
            <v>16"</v>
          </cell>
        </row>
        <row r="5">
          <cell r="P5" t="str">
            <v>12"</v>
          </cell>
        </row>
        <row r="6">
          <cell r="P6" t="str">
            <v>10"</v>
          </cell>
        </row>
        <row r="7">
          <cell r="P7" t="str">
            <v>8"</v>
          </cell>
        </row>
        <row r="8">
          <cell r="P8" t="str">
            <v>6"</v>
          </cell>
        </row>
        <row r="9">
          <cell r="P9" t="str">
            <v>4"</v>
          </cell>
        </row>
        <row r="10">
          <cell r="P10" t="str">
            <v>3"</v>
          </cell>
        </row>
        <row r="11">
          <cell r="P11" t="str">
            <v>2 1/2"</v>
          </cell>
        </row>
        <row r="12">
          <cell r="P12" t="str">
            <v>2"</v>
          </cell>
        </row>
        <row r="13">
          <cell r="P13" t="str">
            <v>1 1/2"</v>
          </cell>
        </row>
        <row r="14">
          <cell r="P14" t="str">
            <v>1"</v>
          </cell>
        </row>
        <row r="15">
          <cell r="P15" t="str">
            <v>3/4"</v>
          </cell>
        </row>
        <row r="16">
          <cell r="P16" t="str">
            <v>1/2"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indy%20Yojana%20Becerra/Desktop/tesis/objetivo%201/Caracterizaci&#243;n_por_nodos_sistema_acueducto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ndy Yojana Becerra" refreshedDate="45461.475567361114" createdVersion="8" refreshedVersion="8" minRefreshableVersion="3" recordCount="1201" xr:uid="{9B5130D5-3FC0-4B7D-81CC-EC6BA8383428}">
  <cacheSource type="worksheet">
    <worksheetSource name="Tabla15"/>
  </cacheSource>
  <cacheFields count="23">
    <cacheField name="NI" numFmtId="0">
      <sharedItems/>
    </cacheField>
    <cacheField name="NF" numFmtId="0">
      <sharedItems/>
    </cacheField>
    <cacheField name="Longitud" numFmtId="0">
      <sharedItems containsSemiMixedTypes="0" containsString="0" containsNumber="1" minValue="1.35" maxValue="4333.8900000000003"/>
    </cacheField>
    <cacheField name="Diametro" numFmtId="0">
      <sharedItems count="13">
        <s v="3&quot;"/>
        <s v="2&quot;"/>
        <s v="8&quot;"/>
        <s v="10&quot;"/>
        <s v="12&quot;"/>
        <s v="16&quot;"/>
        <s v="1&quot;"/>
        <s v="6&quot;"/>
        <s v="4&quot;"/>
        <s v="1 1/2&quot;"/>
        <s v="1/2&quot;"/>
        <s v="2 1/2&quot;"/>
        <s v="3/4&quot;"/>
      </sharedItems>
    </cacheField>
    <cacheField name="Material" numFmtId="0">
      <sharedItems count="5">
        <s v="PVC"/>
        <s v="HF"/>
        <s v="AC"/>
        <s v="AP"/>
        <s v="HG"/>
      </sharedItems>
    </cacheField>
    <cacheField name="6" numFmtId="2">
      <sharedItems/>
    </cacheField>
    <cacheField name="7" numFmtId="2">
      <sharedItems containsMixedTypes="1" containsNumber="1" containsInteger="1" minValue="0" maxValue="1"/>
    </cacheField>
    <cacheField name="8" numFmtId="2">
      <sharedItems/>
    </cacheField>
    <cacheField name="9" numFmtId="2">
      <sharedItems containsMixedTypes="1" containsNumber="1" containsInteger="1" minValue="1" maxValue="6"/>
    </cacheField>
    <cacheField name="10" numFmtId="2">
      <sharedItems/>
    </cacheField>
    <cacheField name="11" numFmtId="2">
      <sharedItems containsMixedTypes="1" containsNumber="1" containsInteger="1" minValue="0" maxValue="2"/>
    </cacheField>
    <cacheField name="12" numFmtId="2">
      <sharedItems/>
    </cacheField>
    <cacheField name="13" numFmtId="2">
      <sharedItems containsMixedTypes="1" containsNumber="1" containsInteger="1" minValue="1" maxValue="1"/>
    </cacheField>
    <cacheField name="14" numFmtId="2">
      <sharedItems/>
    </cacheField>
    <cacheField name="15" numFmtId="2">
      <sharedItems containsMixedTypes="1" containsNumber="1" containsInteger="1" minValue="1" maxValue="3"/>
    </cacheField>
    <cacheField name="16" numFmtId="2">
      <sharedItems/>
    </cacheField>
    <cacheField name="17" numFmtId="2">
      <sharedItems containsMixedTypes="1" containsNumber="1" containsInteger="1" minValue="0" maxValue="2"/>
    </cacheField>
    <cacheField name="18" numFmtId="2">
      <sharedItems containsMixedTypes="1" containsNumber="1" containsInteger="1" minValue="0" maxValue="0"/>
    </cacheField>
    <cacheField name="19" numFmtId="2">
      <sharedItems containsMixedTypes="1" containsNumber="1" containsInteger="1" minValue="0" maxValue="1"/>
    </cacheField>
    <cacheField name="20" numFmtId="2">
      <sharedItems containsMixedTypes="1" containsNumber="1" containsInteger="1" minValue="0" maxValue="0"/>
    </cacheField>
    <cacheField name="21" numFmtId="2">
      <sharedItems containsMixedTypes="1" containsNumber="1" containsInteger="1" minValue="1" maxValue="1"/>
    </cacheField>
    <cacheField name="22" numFmtId="2">
      <sharedItems containsMixedTypes="1" containsNumber="1" containsInteger="1" minValue="0" maxValue="0"/>
    </cacheField>
    <cacheField name="23" numFmtId="2">
      <sharedItems containsMixedTypes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ndy Yojana Becerra" refreshedDate="45461.475671180553" createdVersion="8" refreshedVersion="8" minRefreshableVersion="3" recordCount="1201" xr:uid="{5C0804E9-AEEF-4410-B095-1B29E0974F45}">
  <cacheSource type="worksheet">
    <worksheetSource name="Tabla1"/>
  </cacheSource>
  <cacheFields count="29">
    <cacheField name="nudo inicial" numFmtId="0">
      <sharedItems/>
    </cacheField>
    <cacheField name="nudo final" numFmtId="0">
      <sharedItems/>
    </cacheField>
    <cacheField name="longitud" numFmtId="0">
      <sharedItems containsSemiMixedTypes="0" containsString="0" containsNumber="1" minValue="1.35" maxValue="4333.8900000000003"/>
    </cacheField>
    <cacheField name="diametro" numFmtId="0">
      <sharedItems count="13">
        <s v="3&quot;"/>
        <s v="2&quot;"/>
        <s v="8&quot;"/>
        <s v="10&quot;"/>
        <s v="12&quot;"/>
        <s v="16&quot;"/>
        <s v="1&quot;"/>
        <s v="6&quot;"/>
        <s v="4&quot;"/>
        <s v="1 1/2&quot;"/>
        <s v="1/2&quot;"/>
        <s v="2 1/2&quot;"/>
        <s v="3/4&quot;"/>
      </sharedItems>
    </cacheField>
    <cacheField name="material" numFmtId="0">
      <sharedItems count="5">
        <s v="PVC"/>
        <s v="HF"/>
        <s v="AC"/>
        <s v="AP"/>
        <s v="HG"/>
      </sharedItems>
    </cacheField>
    <cacheField name="5" numFmtId="0">
      <sharedItems containsBlank="1"/>
    </cacheField>
    <cacheField name="6" numFmtId="0">
      <sharedItems containsBlank="1"/>
    </cacheField>
    <cacheField name="7" numFmtId="2">
      <sharedItems containsString="0" containsBlank="1" containsNumber="1" containsInteger="1" minValue="1" maxValue="6"/>
    </cacheField>
    <cacheField name="8" numFmtId="0">
      <sharedItems containsBlank="1"/>
    </cacheField>
    <cacheField name="9" numFmtId="0">
      <sharedItems containsBlank="1"/>
    </cacheField>
    <cacheField name="10" numFmtId="2">
      <sharedItems containsString="0" containsBlank="1" containsNumber="1" containsInteger="1" minValue="1" maxValue="6"/>
    </cacheField>
    <cacheField name="11" numFmtId="0">
      <sharedItems containsBlank="1"/>
    </cacheField>
    <cacheField name="12" numFmtId="0">
      <sharedItems containsBlank="1"/>
    </cacheField>
    <cacheField name="13" numFmtId="2">
      <sharedItems containsString="0" containsBlank="1" containsNumber="1" containsInteger="1" minValue="1" maxValue="3"/>
    </cacheField>
    <cacheField name="14" numFmtId="0">
      <sharedItems containsBlank="1"/>
    </cacheField>
    <cacheField name="15" numFmtId="2">
      <sharedItems containsBlank="1"/>
    </cacheField>
    <cacheField name="16" numFmtId="2">
      <sharedItems containsString="0" containsBlank="1" containsNumber="1" containsInteger="1" minValue="1" maxValue="3"/>
    </cacheField>
    <cacheField name="17" numFmtId="0">
      <sharedItems containsBlank="1"/>
    </cacheField>
    <cacheField name="18" numFmtId="0">
      <sharedItems containsBlank="1"/>
    </cacheField>
    <cacheField name="19" numFmtId="0">
      <sharedItems containsString="0" containsBlank="1" containsNumber="1" containsInteger="1" minValue="1" maxValue="1"/>
    </cacheField>
    <cacheField name="20" numFmtId="0">
      <sharedItems containsNonDate="0" containsString="0" containsBlank="1"/>
    </cacheField>
    <cacheField name="21" numFmtId="0">
      <sharedItems containsNonDate="0" containsString="0" containsBlank="1"/>
    </cacheField>
    <cacheField name="22" numFmtId="0">
      <sharedItems containsNonDate="0" containsString="0" containsBlank="1"/>
    </cacheField>
    <cacheField name="23" numFmtId="0">
      <sharedItems containsNonDate="0" containsString="0" containsBlank="1"/>
    </cacheField>
    <cacheField name="24" numFmtId="0">
      <sharedItems containsNonDate="0" containsString="0" containsBlank="1"/>
    </cacheField>
    <cacheField name="25" numFmtId="0">
      <sharedItems containsNonDate="0" containsString="0" containsBlank="1"/>
    </cacheField>
    <cacheField name="26" numFmtId="0">
      <sharedItems containsNonDate="0" containsString="0" containsBlank="1"/>
    </cacheField>
    <cacheField name="27" numFmtId="0">
      <sharedItems containsNonDate="0" containsString="0" containsBlank="1"/>
    </cacheField>
    <cacheField name="28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ndy Yojana Becerra" refreshedDate="45462.760461689817" createdVersion="8" refreshedVersion="8" minRefreshableVersion="3" recordCount="1202" xr:uid="{9EE5A835-36CA-4F05-99AC-FF9381A4EC27}">
  <cacheSource type="worksheet">
    <worksheetSource name="Tabla1" r:id="rId2"/>
  </cacheSource>
  <cacheFields count="27">
    <cacheField name="NI" numFmtId="0">
      <sharedItems/>
    </cacheField>
    <cacheField name="NF" numFmtId="0">
      <sharedItems/>
    </cacheField>
    <cacheField name="Longitud" numFmtId="0">
      <sharedItems containsSemiMixedTypes="0" containsString="0" containsNumber="1" minValue="1.35" maxValue="4333.8900000000003"/>
    </cacheField>
    <cacheField name="Diametro" numFmtId="0">
      <sharedItems count="13">
        <s v="3&quot;"/>
        <s v="2&quot;"/>
        <s v="8&quot;"/>
        <s v="10&quot;"/>
        <s v="12&quot;"/>
        <s v="16&quot;"/>
        <s v="1&quot;"/>
        <s v="6&quot;"/>
        <s v="4&quot;"/>
        <s v="1 1/2&quot;"/>
        <s v="1/2&quot;"/>
        <s v="2 1/2&quot;"/>
        <s v="3/4&quot;"/>
      </sharedItems>
    </cacheField>
    <cacheField name="Material" numFmtId="0">
      <sharedItems count="5">
        <s v="PVC"/>
        <s v="HF"/>
        <s v="AC"/>
        <s v="AP"/>
        <s v="HG"/>
      </sharedItems>
    </cacheField>
    <cacheField name="6" numFmtId="0">
      <sharedItems/>
    </cacheField>
    <cacheField name="7" numFmtId="0">
      <sharedItems containsMixedTypes="1" containsNumber="1" containsInteger="1" minValue="0" maxValue="1"/>
    </cacheField>
    <cacheField name="8" numFmtId="0">
      <sharedItems/>
    </cacheField>
    <cacheField name="9" numFmtId="0">
      <sharedItems containsBlank="1" containsMixedTypes="1" containsNumber="1" containsInteger="1" minValue="1" maxValue="1"/>
    </cacheField>
    <cacheField name="10" numFmtId="0">
      <sharedItems/>
    </cacheField>
    <cacheField name="11" numFmtId="0">
      <sharedItems containsMixedTypes="1" containsNumber="1" containsInteger="1" minValue="0" maxValue="1"/>
    </cacheField>
    <cacheField name="12" numFmtId="0">
      <sharedItems/>
    </cacheField>
    <cacheField name="13" numFmtId="0">
      <sharedItems containsMixedTypes="1" containsNumber="1" containsInteger="1" minValue="1" maxValue="6"/>
    </cacheField>
    <cacheField name="14" numFmtId="0">
      <sharedItems/>
    </cacheField>
    <cacheField name="15" numFmtId="0">
      <sharedItems containsMixedTypes="1" containsNumber="1" containsInteger="1" minValue="0" maxValue="2"/>
    </cacheField>
    <cacheField name="16" numFmtId="0">
      <sharedItems/>
    </cacheField>
    <cacheField name="17" numFmtId="0">
      <sharedItems containsMixedTypes="1" containsNumber="1" containsInteger="1" minValue="1" maxValue="1"/>
    </cacheField>
    <cacheField name="18" numFmtId="0">
      <sharedItems/>
    </cacheField>
    <cacheField name="19" numFmtId="0">
      <sharedItems containsMixedTypes="1" containsNumber="1" containsInteger="1" minValue="1" maxValue="3"/>
    </cacheField>
    <cacheField name="20" numFmtId="0">
      <sharedItems/>
    </cacheField>
    <cacheField name="21" numFmtId="0">
      <sharedItems containsMixedTypes="1" containsNumber="1" containsInteger="1" minValue="0" maxValue="2"/>
    </cacheField>
    <cacheField name="22" numFmtId="0">
      <sharedItems containsMixedTypes="1" containsNumber="1" containsInteger="1" minValue="0" maxValue="0"/>
    </cacheField>
    <cacheField name="23" numFmtId="0">
      <sharedItems containsMixedTypes="1" containsNumber="1" containsInteger="1" minValue="0" maxValue="1"/>
    </cacheField>
    <cacheField name="24" numFmtId="0">
      <sharedItems containsMixedTypes="1" containsNumber="1" containsInteger="1" minValue="0" maxValue="0"/>
    </cacheField>
    <cacheField name="25" numFmtId="0">
      <sharedItems containsMixedTypes="1" containsNumber="1" containsInteger="1" minValue="1" maxValue="1"/>
    </cacheField>
    <cacheField name="26" numFmtId="0">
      <sharedItems containsMixedTypes="1" containsNumber="1" containsInteger="1" minValue="0" maxValue="0"/>
    </cacheField>
    <cacheField name="27" numFmtId="0">
      <sharedItems containsMixedTypes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1">
  <r>
    <s v="PTAP2"/>
    <s v="N1"/>
    <n v="4333.8900000000003"/>
    <x v="0"/>
    <x v="0"/>
    <s v="3&quot;"/>
    <n v="1"/>
    <s v="3&quot;"/>
    <n v="1"/>
    <s v=""/>
    <s v=""/>
    <s v=""/>
    <s v=""/>
    <s v=""/>
    <s v=""/>
    <s v=""/>
    <s v=""/>
    <s v=""/>
    <s v=""/>
    <s v=""/>
    <s v=""/>
    <s v=""/>
    <s v=""/>
  </r>
  <r>
    <s v="N1"/>
    <s v="TP1"/>
    <n v="48.98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1"/>
    <s v="N2"/>
    <n v="17.57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2"/>
    <s v="TP2"/>
    <n v="71.349999999999994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2"/>
    <s v="N3"/>
    <n v="19.600000000000001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3"/>
    <s v="N4"/>
    <n v="184.14999999999998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4"/>
    <s v="TP3"/>
    <n v="101.48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4"/>
    <s v="N5"/>
    <n v="20.43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5"/>
    <s v="TP4"/>
    <n v="33.35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5"/>
    <s v="N6"/>
    <n v="10.8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6"/>
    <s v="N7"/>
    <n v="12.56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7"/>
    <s v="TP5"/>
    <n v="79.92"/>
    <x v="1"/>
    <x v="0"/>
    <s v="2&quot;"/>
    <n v="1"/>
    <s v="2&quot;"/>
    <n v="1"/>
    <s v=""/>
    <s v=""/>
    <s v=""/>
    <s v=""/>
    <s v=""/>
    <s v=""/>
    <s v=""/>
    <s v=""/>
    <s v=""/>
    <s v=""/>
    <s v=""/>
    <s v=""/>
    <s v="2&quot;"/>
    <n v="1"/>
  </r>
  <r>
    <s v="N7"/>
    <s v="N8"/>
    <n v="24.97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8"/>
    <s v="TP6"/>
    <n v="18.55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8"/>
    <s v="N9"/>
    <n v="12.4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9"/>
    <s v="TP7"/>
    <n v="13.77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9"/>
    <s v="TP8"/>
    <n v="12.3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9"/>
    <s v="TP9"/>
    <n v="34.11"/>
    <x v="1"/>
    <x v="0"/>
    <s v="2&quot;"/>
    <n v="1"/>
    <s v="2&quot;"/>
    <n v="1"/>
    <s v=""/>
    <s v=""/>
    <s v=""/>
    <s v=""/>
    <s v=""/>
    <s v=""/>
    <s v=""/>
    <s v=""/>
    <s v=""/>
    <s v=""/>
    <s v=""/>
    <s v=""/>
    <s v="2&quot;"/>
    <n v="1"/>
  </r>
  <r>
    <s v="N6"/>
    <s v="N10"/>
    <n v="359.44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10"/>
    <s v="TP10"/>
    <n v="62.04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10"/>
    <s v="TP11"/>
    <n v="55.35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3"/>
    <s v="N11"/>
    <n v="329.06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PTAP2"/>
    <s v="N12"/>
    <n v="3924.99"/>
    <x v="2"/>
    <x v="0"/>
    <s v="8&quot;"/>
    <n v="1"/>
    <s v=""/>
    <s v=""/>
    <s v=""/>
    <s v=""/>
    <s v=""/>
    <s v=""/>
    <s v="8&quot;"/>
    <n v="3"/>
    <s v="8&quot;"/>
    <n v="1"/>
    <s v=""/>
    <s v=""/>
    <s v=""/>
    <s v=""/>
    <s v=""/>
    <s v=""/>
  </r>
  <r>
    <s v="PTAP2"/>
    <s v="CQ1"/>
    <n v="254"/>
    <x v="2"/>
    <x v="0"/>
    <s v=""/>
    <s v=""/>
    <s v=""/>
    <s v=""/>
    <s v=""/>
    <s v=""/>
    <s v=""/>
    <s v=""/>
    <s v=""/>
    <s v=""/>
    <s v=""/>
    <s v=""/>
    <s v=""/>
    <s v=""/>
    <s v=""/>
    <s v=""/>
    <s v=""/>
    <s v=""/>
  </r>
  <r>
    <s v="CQ1"/>
    <s v="PTAP1"/>
    <n v="2252.69"/>
    <x v="2"/>
    <x v="0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1"/>
    <s v="N19"/>
    <n v="1.87"/>
    <x v="0"/>
    <x v="0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9"/>
    <s v="T. CARIONGO"/>
    <n v="34.119999999999997"/>
    <x v="0"/>
    <x v="0"/>
    <s v="3&quot;"/>
    <n v="1"/>
    <s v=""/>
    <s v=""/>
    <s v=""/>
    <s v=""/>
    <s v=""/>
    <s v=""/>
    <s v=""/>
    <s v=""/>
    <s v="3&quot;"/>
    <n v="1"/>
    <s v=""/>
    <s v=""/>
    <s v=""/>
    <s v=""/>
    <s v=""/>
    <s v=""/>
  </r>
  <r>
    <s v="N11"/>
    <s v="PTAP1"/>
    <n v="19"/>
    <x v="0"/>
    <x v="0"/>
    <s v=""/>
    <s v=""/>
    <s v=""/>
    <s v=""/>
    <s v=""/>
    <s v=""/>
    <s v=""/>
    <s v=""/>
    <s v=""/>
    <s v=""/>
    <s v=""/>
    <s v=""/>
    <s v=""/>
    <s v=""/>
    <s v=""/>
    <s v=""/>
    <s v=""/>
    <s v=""/>
  </r>
  <r>
    <s v="T.CARIONGO"/>
    <s v="E.B.1"/>
    <n v="143.19999999999999"/>
    <x v="3"/>
    <x v="0"/>
    <s v=""/>
    <s v=""/>
    <s v=""/>
    <s v=""/>
    <s v=""/>
    <s v=""/>
    <s v=""/>
    <s v=""/>
    <s v=""/>
    <s v=""/>
    <s v=""/>
    <s v=""/>
    <s v=""/>
    <s v=""/>
    <s v=""/>
    <s v=""/>
    <s v=""/>
    <s v=""/>
  </r>
  <r>
    <s v="PTAP1"/>
    <s v="T.1"/>
    <n v="73"/>
    <x v="4"/>
    <x v="1"/>
    <s v=""/>
    <s v=""/>
    <s v=""/>
    <s v=""/>
    <s v=""/>
    <s v=""/>
    <s v=""/>
    <s v=""/>
    <s v=""/>
    <s v=""/>
    <s v=""/>
    <s v=""/>
    <s v=""/>
    <s v=""/>
    <s v=""/>
    <s v=""/>
    <s v=""/>
    <s v=""/>
  </r>
  <r>
    <s v="PTAP1"/>
    <s v="N13"/>
    <n v="64.88"/>
    <x v="2"/>
    <x v="2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3"/>
    <s v="T.2"/>
    <n v="16.21"/>
    <x v="2"/>
    <x v="2"/>
    <s v="8&quot;"/>
    <n v="1"/>
    <s v="8&quot;"/>
    <n v="1"/>
    <s v=""/>
    <s v=""/>
    <s v=""/>
    <s v=""/>
    <s v=""/>
    <s v=""/>
    <s v=""/>
    <s v=""/>
    <s v=""/>
    <s v=""/>
    <s v=""/>
    <s v=""/>
    <s v=""/>
    <s v=""/>
  </r>
  <r>
    <s v="PTAP1"/>
    <s v="N14"/>
    <n v="66.099999999999994"/>
    <x v="5"/>
    <x v="3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4"/>
    <s v="T.1"/>
    <n v="6.95"/>
    <x v="2"/>
    <x v="0"/>
    <s v="16&quot;"/>
    <n v="1"/>
    <s v="8&quot;"/>
    <n v="1"/>
    <s v="8&quot;"/>
    <n v="1"/>
    <s v=""/>
    <s v=""/>
    <s v=""/>
    <s v=""/>
    <s v=""/>
    <s v=""/>
    <s v=""/>
    <s v=""/>
    <s v=""/>
    <s v=""/>
    <s v=""/>
    <s v=""/>
  </r>
  <r>
    <s v="N14"/>
    <s v="N15"/>
    <n v="24"/>
    <x v="2"/>
    <x v="0"/>
    <s v="16&quot;"/>
    <n v="1"/>
    <s v="8&quot;"/>
    <n v="1"/>
    <s v="8&quot;"/>
    <n v="2"/>
    <s v=""/>
    <s v=""/>
    <s v=""/>
    <s v=""/>
    <s v=""/>
    <s v=""/>
    <s v=""/>
    <s v=""/>
    <s v=""/>
    <s v=""/>
    <s v=""/>
    <s v=""/>
  </r>
  <r>
    <s v="T.1"/>
    <s v="N15"/>
    <n v="4.5"/>
    <x v="5"/>
    <x v="3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5"/>
    <s v="N16"/>
    <n v="7.95"/>
    <x v="5"/>
    <x v="3"/>
    <s v="16&quot;"/>
    <n v="1"/>
    <s v=""/>
    <s v=""/>
    <s v=""/>
    <s v=""/>
    <s v=""/>
    <s v=""/>
    <s v=""/>
    <s v=""/>
    <s v=""/>
    <s v=""/>
    <s v=""/>
    <s v=""/>
    <s v=""/>
    <s v=""/>
    <s v=""/>
    <s v=""/>
  </r>
  <r>
    <s v="T.1"/>
    <s v="N16"/>
    <n v="11.42"/>
    <x v="4"/>
    <x v="1"/>
    <s v=""/>
    <s v=""/>
    <s v=""/>
    <s v=""/>
    <s v=""/>
    <s v=""/>
    <s v=""/>
    <s v=""/>
    <s v=""/>
    <s v=""/>
    <s v=""/>
    <s v=""/>
    <s v=""/>
    <s v=""/>
    <s v=""/>
    <s v=""/>
    <s v=""/>
    <s v=""/>
  </r>
  <r>
    <s v="T.1"/>
    <s v="T.2"/>
    <n v="7.15"/>
    <x v="2"/>
    <x v="0"/>
    <s v=""/>
    <s v=""/>
    <s v=""/>
    <s v=""/>
    <s v=""/>
    <s v=""/>
    <s v=""/>
    <s v=""/>
    <s v=""/>
    <s v=""/>
    <s v=""/>
    <s v=""/>
    <s v=""/>
    <s v=""/>
    <s v=""/>
    <s v=""/>
    <s v=""/>
    <s v=""/>
  </r>
  <r>
    <s v="E.B.1"/>
    <s v="N17"/>
    <n v="16.82"/>
    <x v="2"/>
    <x v="2"/>
    <s v=""/>
    <s v=""/>
    <s v="8&quot;"/>
    <n v="1"/>
    <s v=""/>
    <s v=""/>
    <s v=""/>
    <s v=""/>
    <s v=""/>
    <s v=""/>
    <s v=""/>
    <s v=""/>
    <s v=""/>
    <s v=""/>
    <s v=""/>
    <s v=""/>
    <s v=""/>
    <s v=""/>
  </r>
  <r>
    <s v="N17"/>
    <s v="N18"/>
    <n v="6.68"/>
    <x v="2"/>
    <x v="2"/>
    <s v="8&quot;"/>
    <n v="1"/>
    <s v=""/>
    <s v=""/>
    <s v=""/>
    <s v=""/>
    <s v=""/>
    <s v=""/>
    <s v=""/>
    <s v=""/>
    <s v=""/>
    <s v=""/>
    <s v=""/>
    <s v=""/>
    <s v=""/>
    <s v=""/>
    <s v=""/>
    <s v=""/>
  </r>
  <r>
    <s v="N18"/>
    <s v="N16"/>
    <n v="7.32"/>
    <x v="2"/>
    <x v="2"/>
    <s v="8&quot;"/>
    <n v="1"/>
    <s v=""/>
    <s v=""/>
    <s v=""/>
    <s v=""/>
    <s v=""/>
    <s v=""/>
    <s v=""/>
    <s v=""/>
    <s v=""/>
    <s v=""/>
    <s v=""/>
    <s v=""/>
    <s v=""/>
    <s v=""/>
    <s v=""/>
    <s v=""/>
  </r>
  <r>
    <s v="N19"/>
    <s v="N20"/>
    <n v="914.17"/>
    <x v="0"/>
    <x v="0"/>
    <s v="3&quot;"/>
    <n v="1"/>
    <s v=""/>
    <s v=""/>
    <s v=""/>
    <s v=""/>
    <s v=""/>
    <s v=""/>
    <s v="3&quot;"/>
    <n v="1"/>
    <s v=""/>
    <s v=""/>
    <s v=""/>
    <s v=""/>
    <s v=""/>
    <s v=""/>
    <s v=""/>
    <s v=""/>
  </r>
  <r>
    <s v="N20"/>
    <s v="N21"/>
    <n v="52.82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21"/>
    <s v="N22"/>
    <n v="36.78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22"/>
    <s v="N24"/>
    <n v="74.11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24"/>
    <s v="TP12"/>
    <n v="16.75"/>
    <x v="0"/>
    <x v="0"/>
    <s v="3&quot;"/>
    <n v="1"/>
    <s v=""/>
    <s v=""/>
    <s v=""/>
    <s v=""/>
    <s v=""/>
    <s v=""/>
    <s v=""/>
    <s v=""/>
    <s v=""/>
    <s v=""/>
    <s v=""/>
    <s v=""/>
    <s v=""/>
    <s v=""/>
    <n v="0"/>
    <n v="0"/>
  </r>
  <r>
    <s v="N22"/>
    <s v="N23"/>
    <n v="4.9800000000000004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23"/>
    <s v="TP13"/>
    <n v="26.33"/>
    <x v="0"/>
    <x v="0"/>
    <s v="3&quot;"/>
    <n v="1"/>
    <s v=""/>
    <s v=""/>
    <s v=""/>
    <s v=""/>
    <s v=""/>
    <s v=""/>
    <s v=""/>
    <s v=""/>
    <s v=""/>
    <s v=""/>
    <s v=""/>
    <s v=""/>
    <s v=""/>
    <s v=""/>
    <s v="3&quot;"/>
    <n v="1"/>
  </r>
  <r>
    <s v="N23"/>
    <s v="N25"/>
    <n v="66.52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25"/>
    <s v="TP14"/>
    <n v="33.57"/>
    <x v="0"/>
    <x v="0"/>
    <s v="3&quot;"/>
    <n v="1"/>
    <s v=""/>
    <s v=""/>
    <s v=""/>
    <s v=""/>
    <s v=""/>
    <s v=""/>
    <s v=""/>
    <s v=""/>
    <s v=""/>
    <s v=""/>
    <s v=""/>
    <s v=""/>
    <s v=""/>
    <s v=""/>
    <s v="3&quot;"/>
    <n v="1"/>
  </r>
  <r>
    <s v="N25"/>
    <s v="TP15"/>
    <n v="33.83"/>
    <x v="0"/>
    <x v="0"/>
    <s v="3&quot;"/>
    <n v="1"/>
    <s v=""/>
    <s v=""/>
    <s v=""/>
    <s v=""/>
    <s v=""/>
    <s v=""/>
    <s v=""/>
    <s v=""/>
    <s v=""/>
    <s v=""/>
    <s v=""/>
    <s v=""/>
    <s v=""/>
    <s v=""/>
    <s v="3&quot;"/>
    <n v="1"/>
  </r>
  <r>
    <s v="N21"/>
    <s v="N26"/>
    <n v="104.34"/>
    <x v="0"/>
    <x v="0"/>
    <s v="3&quot;"/>
    <n v="0"/>
    <s v=""/>
    <s v=""/>
    <s v=""/>
    <s v=""/>
    <s v=""/>
    <s v=""/>
    <s v=""/>
    <s v=""/>
    <s v=""/>
    <s v=""/>
    <s v=""/>
    <s v=""/>
    <s v=""/>
    <s v=""/>
    <s v=""/>
    <s v=""/>
  </r>
  <r>
    <s v="N26"/>
    <s v="N34"/>
    <n v="90.81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"/>
    <s v=""/>
  </r>
  <r>
    <s v="N33"/>
    <s v="T. LOS PINOS "/>
    <n v="249.76"/>
    <x v="6"/>
    <x v="0"/>
    <s v=""/>
    <s v=""/>
    <s v="1&quot;"/>
    <n v="2"/>
    <s v="1&quot;"/>
    <n v="1"/>
    <s v=""/>
    <s v=""/>
    <s v=""/>
    <s v=""/>
    <s v=""/>
    <s v=""/>
    <s v=""/>
    <s v=""/>
    <s v=""/>
    <s v=""/>
    <s v=""/>
    <s v=""/>
  </r>
  <r>
    <s v="T. LOS PINOS "/>
    <s v="TP16"/>
    <n v="298.44"/>
    <x v="1"/>
    <x v="0"/>
    <s v=""/>
    <s v=""/>
    <s v="2&quot;"/>
    <n v="6"/>
    <s v=""/>
    <s v=""/>
    <s v=""/>
    <s v=""/>
    <s v=""/>
    <s v=""/>
    <s v=""/>
    <s v=""/>
    <s v=""/>
    <s v=""/>
    <s v=""/>
    <s v=""/>
    <s v="2&quot;"/>
    <n v="1"/>
  </r>
  <r>
    <s v="N26"/>
    <s v="N27"/>
    <n v="9.2100000000000009"/>
    <x v="0"/>
    <x v="0"/>
    <s v="3&quot;"/>
    <n v="1"/>
    <s v=""/>
    <s v=""/>
    <s v=""/>
    <s v=""/>
    <s v=""/>
    <s v=""/>
    <s v=""/>
    <s v=""/>
    <s v="3&quot;"/>
    <n v="1"/>
    <s v=""/>
    <s v=""/>
    <s v=""/>
    <s v=""/>
    <s v=""/>
    <s v=""/>
  </r>
  <r>
    <s v="N27"/>
    <s v="N28"/>
    <n v="122.57"/>
    <x v="1"/>
    <x v="0"/>
    <s v="3&quot;"/>
    <n v="1"/>
    <s v="2&quot;"/>
    <n v="1"/>
    <s v="2&quot;"/>
    <n v="1"/>
    <s v=""/>
    <s v=""/>
    <s v=""/>
    <s v=""/>
    <s v=""/>
    <s v=""/>
    <s v=""/>
    <s v=""/>
    <s v=""/>
    <s v=""/>
    <s v=""/>
    <s v=""/>
  </r>
  <r>
    <s v="N28"/>
    <s v="TPL17"/>
    <n v="22.87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28"/>
    <s v="TP18"/>
    <n v="41.33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27"/>
    <s v="N29"/>
    <n v="57.44"/>
    <x v="0"/>
    <x v="0"/>
    <s v="3&quot;"/>
    <n v="0"/>
    <s v=""/>
    <s v=""/>
    <s v=""/>
    <s v=""/>
    <s v=""/>
    <s v=""/>
    <s v=""/>
    <s v=""/>
    <s v=""/>
    <s v=""/>
    <s v=""/>
    <s v=""/>
    <s v=""/>
    <s v=""/>
    <s v=""/>
    <s v=""/>
  </r>
  <r>
    <s v="N29"/>
    <s v="N30"/>
    <n v="31.13"/>
    <x v="1"/>
    <x v="0"/>
    <s v=""/>
    <s v=""/>
    <s v="2&quot;"/>
    <n v="1"/>
    <s v="2&quot;"/>
    <n v="1"/>
    <s v=""/>
    <s v=""/>
    <s v=""/>
    <s v=""/>
    <s v=""/>
    <s v=""/>
    <s v=""/>
    <s v=""/>
    <s v=""/>
    <s v=""/>
    <s v=""/>
    <s v=""/>
  </r>
  <r>
    <s v="N30"/>
    <s v="TP19"/>
    <n v="71.34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30"/>
    <s v="N31"/>
    <n v="25.7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31"/>
    <s v="TP20"/>
    <n v="70.459999999999994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31"/>
    <s v="N32"/>
    <n v="25.9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32"/>
    <s v="TP21"/>
    <n v="68.569999999999993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32"/>
    <s v="N33"/>
    <n v="35.24"/>
    <x v="1"/>
    <x v="0"/>
    <s v="2&quot;"/>
    <n v="1"/>
    <s v="2&quot;"/>
    <n v="1"/>
    <s v=""/>
    <s v=""/>
    <s v=""/>
    <s v=""/>
    <s v=""/>
    <s v=""/>
    <s v=""/>
    <s v=""/>
    <s v=""/>
    <s v=""/>
    <s v=""/>
    <s v=""/>
    <s v=""/>
    <s v=""/>
  </r>
  <r>
    <s v="N33"/>
    <s v="TP22"/>
    <n v="84.34"/>
    <x v="1"/>
    <x v="0"/>
    <s v="2&quot;"/>
    <n v="1"/>
    <s v="2&quot;"/>
    <n v="1"/>
    <s v=""/>
    <s v=""/>
    <s v=""/>
    <s v=""/>
    <s v=""/>
    <s v=""/>
    <s v=""/>
    <s v=""/>
    <s v=""/>
    <s v=""/>
    <s v=""/>
    <s v=""/>
    <s v="2&quot;"/>
    <n v="1"/>
  </r>
  <r>
    <s v="N33"/>
    <s v="N35"/>
    <n v="135.04"/>
    <x v="1"/>
    <x v="0"/>
    <s v="2&quot;"/>
    <n v="1"/>
    <s v="2&quot;"/>
    <n v="1"/>
    <s v=""/>
    <s v=""/>
    <s v=""/>
    <s v=""/>
    <s v=""/>
    <s v=""/>
    <s v=""/>
    <s v=""/>
    <s v=""/>
    <s v=""/>
    <s v=""/>
    <s v=""/>
    <s v=""/>
    <s v=""/>
  </r>
  <r>
    <s v="N25"/>
    <s v="TP23"/>
    <n v="31.98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35"/>
    <s v="N36"/>
    <n v="14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36"/>
    <s v="TP24"/>
    <n v="32.340000000000003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36"/>
    <s v="N37"/>
    <n v="1.9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37"/>
    <s v="TP25"/>
    <n v="32.520000000000003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37"/>
    <s v="TP26"/>
    <n v="12.8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20"/>
    <s v="N38"/>
    <n v="8.15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38"/>
    <s v="N24"/>
    <n v="49.1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38"/>
    <s v="N39"/>
    <n v="56.99"/>
    <x v="0"/>
    <x v="0"/>
    <s v="3&quot;"/>
    <n v="1"/>
    <s v="3&quot;"/>
    <n v="2"/>
    <s v=""/>
    <s v=""/>
    <s v=""/>
    <s v=""/>
    <s v=""/>
    <s v=""/>
    <s v=""/>
    <s v=""/>
    <s v=""/>
    <s v=""/>
    <s v=""/>
    <s v=""/>
    <s v=""/>
    <s v=""/>
  </r>
  <r>
    <s v="N39"/>
    <s v="N40"/>
    <n v="41.18"/>
    <x v="0"/>
    <x v="2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0"/>
    <s v="N41"/>
    <n v="54.75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"/>
    <s v=""/>
  </r>
  <r>
    <s v="N41"/>
    <s v="TP27"/>
    <n v="61.81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41"/>
    <s v="N42"/>
    <n v="273"/>
    <x v="1"/>
    <x v="0"/>
    <s v="2&quot;"/>
    <n v="1"/>
    <s v="2&quot;"/>
    <n v="1"/>
    <s v=""/>
    <s v=""/>
    <s v=""/>
    <s v=""/>
    <s v=""/>
    <s v=""/>
    <s v=""/>
    <s v=""/>
    <s v=""/>
    <s v=""/>
    <s v=""/>
    <s v=""/>
    <s v=""/>
    <s v=""/>
  </r>
  <r>
    <s v="N42"/>
    <s v="TP28"/>
    <n v="30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42"/>
    <s v="TP29"/>
    <n v="143.97999999999999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40"/>
    <s v="N43"/>
    <n v="30.44"/>
    <x v="0"/>
    <x v="2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43"/>
    <s v="TP30"/>
    <n v="32.5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12"/>
    <s v="N44"/>
    <n v="1038.51"/>
    <x v="7"/>
    <x v="4"/>
    <s v=""/>
    <s v=""/>
    <s v=""/>
    <s v=""/>
    <s v="6&quot;"/>
    <n v="1"/>
    <s v=""/>
    <s v=""/>
    <s v=""/>
    <s v=""/>
    <s v=""/>
    <s v=""/>
    <s v=""/>
    <s v=""/>
    <s v=""/>
    <s v=""/>
    <s v=""/>
    <s v=""/>
  </r>
  <r>
    <s v="N44"/>
    <s v="N45"/>
    <n v="1051.9100000000001"/>
    <x v="7"/>
    <x v="0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5"/>
    <s v="T. JURADO 3"/>
    <n v="21.31"/>
    <x v="8"/>
    <x v="1"/>
    <s v="6&quot;"/>
    <n v="1"/>
    <s v=""/>
    <s v=""/>
    <s v="4&quot;"/>
    <n v="1"/>
    <s v=""/>
    <s v=""/>
    <s v=""/>
    <s v=""/>
    <s v="4&quot;"/>
    <n v="1"/>
    <s v=""/>
    <s v=""/>
    <s v=""/>
    <s v=""/>
    <s v=""/>
    <s v=""/>
  </r>
  <r>
    <s v="N16"/>
    <s v="N46"/>
    <n v="1720.4299999999998"/>
    <x v="5"/>
    <x v="3"/>
    <s v=""/>
    <s v=""/>
    <s v="16&quot;"/>
    <n v="1"/>
    <s v=""/>
    <s v=""/>
    <s v=""/>
    <s v=""/>
    <s v=""/>
    <s v=""/>
    <s v=""/>
    <s v=""/>
    <s v=""/>
    <s v=""/>
    <s v=""/>
    <s v=""/>
    <s v=""/>
    <s v=""/>
  </r>
  <r>
    <s v="N16"/>
    <s v="CQ2"/>
    <n v="385.42"/>
    <x v="4"/>
    <x v="1"/>
    <s v=""/>
    <s v=""/>
    <s v=""/>
    <s v=""/>
    <s v=""/>
    <s v=""/>
    <s v=""/>
    <s v=""/>
    <s v=""/>
    <s v=""/>
    <s v=""/>
    <s v=""/>
    <s v=""/>
    <s v=""/>
    <s v=""/>
    <s v=""/>
    <s v=""/>
    <s v=""/>
  </r>
  <r>
    <s v="CQ2"/>
    <s v="N47"/>
    <n v="326.60000000000002"/>
    <x v="4"/>
    <x v="1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7"/>
    <s v="N48"/>
    <n v="1271.97"/>
    <x v="4"/>
    <x v="1"/>
    <s v="12&quot;"/>
    <n v="1"/>
    <s v="12&quot;"/>
    <n v="1"/>
    <s v=""/>
    <s v=""/>
    <s v=""/>
    <s v=""/>
    <s v=""/>
    <s v=""/>
    <s v=""/>
    <s v=""/>
    <n v="0"/>
    <n v="1"/>
    <s v=""/>
    <s v=""/>
    <s v=""/>
    <s v=""/>
  </r>
  <r>
    <s v="N18"/>
    <s v="N49"/>
    <n v="1036.19"/>
    <x v="2"/>
    <x v="2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0"/>
    <s v="N51"/>
    <n v="302.12"/>
    <x v="8"/>
    <x v="4"/>
    <s v="6&quot;"/>
    <n v="1"/>
    <s v="4&quot;"/>
    <n v="1"/>
    <s v="4&quot;"/>
    <n v="1"/>
    <s v=""/>
    <s v=""/>
    <s v=""/>
    <s v=""/>
    <s v="4&quot;"/>
    <n v="1"/>
    <s v=""/>
    <s v=""/>
    <s v=""/>
    <s v=""/>
    <s v=""/>
    <s v=""/>
  </r>
  <r>
    <s v="N51"/>
    <s v="N52"/>
    <n v="735.52"/>
    <x v="0"/>
    <x v="0"/>
    <s v=""/>
    <s v=""/>
    <s v=""/>
    <s v=""/>
    <s v="3&quot;"/>
    <n v="1"/>
    <s v=""/>
    <s v=""/>
    <s v=""/>
    <s v=""/>
    <s v=""/>
    <s v=""/>
    <s v=""/>
    <s v=""/>
    <s v=""/>
    <s v=""/>
    <s v=""/>
    <s v=""/>
  </r>
  <r>
    <s v="N52"/>
    <s v="T. TRINIDAD"/>
    <n v="64.400000000000006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52"/>
    <s v="T.PROGRESO2"/>
    <n v="2379.85"/>
    <x v="0"/>
    <x v="0"/>
    <s v="3&quot;"/>
    <n v="1"/>
    <s v="3&quot;"/>
    <n v="2"/>
    <s v=""/>
    <s v=""/>
    <s v=""/>
    <s v=""/>
    <s v=""/>
    <s v=""/>
    <s v=""/>
    <s v=""/>
    <s v=""/>
    <s v=""/>
    <s v=""/>
    <s v=""/>
    <s v=""/>
    <s v=""/>
  </r>
  <r>
    <s v="E.B.1"/>
    <s v="T.TRINIDAD"/>
    <n v="980.04"/>
    <x v="3"/>
    <x v="0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7"/>
    <s v="N53"/>
    <n v="8.56"/>
    <x v="1"/>
    <x v="1"/>
    <s v="12&quot;"/>
    <n v="1"/>
    <s v=""/>
    <s v=""/>
    <s v="2&quot;"/>
    <n v="1"/>
    <s v=""/>
    <s v=""/>
    <s v=""/>
    <s v=""/>
    <s v=""/>
    <s v=""/>
    <s v=""/>
    <s v=""/>
    <s v=""/>
    <s v=""/>
    <s v=""/>
    <s v=""/>
  </r>
  <r>
    <s v="N53"/>
    <s v="N54"/>
    <n v="103.22"/>
    <x v="1"/>
    <x v="0"/>
    <s v=""/>
    <s v=""/>
    <s v=""/>
    <s v=""/>
    <s v=""/>
    <s v=""/>
    <s v=""/>
    <s v=""/>
    <s v=""/>
    <s v=""/>
    <s v="2&quot;"/>
    <n v="1"/>
    <s v=""/>
    <s v=""/>
    <s v=""/>
    <s v=""/>
    <s v=""/>
    <s v=""/>
  </r>
  <r>
    <s v="N54"/>
    <s v="N55"/>
    <n v="164.61"/>
    <x v="1"/>
    <x v="0"/>
    <s v="2&quot;"/>
    <n v="1"/>
    <s v="2&quot;"/>
    <n v="3"/>
    <s v=""/>
    <s v=""/>
    <s v=""/>
    <s v=""/>
    <s v=""/>
    <s v=""/>
    <s v=""/>
    <s v=""/>
    <s v=""/>
    <s v=""/>
    <s v=""/>
    <s v=""/>
    <s v=""/>
    <s v=""/>
  </r>
  <r>
    <s v="N55"/>
    <s v="TP31"/>
    <n v="35.14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55"/>
    <s v="TP32"/>
    <n v="35.07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54"/>
    <s v="N56"/>
    <n v="11.3"/>
    <x v="1"/>
    <x v="0"/>
    <s v="2&quot;"/>
    <n v="1"/>
    <s v=""/>
    <s v=""/>
    <s v=""/>
    <s v=""/>
    <s v=""/>
    <s v=""/>
    <s v=""/>
    <s v=""/>
    <s v="2&quot;"/>
    <n v="1"/>
    <s v=""/>
    <s v=""/>
    <s v=""/>
    <s v=""/>
    <s v=""/>
    <s v=""/>
  </r>
  <r>
    <s v="N56"/>
    <s v="TP33"/>
    <n v="59.56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56"/>
    <s v="N57"/>
    <n v="43.62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57"/>
    <s v="TP34"/>
    <n v="50.02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0"/>
  </r>
  <r>
    <s v="N57"/>
    <s v="N58"/>
    <n v="44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58"/>
    <s v="TP35"/>
    <n v="71.45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58"/>
    <s v="N59"/>
    <n v="17.36"/>
    <x v="1"/>
    <x v="0"/>
    <s v="2&quot;"/>
    <n v="1"/>
    <s v=""/>
    <s v=""/>
    <s v=""/>
    <s v=""/>
    <s v=""/>
    <s v=""/>
    <s v=""/>
    <s v=""/>
    <s v="2&quot;"/>
    <n v="1"/>
    <s v=""/>
    <s v=""/>
    <s v=""/>
    <s v=""/>
    <s v=""/>
    <s v=""/>
  </r>
  <r>
    <s v="N59"/>
    <s v="TP36"/>
    <n v="76.17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59"/>
    <s v="N60"/>
    <n v="18.09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60"/>
    <s v="TP37"/>
    <n v="78.680000000000007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60"/>
    <s v="TP38"/>
    <n v="93.48"/>
    <x v="1"/>
    <x v="0"/>
    <s v="2&quot;"/>
    <n v="1"/>
    <s v="2&quot;"/>
    <n v="1"/>
    <s v=""/>
    <s v=""/>
    <s v=""/>
    <s v=""/>
    <s v=""/>
    <s v=""/>
    <s v=""/>
    <s v=""/>
    <s v=""/>
    <s v=""/>
    <s v=""/>
    <s v=""/>
    <s v="2&quot;"/>
    <n v="1"/>
  </r>
  <r>
    <s v="N59"/>
    <s v="N61"/>
    <n v="47.82"/>
    <x v="1"/>
    <x v="0"/>
    <s v="2&quot;"/>
    <n v="1"/>
    <s v="2&quot;"/>
    <n v="3"/>
    <s v=""/>
    <s v=""/>
    <s v=""/>
    <s v=""/>
    <s v=""/>
    <s v=""/>
    <s v=""/>
    <s v=""/>
    <s v=""/>
    <s v=""/>
    <s v=""/>
    <s v=""/>
    <s v=""/>
    <s v=""/>
  </r>
  <r>
    <s v="N61"/>
    <s v="TP39"/>
    <n v="18.73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61"/>
    <s v="TP40"/>
    <n v="52.94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43"/>
    <s v="N62"/>
    <n v="112.52"/>
    <x v="0"/>
    <x v="2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62"/>
    <s v="N63"/>
    <n v="43.89"/>
    <x v="0"/>
    <x v="0"/>
    <s v="3&quot;"/>
    <n v="1"/>
    <s v=""/>
    <s v=""/>
    <s v=""/>
    <s v=""/>
    <s v=""/>
    <s v=""/>
    <s v=""/>
    <s v=""/>
    <s v="3&quot;"/>
    <n v="1"/>
    <s v=""/>
    <s v=""/>
    <s v=""/>
    <s v=""/>
    <s v=""/>
    <s v=""/>
  </r>
  <r>
    <s v="N63"/>
    <s v="TP41"/>
    <n v="30.69"/>
    <x v="0"/>
    <x v="0"/>
    <s v="3&quot;"/>
    <n v="1"/>
    <s v="3&quot;"/>
    <n v="1"/>
    <s v=""/>
    <s v=""/>
    <s v=""/>
    <s v=""/>
    <s v=""/>
    <s v=""/>
    <s v=""/>
    <s v=""/>
    <s v=""/>
    <s v=""/>
    <s v=""/>
    <s v=""/>
    <s v="3&quot;"/>
    <n v="0"/>
  </r>
  <r>
    <s v="N63"/>
    <s v="TP42"/>
    <n v="18.73"/>
    <x v="0"/>
    <x v="0"/>
    <s v="3&quot;"/>
    <n v="1"/>
    <s v=""/>
    <s v=""/>
    <s v=""/>
    <s v=""/>
    <s v=""/>
    <s v=""/>
    <s v=""/>
    <s v=""/>
    <s v=""/>
    <s v=""/>
    <s v=""/>
    <s v=""/>
    <s v=""/>
    <s v=""/>
    <s v="3&quot;"/>
    <n v="1"/>
  </r>
  <r>
    <s v="N49"/>
    <s v="N64"/>
    <n v="30.29"/>
    <x v="8"/>
    <x v="2"/>
    <s v="8&quot;"/>
    <n v="1"/>
    <s v=""/>
    <s v=""/>
    <s v="4&quot;"/>
    <n v="1"/>
    <s v=""/>
    <s v=""/>
    <s v=""/>
    <s v=""/>
    <s v="4&quot;"/>
    <n v="1"/>
    <s v=""/>
    <s v=""/>
    <s v=""/>
    <s v=""/>
    <s v=""/>
    <s v=""/>
  </r>
  <r>
    <s v="N64"/>
    <s v="N65"/>
    <n v="71.48"/>
    <x v="1"/>
    <x v="0"/>
    <s v="4&quot;"/>
    <n v="1"/>
    <s v="2&quot;"/>
    <n v="2"/>
    <s v="2&quot;"/>
    <n v="1"/>
    <s v=""/>
    <s v=""/>
    <s v=""/>
    <s v=""/>
    <s v="2&quot;"/>
    <n v="1"/>
    <s v=""/>
    <s v=""/>
    <s v=""/>
    <s v=""/>
    <s v=""/>
    <s v=""/>
  </r>
  <r>
    <s v="N65"/>
    <s v="TP43"/>
    <n v="19.079999999999998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65"/>
    <s v="TP44"/>
    <n v="49.76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64"/>
    <s v="N62"/>
    <n v="26.27"/>
    <x v="8"/>
    <x v="2"/>
    <s v="4&quot;"/>
    <n v="1"/>
    <s v=""/>
    <s v=""/>
    <s v=""/>
    <s v=""/>
    <s v=""/>
    <s v=""/>
    <s v=""/>
    <s v=""/>
    <s v=""/>
    <s v=""/>
    <s v=""/>
    <s v=""/>
    <s v=""/>
    <s v=""/>
    <s v=""/>
    <s v=""/>
  </r>
  <r>
    <s v="N49"/>
    <s v="N66"/>
    <n v="169.41"/>
    <x v="2"/>
    <x v="2"/>
    <s v="8&quot;"/>
    <n v="1"/>
    <s v=""/>
    <s v=""/>
    <s v=""/>
    <s v=""/>
    <s v=""/>
    <s v=""/>
    <s v=""/>
    <s v=""/>
    <s v="8&quot;"/>
    <n v="1"/>
    <s v=""/>
    <s v=""/>
    <s v=""/>
    <s v=""/>
    <s v=""/>
    <s v=""/>
  </r>
  <r>
    <s v="N66"/>
    <s v="N67"/>
    <n v="85.1"/>
    <x v="0"/>
    <x v="0"/>
    <s v="8&quot;"/>
    <n v="1"/>
    <s v=""/>
    <s v=""/>
    <s v="3&quot;"/>
    <n v="1"/>
    <s v=""/>
    <s v=""/>
    <s v=""/>
    <s v=""/>
    <s v=""/>
    <s v=""/>
    <s v=""/>
    <s v=""/>
    <s v=""/>
    <s v=""/>
    <s v=""/>
    <s v=""/>
  </r>
  <r>
    <s v="N67"/>
    <s v="N68"/>
    <n v="151.55000000000001"/>
    <x v="1"/>
    <x v="0"/>
    <s v="3&quot;"/>
    <n v="1"/>
    <s v=""/>
    <s v=""/>
    <s v="2&quot;"/>
    <n v="1"/>
    <s v=""/>
    <s v=""/>
    <s v=""/>
    <s v=""/>
    <s v="2&quot;"/>
    <n v="0"/>
    <s v=""/>
    <s v=""/>
    <s v=""/>
    <s v=""/>
    <s v=""/>
    <s v=""/>
  </r>
  <r>
    <s v="N68"/>
    <s v="TP45"/>
    <n v="50.6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68"/>
    <s v="TP46"/>
    <n v="66.7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67"/>
    <s v="N69"/>
    <n v="107.51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69"/>
    <s v="N70"/>
    <n v="71.98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70"/>
    <s v="TP47"/>
    <n v="121.81"/>
    <x v="1"/>
    <x v="0"/>
    <s v="3&quot;"/>
    <n v="1"/>
    <s v="2&quot;"/>
    <n v="2"/>
    <s v="2&quot;"/>
    <n v="1"/>
    <s v=""/>
    <s v=""/>
    <s v=""/>
    <s v=""/>
    <s v=""/>
    <s v=""/>
    <s v=""/>
    <s v=""/>
    <s v=""/>
    <s v=""/>
    <s v="2&quot;"/>
    <n v="1"/>
  </r>
  <r>
    <s v="N70"/>
    <s v="TP48"/>
    <n v="19.2"/>
    <x v="0"/>
    <x v="0"/>
    <s v="3&quot;"/>
    <n v="1"/>
    <s v="3&quot;"/>
    <n v="1"/>
    <s v=""/>
    <s v=""/>
    <s v=""/>
    <s v=""/>
    <s v=""/>
    <s v=""/>
    <s v=""/>
    <s v=""/>
    <s v=""/>
    <s v=""/>
    <s v=""/>
    <s v=""/>
    <s v="3&quot;"/>
    <n v="1"/>
  </r>
  <r>
    <s v="N71"/>
    <s v="N69"/>
    <n v="88.58"/>
    <x v="0"/>
    <x v="0"/>
    <s v="8&quot;"/>
    <n v="1"/>
    <s v=""/>
    <s v=""/>
    <s v="3&quot;"/>
    <n v="1"/>
    <s v=""/>
    <s v=""/>
    <s v=""/>
    <s v=""/>
    <s v="3&quot;"/>
    <n v="1"/>
    <s v=""/>
    <s v=""/>
    <s v=""/>
    <s v=""/>
    <s v=""/>
    <s v=""/>
  </r>
  <r>
    <s v="N71"/>
    <s v="N72"/>
    <n v="128.53"/>
    <x v="2"/>
    <x v="2"/>
    <s v="8&quot;"/>
    <n v="1"/>
    <s v=""/>
    <s v=""/>
    <s v=""/>
    <s v=""/>
    <s v=""/>
    <s v=""/>
    <s v=""/>
    <s v=""/>
    <s v=""/>
    <s v=""/>
    <s v=""/>
    <s v=""/>
    <s v=""/>
    <s v=""/>
    <s v=""/>
    <s v=""/>
  </r>
  <r>
    <s v="N72"/>
    <s v="TP49"/>
    <n v="66.69"/>
    <x v="1"/>
    <x v="0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72"/>
    <s v="N73"/>
    <n v="4.25"/>
    <x v="2"/>
    <x v="2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73"/>
    <s v="TP50"/>
    <n v="52"/>
    <x v="0"/>
    <x v="0"/>
    <s v=""/>
    <s v=""/>
    <s v=""/>
    <s v=""/>
    <s v=""/>
    <s v=""/>
    <s v=""/>
    <s v=""/>
    <s v=""/>
    <s v=""/>
    <s v=""/>
    <s v=""/>
    <s v=""/>
    <s v=""/>
    <s v=""/>
    <s v=""/>
    <s v="3&quot;"/>
    <n v="1"/>
  </r>
  <r>
    <s v="N73"/>
    <s v="N74"/>
    <n v="161.16999999999999"/>
    <x v="2"/>
    <x v="2"/>
    <s v=""/>
    <s v=""/>
    <s v=""/>
    <s v=""/>
    <s v=""/>
    <s v=""/>
    <s v=""/>
    <s v=""/>
    <s v=""/>
    <s v=""/>
    <s v="8&quot;"/>
    <n v="1"/>
    <s v=""/>
    <s v=""/>
    <s v=""/>
    <s v=""/>
    <s v=""/>
    <s v=""/>
  </r>
  <r>
    <s v="N74"/>
    <s v="TP51"/>
    <n v="48.87"/>
    <x v="1"/>
    <x v="0"/>
    <s v="8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74"/>
    <s v="N75"/>
    <n v="68.87"/>
    <x v="2"/>
    <x v="2"/>
    <s v="8&quot;"/>
    <n v="1"/>
    <s v=""/>
    <s v=""/>
    <s v=""/>
    <s v=""/>
    <s v=""/>
    <s v=""/>
    <s v=""/>
    <s v=""/>
    <s v=""/>
    <s v=""/>
    <s v=""/>
    <s v=""/>
    <s v=""/>
    <s v=""/>
    <s v=""/>
    <s v=""/>
  </r>
  <r>
    <s v="N75"/>
    <s v="N76"/>
    <n v="199"/>
    <x v="2"/>
    <x v="2"/>
    <s v="8&quot;"/>
    <n v="1"/>
    <s v="8&quot;"/>
    <n v="1"/>
    <s v=""/>
    <s v=""/>
    <s v=""/>
    <s v=""/>
    <s v=""/>
    <s v=""/>
    <s v="8&quot;"/>
    <n v="1"/>
    <s v=""/>
    <s v=""/>
    <s v=""/>
    <s v=""/>
    <s v=""/>
    <s v=""/>
  </r>
  <r>
    <s v="T. TRINIDAD"/>
    <s v="CQ3"/>
    <n v="554.01"/>
    <x v="7"/>
    <x v="0"/>
    <s v=""/>
    <s v=""/>
    <s v="6&quot;"/>
    <n v="4"/>
    <s v=""/>
    <s v=""/>
    <s v=""/>
    <s v=""/>
    <s v=""/>
    <s v=""/>
    <s v=""/>
    <s v=""/>
    <s v=""/>
    <s v=""/>
    <s v=""/>
    <s v=""/>
    <s v=""/>
    <s v=""/>
  </r>
  <r>
    <s v="CQ3"/>
    <s v="N77"/>
    <n v="79.45"/>
    <x v="8"/>
    <x v="0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77"/>
    <s v="N78"/>
    <n v="111.03"/>
    <x v="1"/>
    <x v="0"/>
    <s v="4&quot;"/>
    <n v="1"/>
    <s v=""/>
    <s v=""/>
    <s v="2&quot;"/>
    <n v="1"/>
    <s v=""/>
    <s v=""/>
    <s v=""/>
    <s v=""/>
    <s v=""/>
    <s v=""/>
    <s v=""/>
    <s v=""/>
    <s v=""/>
    <s v=""/>
    <s v=""/>
    <s v=""/>
  </r>
  <r>
    <s v="N78"/>
    <s v="TP52"/>
    <n v="49.06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78"/>
    <s v="TP53"/>
    <n v="422.07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77"/>
    <s v="N78"/>
    <n v="221.86"/>
    <x v="1"/>
    <x v="0"/>
    <s v="4&quot;"/>
    <n v="1"/>
    <s v=""/>
    <s v=""/>
    <s v="2&quot;"/>
    <n v="1"/>
    <s v=""/>
    <s v=""/>
    <s v=""/>
    <s v=""/>
    <s v=""/>
    <s v=""/>
    <s v=""/>
    <s v=""/>
    <s v=""/>
    <s v=""/>
    <s v=""/>
    <s v=""/>
  </r>
  <r>
    <s v="N78"/>
    <s v="N79"/>
    <n v="71.5"/>
    <x v="8"/>
    <x v="0"/>
    <s v="2&quot;"/>
    <n v="1"/>
    <s v="4&quot;"/>
    <n v="2"/>
    <s v=""/>
    <s v=""/>
    <s v="4&quot;"/>
    <n v="1"/>
    <s v=""/>
    <s v=""/>
    <s v=""/>
    <s v=""/>
    <s v=""/>
    <s v=""/>
    <s v=""/>
    <s v=""/>
    <s v=""/>
    <s v=""/>
  </r>
  <r>
    <s v="N79"/>
    <s v="N80"/>
    <n v="85.539999999999992"/>
    <x v="7"/>
    <x v="0"/>
    <s v=""/>
    <s v=""/>
    <s v=""/>
    <s v=""/>
    <s v=""/>
    <s v=""/>
    <s v="6&quot;"/>
    <n v="1"/>
    <s v=""/>
    <s v=""/>
    <s v=""/>
    <s v=""/>
    <s v=""/>
    <s v=""/>
    <s v=""/>
    <s v=""/>
    <s v=""/>
    <s v=""/>
  </r>
  <r>
    <s v="N80"/>
    <s v="N81"/>
    <n v="57.15"/>
    <x v="1"/>
    <x v="0"/>
    <s v="6&quot;"/>
    <n v="1"/>
    <s v=""/>
    <s v=""/>
    <s v="2&quot;"/>
    <n v="1"/>
    <s v=""/>
    <s v=""/>
    <s v=""/>
    <s v=""/>
    <s v="2&quot;"/>
    <n v="1"/>
    <s v=""/>
    <s v=""/>
    <s v=""/>
    <s v=""/>
    <s v=""/>
    <s v=""/>
  </r>
  <r>
    <s v="N81"/>
    <s v="TP54"/>
    <n v="65.010000000000005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81"/>
    <s v="N82"/>
    <n v="28.81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82"/>
    <s v="TP55"/>
    <n v="73.430000000000007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82"/>
    <s v="N83"/>
    <n v="28.58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83"/>
    <s v="TP56"/>
    <n v="31.07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83"/>
    <s v="N84"/>
    <n v="1.3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84"/>
    <s v="TP57"/>
    <n v="75.19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84"/>
    <s v="TP58"/>
    <n v="45.03"/>
    <x v="1"/>
    <x v="0"/>
    <s v="2&quot;"/>
    <n v="1"/>
    <s v="2&quot;"/>
    <n v="1"/>
    <s v=""/>
    <s v=""/>
    <s v=""/>
    <s v=""/>
    <s v=""/>
    <s v=""/>
    <s v=""/>
    <s v=""/>
    <s v=""/>
    <s v=""/>
    <s v=""/>
    <s v=""/>
    <s v="2&quot;"/>
    <n v="1"/>
  </r>
  <r>
    <s v="N80"/>
    <s v="N85"/>
    <n v="48.97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</r>
  <r>
    <s v="N85"/>
    <s v="TP59"/>
    <n v="267.11"/>
    <x v="1"/>
    <x v="0"/>
    <s v="6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85"/>
    <s v="N86"/>
    <n v="7.86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</r>
  <r>
    <s v="N86"/>
    <s v="TP60"/>
    <n v="102.27"/>
    <x v="1"/>
    <x v="0"/>
    <s v="6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86"/>
    <s v="N87"/>
    <n v="359.28"/>
    <x v="7"/>
    <x v="0"/>
    <s v="6&quot;"/>
    <n v="1"/>
    <s v="6&quot;"/>
    <n v="2"/>
    <s v=""/>
    <s v=""/>
    <s v=""/>
    <s v=""/>
    <s v=""/>
    <s v=""/>
    <s v="6&quot;"/>
    <n v="1"/>
    <s v=""/>
    <s v=""/>
    <s v=""/>
    <s v=""/>
    <s v=""/>
    <s v=""/>
  </r>
  <r>
    <s v="N87"/>
    <s v="N88"/>
    <n v="61.97"/>
    <x v="0"/>
    <x v="0"/>
    <s v="6&quot;"/>
    <n v="1"/>
    <s v=""/>
    <s v=""/>
    <s v="3&quot;"/>
    <n v="1"/>
    <s v=""/>
    <s v=""/>
    <s v=""/>
    <s v=""/>
    <s v=""/>
    <s v=""/>
    <s v=""/>
    <s v=""/>
    <s v=""/>
    <s v=""/>
    <s v=""/>
    <s v=""/>
  </r>
  <r>
    <s v="N88"/>
    <s v="TP61"/>
    <n v="164.5"/>
    <x v="0"/>
    <x v="0"/>
    <s v="3&quot;"/>
    <n v="1"/>
    <s v=""/>
    <s v=""/>
    <s v=""/>
    <s v=""/>
    <s v=""/>
    <s v=""/>
    <s v=""/>
    <s v=""/>
    <s v=""/>
    <s v=""/>
    <s v=""/>
    <s v=""/>
    <s v=""/>
    <s v=""/>
    <s v="3&quot;"/>
    <n v="1"/>
  </r>
  <r>
    <s v="N88"/>
    <s v="N89"/>
    <n v="232.28"/>
    <x v="0"/>
    <x v="0"/>
    <s v="3&quot;"/>
    <n v="1"/>
    <s v="3&quot;"/>
    <n v="1"/>
    <s v=""/>
    <s v=""/>
    <s v=""/>
    <s v=""/>
    <s v=""/>
    <s v=""/>
    <s v=""/>
    <s v=""/>
    <s v=""/>
    <s v=""/>
    <s v=""/>
    <s v=""/>
    <s v=""/>
    <s v=""/>
  </r>
  <r>
    <s v="N89"/>
    <s v="TP62"/>
    <n v="86.45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3&quot;"/>
    <n v="1"/>
  </r>
  <r>
    <s v="N89"/>
    <s v="N90"/>
    <n v="34.08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90"/>
    <s v="N91"/>
    <n v="53.12"/>
    <x v="1"/>
    <x v="0"/>
    <s v=""/>
    <s v=""/>
    <s v="3&quot;"/>
    <n v="1"/>
    <s v="2&quot;"/>
    <n v="1"/>
    <s v=""/>
    <s v=""/>
    <s v=""/>
    <s v=""/>
    <s v=""/>
    <s v=""/>
    <s v=""/>
    <s v=""/>
    <s v=""/>
    <s v=""/>
    <s v=""/>
    <s v=""/>
  </r>
  <r>
    <s v="N91"/>
    <s v="TP63"/>
    <n v="75.55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91"/>
    <s v="N92"/>
    <n v="100.93"/>
    <x v="1"/>
    <x v="0"/>
    <s v="2&quot;"/>
    <n v="1"/>
    <s v="2&quot;"/>
    <n v="1"/>
    <s v=""/>
    <s v=""/>
    <s v=""/>
    <s v=""/>
    <s v=""/>
    <s v=""/>
    <s v=""/>
    <s v=""/>
    <s v=""/>
    <s v=""/>
    <s v=""/>
    <s v=""/>
    <s v=""/>
    <s v=""/>
  </r>
  <r>
    <s v="N92"/>
    <s v="TP64"/>
    <n v="48.07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92"/>
    <s v="N93"/>
    <n v="56.8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93"/>
    <s v="TP65"/>
    <n v="151.9"/>
    <x v="6"/>
    <x v="0"/>
    <s v=""/>
    <s v=""/>
    <s v=""/>
    <s v=""/>
    <s v="1&quot;"/>
    <n v="1"/>
    <s v=""/>
    <s v=""/>
    <s v=""/>
    <s v=""/>
    <s v=""/>
    <s v=""/>
    <s v=""/>
    <s v=""/>
    <s v=""/>
    <s v=""/>
    <s v="1&quot;"/>
    <n v="1"/>
  </r>
  <r>
    <s v="N87"/>
    <s v="N94"/>
    <n v="2.17"/>
    <x v="7"/>
    <x v="0"/>
    <s v="6&quot;"/>
    <n v="1"/>
    <s v=""/>
    <s v=""/>
    <s v=""/>
    <s v=""/>
    <s v=""/>
    <s v=""/>
    <s v=""/>
    <s v=""/>
    <s v="6&quot;"/>
    <n v="1"/>
    <s v=""/>
    <s v=""/>
    <s v=""/>
    <s v=""/>
    <s v=""/>
    <s v=""/>
  </r>
  <r>
    <s v="N94"/>
    <s v="N95"/>
    <n v="48.71"/>
    <x v="0"/>
    <x v="0"/>
    <s v="6&quot;"/>
    <n v="1"/>
    <s v=""/>
    <s v=""/>
    <s v="3&quot;"/>
    <n v="1"/>
    <s v=""/>
    <s v=""/>
    <s v=""/>
    <s v=""/>
    <s v=""/>
    <s v=""/>
    <s v=""/>
    <s v=""/>
    <s v=""/>
    <s v=""/>
    <s v=""/>
    <s v=""/>
  </r>
  <r>
    <s v="N95"/>
    <s v="TP66"/>
    <n v="92.86"/>
    <x v="9"/>
    <x v="0"/>
    <s v="3&quot;"/>
    <n v="1"/>
    <s v=""/>
    <s v=""/>
    <s v="1 1/2&quot;"/>
    <n v="1"/>
    <s v=""/>
    <s v=""/>
    <s v=""/>
    <s v=""/>
    <s v=""/>
    <s v=""/>
    <s v=""/>
    <s v=""/>
    <s v=""/>
    <s v=""/>
    <s v="1 1/2&quot;"/>
    <n v="1"/>
  </r>
  <r>
    <s v="N95"/>
    <s v="N96"/>
    <n v="11.3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96"/>
    <s v="TP67"/>
    <n v="93.53"/>
    <x v="9"/>
    <x v="0"/>
    <s v="3&quot;"/>
    <n v="1"/>
    <s v=""/>
    <s v=""/>
    <s v="1 1/2&quot;"/>
    <n v="1"/>
    <s v=""/>
    <s v=""/>
    <s v=""/>
    <s v=""/>
    <s v=""/>
    <s v=""/>
    <s v=""/>
    <s v=""/>
    <s v=""/>
    <s v=""/>
    <s v="1 1/2&quot;"/>
    <n v="1"/>
  </r>
  <r>
    <s v="N96"/>
    <s v="N97"/>
    <n v="48.32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97"/>
    <s v="TP68"/>
    <n v="90.17"/>
    <x v="9"/>
    <x v="0"/>
    <s v="3&quot;"/>
    <n v="1"/>
    <s v=""/>
    <s v=""/>
    <s v="1 1/2&quot;"/>
    <n v="1"/>
    <s v=""/>
    <s v=""/>
    <s v=""/>
    <s v=""/>
    <s v=""/>
    <s v=""/>
    <s v=""/>
    <s v=""/>
    <s v=""/>
    <s v=""/>
    <s v="1 1/2&quot;"/>
    <n v="1"/>
  </r>
  <r>
    <s v="N97"/>
    <s v="N98"/>
    <n v="5.63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98"/>
    <s v="TP69"/>
    <n v="90.74"/>
    <x v="9"/>
    <x v="0"/>
    <s v="3&quot;"/>
    <n v="1"/>
    <s v=""/>
    <s v=""/>
    <s v="1 1/2&quot;"/>
    <n v="1"/>
    <s v=""/>
    <s v=""/>
    <s v=""/>
    <s v=""/>
    <s v=""/>
    <s v=""/>
    <s v=""/>
    <s v=""/>
    <s v=""/>
    <s v=""/>
    <s v="1 1/2&quot;"/>
    <n v="1"/>
  </r>
  <r>
    <s v="N98"/>
    <s v="N99"/>
    <n v="30.03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99"/>
    <s v="TP70"/>
    <n v="71.349999999999994"/>
    <x v="9"/>
    <x v="0"/>
    <s v="3&quot;"/>
    <n v="1"/>
    <s v=""/>
    <s v=""/>
    <s v="1 1/2&quot;"/>
    <n v="1"/>
    <s v=""/>
    <s v=""/>
    <s v=""/>
    <s v=""/>
    <s v=""/>
    <s v=""/>
    <s v=""/>
    <s v=""/>
    <s v=""/>
    <s v=""/>
    <s v="1 1/2&quot;"/>
    <n v="1"/>
  </r>
  <r>
    <s v="N99"/>
    <s v="N100"/>
    <n v="8.42"/>
    <x v="0"/>
    <x v="0"/>
    <s v="3&quot;"/>
    <n v="0"/>
    <s v=""/>
    <s v=""/>
    <s v=""/>
    <s v=""/>
    <s v=""/>
    <s v=""/>
    <s v=""/>
    <s v=""/>
    <s v=""/>
    <s v=""/>
    <s v=""/>
    <s v=""/>
    <s v=""/>
    <s v=""/>
    <s v=""/>
    <s v=""/>
  </r>
  <r>
    <s v="N100"/>
    <s v="TP71"/>
    <n v="72.02"/>
    <x v="9"/>
    <x v="0"/>
    <s v=""/>
    <s v=""/>
    <s v="3&quot;"/>
    <n v="1"/>
    <s v="1 1/2&quot;"/>
    <n v="1"/>
    <s v=""/>
    <s v=""/>
    <s v=""/>
    <s v=""/>
    <s v=""/>
    <s v=""/>
    <s v=""/>
    <s v=""/>
    <s v=""/>
    <s v=""/>
    <s v="1 1/2&quot;"/>
    <n v="1"/>
  </r>
  <r>
    <s v="N94"/>
    <s v="N101"/>
    <n v="108.52"/>
    <x v="8"/>
    <x v="0"/>
    <s v="6&quot;"/>
    <n v="1"/>
    <s v=""/>
    <s v=""/>
    <s v="4&quot;"/>
    <n v="1"/>
    <s v=""/>
    <s v=""/>
    <s v=""/>
    <s v=""/>
    <s v=""/>
    <s v=""/>
    <s v=""/>
    <s v=""/>
    <s v=""/>
    <s v=""/>
    <s v=""/>
    <s v=""/>
  </r>
  <r>
    <s v="N101"/>
    <s v="N102"/>
    <n v="56.65"/>
    <x v="0"/>
    <x v="0"/>
    <s v="4&quot;"/>
    <n v="1"/>
    <s v=""/>
    <s v=""/>
    <s v="3&quot;"/>
    <n v="1"/>
    <s v=""/>
    <s v=""/>
    <s v=""/>
    <s v=""/>
    <s v=""/>
    <s v=""/>
    <s v=""/>
    <s v=""/>
    <s v=""/>
    <s v=""/>
    <s v=""/>
    <s v=""/>
  </r>
  <r>
    <s v="N102"/>
    <s v="TP72"/>
    <n v="99.1"/>
    <x v="9"/>
    <x v="0"/>
    <s v="3&quot;"/>
    <n v="1"/>
    <s v=""/>
    <s v=""/>
    <s v="1 1/2&quot;"/>
    <n v="1"/>
    <s v=""/>
    <s v=""/>
    <s v=""/>
    <s v=""/>
    <s v=""/>
    <s v=""/>
    <s v=""/>
    <s v=""/>
    <s v=""/>
    <s v=""/>
    <s v="1 1/2&quot;"/>
    <n v="1"/>
  </r>
  <r>
    <s v="N102"/>
    <s v="N113"/>
    <n v="5.83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113"/>
    <s v="N103"/>
    <n v="45.74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103"/>
    <s v="TP73"/>
    <n v="51.28"/>
    <x v="9"/>
    <x v="0"/>
    <s v="3&quot;"/>
    <n v="1"/>
    <s v=""/>
    <s v=""/>
    <s v="1 1/2&quot;"/>
    <n v="1"/>
    <s v=""/>
    <s v=""/>
    <s v=""/>
    <s v=""/>
    <s v=""/>
    <s v=""/>
    <s v=""/>
    <s v=""/>
    <s v=""/>
    <s v=""/>
    <s v="1 1/2&quot;"/>
    <n v="1"/>
  </r>
  <r>
    <s v="N103"/>
    <s v="N104"/>
    <n v="5.13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104"/>
    <s v="TP74"/>
    <n v="51.71"/>
    <x v="9"/>
    <x v="0"/>
    <s v="3&quot;"/>
    <n v="1"/>
    <s v=""/>
    <s v=""/>
    <s v="1 1/2&quot;"/>
    <n v="1"/>
    <s v=""/>
    <s v=""/>
    <s v=""/>
    <s v=""/>
    <s v=""/>
    <s v=""/>
    <s v=""/>
    <s v=""/>
    <s v=""/>
    <s v=""/>
    <s v="1 1/2&quot;"/>
    <n v="1"/>
  </r>
  <r>
    <s v="N104"/>
    <s v="N105"/>
    <n v="36.04"/>
    <x v="0"/>
    <x v="0"/>
    <s v="3&quot;"/>
    <n v="1"/>
    <s v="3&quot;"/>
    <n v="2"/>
    <s v=""/>
    <s v=""/>
    <s v=""/>
    <s v=""/>
    <s v=""/>
    <s v=""/>
    <s v=""/>
    <s v=""/>
    <s v=""/>
    <s v=""/>
    <s v=""/>
    <s v=""/>
    <s v=""/>
    <s v=""/>
  </r>
  <r>
    <s v="N105"/>
    <s v="N106"/>
    <n v="56.82"/>
    <x v="0"/>
    <x v="0"/>
    <s v="3&quot;"/>
    <n v="1"/>
    <s v="3&quot;"/>
    <n v="2"/>
    <s v=""/>
    <s v=""/>
    <s v=""/>
    <s v=""/>
    <s v=""/>
    <s v=""/>
    <s v=""/>
    <s v=""/>
    <s v=""/>
    <s v=""/>
    <s v=""/>
    <s v=""/>
    <s v=""/>
    <s v=""/>
  </r>
  <r>
    <s v="N106"/>
    <s v="N107"/>
    <n v="62.57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107"/>
    <s v="TP75"/>
    <n v="33.119999999999997"/>
    <x v="0"/>
    <x v="0"/>
    <s v="3&quot;"/>
    <n v="1"/>
    <s v=""/>
    <s v=""/>
    <s v=""/>
    <s v=""/>
    <s v=""/>
    <s v=""/>
    <s v=""/>
    <s v=""/>
    <s v=""/>
    <s v=""/>
    <s v=""/>
    <s v=""/>
    <s v=""/>
    <s v=""/>
    <s v="3&quot;"/>
    <n v="1"/>
  </r>
  <r>
    <s v="N107"/>
    <s v="N108"/>
    <n v="22.55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108"/>
    <s v="TP76"/>
    <n v="33.770000000000003"/>
    <x v="0"/>
    <x v="0"/>
    <s v="3&quot;"/>
    <n v="1"/>
    <s v=""/>
    <s v=""/>
    <s v=""/>
    <s v=""/>
    <s v=""/>
    <s v=""/>
    <s v=""/>
    <s v=""/>
    <s v=""/>
    <s v=""/>
    <s v=""/>
    <s v=""/>
    <s v=""/>
    <s v=""/>
    <s v="3&quot;"/>
    <n v="1"/>
  </r>
  <r>
    <s v="N108"/>
    <s v="N109"/>
    <n v="11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109"/>
    <s v="TP77"/>
    <n v="63.77"/>
    <x v="0"/>
    <x v="0"/>
    <s v="3&quot;"/>
    <n v="1"/>
    <s v="3&quot;"/>
    <n v="1"/>
    <s v=""/>
    <s v=""/>
    <s v=""/>
    <s v=""/>
    <s v=""/>
    <s v=""/>
    <s v=""/>
    <s v=""/>
    <s v=""/>
    <s v=""/>
    <s v=""/>
    <s v=""/>
    <s v="3&quot;"/>
    <n v="1"/>
  </r>
  <r>
    <s v="N109"/>
    <s v="N110"/>
    <n v="73.45"/>
    <x v="0"/>
    <x v="0"/>
    <s v="3&quot;"/>
    <n v="1"/>
    <s v="3&quot;"/>
    <n v="1"/>
    <s v=""/>
    <s v=""/>
    <s v=""/>
    <s v=""/>
    <s v=""/>
    <s v=""/>
    <s v=""/>
    <s v=""/>
    <s v=""/>
    <s v=""/>
    <s v=""/>
    <s v=""/>
    <s v=""/>
    <s v=""/>
  </r>
  <r>
    <s v="N106"/>
    <s v="N110"/>
    <n v="23.3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110"/>
    <s v="N111"/>
    <n v="79.27"/>
    <x v="0"/>
    <x v="0"/>
    <s v="3&quot;"/>
    <n v="1"/>
    <s v="3&quot;"/>
    <n v="1"/>
    <s v=""/>
    <s v=""/>
    <s v=""/>
    <s v=""/>
    <s v=""/>
    <s v=""/>
    <s v=""/>
    <s v=""/>
    <s v=""/>
    <s v=""/>
    <s v=""/>
    <s v=""/>
    <s v=""/>
    <s v=""/>
  </r>
  <r>
    <s v="N111"/>
    <s v="N112"/>
    <n v="48.5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112"/>
    <s v="TP78"/>
    <n v="38.35"/>
    <x v="0"/>
    <x v="0"/>
    <s v="3&quot;"/>
    <n v="1"/>
    <s v=""/>
    <s v=""/>
    <s v=""/>
    <s v=""/>
    <s v=""/>
    <s v=""/>
    <s v=""/>
    <s v=""/>
    <s v=""/>
    <s v=""/>
    <s v=""/>
    <s v=""/>
    <s v=""/>
    <s v=""/>
    <s v="3&quot;"/>
    <n v="1"/>
  </r>
  <r>
    <s v="N105"/>
    <s v="N113"/>
    <n v="49.01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113"/>
    <s v="TP79"/>
    <n v="41.23"/>
    <x v="0"/>
    <x v="0"/>
    <s v="3&quot;"/>
    <n v="1"/>
    <s v=""/>
    <s v=""/>
    <s v=""/>
    <s v=""/>
    <s v=""/>
    <s v=""/>
    <s v=""/>
    <s v=""/>
    <s v=""/>
    <s v=""/>
    <s v=""/>
    <s v=""/>
    <s v=""/>
    <s v=""/>
    <s v="3&quot;"/>
    <n v="1"/>
  </r>
  <r>
    <s v="N113"/>
    <s v="N111"/>
    <n v="45.29"/>
    <x v="0"/>
    <x v="0"/>
    <s v="3&quot;"/>
    <n v="0"/>
    <s v=""/>
    <s v=""/>
    <s v=""/>
    <s v=""/>
    <s v=""/>
    <s v=""/>
    <s v=""/>
    <s v=""/>
    <s v=""/>
    <s v=""/>
    <s v=""/>
    <s v=""/>
    <s v=""/>
    <s v=""/>
    <s v=""/>
    <s v=""/>
  </r>
  <r>
    <s v="N112"/>
    <s v="TP80"/>
    <n v="121.05"/>
    <x v="0"/>
    <x v="0"/>
    <s v="3&quot;"/>
    <n v="1"/>
    <s v=""/>
    <s v=""/>
    <s v=""/>
    <s v=""/>
    <s v=""/>
    <s v=""/>
    <s v=""/>
    <s v=""/>
    <s v=""/>
    <s v=""/>
    <s v=""/>
    <s v=""/>
    <s v=""/>
    <s v=""/>
    <s v="3&quot;"/>
    <n v="1"/>
  </r>
  <r>
    <s v="N113"/>
    <s v="N114"/>
    <n v="57.31"/>
    <x v="9"/>
    <x v="0"/>
    <s v="3&quot;"/>
    <n v="1"/>
    <s v=""/>
    <s v=""/>
    <s v="1 1/2&quot;"/>
    <n v="1"/>
    <s v=""/>
    <s v=""/>
    <s v=""/>
    <s v=""/>
    <s v=""/>
    <s v=""/>
    <s v=""/>
    <s v=""/>
    <s v=""/>
    <s v=""/>
    <s v=""/>
    <s v=""/>
  </r>
  <r>
    <s v="N114"/>
    <s v="TP81"/>
    <n v="67.44"/>
    <x v="9"/>
    <x v="0"/>
    <s v="1 1/2&quot;"/>
    <n v="1"/>
    <s v=""/>
    <s v=""/>
    <s v=""/>
    <s v=""/>
    <s v=""/>
    <s v=""/>
    <s v=""/>
    <s v=""/>
    <s v=""/>
    <s v=""/>
    <s v=""/>
    <s v=""/>
    <s v=""/>
    <s v=""/>
    <s v="1 1/2&quot;"/>
    <n v="1"/>
  </r>
  <r>
    <s v="N114"/>
    <s v="TP82"/>
    <n v="75.11"/>
    <x v="9"/>
    <x v="0"/>
    <s v="1 1/2&quot;"/>
    <n v="1"/>
    <s v="1 1/2&quot;"/>
    <n v="1"/>
    <s v=""/>
    <s v=""/>
    <s v=""/>
    <s v=""/>
    <s v=""/>
    <s v=""/>
    <s v=""/>
    <s v=""/>
    <s v=""/>
    <s v=""/>
    <s v=""/>
    <s v=""/>
    <s v="1 1/2&quot;"/>
    <n v="1"/>
  </r>
  <r>
    <s v="N101"/>
    <s v="N115"/>
    <n v="44.32"/>
    <x v="8"/>
    <x v="0"/>
    <s v="4&quot;"/>
    <n v="0"/>
    <s v=""/>
    <s v=""/>
    <s v=""/>
    <s v=""/>
    <s v=""/>
    <s v=""/>
    <s v=""/>
    <s v=""/>
    <s v=""/>
    <s v=""/>
    <s v=""/>
    <s v=""/>
    <s v=""/>
    <s v=""/>
    <s v=""/>
    <s v=""/>
  </r>
  <r>
    <s v="N115"/>
    <s v="N116"/>
    <n v="19.53"/>
    <x v="1"/>
    <x v="0"/>
    <s v="4&quot;"/>
    <n v="1"/>
    <s v=""/>
    <s v=""/>
    <s v="2&quot;"/>
    <n v="1"/>
    <s v=""/>
    <s v=""/>
    <s v=""/>
    <s v=""/>
    <s v="2&quot;"/>
    <n v="1"/>
    <s v=""/>
    <s v=""/>
    <s v=""/>
    <s v=""/>
    <s v=""/>
    <s v=""/>
  </r>
  <r>
    <s v="N116"/>
    <s v="TP83"/>
    <n v="39.409999999999997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116"/>
    <s v="N117"/>
    <n v="36.479999999999997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117"/>
    <s v="TP84"/>
    <n v="229.38"/>
    <x v="1"/>
    <x v="0"/>
    <s v="2&quot;"/>
    <n v="1"/>
    <s v=""/>
    <s v=""/>
    <s v=""/>
    <s v=""/>
    <s v=""/>
    <s v=""/>
    <s v=""/>
    <s v=""/>
    <s v="2&quot;"/>
    <n v="1"/>
    <s v=""/>
    <s v=""/>
    <s v=""/>
    <s v=""/>
    <s v="2&quot;"/>
    <n v="1"/>
  </r>
  <r>
    <s v="N117"/>
    <s v="TP85"/>
    <n v="18.36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115"/>
    <s v="N118"/>
    <n v="57.24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</r>
  <r>
    <s v="N118"/>
    <s v="N119"/>
    <n v="44.33"/>
    <x v="0"/>
    <x v="0"/>
    <s v="4&quot;"/>
    <n v="1"/>
    <s v=""/>
    <s v=""/>
    <s v="3&quot;"/>
    <n v="1"/>
    <s v=""/>
    <s v=""/>
    <s v=""/>
    <s v=""/>
    <s v="3&quot;"/>
    <n v="1"/>
    <s v=""/>
    <s v=""/>
    <s v=""/>
    <s v=""/>
    <s v=""/>
    <s v=""/>
  </r>
  <r>
    <s v="N118"/>
    <s v="N120"/>
    <n v="206.59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</r>
  <r>
    <s v="N78"/>
    <s v="CQ4"/>
    <n v="10.11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CQ4"/>
    <s v="N121"/>
    <n v="311.98"/>
    <x v="7"/>
    <x v="0"/>
    <s v=""/>
    <s v=""/>
    <s v="6&quot;"/>
    <n v="1"/>
    <s v=""/>
    <s v=""/>
    <s v=""/>
    <s v=""/>
    <s v=""/>
    <s v=""/>
    <s v=""/>
    <s v=""/>
    <s v=""/>
    <s v=""/>
    <s v=""/>
    <s v=""/>
    <s v=""/>
    <s v=""/>
  </r>
  <r>
    <s v="N121"/>
    <s v="N122"/>
    <n v="6.53"/>
    <x v="7"/>
    <x v="0"/>
    <s v="6&quot;"/>
    <n v="1"/>
    <s v=""/>
    <s v=""/>
    <s v=""/>
    <s v=""/>
    <s v=""/>
    <s v=""/>
    <s v=""/>
    <s v=""/>
    <s v=""/>
    <s v=""/>
    <s v=""/>
    <s v=""/>
    <s v="6&quot;"/>
    <n v="1"/>
    <s v=""/>
    <s v=""/>
  </r>
  <r>
    <s v="N122"/>
    <s v="N123"/>
    <n v="45.96"/>
    <x v="0"/>
    <x v="0"/>
    <s v="6&quot;"/>
    <n v="1"/>
    <s v=""/>
    <s v=""/>
    <s v="3&quot;"/>
    <n v="1"/>
    <s v=""/>
    <s v=""/>
    <s v=""/>
    <s v=""/>
    <s v=""/>
    <s v=""/>
    <s v=""/>
    <s v=""/>
    <s v=""/>
    <s v=""/>
    <s v=""/>
    <s v=""/>
  </r>
  <r>
    <s v="N123"/>
    <s v="TP86"/>
    <n v="54.86"/>
    <x v="6"/>
    <x v="0"/>
    <s v=""/>
    <s v=""/>
    <s v="1&quot;"/>
    <n v="2"/>
    <s v="1&quot;"/>
    <n v="1"/>
    <s v=""/>
    <s v=""/>
    <s v=""/>
    <s v=""/>
    <s v=""/>
    <s v=""/>
    <s v=""/>
    <s v=""/>
    <s v=""/>
    <s v=""/>
    <s v="1&quot;"/>
    <n v="1"/>
  </r>
  <r>
    <s v="N121"/>
    <s v="N124"/>
    <n v="46.81"/>
    <x v="7"/>
    <x v="0"/>
    <s v="6&quot;"/>
    <n v="0"/>
    <s v=""/>
    <s v=""/>
    <s v=""/>
    <s v=""/>
    <s v=""/>
    <s v=""/>
    <s v=""/>
    <s v=""/>
    <s v=""/>
    <s v=""/>
    <s v=""/>
    <s v=""/>
    <s v=""/>
    <s v=""/>
    <s v=""/>
    <s v=""/>
  </r>
  <r>
    <s v="N124"/>
    <s v="TP87"/>
    <n v="14.4"/>
    <x v="7"/>
    <x v="0"/>
    <s v="6&quot;"/>
    <n v="1"/>
    <s v=""/>
    <s v=""/>
    <s v=""/>
    <s v=""/>
    <s v=""/>
    <s v=""/>
    <s v=""/>
    <s v=""/>
    <s v=""/>
    <s v=""/>
    <s v=""/>
    <s v=""/>
    <s v=""/>
    <s v=""/>
    <s v="6&quot;"/>
    <n v="1"/>
  </r>
  <r>
    <s v="N124"/>
    <s v="N125"/>
    <n v="209.42"/>
    <x v="7"/>
    <x v="0"/>
    <s v="6&quot;"/>
    <n v="1"/>
    <s v="6&quot;"/>
    <n v="1"/>
    <s v=""/>
    <s v=""/>
    <s v=""/>
    <s v=""/>
    <s v=""/>
    <s v=""/>
    <s v=""/>
    <s v=""/>
    <s v=""/>
    <s v=""/>
    <s v=""/>
    <s v=""/>
    <s v=""/>
    <s v=""/>
  </r>
  <r>
    <s v="N125"/>
    <s v="TP88"/>
    <n v="281.82"/>
    <x v="1"/>
    <x v="0"/>
    <s v="6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125"/>
    <s v="N126"/>
    <n v="33.86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</r>
  <r>
    <s v="N126"/>
    <s v="N127"/>
    <n v="67.27"/>
    <x v="0"/>
    <x v="2"/>
    <s v="6&quot;"/>
    <n v="1"/>
    <s v=""/>
    <s v=""/>
    <s v="3&quot;"/>
    <n v="1"/>
    <s v=""/>
    <s v=""/>
    <s v=""/>
    <s v=""/>
    <s v=""/>
    <s v=""/>
    <s v=""/>
    <s v=""/>
    <s v=""/>
    <s v=""/>
    <s v=""/>
    <s v=""/>
  </r>
  <r>
    <s v="N127"/>
    <s v="N128"/>
    <n v="54.97"/>
    <x v="0"/>
    <x v="2"/>
    <s v="3&quot;"/>
    <n v="1"/>
    <s v=""/>
    <s v=""/>
    <s v=""/>
    <s v=""/>
    <s v=""/>
    <s v=""/>
    <s v=""/>
    <s v=""/>
    <s v="3&quot;"/>
    <n v="1"/>
    <s v=""/>
    <s v=""/>
    <s v=""/>
    <s v=""/>
    <s v=""/>
    <s v=""/>
  </r>
  <r>
    <s v="N128"/>
    <s v="TP89"/>
    <n v="94.67"/>
    <x v="0"/>
    <x v="2"/>
    <s v="3&quot;"/>
    <n v="1"/>
    <s v=""/>
    <s v=""/>
    <s v=""/>
    <s v=""/>
    <s v=""/>
    <s v=""/>
    <s v=""/>
    <s v=""/>
    <s v=""/>
    <s v=""/>
    <s v=""/>
    <s v=""/>
    <s v=""/>
    <s v=""/>
    <s v="3&quot;"/>
    <n v="1"/>
  </r>
  <r>
    <s v="N128"/>
    <s v="TP90"/>
    <n v="146.37"/>
    <x v="0"/>
    <x v="2"/>
    <s v="3&quot;"/>
    <n v="1"/>
    <s v="3&quot;"/>
    <n v="1"/>
    <s v=""/>
    <s v=""/>
    <s v=""/>
    <s v=""/>
    <s v=""/>
    <s v=""/>
    <s v=""/>
    <s v=""/>
    <s v=""/>
    <s v=""/>
    <s v=""/>
    <s v=""/>
    <s v="3&quot;"/>
    <n v="1"/>
  </r>
  <r>
    <s v="N127"/>
    <s v="N129"/>
    <n v="15.09"/>
    <x v="0"/>
    <x v="2"/>
    <s v="3&quot;"/>
    <n v="1"/>
    <s v=""/>
    <s v=""/>
    <s v=""/>
    <s v=""/>
    <s v=""/>
    <s v=""/>
    <s v=""/>
    <s v=""/>
    <s v="3&quot;"/>
    <n v="1"/>
    <s v=""/>
    <s v=""/>
    <s v=""/>
    <s v=""/>
    <s v=""/>
    <s v=""/>
  </r>
  <r>
    <s v="N129"/>
    <s v="TP91"/>
    <n v="164.48"/>
    <x v="1"/>
    <x v="0"/>
    <s v="3&quot;"/>
    <n v="1"/>
    <s v="2&quot;"/>
    <n v="1"/>
    <s v="2&quot;"/>
    <n v="1"/>
    <s v=""/>
    <s v=""/>
    <s v=""/>
    <s v=""/>
    <s v=""/>
    <s v=""/>
    <s v=""/>
    <s v=""/>
    <s v=""/>
    <s v=""/>
    <s v="2&quot;"/>
    <n v="1"/>
  </r>
  <r>
    <s v="N129"/>
    <s v="TP92"/>
    <n v="91.22"/>
    <x v="0"/>
    <x v="2"/>
    <s v="3&quot;"/>
    <n v="1"/>
    <s v=""/>
    <s v=""/>
    <s v=""/>
    <s v=""/>
    <s v=""/>
    <s v=""/>
    <s v=""/>
    <s v=""/>
    <s v=""/>
    <s v=""/>
    <s v=""/>
    <s v=""/>
    <s v=""/>
    <s v=""/>
    <s v="3&quot;"/>
    <n v="1"/>
  </r>
  <r>
    <s v="N126"/>
    <s v="N130"/>
    <n v="44.4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</r>
  <r>
    <s v="N130"/>
    <s v="TP93"/>
    <n v="64.83"/>
    <x v="0"/>
    <x v="2"/>
    <s v="6&quot;"/>
    <n v="1"/>
    <s v=""/>
    <s v=""/>
    <s v="3&quot;"/>
    <n v="1"/>
    <s v=""/>
    <s v=""/>
    <s v=""/>
    <s v=""/>
    <s v=""/>
    <s v=""/>
    <s v=""/>
    <s v=""/>
    <s v=""/>
    <s v=""/>
    <s v="3&quot;"/>
    <n v="1"/>
  </r>
  <r>
    <s v="N130"/>
    <s v="M131"/>
    <n v="14.23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</r>
  <r>
    <s v="N131"/>
    <s v="TP94"/>
    <n v="56.03"/>
    <x v="0"/>
    <x v="2"/>
    <s v="6&quot;"/>
    <n v="1"/>
    <s v=""/>
    <s v=""/>
    <s v="3&quot;"/>
    <n v="1"/>
    <s v=""/>
    <s v=""/>
    <s v=""/>
    <s v=""/>
    <s v=""/>
    <s v=""/>
    <s v=""/>
    <s v=""/>
    <s v=""/>
    <s v=""/>
    <s v="3&quot;"/>
    <n v="1"/>
  </r>
  <r>
    <s v="N131"/>
    <s v="N132"/>
    <n v="65.84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</r>
  <r>
    <s v="N132"/>
    <s v="TP95"/>
    <n v="59.43"/>
    <x v="0"/>
    <x v="2"/>
    <s v="6&quot;"/>
    <n v="1"/>
    <s v=""/>
    <s v=""/>
    <s v="3&quot;"/>
    <n v="1"/>
    <s v=""/>
    <s v=""/>
    <s v=""/>
    <s v=""/>
    <s v=""/>
    <s v=""/>
    <s v=""/>
    <s v=""/>
    <s v=""/>
    <s v=""/>
    <s v="3&quot;"/>
    <n v="1"/>
  </r>
  <r>
    <s v="N132"/>
    <s v="N120"/>
    <n v="54.78"/>
    <x v="7"/>
    <x v="0"/>
    <s v="6&quot;"/>
    <n v="1"/>
    <s v=""/>
    <s v=""/>
    <s v=""/>
    <s v=""/>
    <s v=""/>
    <s v=""/>
    <s v=""/>
    <s v=""/>
    <s v="6&quot;"/>
    <n v="1"/>
    <s v=""/>
    <s v=""/>
    <s v=""/>
    <s v=""/>
    <s v=""/>
    <s v=""/>
  </r>
  <r>
    <s v="N120"/>
    <s v="N133"/>
    <n v="50.26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</r>
  <r>
    <s v="N133"/>
    <s v="TP96"/>
    <n v="63.11"/>
    <x v="1"/>
    <x v="0"/>
    <s v="4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133"/>
    <s v="N134"/>
    <n v="57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</r>
  <r>
    <s v="N134"/>
    <s v="N135"/>
    <n v="20.22"/>
    <x v="0"/>
    <x v="0"/>
    <s v=""/>
    <s v=""/>
    <s v=""/>
    <s v=""/>
    <s v="3&quot;"/>
    <n v="1"/>
    <s v=""/>
    <s v=""/>
    <s v=""/>
    <s v=""/>
    <s v="3&quot;"/>
    <n v="1"/>
    <s v=""/>
    <s v=""/>
    <s v=""/>
    <s v=""/>
    <s v=""/>
    <s v=""/>
  </r>
  <r>
    <s v="N76"/>
    <s v="N135"/>
    <n v="55.93"/>
    <x v="0"/>
    <x v="0"/>
    <s v=""/>
    <s v=""/>
    <s v="3&quot;"/>
    <n v="2"/>
    <s v="3&quot;"/>
    <n v="1"/>
    <s v=""/>
    <s v=""/>
    <s v=""/>
    <s v=""/>
    <s v=""/>
    <s v=""/>
    <s v=""/>
    <s v=""/>
    <s v=""/>
    <s v=""/>
    <s v=""/>
    <s v=""/>
  </r>
  <r>
    <s v="N135"/>
    <s v="N136"/>
    <n v="35.200000000000003"/>
    <x v="0"/>
    <x v="0"/>
    <s v="3&quot;"/>
    <n v="1"/>
    <s v=""/>
    <s v=""/>
    <s v=""/>
    <s v=""/>
    <s v=""/>
    <s v=""/>
    <s v=""/>
    <s v=""/>
    <s v="3&quot;"/>
    <n v="1"/>
    <s v=""/>
    <s v=""/>
    <s v=""/>
    <s v=""/>
    <s v=""/>
    <s v=""/>
  </r>
  <r>
    <s v="N136"/>
    <s v="TP97"/>
    <n v="34.369999999999997"/>
    <x v="0"/>
    <x v="0"/>
    <s v="3&quot;"/>
    <n v="1"/>
    <s v=""/>
    <s v=""/>
    <s v=""/>
    <s v=""/>
    <s v=""/>
    <s v=""/>
    <s v=""/>
    <s v=""/>
    <s v=""/>
    <s v=""/>
    <s v=""/>
    <s v=""/>
    <s v=""/>
    <s v=""/>
    <s v="3&quot;"/>
    <n v="1"/>
  </r>
  <r>
    <s v="N136"/>
    <s v="N137"/>
    <n v="20.57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137"/>
    <s v="N138"/>
    <n v="31.39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138"/>
    <s v="TP98"/>
    <n v="37.76"/>
    <x v="0"/>
    <x v="0"/>
    <s v="3&quot;"/>
    <n v="1"/>
    <s v=""/>
    <s v=""/>
    <s v=""/>
    <s v=""/>
    <s v=""/>
    <s v=""/>
    <s v=""/>
    <s v=""/>
    <s v=""/>
    <s v=""/>
    <s v=""/>
    <s v=""/>
    <s v=""/>
    <s v=""/>
    <s v="3&quot;"/>
    <n v="1"/>
  </r>
  <r>
    <s v="N138"/>
    <s v="TP99"/>
    <n v="40.71"/>
    <x v="0"/>
    <x v="0"/>
    <s v="3&quot;"/>
    <n v="1"/>
    <s v=""/>
    <s v=""/>
    <s v=""/>
    <s v=""/>
    <s v=""/>
    <s v=""/>
    <s v=""/>
    <s v=""/>
    <s v=""/>
    <s v=""/>
    <s v=""/>
    <s v=""/>
    <s v=""/>
    <s v=""/>
    <s v="3&quot;"/>
    <n v="1"/>
  </r>
  <r>
    <s v="N137"/>
    <s v="N139"/>
    <n v="58.95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139"/>
    <s v="N140"/>
    <n v="63.85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140"/>
    <s v="TP100"/>
    <n v="26.18"/>
    <x v="0"/>
    <x v="0"/>
    <s v="3&quot;"/>
    <n v="1"/>
    <s v=""/>
    <s v=""/>
    <s v=""/>
    <s v=""/>
    <s v=""/>
    <s v=""/>
    <s v=""/>
    <s v=""/>
    <s v=""/>
    <s v=""/>
    <s v=""/>
    <s v=""/>
    <s v=""/>
    <s v=""/>
    <s v="3&quot;"/>
    <n v="1"/>
  </r>
  <r>
    <s v="N140"/>
    <s v="N141"/>
    <n v="14.23"/>
    <x v="1"/>
    <x v="0"/>
    <s v="3&quot;"/>
    <n v="1"/>
    <s v=""/>
    <s v=""/>
    <s v="2&quot;"/>
    <n v="1"/>
    <s v=""/>
    <s v=""/>
    <s v=""/>
    <s v=""/>
    <s v="2&quot;"/>
    <n v="1"/>
    <s v=""/>
    <s v=""/>
    <s v=""/>
    <s v=""/>
    <s v=""/>
    <s v=""/>
  </r>
  <r>
    <s v="N141"/>
    <s v="TP101"/>
    <n v="21.96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141"/>
    <s v="N142"/>
    <n v="28.8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142"/>
    <s v="TP102"/>
    <n v="27.56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142"/>
    <s v="TP103"/>
    <n v="69.97"/>
    <x v="1"/>
    <x v="0"/>
    <s v="2&quot;"/>
    <n v="1"/>
    <s v="2&quot;"/>
    <n v="1"/>
    <s v=""/>
    <s v=""/>
    <s v=""/>
    <s v=""/>
    <s v=""/>
    <s v=""/>
    <s v=""/>
    <s v=""/>
    <s v=""/>
    <s v=""/>
    <s v=""/>
    <s v=""/>
    <s v="2&quot;"/>
    <n v="1"/>
  </r>
  <r>
    <s v="N135"/>
    <s v="N143"/>
    <n v="51.7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143"/>
    <s v="TP104"/>
    <n v="5.33"/>
    <x v="0"/>
    <x v="0"/>
    <s v="3&quot;"/>
    <n v="1"/>
    <s v=""/>
    <s v=""/>
    <s v=""/>
    <s v=""/>
    <s v=""/>
    <s v=""/>
    <s v=""/>
    <s v=""/>
    <s v=""/>
    <s v=""/>
    <s v=""/>
    <s v=""/>
    <s v=""/>
    <s v=""/>
    <s v="3&quot;"/>
    <n v="1"/>
  </r>
  <r>
    <s v="N143"/>
    <s v="N144"/>
    <n v="105.43"/>
    <x v="0"/>
    <x v="0"/>
    <s v="3&quot;"/>
    <n v="1"/>
    <s v="3&quot;"/>
    <n v="1"/>
    <s v=""/>
    <s v=""/>
    <s v=""/>
    <s v=""/>
    <s v=""/>
    <s v=""/>
    <s v=""/>
    <s v=""/>
    <s v=""/>
    <s v=""/>
    <s v=""/>
    <s v=""/>
    <s v=""/>
    <s v=""/>
  </r>
  <r>
    <s v="N144"/>
    <s v="N145"/>
    <n v="21.2"/>
    <x v="1"/>
    <x v="0"/>
    <s v="3&quot;"/>
    <n v="1"/>
    <s v=""/>
    <s v=""/>
    <s v="2&quot;"/>
    <n v="1"/>
    <s v=""/>
    <s v=""/>
    <s v=""/>
    <s v=""/>
    <s v="2&quot;"/>
    <n v="1"/>
    <s v=""/>
    <s v=""/>
    <s v=""/>
    <s v=""/>
    <s v=""/>
    <s v=""/>
  </r>
  <r>
    <s v="N145"/>
    <s v="TP105"/>
    <n v="80.569999999999993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145"/>
    <s v="N146"/>
    <n v="29.27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146"/>
    <s v="TP106"/>
    <n v="63.16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146"/>
    <s v="N147"/>
    <n v="37.99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147"/>
    <s v="TP107"/>
    <n v="65.91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147"/>
    <s v="TP108"/>
    <n v="124.41"/>
    <x v="1"/>
    <x v="0"/>
    <s v="2&quot;"/>
    <n v="1"/>
    <s v="2&quot;"/>
    <n v="1"/>
    <s v=""/>
    <s v=""/>
    <s v=""/>
    <s v=""/>
    <s v=""/>
    <s v=""/>
    <s v=""/>
    <s v=""/>
    <s v=""/>
    <s v=""/>
    <s v=""/>
    <s v=""/>
    <s v="2&quot;"/>
    <n v="1"/>
  </r>
  <r>
    <s v="N144"/>
    <s v="N148"/>
    <n v="113.31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139"/>
    <s v="N148"/>
    <n v="87.88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148"/>
    <s v="N149"/>
    <n v="18.82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149"/>
    <s v="TP109"/>
    <n v="51.18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149"/>
    <s v="N150"/>
    <n v="37.42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150"/>
    <s v="N151"/>
    <n v="34.89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"/>
    <s v=""/>
  </r>
  <r>
    <s v="N151"/>
    <s v="TP110"/>
    <n v="23.09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151"/>
    <s v="TP111"/>
    <n v="21.51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150"/>
    <s v="N152"/>
    <n v="63.6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152"/>
    <s v="N153"/>
    <n v="90.22"/>
    <x v="8"/>
    <x v="0"/>
    <s v="3&quot;"/>
    <n v="1"/>
    <s v=""/>
    <s v=""/>
    <s v=""/>
    <s v=""/>
    <s v="4&quot;"/>
    <n v="1"/>
    <s v=""/>
    <s v=""/>
    <s v="4&quot;"/>
    <n v="1"/>
    <s v=""/>
    <s v=""/>
    <s v=""/>
    <s v=""/>
    <s v=""/>
    <s v=""/>
  </r>
  <r>
    <s v="N153"/>
    <s v="N154"/>
    <n v="7.68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</r>
  <r>
    <s v="N154"/>
    <s v="N155"/>
    <n v="47.65"/>
    <x v="1"/>
    <x v="0"/>
    <s v="4&quot;"/>
    <n v="1"/>
    <s v=""/>
    <s v=""/>
    <s v="2&quot;"/>
    <n v="1"/>
    <s v=""/>
    <s v=""/>
    <s v=""/>
    <s v=""/>
    <s v=""/>
    <s v=""/>
    <s v=""/>
    <s v=""/>
    <s v=""/>
    <s v=""/>
    <s v=""/>
    <s v=""/>
  </r>
  <r>
    <s v="N155"/>
    <s v="TP112"/>
    <n v="53.98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155"/>
    <s v="N156"/>
    <n v="100.34"/>
    <x v="1"/>
    <x v="0"/>
    <s v="2&quot;"/>
    <n v="1"/>
    <s v="2&quot;"/>
    <n v="1"/>
    <s v=""/>
    <s v=""/>
    <s v=""/>
    <s v=""/>
    <s v=""/>
    <s v=""/>
    <s v=""/>
    <s v=""/>
    <s v=""/>
    <s v=""/>
    <s v=""/>
    <s v=""/>
    <s v=""/>
    <s v=""/>
  </r>
  <r>
    <s v="N156"/>
    <s v="TP113"/>
    <n v="33.3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156"/>
    <s v="N157"/>
    <n v="23.13"/>
    <x v="1"/>
    <x v="0"/>
    <s v="2&quot;"/>
    <n v="1"/>
    <s v="2&quot;"/>
    <n v="2"/>
    <s v=""/>
    <s v=""/>
    <s v=""/>
    <s v=""/>
    <s v=""/>
    <s v=""/>
    <s v=""/>
    <s v=""/>
    <s v=""/>
    <s v=""/>
    <s v=""/>
    <s v=""/>
    <s v=""/>
    <s v=""/>
  </r>
  <r>
    <s v="N157"/>
    <s v="TP114"/>
    <n v="24.04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157"/>
    <s v="TP115"/>
    <n v="27.52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153"/>
    <s v="N158"/>
    <n v="38.96"/>
    <x v="0"/>
    <x v="0"/>
    <s v="4&quot;"/>
    <n v="1"/>
    <s v=""/>
    <s v=""/>
    <s v="3&quot;"/>
    <n v="1"/>
    <s v=""/>
    <s v=""/>
    <s v=""/>
    <s v=""/>
    <s v=""/>
    <s v=""/>
    <s v=""/>
    <s v=""/>
    <s v=""/>
    <s v=""/>
    <s v=""/>
    <s v=""/>
  </r>
  <r>
    <s v="N158"/>
    <s v="N159"/>
    <n v="58.72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159"/>
    <s v="TP116"/>
    <n v="34.590000000000003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159"/>
    <s v="N160"/>
    <n v="5.4"/>
    <x v="0"/>
    <x v="0"/>
    <s v="3&quot;"/>
    <n v="1"/>
    <s v="3&quot;"/>
    <n v="1"/>
    <s v=""/>
    <s v=""/>
    <s v=""/>
    <s v=""/>
    <s v=""/>
    <s v=""/>
    <s v=""/>
    <s v=""/>
    <s v=""/>
    <s v=""/>
    <s v=""/>
    <s v=""/>
    <s v=""/>
    <s v=""/>
  </r>
  <r>
    <s v="N160"/>
    <s v="TP117"/>
    <n v="65.08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160"/>
    <s v="N161"/>
    <n v="86.95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161"/>
    <s v="TP118"/>
    <n v="141.99"/>
    <x v="1"/>
    <x v="0"/>
    <s v="3&quot;"/>
    <n v="1"/>
    <s v="2&quot;"/>
    <n v="1"/>
    <s v="2&quot;"/>
    <n v="1"/>
    <s v=""/>
    <s v=""/>
    <s v=""/>
    <s v=""/>
    <s v=""/>
    <s v=""/>
    <s v=""/>
    <s v=""/>
    <s v=""/>
    <s v=""/>
    <s v="2&quot;"/>
    <n v="1"/>
  </r>
  <r>
    <s v="N161"/>
    <s v="N162"/>
    <n v="50.04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162"/>
    <s v="TP119"/>
    <n v="64.650000000000006"/>
    <x v="1"/>
    <x v="0"/>
    <s v="3&quot;"/>
    <n v="1"/>
    <s v=""/>
    <s v=""/>
    <s v="2&quot;"/>
    <n v="1"/>
    <s v=""/>
    <s v=""/>
    <s v=""/>
    <s v=""/>
    <s v="2&quot;"/>
    <n v="1"/>
    <s v=""/>
    <s v=""/>
    <s v=""/>
    <s v=""/>
    <s v="2&quot;"/>
    <n v="1"/>
  </r>
  <r>
    <s v="N162"/>
    <s v="N163"/>
    <n v="92.99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"/>
    <s v=""/>
  </r>
  <r>
    <s v="N163"/>
    <s v="TP120"/>
    <n v="211.78"/>
    <x v="1"/>
    <x v="0"/>
    <s v="2&quot;"/>
    <n v="1"/>
    <s v="2&quot;"/>
    <n v="2"/>
    <s v=""/>
    <s v=""/>
    <s v=""/>
    <s v=""/>
    <s v=""/>
    <s v=""/>
    <s v=""/>
    <s v=""/>
    <s v=""/>
    <s v=""/>
    <s v=""/>
    <s v=""/>
    <s v="2&quot;"/>
    <n v="1"/>
  </r>
  <r>
    <s v="N163"/>
    <s v="N164"/>
    <n v="9.5"/>
    <x v="1"/>
    <x v="0"/>
    <s v="2&quot;"/>
    <n v="1"/>
    <s v="2&quot;"/>
    <n v="1"/>
    <s v=""/>
    <s v=""/>
    <s v=""/>
    <s v=""/>
    <s v=""/>
    <s v=""/>
    <s v="2&quot;"/>
    <n v="1"/>
    <s v=""/>
    <s v=""/>
    <s v=""/>
    <s v=""/>
    <s v=""/>
    <s v=""/>
  </r>
  <r>
    <s v="N164"/>
    <s v="TP121"/>
    <n v="73.48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164"/>
    <s v="TP122"/>
    <n v="126.32"/>
    <x v="1"/>
    <x v="0"/>
    <s v="2&quot;"/>
    <n v="1"/>
    <s v="2&quot;"/>
    <n v="1"/>
    <s v=""/>
    <s v=""/>
    <s v=""/>
    <s v=""/>
    <s v=""/>
    <s v=""/>
    <s v=""/>
    <s v=""/>
    <s v=""/>
    <s v=""/>
    <s v=""/>
    <s v=""/>
    <s v=""/>
    <s v=""/>
  </r>
  <r>
    <s v="N158"/>
    <s v="N165"/>
    <n v="407.28"/>
    <x v="8"/>
    <x v="0"/>
    <s v="3&quot;"/>
    <n v="1"/>
    <s v="4&quot;"/>
    <n v="3"/>
    <s v=""/>
    <s v=""/>
    <s v="4&quot;"/>
    <n v="1"/>
    <s v=""/>
    <s v=""/>
    <s v="4&quot;"/>
    <n v="1"/>
    <s v=""/>
    <s v=""/>
    <s v=""/>
    <s v=""/>
    <s v=""/>
    <s v=""/>
  </r>
  <r>
    <s v="N154"/>
    <s v="N166"/>
    <n v="75.709999999999994"/>
    <x v="1"/>
    <x v="0"/>
    <s v="2&quot;"/>
    <n v="1"/>
    <s v="2&quot;"/>
    <n v="1"/>
    <s v=""/>
    <s v=""/>
    <s v=""/>
    <s v=""/>
    <s v=""/>
    <s v=""/>
    <s v=""/>
    <s v=""/>
    <s v=""/>
    <s v=""/>
    <s v=""/>
    <s v=""/>
    <s v=""/>
    <s v=""/>
  </r>
  <r>
    <s v="N166"/>
    <s v="TP123"/>
    <n v="140.82"/>
    <x v="1"/>
    <x v="0"/>
    <s v="2&quot;"/>
    <n v="1"/>
    <s v="2&quot;"/>
    <n v="2"/>
    <s v=""/>
    <s v=""/>
    <s v=""/>
    <s v=""/>
    <s v=""/>
    <s v=""/>
    <s v=""/>
    <s v=""/>
    <s v=""/>
    <s v=""/>
    <s v=""/>
    <s v=""/>
    <s v="2&quot;"/>
    <n v="1"/>
  </r>
  <r>
    <s v="N166"/>
    <s v="N167"/>
    <n v="177.73"/>
    <x v="1"/>
    <x v="0"/>
    <s v="2&quot;"/>
    <n v="1"/>
    <s v="2&quot;"/>
    <n v="2"/>
    <s v=""/>
    <s v=""/>
    <s v=""/>
    <s v=""/>
    <s v=""/>
    <s v=""/>
    <s v=""/>
    <s v=""/>
    <s v=""/>
    <s v=""/>
    <s v=""/>
    <s v=""/>
    <s v=""/>
    <s v=""/>
  </r>
  <r>
    <s v="N167"/>
    <s v="TP124"/>
    <n v="61.93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167"/>
    <s v="TP125"/>
    <n v="36.67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135"/>
    <s v="N168"/>
    <n v="83.24"/>
    <x v="1"/>
    <x v="0"/>
    <s v="3&quot;"/>
    <n v="1"/>
    <s v="2&quot;"/>
    <n v="2"/>
    <s v="2&quot;"/>
    <n v="1"/>
    <s v=""/>
    <s v=""/>
    <s v=""/>
    <s v=""/>
    <s v="2&quot;"/>
    <n v="1"/>
    <s v=""/>
    <s v=""/>
    <s v=""/>
    <s v=""/>
    <s v=""/>
    <s v=""/>
  </r>
  <r>
    <s v="N168"/>
    <s v="TP126"/>
    <n v="40.68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168"/>
    <s v="TP127"/>
    <n v="95.48"/>
    <x v="1"/>
    <x v="0"/>
    <s v="2&quot;"/>
    <n v="1"/>
    <s v="2&quot;"/>
    <n v="1"/>
    <s v=""/>
    <s v=""/>
    <s v=""/>
    <s v=""/>
    <s v=""/>
    <s v=""/>
    <s v=""/>
    <s v=""/>
    <s v=""/>
    <s v=""/>
    <s v=""/>
    <s v=""/>
    <s v="2&quot;"/>
    <n v="1"/>
  </r>
  <r>
    <s v="N135"/>
    <s v="N169"/>
    <n v="3.5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T.PROGRESO2"/>
    <s v="N170"/>
    <n v="75.430000000000007"/>
    <x v="1"/>
    <x v="0"/>
    <s v=""/>
    <s v=""/>
    <s v="2&quot;"/>
    <n v="2"/>
    <s v=""/>
    <s v=""/>
    <s v=""/>
    <s v=""/>
    <s v=""/>
    <s v=""/>
    <s v=""/>
    <s v=""/>
    <s v=""/>
    <s v=""/>
    <s v=""/>
    <s v=""/>
    <s v=""/>
    <s v=""/>
  </r>
  <r>
    <s v="N170"/>
    <s v="TP128"/>
    <n v="36.94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0"/>
  </r>
  <r>
    <s v="N170"/>
    <s v="N171"/>
    <n v="106"/>
    <x v="9"/>
    <x v="0"/>
    <s v="2&quot;"/>
    <n v="1"/>
    <s v=""/>
    <s v=""/>
    <s v="1 1/2&quot;"/>
    <n v="1"/>
    <s v=""/>
    <s v=""/>
    <s v=""/>
    <s v=""/>
    <s v=""/>
    <s v=""/>
    <s v=""/>
    <s v=""/>
    <s v=""/>
    <s v=""/>
    <s v=""/>
    <s v=""/>
  </r>
  <r>
    <s v="N171"/>
    <s v="TP129"/>
    <n v="107.63"/>
    <x v="9"/>
    <x v="0"/>
    <s v="1 1/2&quot;"/>
    <n v="1"/>
    <s v=""/>
    <s v=""/>
    <s v=""/>
    <s v=""/>
    <s v=""/>
    <s v=""/>
    <s v=""/>
    <s v=""/>
    <s v=""/>
    <s v=""/>
    <s v=""/>
    <s v=""/>
    <s v=""/>
    <s v=""/>
    <s v="1 1/2&quot;"/>
    <n v="1"/>
  </r>
  <r>
    <s v="N171"/>
    <s v="N172"/>
    <n v="51"/>
    <x v="9"/>
    <x v="0"/>
    <s v="1 1/2&quot;"/>
    <n v="1"/>
    <s v=""/>
    <s v=""/>
    <s v="1 1/2&quot;"/>
    <n v="1"/>
    <s v=""/>
    <s v=""/>
    <s v=""/>
    <s v=""/>
    <s v=""/>
    <s v=""/>
    <s v=""/>
    <s v=""/>
    <s v=""/>
    <s v=""/>
    <s v=""/>
    <s v=""/>
  </r>
  <r>
    <s v="N172"/>
    <s v="TP130"/>
    <n v="56.01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172"/>
    <s v="N173"/>
    <n v="41.98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173"/>
    <s v="TP131"/>
    <n v="21.55"/>
    <x v="9"/>
    <x v="0"/>
    <s v="2&quot;"/>
    <n v="1"/>
    <s v=""/>
    <s v=""/>
    <s v="1 1/2&quot;"/>
    <n v="1"/>
    <s v=""/>
    <s v=""/>
    <s v=""/>
    <s v=""/>
    <s v=""/>
    <s v=""/>
    <s v=""/>
    <s v=""/>
    <s v=""/>
    <s v=""/>
    <s v="1 1/2&quot;"/>
    <n v="1"/>
  </r>
  <r>
    <s v="N173"/>
    <s v="N174"/>
    <n v="107.25"/>
    <x v="1"/>
    <x v="0"/>
    <s v="2&quot;"/>
    <n v="1"/>
    <s v="2&quot;"/>
    <n v="1"/>
    <s v=""/>
    <s v=""/>
    <s v=""/>
    <s v=""/>
    <s v=""/>
    <s v=""/>
    <s v=""/>
    <s v=""/>
    <s v=""/>
    <s v=""/>
    <s v=""/>
    <s v=""/>
    <s v=""/>
    <s v=""/>
  </r>
  <r>
    <s v="N174"/>
    <s v="N175"/>
    <n v="70.02"/>
    <x v="9"/>
    <x v="0"/>
    <s v="2&quot;"/>
    <n v="1"/>
    <s v=""/>
    <s v=""/>
    <s v="1 1/2&quot;"/>
    <n v="1"/>
    <s v=""/>
    <s v=""/>
    <s v=""/>
    <s v=""/>
    <s v=""/>
    <s v=""/>
    <s v=""/>
    <s v=""/>
    <s v=""/>
    <s v=""/>
    <s v=""/>
    <s v=""/>
  </r>
  <r>
    <s v="N175"/>
    <s v="TP132"/>
    <n v="56.24"/>
    <x v="9"/>
    <x v="0"/>
    <s v="1 1/2&quot;"/>
    <n v="1"/>
    <s v=""/>
    <s v=""/>
    <s v=""/>
    <s v=""/>
    <s v=""/>
    <s v=""/>
    <s v=""/>
    <s v=""/>
    <s v=""/>
    <s v=""/>
    <s v=""/>
    <s v=""/>
    <s v=""/>
    <s v=""/>
    <s v="1 1/2&quot;"/>
    <n v="1"/>
  </r>
  <r>
    <s v="N175"/>
    <s v="TP133"/>
    <n v="59.23"/>
    <x v="9"/>
    <x v="0"/>
    <s v="1 1/2&quot;"/>
    <n v="1"/>
    <s v=""/>
    <s v=""/>
    <s v=""/>
    <s v=""/>
    <s v=""/>
    <s v=""/>
    <s v=""/>
    <s v=""/>
    <s v=""/>
    <s v=""/>
    <s v=""/>
    <s v=""/>
    <s v=""/>
    <s v=""/>
    <s v="1 1/2&quot;"/>
    <n v="1"/>
  </r>
  <r>
    <s v="N174"/>
    <s v="N176"/>
    <n v="163.18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176"/>
    <s v="TP134"/>
    <n v="121.98"/>
    <x v="9"/>
    <x v="0"/>
    <s v="2&quot;"/>
    <n v="1"/>
    <s v="1 1/2&quot;"/>
    <n v="1"/>
    <s v="1 1/2&quot;"/>
    <n v="1"/>
    <s v=""/>
    <s v=""/>
    <s v=""/>
    <s v=""/>
    <s v=""/>
    <s v=""/>
    <s v=""/>
    <s v=""/>
    <s v=""/>
    <s v=""/>
    <s v="1 1/2&quot;"/>
    <n v="1"/>
  </r>
  <r>
    <s v="N176"/>
    <s v="N177"/>
    <n v="125.93"/>
    <x v="9"/>
    <x v="0"/>
    <s v="2&quot;"/>
    <n v="1"/>
    <s v=""/>
    <s v=""/>
    <s v="1 1/2&quot;"/>
    <n v="1"/>
    <s v=""/>
    <s v=""/>
    <s v=""/>
    <s v=""/>
    <s v=""/>
    <s v=""/>
    <s v=""/>
    <s v=""/>
    <s v=""/>
    <s v=""/>
    <s v=""/>
    <s v=""/>
  </r>
  <r>
    <s v="N177"/>
    <s v="T.PROGRESO1"/>
    <n v="3.11"/>
    <x v="9"/>
    <x v="0"/>
    <s v="1 1/2&quot;"/>
    <n v="1"/>
    <s v=""/>
    <s v=""/>
    <s v=""/>
    <s v=""/>
    <s v=""/>
    <s v=""/>
    <s v=""/>
    <s v=""/>
    <s v=""/>
    <s v=""/>
    <s v=""/>
    <s v=""/>
    <s v=""/>
    <s v=""/>
    <s v=""/>
    <s v=""/>
  </r>
  <r>
    <s v="N177"/>
    <s v="TP135"/>
    <n v="116.71"/>
    <x v="10"/>
    <x v="0"/>
    <s v="1 1/2&quot;"/>
    <n v="1"/>
    <s v=""/>
    <s v=""/>
    <s v="1/2&quot;"/>
    <n v="1"/>
    <s v=""/>
    <s v=""/>
    <s v=""/>
    <s v=""/>
    <s v=""/>
    <s v=""/>
    <s v=""/>
    <s v=""/>
    <s v=""/>
    <s v=""/>
    <s v="1/2&quot;"/>
    <n v="1"/>
  </r>
  <r>
    <s v="T.PROGRESO2"/>
    <s v="T.PROGRESO1"/>
    <n v="269.97000000000003"/>
    <x v="11"/>
    <x v="0"/>
    <s v=""/>
    <s v=""/>
    <s v="2 1/2&quot;"/>
    <n v="6"/>
    <s v=""/>
    <s v=""/>
    <s v=""/>
    <s v=""/>
    <s v=""/>
    <s v=""/>
    <s v=""/>
    <s v=""/>
    <s v=""/>
    <s v=""/>
    <s v=""/>
    <s v=""/>
    <s v=""/>
    <s v=""/>
  </r>
  <r>
    <s v="T.PROGRESO1"/>
    <s v="N178"/>
    <n v="4.13"/>
    <x v="1"/>
    <x v="0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78"/>
    <s v="N179"/>
    <n v="27.7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179"/>
    <s v="N180"/>
    <n v="71.38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180"/>
    <s v="TP136"/>
    <n v="25.76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180"/>
    <s v="TP137"/>
    <n v="40.119999999999997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179"/>
    <s v="N181"/>
    <n v="128.84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181"/>
    <s v="TP138"/>
    <n v="68.709999999999994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181"/>
    <s v="TP139"/>
    <n v="136.31"/>
    <x v="1"/>
    <x v="0"/>
    <s v="2&quot;"/>
    <n v="1"/>
    <s v="2&quot;"/>
    <n v="3"/>
    <s v=""/>
    <s v=""/>
    <s v=""/>
    <s v=""/>
    <s v=""/>
    <s v=""/>
    <s v=""/>
    <s v=""/>
    <s v=""/>
    <s v=""/>
    <s v=""/>
    <s v=""/>
    <s v="2&quot;"/>
    <n v="1"/>
  </r>
  <r>
    <s v="N178"/>
    <s v="N182"/>
    <n v="449.12"/>
    <x v="9"/>
    <x v="0"/>
    <s v="2&quot;"/>
    <n v="1"/>
    <s v="1 1/2&quot;"/>
    <n v="1"/>
    <s v="1 1/2&quot;"/>
    <n v="1"/>
    <s v=""/>
    <s v=""/>
    <s v=""/>
    <s v=""/>
    <s v=""/>
    <s v=""/>
    <s v=""/>
    <s v=""/>
    <s v=""/>
    <s v=""/>
    <s v=""/>
    <s v=""/>
  </r>
  <r>
    <s v="N182"/>
    <s v="TP140"/>
    <n v="39.049999999999997"/>
    <x v="1"/>
    <x v="0"/>
    <s v="1 1/2&quot;"/>
    <n v="1"/>
    <s v=""/>
    <s v=""/>
    <s v=""/>
    <s v=""/>
    <s v="2&quot;"/>
    <n v="1"/>
    <s v=""/>
    <s v=""/>
    <s v=""/>
    <s v=""/>
    <s v=""/>
    <s v=""/>
    <s v=""/>
    <s v=""/>
    <s v="2&quot;"/>
    <n v="1"/>
  </r>
  <r>
    <s v="N182"/>
    <s v="TP141"/>
    <n v="199.22"/>
    <x v="9"/>
    <x v="0"/>
    <s v="1 1/2&quot;"/>
    <n v="1"/>
    <s v=""/>
    <s v=""/>
    <s v=""/>
    <s v=""/>
    <s v=""/>
    <s v=""/>
    <s v=""/>
    <s v=""/>
    <s v=""/>
    <s v=""/>
    <s v=""/>
    <s v=""/>
    <s v=""/>
    <s v=""/>
    <s v="1 1/2&quot;"/>
    <n v="1"/>
  </r>
  <r>
    <s v="T.PROGRESO1"/>
    <s v="E.B.2"/>
    <n v="769.04"/>
    <x v="11"/>
    <x v="0"/>
    <s v=""/>
    <s v=""/>
    <s v="2 1/2&quot;"/>
    <n v="3"/>
    <s v=""/>
    <s v=""/>
    <s v=""/>
    <s v=""/>
    <s v=""/>
    <s v=""/>
    <s v=""/>
    <s v=""/>
    <s v=""/>
    <s v=""/>
    <s v=""/>
    <s v=""/>
    <s v=""/>
    <s v=""/>
  </r>
  <r>
    <s v="E.B.2"/>
    <s v="N183"/>
    <n v="16.73"/>
    <x v="0"/>
    <x v="0"/>
    <s v=""/>
    <s v=""/>
    <s v="3&quot;"/>
    <n v="1"/>
    <s v=""/>
    <s v=""/>
    <s v=""/>
    <s v=""/>
    <s v=""/>
    <s v=""/>
    <s v=""/>
    <s v=""/>
    <s v=""/>
    <s v=""/>
    <s v=""/>
    <s v=""/>
    <s v=""/>
    <s v=""/>
  </r>
  <r>
    <s v="N183"/>
    <s v="N184"/>
    <n v="49.15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184"/>
    <s v="TP142"/>
    <n v="5.45"/>
    <x v="0"/>
    <x v="0"/>
    <s v="3&quot;"/>
    <n v="1"/>
    <s v=""/>
    <s v=""/>
    <s v=""/>
    <s v=""/>
    <s v=""/>
    <s v=""/>
    <s v=""/>
    <s v=""/>
    <s v="3&quot;"/>
    <n v="1"/>
    <s v=""/>
    <s v=""/>
    <s v=""/>
    <s v=""/>
    <s v="3&quot;"/>
    <n v="1"/>
  </r>
  <r>
    <s v="N184"/>
    <s v="N185"/>
    <n v="608.84"/>
    <x v="1"/>
    <x v="0"/>
    <s v="3&quot;"/>
    <n v="1"/>
    <s v="2&quot;"/>
    <n v="1"/>
    <s v="2&quot;"/>
    <n v="1"/>
    <s v=""/>
    <s v=""/>
    <s v=""/>
    <s v=""/>
    <s v=""/>
    <s v=""/>
    <s v=""/>
    <s v=""/>
    <s v=""/>
    <s v=""/>
    <s v=""/>
    <s v=""/>
  </r>
  <r>
    <s v="N185"/>
    <s v="TP143"/>
    <n v="204.67"/>
    <x v="1"/>
    <x v="0"/>
    <s v="2&quot;"/>
    <n v="1"/>
    <s v="2&quot;"/>
    <n v="1"/>
    <s v=""/>
    <s v=""/>
    <s v=""/>
    <s v=""/>
    <s v=""/>
    <s v=""/>
    <s v="2&quot;"/>
    <n v="1"/>
    <s v=""/>
    <s v=""/>
    <s v=""/>
    <s v=""/>
    <s v="2&quot;"/>
    <n v="1"/>
  </r>
  <r>
    <s v="N185"/>
    <s v="TP144"/>
    <n v="70.73"/>
    <x v="1"/>
    <x v="0"/>
    <s v="2&quot;"/>
    <n v="1"/>
    <s v="2&quot;"/>
    <n v="1"/>
    <s v=""/>
    <s v=""/>
    <s v=""/>
    <s v=""/>
    <s v=""/>
    <s v=""/>
    <s v=""/>
    <s v=""/>
    <s v=""/>
    <s v=""/>
    <s v=""/>
    <s v=""/>
    <s v="2&quot;"/>
    <n v="1"/>
  </r>
  <r>
    <s v="N183"/>
    <s v="N186"/>
    <n v="264.85000000000002"/>
    <x v="8"/>
    <x v="0"/>
    <s v="3&quot;"/>
    <n v="1"/>
    <s v="4&quot;"/>
    <n v="1"/>
    <s v=""/>
    <s v=""/>
    <s v="4&quot;"/>
    <n v="1"/>
    <s v=""/>
    <s v=""/>
    <s v="4&quot;"/>
    <n v="1"/>
    <s v=""/>
    <s v=""/>
    <s v=""/>
    <s v=""/>
    <s v=""/>
    <s v=""/>
  </r>
  <r>
    <s v="N186"/>
    <s v="N187"/>
    <n v="75.06"/>
    <x v="0"/>
    <x v="0"/>
    <s v="4&quot;"/>
    <n v="1"/>
    <s v=""/>
    <s v=""/>
    <s v="3&quot;"/>
    <n v="1"/>
    <s v=""/>
    <s v=""/>
    <s v=""/>
    <s v=""/>
    <s v="3&quot;"/>
    <n v="1"/>
    <s v=""/>
    <s v=""/>
    <s v=""/>
    <s v=""/>
    <s v=""/>
    <s v=""/>
  </r>
  <r>
    <s v="N187"/>
    <s v="N188"/>
    <n v="91.35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187"/>
    <s v="N189"/>
    <n v="165.78"/>
    <x v="0"/>
    <x v="0"/>
    <s v="3&quot;"/>
    <n v="1"/>
    <s v="3&quot;"/>
    <n v="1"/>
    <s v=""/>
    <s v=""/>
    <s v=""/>
    <s v=""/>
    <s v=""/>
    <s v=""/>
    <s v=""/>
    <s v=""/>
    <s v=""/>
    <s v=""/>
    <s v=""/>
    <s v=""/>
    <s v=""/>
    <s v=""/>
  </r>
  <r>
    <s v="N188"/>
    <s v="N189"/>
    <n v="68.739999999999995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189"/>
    <s v="N169"/>
    <n v="25.06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186"/>
    <s v="N190"/>
    <n v="120.2"/>
    <x v="0"/>
    <x v="0"/>
    <s v="4&quot;"/>
    <n v="1"/>
    <s v=""/>
    <s v=""/>
    <s v="3&quot;"/>
    <n v="1"/>
    <s v=""/>
    <s v=""/>
    <s v=""/>
    <s v=""/>
    <s v=""/>
    <s v=""/>
    <s v=""/>
    <s v=""/>
    <s v=""/>
    <s v=""/>
    <s v=""/>
    <s v=""/>
  </r>
  <r>
    <s v="N190"/>
    <s v="TP145"/>
    <n v="77.260000000000005"/>
    <x v="1"/>
    <x v="0"/>
    <s v="3&quot;"/>
    <n v="1"/>
    <s v="2&quot;"/>
    <n v="1"/>
    <s v="2&quot;"/>
    <n v="1"/>
    <s v=""/>
    <s v=""/>
    <s v=""/>
    <s v=""/>
    <s v="2&quot;"/>
    <n v="1"/>
    <s v=""/>
    <s v=""/>
    <s v=""/>
    <s v=""/>
    <s v="2&quot;"/>
    <n v="1"/>
  </r>
  <r>
    <s v="N190"/>
    <s v="N191"/>
    <n v="26.03"/>
    <x v="0"/>
    <x v="0"/>
    <s v="3&quot;"/>
    <n v="1"/>
    <s v="3&quot;"/>
    <n v="2"/>
    <s v=""/>
    <s v=""/>
    <s v=""/>
    <s v=""/>
    <s v=""/>
    <s v=""/>
    <s v=""/>
    <s v=""/>
    <s v=""/>
    <s v=""/>
    <s v=""/>
    <s v=""/>
    <s v=""/>
    <s v=""/>
  </r>
  <r>
    <s v="N188"/>
    <s v="N191"/>
    <n v="90.85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191"/>
    <s v="N192"/>
    <n v="40.299999999999997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169"/>
    <s v="N165"/>
    <n v="35.39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165"/>
    <s v="N192"/>
    <n v="122.44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192"/>
    <s v="N193"/>
    <n v="97.56"/>
    <x v="0"/>
    <x v="0"/>
    <s v="3&quot;"/>
    <n v="1"/>
    <s v=""/>
    <s v=""/>
    <s v=""/>
    <s v=""/>
    <s v=""/>
    <s v=""/>
    <s v=""/>
    <s v=""/>
    <s v="3&quot;"/>
    <n v="1"/>
    <s v=""/>
    <s v=""/>
    <s v=""/>
    <s v=""/>
    <s v=""/>
    <s v=""/>
  </r>
  <r>
    <s v="N193"/>
    <s v="N194"/>
    <n v="60.54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194"/>
    <s v="TP146"/>
    <n v="34.83"/>
    <x v="6"/>
    <x v="4"/>
    <s v="3&quot;"/>
    <n v="1"/>
    <s v=""/>
    <s v=""/>
    <s v="1&quot;"/>
    <n v="1"/>
    <s v=""/>
    <s v=""/>
    <s v=""/>
    <s v=""/>
    <s v=""/>
    <s v=""/>
    <s v=""/>
    <s v=""/>
    <s v=""/>
    <s v=""/>
    <s v="1&quot;"/>
    <n v="1"/>
  </r>
  <r>
    <s v="N194"/>
    <s v="N195"/>
    <n v="42.28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195"/>
    <s v="TP147"/>
    <n v="40.229999999999997"/>
    <x v="6"/>
    <x v="4"/>
    <s v="3&quot;"/>
    <n v="1"/>
    <s v=""/>
    <s v=""/>
    <s v="1&quot;"/>
    <n v="1"/>
    <s v=""/>
    <s v=""/>
    <s v=""/>
    <s v=""/>
    <s v=""/>
    <s v=""/>
    <s v=""/>
    <s v=""/>
    <s v=""/>
    <s v=""/>
    <s v="1&quot;"/>
    <n v="1"/>
  </r>
  <r>
    <s v="N195"/>
    <s v="N196"/>
    <n v="136.86000000000001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196"/>
    <s v="N197"/>
    <n v="69.08"/>
    <x v="1"/>
    <x v="0"/>
    <s v="3&quot;"/>
    <n v="1"/>
    <s v=""/>
    <s v=""/>
    <s v="2&quot;"/>
    <n v="1"/>
    <s v=""/>
    <s v=""/>
    <s v=""/>
    <s v=""/>
    <s v="2&quot;"/>
    <n v="1"/>
    <s v=""/>
    <s v=""/>
    <s v=""/>
    <s v=""/>
    <s v=""/>
    <s v=""/>
  </r>
  <r>
    <s v="N197"/>
    <s v="TP148"/>
    <n v="12.85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197"/>
    <s v="TP149"/>
    <n v="13.19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196"/>
    <s v="N198"/>
    <n v="159.36000000000001"/>
    <x v="0"/>
    <x v="0"/>
    <s v="3&quot;"/>
    <n v="1"/>
    <s v="3&quot;"/>
    <n v="1"/>
    <s v=""/>
    <s v=""/>
    <s v=""/>
    <s v=""/>
    <s v=""/>
    <s v=""/>
    <s v="3&quot;"/>
    <n v="1"/>
    <s v=""/>
    <s v=""/>
    <s v=""/>
    <s v=""/>
    <s v=""/>
    <s v=""/>
  </r>
  <r>
    <s v="N198"/>
    <s v="TP150"/>
    <n v="80.23"/>
    <x v="1"/>
    <x v="0"/>
    <s v="3&quot;"/>
    <n v="1"/>
    <s v=""/>
    <s v=""/>
    <s v="2&quot;"/>
    <n v="1"/>
    <s v=""/>
    <s v=""/>
    <s v=""/>
    <s v=""/>
    <s v="2&quot;"/>
    <n v="1"/>
    <s v=""/>
    <s v=""/>
    <s v=""/>
    <s v=""/>
    <s v="2&quot;"/>
    <n v="1"/>
  </r>
  <r>
    <s v="N198"/>
    <s v="N199"/>
    <n v="163.66999999999999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152"/>
    <s v="N200"/>
    <n v="44.75"/>
    <x v="0"/>
    <x v="0"/>
    <s v="3&quot;"/>
    <n v="1"/>
    <s v=""/>
    <s v=""/>
    <s v=""/>
    <s v=""/>
    <s v=""/>
    <s v=""/>
    <s v=""/>
    <s v=""/>
    <s v="3&quot;"/>
    <n v="1"/>
    <s v=""/>
    <s v=""/>
    <s v=""/>
    <s v=""/>
    <s v=""/>
    <s v=""/>
  </r>
  <r>
    <s v="N200"/>
    <s v="TP151"/>
    <n v="36.86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200"/>
    <s v="N201"/>
    <n v="122.85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201"/>
    <s v="N202"/>
    <n v="56.09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202"/>
    <s v="TP152"/>
    <n v="71.86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202"/>
    <s v="N203"/>
    <n v="44.44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203"/>
    <s v="TP153"/>
    <n v="64.63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203"/>
    <s v="N204"/>
    <n v="20.96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204"/>
    <s v="TP154"/>
    <n v="20.28"/>
    <x v="1"/>
    <x v="0"/>
    <s v="3&quot;"/>
    <n v="1"/>
    <s v=""/>
    <s v=""/>
    <s v="2&quot;"/>
    <n v="1"/>
    <s v=""/>
    <s v=""/>
    <s v=""/>
    <s v=""/>
    <s v="2&quot;"/>
    <n v="1"/>
    <s v=""/>
    <s v=""/>
    <s v=""/>
    <s v=""/>
    <s v="2&quot;"/>
    <n v="1"/>
  </r>
  <r>
    <s v="N204"/>
    <s v="N205"/>
    <n v="26.62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205"/>
    <s v="TP155"/>
    <n v="61.35"/>
    <x v="9"/>
    <x v="0"/>
    <s v="3&quot;"/>
    <n v="1"/>
    <s v=""/>
    <s v=""/>
    <s v="1 1/2&quot;"/>
    <n v="1"/>
    <s v=""/>
    <s v=""/>
    <s v=""/>
    <s v=""/>
    <s v=""/>
    <s v=""/>
    <s v=""/>
    <s v=""/>
    <s v=""/>
    <s v=""/>
    <s v="1 1/2&quot;"/>
    <n v="1"/>
  </r>
  <r>
    <s v="N205"/>
    <s v="N206"/>
    <n v="11.88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206"/>
    <s v="N207"/>
    <n v="21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"/>
    <s v=""/>
  </r>
  <r>
    <s v="N206"/>
    <s v="N208"/>
    <n v="32.17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208"/>
    <s v="TP156"/>
    <n v="54.67"/>
    <x v="1"/>
    <x v="0"/>
    <s v="3&quot;"/>
    <n v="1"/>
    <s v=""/>
    <s v=""/>
    <s v="2&quot;"/>
    <n v="1"/>
    <s v=""/>
    <s v=""/>
    <s v=""/>
    <s v=""/>
    <s v="2&quot;"/>
    <n v="1"/>
    <s v=""/>
    <s v=""/>
    <s v=""/>
    <s v=""/>
    <s v="2&quot;"/>
    <n v="1"/>
  </r>
  <r>
    <s v="N208"/>
    <s v="N209"/>
    <n v="100.62"/>
    <x v="0"/>
    <x v="0"/>
    <s v="3&quot;"/>
    <n v="1"/>
    <s v=""/>
    <s v=""/>
    <s v="3&quot;"/>
    <n v="1"/>
    <s v=""/>
    <s v=""/>
    <s v=""/>
    <s v=""/>
    <s v="3&quot;"/>
    <n v="2"/>
    <s v=""/>
    <s v=""/>
    <s v=""/>
    <s v=""/>
    <s v=""/>
    <s v=""/>
  </r>
  <r>
    <s v="N201"/>
    <s v="N210"/>
    <n v="54.97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210"/>
    <s v="N211"/>
    <n v="245.47"/>
    <x v="1"/>
    <x v="0"/>
    <s v="3&quot;"/>
    <n v="1"/>
    <s v=""/>
    <s v=""/>
    <s v="2&quot;"/>
    <n v="2"/>
    <s v=""/>
    <s v=""/>
    <s v=""/>
    <s v=""/>
    <s v=""/>
    <s v=""/>
    <s v=""/>
    <s v=""/>
    <s v=""/>
    <s v=""/>
    <s v=""/>
    <s v=""/>
  </r>
  <r>
    <s v="N211"/>
    <s v="N212"/>
    <n v="160.86000000000001"/>
    <x v="0"/>
    <x v="1"/>
    <s v="3&quot;"/>
    <n v="1"/>
    <s v=""/>
    <s v=""/>
    <s v=""/>
    <s v=""/>
    <s v=""/>
    <s v=""/>
    <s v=""/>
    <s v=""/>
    <s v="3&quot;"/>
    <n v="1"/>
    <s v=""/>
    <s v=""/>
    <s v=""/>
    <s v=""/>
    <s v=""/>
    <s v=""/>
  </r>
  <r>
    <s v="N212"/>
    <s v="N213"/>
    <n v="47.04"/>
    <x v="0"/>
    <x v="0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13"/>
    <s v="TP157"/>
    <n v="122.38"/>
    <x v="1"/>
    <x v="0"/>
    <s v="3&quot;"/>
    <n v="1"/>
    <s v="2&quot;"/>
    <n v="2"/>
    <s v="2&quot;"/>
    <n v="1"/>
    <s v=""/>
    <s v=""/>
    <s v=""/>
    <s v=""/>
    <s v=""/>
    <s v=""/>
    <s v=""/>
    <s v=""/>
    <s v=""/>
    <s v=""/>
    <s v="2&quot;"/>
    <n v="1"/>
  </r>
  <r>
    <s v="N213"/>
    <s v="N214"/>
    <n v="46.62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214"/>
    <s v="TP158"/>
    <n v="22.03"/>
    <x v="0"/>
    <x v="0"/>
    <s v="3&quot;"/>
    <n v="1"/>
    <s v=""/>
    <s v=""/>
    <s v=""/>
    <s v=""/>
    <s v=""/>
    <s v=""/>
    <s v=""/>
    <s v=""/>
    <s v=""/>
    <s v=""/>
    <s v=""/>
    <s v=""/>
    <s v=""/>
    <s v=""/>
    <s v="3&quot;"/>
    <n v="1"/>
  </r>
  <r>
    <s v="N214"/>
    <s v="N215"/>
    <n v="45.51"/>
    <x v="0"/>
    <x v="0"/>
    <s v="3&quot;"/>
    <n v="1"/>
    <s v=""/>
    <s v=""/>
    <s v=""/>
    <s v=""/>
    <s v=""/>
    <s v=""/>
    <s v=""/>
    <s v=""/>
    <s v="3&quot;"/>
    <n v="1"/>
    <s v=""/>
    <s v=""/>
    <s v=""/>
    <s v=""/>
    <s v=""/>
    <s v=""/>
  </r>
  <r>
    <s v="N215"/>
    <s v="TP159"/>
    <n v="35.869999999999997"/>
    <x v="0"/>
    <x v="0"/>
    <s v="3&quot;"/>
    <n v="1"/>
    <s v=""/>
    <s v=""/>
    <s v=""/>
    <s v=""/>
    <s v=""/>
    <s v=""/>
    <s v=""/>
    <s v=""/>
    <s v=""/>
    <s v=""/>
    <s v=""/>
    <s v=""/>
    <s v=""/>
    <s v=""/>
    <s v="3&quot;"/>
    <n v="1"/>
  </r>
  <r>
    <s v="N215"/>
    <s v="N216"/>
    <n v="17.89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216"/>
    <s v="TP160"/>
    <n v="22.04"/>
    <x v="0"/>
    <x v="0"/>
    <s v="3&quot;"/>
    <n v="1"/>
    <s v=""/>
    <s v=""/>
    <s v=""/>
    <s v=""/>
    <s v=""/>
    <s v=""/>
    <s v=""/>
    <s v=""/>
    <s v=""/>
    <s v=""/>
    <s v=""/>
    <s v=""/>
    <s v=""/>
    <s v=""/>
    <s v="3&quot;"/>
    <n v="1"/>
  </r>
  <r>
    <s v="N216"/>
    <s v="TP161"/>
    <n v="68.55"/>
    <x v="0"/>
    <x v="0"/>
    <s v="3&quot;"/>
    <n v="1"/>
    <s v=""/>
    <s v=""/>
    <s v=""/>
    <s v=""/>
    <s v=""/>
    <s v=""/>
    <s v=""/>
    <s v=""/>
    <s v=""/>
    <s v=""/>
    <s v=""/>
    <s v=""/>
    <s v=""/>
    <s v=""/>
    <s v="3&quot;"/>
    <n v="1"/>
  </r>
  <r>
    <s v="N210"/>
    <s v="N217"/>
    <n v="51.29"/>
    <x v="0"/>
    <x v="0"/>
    <s v="3&quot;"/>
    <n v="1"/>
    <s v=""/>
    <s v=""/>
    <s v=""/>
    <s v=""/>
    <s v=""/>
    <s v=""/>
    <s v=""/>
    <s v=""/>
    <s v="3&quot;"/>
    <n v="1"/>
    <s v=""/>
    <s v=""/>
    <s v=""/>
    <s v=""/>
    <s v=""/>
    <s v=""/>
  </r>
  <r>
    <s v="N193"/>
    <s v="N218"/>
    <n v="116.04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218"/>
    <s v="N219"/>
    <n v="47.34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219"/>
    <s v="N220"/>
    <n v="83.29"/>
    <x v="0"/>
    <x v="1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20"/>
    <s v="TP162"/>
    <n v="77.27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220"/>
    <s v="N221"/>
    <n v="20.100000000000001"/>
    <x v="0"/>
    <x v="1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221"/>
    <s v="TP163"/>
    <n v="128.91999999999999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221"/>
    <s v="N199"/>
    <n v="76.05"/>
    <x v="0"/>
    <x v="1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199"/>
    <s v="N222"/>
    <n v="34.69"/>
    <x v="0"/>
    <x v="1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222"/>
    <s v="N223"/>
    <n v="89.76"/>
    <x v="0"/>
    <x v="1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223"/>
    <s v="TP164"/>
    <n v="71.09"/>
    <x v="1"/>
    <x v="0"/>
    <s v="3&quot;"/>
    <n v="1"/>
    <s v=""/>
    <s v=""/>
    <s v="2&quot;"/>
    <n v="1"/>
    <s v=""/>
    <s v=""/>
    <s v=""/>
    <s v=""/>
    <s v="2&quot;"/>
    <n v="1"/>
    <s v=""/>
    <s v=""/>
    <s v=""/>
    <s v=""/>
    <s v="2&quot;"/>
    <n v="1"/>
  </r>
  <r>
    <s v="N223"/>
    <s v="N224"/>
    <n v="110.84"/>
    <x v="0"/>
    <x v="1"/>
    <s v="3&quot;"/>
    <n v="1"/>
    <s v=""/>
    <s v=""/>
    <s v=""/>
    <s v=""/>
    <s v=""/>
    <s v=""/>
    <s v=""/>
    <s v=""/>
    <s v="3&quot;"/>
    <n v="1"/>
    <s v=""/>
    <s v=""/>
    <s v=""/>
    <s v=""/>
    <s v=""/>
    <s v=""/>
  </r>
  <r>
    <s v="N224"/>
    <s v="TP165"/>
    <n v="64.95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224"/>
    <s v="N225"/>
    <n v="6.47"/>
    <x v="0"/>
    <x v="1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218"/>
    <s v="N217"/>
    <n v="8.15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217"/>
    <s v="N226"/>
    <n v="104.42"/>
    <x v="0"/>
    <x v="0"/>
    <s v="3&quot;"/>
    <n v="1"/>
    <s v=""/>
    <s v=""/>
    <s v=""/>
    <s v=""/>
    <s v=""/>
    <s v=""/>
    <s v=""/>
    <s v=""/>
    <s v=""/>
    <s v=""/>
    <n v="0"/>
    <n v="1"/>
    <s v=""/>
    <s v=""/>
    <s v=""/>
    <s v=""/>
  </r>
  <r>
    <s v="N226"/>
    <s v="TP166"/>
    <n v="31.39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226"/>
    <s v="N227"/>
    <n v="96.07"/>
    <x v="0"/>
    <x v="0"/>
    <s v="3&quot;"/>
    <n v="1"/>
    <s v=""/>
    <s v=""/>
    <s v="3&quot;"/>
    <n v="1"/>
    <s v=""/>
    <s v=""/>
    <s v=""/>
    <s v=""/>
    <s v="3&quot;"/>
    <n v="1"/>
    <s v=""/>
    <s v=""/>
    <s v=""/>
    <s v=""/>
    <s v=""/>
    <s v=""/>
  </r>
  <r>
    <s v="N211"/>
    <s v="N228"/>
    <n v="80.599999999999994"/>
    <x v="0"/>
    <x v="1"/>
    <s v="3&quot;"/>
    <n v="1"/>
    <s v=""/>
    <s v=""/>
    <s v="3&quot;"/>
    <n v="1"/>
    <s v=""/>
    <s v=""/>
    <s v=""/>
    <s v=""/>
    <s v=""/>
    <s v=""/>
    <s v=""/>
    <s v=""/>
    <s v=""/>
    <s v=""/>
    <s v=""/>
    <s v=""/>
  </r>
  <r>
    <s v="N228"/>
    <s v="N229"/>
    <n v="19.38"/>
    <x v="8"/>
    <x v="1"/>
    <s v="4&quot;"/>
    <n v="1"/>
    <s v=""/>
    <s v=""/>
    <s v=""/>
    <s v=""/>
    <s v=""/>
    <s v=""/>
    <s v=""/>
    <s v=""/>
    <s v=""/>
    <s v=""/>
    <s v=""/>
    <s v=""/>
    <s v=""/>
    <s v=""/>
    <s v=""/>
    <s v=""/>
  </r>
  <r>
    <s v="N229"/>
    <s v="N227"/>
    <n v="11.02"/>
    <x v="8"/>
    <x v="1"/>
    <s v="4&quot;"/>
    <n v="1"/>
    <s v=""/>
    <s v=""/>
    <s v=""/>
    <s v=""/>
    <s v=""/>
    <s v=""/>
    <s v=""/>
    <s v=""/>
    <s v=""/>
    <s v=""/>
    <s v=""/>
    <s v=""/>
    <s v=""/>
    <s v=""/>
    <s v=""/>
    <s v=""/>
  </r>
  <r>
    <s v="N228"/>
    <s v="N230"/>
    <n v="46.86"/>
    <x v="8"/>
    <x v="1"/>
    <s v="4&quot;"/>
    <n v="1"/>
    <s v=""/>
    <s v=""/>
    <s v=""/>
    <s v=""/>
    <s v=""/>
    <s v=""/>
    <s v=""/>
    <s v=""/>
    <s v=""/>
    <s v=""/>
    <s v=""/>
    <s v=""/>
    <s v=""/>
    <s v=""/>
    <s v=""/>
    <s v=""/>
  </r>
  <r>
    <s v="N229"/>
    <s v="N231"/>
    <n v="123.43"/>
    <x v="0"/>
    <x v="1"/>
    <s v="4&quot;"/>
    <n v="1"/>
    <s v=""/>
    <s v=""/>
    <s v="3&quot;"/>
    <n v="1"/>
    <s v=""/>
    <s v=""/>
    <s v=""/>
    <s v=""/>
    <s v="3&quot;"/>
    <n v="1"/>
    <s v=""/>
    <s v=""/>
    <s v=""/>
    <s v=""/>
    <s v=""/>
    <s v=""/>
  </r>
  <r>
    <s v="N231"/>
    <s v="N232"/>
    <n v="156.4"/>
    <x v="1"/>
    <x v="0"/>
    <s v="3&quot;"/>
    <n v="1"/>
    <s v="2&quot;"/>
    <n v="1"/>
    <s v="2&quot;"/>
    <n v="1"/>
    <s v=""/>
    <s v=""/>
    <s v=""/>
    <s v=""/>
    <s v="2&quot;"/>
    <n v="1"/>
    <s v=""/>
    <s v=""/>
    <s v=""/>
    <s v=""/>
    <s v=""/>
    <s v=""/>
  </r>
  <r>
    <s v="N232"/>
    <s v="TP167"/>
    <n v="42.11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232"/>
    <s v="TP168"/>
    <n v="22.91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231"/>
    <s v="N233"/>
    <n v="163.1"/>
    <x v="0"/>
    <x v="1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222"/>
    <s v="TP169"/>
    <n v="147.19999999999999"/>
    <x v="0"/>
    <x v="1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233"/>
    <s v="TP170"/>
    <n v="38.04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233"/>
    <s v="N234"/>
    <n v="131.88"/>
    <x v="0"/>
    <x v="1"/>
    <s v="3&quot;"/>
    <n v="1"/>
    <s v=""/>
    <s v=""/>
    <s v="3&quot;"/>
    <n v="1"/>
    <s v=""/>
    <s v=""/>
    <s v=""/>
    <s v=""/>
    <s v=""/>
    <s v=""/>
    <s v=""/>
    <s v=""/>
    <s v=""/>
    <s v=""/>
    <s v=""/>
    <s v=""/>
  </r>
  <r>
    <s v="N225"/>
    <s v="N235"/>
    <n v="243.06"/>
    <x v="0"/>
    <x v="1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235"/>
    <s v="N236"/>
    <n v="93.28"/>
    <x v="1"/>
    <x v="0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236"/>
    <s v="TP171"/>
    <n v="41.33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236"/>
    <s v="TP172"/>
    <n v="62.24"/>
    <x v="1"/>
    <x v="0"/>
    <s v="2&quot;"/>
    <n v="1"/>
    <s v="2&quot;"/>
    <n v="1"/>
    <s v=""/>
    <s v=""/>
    <s v=""/>
    <s v=""/>
    <s v=""/>
    <s v=""/>
    <s v=""/>
    <s v=""/>
    <s v=""/>
    <s v=""/>
    <s v=""/>
    <s v=""/>
    <s v="2&quot;"/>
    <n v="1"/>
  </r>
  <r>
    <s v="N225"/>
    <s v="N234"/>
    <n v="15.31"/>
    <x v="0"/>
    <x v="1"/>
    <s v="3&quot;"/>
    <n v="1"/>
    <s v=""/>
    <s v=""/>
    <s v="3&quot;"/>
    <n v="1"/>
    <s v=""/>
    <s v=""/>
    <s v=""/>
    <s v=""/>
    <s v="3&quot;"/>
    <n v="1"/>
    <s v=""/>
    <s v=""/>
    <s v=""/>
    <s v=""/>
    <s v=""/>
    <s v=""/>
  </r>
  <r>
    <s v="N234"/>
    <s v="N237"/>
    <n v="26.13"/>
    <x v="7"/>
    <x v="1"/>
    <s v="6&quot;"/>
    <n v="1"/>
    <s v=""/>
    <s v=""/>
    <s v=""/>
    <s v=""/>
    <s v=""/>
    <s v=""/>
    <s v=""/>
    <s v=""/>
    <s v=""/>
    <s v=""/>
    <s v=""/>
    <s v=""/>
    <s v=""/>
    <s v=""/>
    <s v=""/>
    <s v=""/>
  </r>
  <r>
    <s v="N48"/>
    <s v="N238"/>
    <n v="26.81"/>
    <x v="6"/>
    <x v="4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38"/>
    <s v="TP173"/>
    <n v="71.02"/>
    <x v="6"/>
    <x v="0"/>
    <s v=""/>
    <s v=""/>
    <s v="1&quot;"/>
    <n v="1"/>
    <s v=""/>
    <s v=""/>
    <s v=""/>
    <s v=""/>
    <s v=""/>
    <s v=""/>
    <s v=""/>
    <s v=""/>
    <s v=""/>
    <s v=""/>
    <s v=""/>
    <s v=""/>
    <s v="1&quot;"/>
    <n v="1"/>
  </r>
  <r>
    <s v="N48"/>
    <s v="N239"/>
    <n v="65.75"/>
    <x v="4"/>
    <x v="1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39"/>
    <s v="TP174"/>
    <n v="69.599999999999994"/>
    <x v="1"/>
    <x v="0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239"/>
    <s v="N209"/>
    <n v="135.72999999999999"/>
    <x v="4"/>
    <x v="1"/>
    <s v=""/>
    <s v=""/>
    <s v=""/>
    <s v=""/>
    <s v=""/>
    <s v=""/>
    <s v=""/>
    <s v=""/>
    <s v=""/>
    <s v=""/>
    <s v=""/>
    <s v=""/>
    <s v=""/>
    <s v=""/>
    <n v="0"/>
    <n v="1"/>
    <s v=""/>
    <s v=""/>
  </r>
  <r>
    <s v="N209"/>
    <s v="N240"/>
    <n v="63.37"/>
    <x v="4"/>
    <x v="1"/>
    <s v="12&quot;"/>
    <n v="1"/>
    <s v=""/>
    <s v=""/>
    <s v=""/>
    <s v=""/>
    <s v=""/>
    <s v=""/>
    <s v=""/>
    <s v=""/>
    <s v=""/>
    <s v=""/>
    <s v=""/>
    <s v=""/>
    <s v=""/>
    <s v=""/>
    <s v=""/>
    <s v=""/>
  </r>
  <r>
    <s v="N240"/>
    <s v="N241"/>
    <n v="112.91"/>
    <x v="4"/>
    <x v="1"/>
    <s v="12&quot;"/>
    <n v="1"/>
    <s v=""/>
    <s v=""/>
    <s v=""/>
    <s v=""/>
    <s v=""/>
    <s v=""/>
    <s v=""/>
    <s v=""/>
    <s v=""/>
    <s v=""/>
    <s v=""/>
    <s v=""/>
    <s v=""/>
    <s v=""/>
    <s v=""/>
    <s v=""/>
  </r>
  <r>
    <s v="N240"/>
    <s v="N242"/>
    <n v="9.2200000000000006"/>
    <x v="0"/>
    <x v="4"/>
    <s v="12&quot;"/>
    <n v="1"/>
    <s v=""/>
    <s v=""/>
    <s v="3&quot;"/>
    <n v="1"/>
    <s v=""/>
    <s v=""/>
    <s v=""/>
    <s v=""/>
    <s v=""/>
    <s v=""/>
    <s v=""/>
    <s v=""/>
    <s v=""/>
    <s v=""/>
    <s v=""/>
    <s v=""/>
  </r>
  <r>
    <s v="N242"/>
    <s v="N243"/>
    <n v="100.34"/>
    <x v="0"/>
    <x v="0"/>
    <s v=""/>
    <s v=""/>
    <s v=""/>
    <s v=""/>
    <s v=""/>
    <s v=""/>
    <s v=""/>
    <s v=""/>
    <s v=""/>
    <s v=""/>
    <s v="3&quot;"/>
    <n v="1"/>
    <s v=""/>
    <s v=""/>
    <s v=""/>
    <s v=""/>
    <s v=""/>
    <s v=""/>
  </r>
  <r>
    <s v="N243"/>
    <s v="TP175"/>
    <n v="38.29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243"/>
    <s v="N285"/>
    <n v="448.76"/>
    <x v="1"/>
    <x v="0"/>
    <s v="3&quot;"/>
    <n v="1"/>
    <s v="2&quot;"/>
    <n v="2"/>
    <s v="2&quot;"/>
    <n v="1"/>
    <s v=""/>
    <s v=""/>
    <s v=""/>
    <s v=""/>
    <s v="2&quot;"/>
    <n v="1"/>
    <s v=""/>
    <s v=""/>
    <s v=""/>
    <s v=""/>
    <s v=""/>
    <s v=""/>
  </r>
  <r>
    <s v="N75"/>
    <s v="N286"/>
    <n v="75.67"/>
    <x v="2"/>
    <x v="2"/>
    <s v="8&quot;"/>
    <n v="1"/>
    <s v=""/>
    <s v=""/>
    <s v=""/>
    <s v=""/>
    <s v=""/>
    <s v=""/>
    <s v=""/>
    <s v=""/>
    <s v="8&quot;"/>
    <n v="1"/>
    <s v=""/>
    <s v=""/>
    <s v=""/>
    <s v=""/>
    <s v=""/>
    <s v=""/>
  </r>
  <r>
    <s v="N286"/>
    <s v="N287"/>
    <n v="711.2"/>
    <x v="2"/>
    <x v="0"/>
    <s v=""/>
    <s v=""/>
    <s v="8&quot;"/>
    <n v="1"/>
    <s v=""/>
    <s v=""/>
    <s v=""/>
    <s v=""/>
    <s v=""/>
    <s v=""/>
    <s v=""/>
    <s v=""/>
    <s v=""/>
    <s v=""/>
    <s v=""/>
    <s v=""/>
    <s v=""/>
    <s v=""/>
  </r>
  <r>
    <s v="N287"/>
    <s v="T.PROVINCIAL"/>
    <n v="13.87"/>
    <x v="2"/>
    <x v="2"/>
    <s v="8&quot;"/>
    <n v="1"/>
    <s v=""/>
    <s v=""/>
    <s v=""/>
    <s v=""/>
    <s v=""/>
    <s v=""/>
    <s v=""/>
    <s v=""/>
    <s v="8&quot;"/>
    <n v="1"/>
    <s v=""/>
    <s v=""/>
    <s v=""/>
    <s v=""/>
    <s v=""/>
    <s v=""/>
  </r>
  <r>
    <s v="N287"/>
    <s v="N244"/>
    <n v="107.35"/>
    <x v="2"/>
    <x v="0"/>
    <s v="8&quot;"/>
    <n v="1"/>
    <s v=""/>
    <s v=""/>
    <s v=""/>
    <s v=""/>
    <s v=""/>
    <s v=""/>
    <s v=""/>
    <s v=""/>
    <s v=""/>
    <s v=""/>
    <s v=""/>
    <s v=""/>
    <s v=""/>
    <s v=""/>
    <s v=""/>
    <s v=""/>
  </r>
  <r>
    <s v="N244"/>
    <s v="N245"/>
    <n v="48.08"/>
    <x v="2"/>
    <x v="2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45"/>
    <s v="TP176"/>
    <n v="187.11"/>
    <x v="1"/>
    <x v="0"/>
    <s v="8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245"/>
    <s v="N246"/>
    <n v="343.5"/>
    <x v="2"/>
    <x v="2"/>
    <s v="8&quot;"/>
    <n v="1"/>
    <s v="8&quot;"/>
    <n v="1"/>
    <s v=""/>
    <s v=""/>
    <s v=""/>
    <s v=""/>
    <s v=""/>
    <s v=""/>
    <s v="8&quot;"/>
    <n v="1"/>
    <s v=""/>
    <s v=""/>
    <s v=""/>
    <s v=""/>
    <s v=""/>
    <s v=""/>
  </r>
  <r>
    <s v="T. PROVINCIAL"/>
    <s v="N247"/>
    <n v="367.22"/>
    <x v="2"/>
    <x v="2"/>
    <s v=""/>
    <s v=""/>
    <s v="8&quot;"/>
    <n v="1"/>
    <s v=""/>
    <s v=""/>
    <s v=""/>
    <s v=""/>
    <s v=""/>
    <s v=""/>
    <s v="8&quot;"/>
    <n v="1"/>
    <s v=""/>
    <s v=""/>
    <s v=""/>
    <s v=""/>
    <s v=""/>
    <s v=""/>
  </r>
  <r>
    <s v="N247"/>
    <s v="TP177"/>
    <n v="94.09"/>
    <x v="1"/>
    <x v="0"/>
    <s v="8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247"/>
    <s v="N248"/>
    <n v="131.79"/>
    <x v="2"/>
    <x v="2"/>
    <s v="8&quot;"/>
    <n v="1"/>
    <s v="8&quot;"/>
    <n v="1"/>
    <s v=""/>
    <s v=""/>
    <s v=""/>
    <s v=""/>
    <s v=""/>
    <s v=""/>
    <s v=""/>
    <s v=""/>
    <s v=""/>
    <s v=""/>
    <s v=""/>
    <s v=""/>
    <s v=""/>
    <s v=""/>
  </r>
  <r>
    <s v="N46"/>
    <s v="N249"/>
    <n v="822.78"/>
    <x v="2"/>
    <x v="0"/>
    <s v=""/>
    <s v=""/>
    <s v=""/>
    <s v=""/>
    <s v=""/>
    <s v=""/>
    <s v=""/>
    <s v=""/>
    <s v=""/>
    <s v=""/>
    <s v=""/>
    <s v=""/>
    <s v=""/>
    <s v=""/>
    <s v=""/>
    <s v=""/>
    <s v=""/>
    <s v=""/>
  </r>
  <r>
    <s v="T. JURADO 3"/>
    <s v="T. JURADO 2"/>
    <n v="75.92"/>
    <x v="6"/>
    <x v="0"/>
    <s v=""/>
    <s v=""/>
    <s v="1&quot;"/>
    <n v="2"/>
    <s v=""/>
    <s v=""/>
    <s v=""/>
    <s v=""/>
    <s v=""/>
    <s v=""/>
    <s v=""/>
    <s v=""/>
    <s v=""/>
    <s v=""/>
    <s v=""/>
    <s v=""/>
    <s v=""/>
    <s v=""/>
  </r>
  <r>
    <s v="T. JURADO 3"/>
    <s v="N250"/>
    <n v="73.67"/>
    <x v="1"/>
    <x v="0"/>
    <s v=""/>
    <s v=""/>
    <s v=""/>
    <s v=""/>
    <s v=""/>
    <s v=""/>
    <s v=""/>
    <s v=""/>
    <s v=""/>
    <s v=""/>
    <s v=""/>
    <s v=""/>
    <s v=""/>
    <s v=""/>
    <s v=""/>
    <s v=""/>
    <s v=""/>
    <s v=""/>
  </r>
  <r>
    <s v="T. JURADO 2 "/>
    <s v="N250"/>
    <n v="17.59"/>
    <x v="6"/>
    <x v="0"/>
    <s v=""/>
    <s v=""/>
    <s v=""/>
    <s v=""/>
    <s v="1&quot;"/>
    <n v="1"/>
    <s v=""/>
    <s v=""/>
    <s v=""/>
    <s v=""/>
    <s v="1&quot;"/>
    <n v="1"/>
    <s v=""/>
    <s v=""/>
    <s v=""/>
    <s v=""/>
    <s v=""/>
    <s v=""/>
  </r>
  <r>
    <s v="T. JURADO 3"/>
    <s v="N251"/>
    <n v="77.22"/>
    <x v="1"/>
    <x v="0"/>
    <s v=""/>
    <s v=""/>
    <s v="2&quot;"/>
    <n v="1"/>
    <s v=""/>
    <s v=""/>
    <s v=""/>
    <s v=""/>
    <s v=""/>
    <s v=""/>
    <s v=""/>
    <s v=""/>
    <s v=""/>
    <s v=""/>
    <s v=""/>
    <s v=""/>
    <s v=""/>
    <s v=""/>
  </r>
  <r>
    <s v="T. JURADO 2 "/>
    <s v="N251"/>
    <n v="17.77"/>
    <x v="6"/>
    <x v="0"/>
    <s v=""/>
    <s v=""/>
    <s v=""/>
    <s v=""/>
    <s v="1&quot;"/>
    <n v="1"/>
    <s v=""/>
    <s v=""/>
    <s v=""/>
    <s v=""/>
    <s v=""/>
    <s v=""/>
    <s v=""/>
    <s v=""/>
    <s v=""/>
    <s v=""/>
    <s v=""/>
    <s v=""/>
  </r>
  <r>
    <s v="N250"/>
    <s v="N252"/>
    <n v="190.05"/>
    <x v="1"/>
    <x v="0"/>
    <s v="2&quot;"/>
    <n v="1"/>
    <s v="2&quot;"/>
    <n v="1"/>
    <s v=""/>
    <s v=""/>
    <s v=""/>
    <s v=""/>
    <s v=""/>
    <s v=""/>
    <s v=""/>
    <s v=""/>
    <s v=""/>
    <s v=""/>
    <s v=""/>
    <s v=""/>
    <s v=""/>
    <s v=""/>
  </r>
  <r>
    <s v="N252"/>
    <s v="E.B.3"/>
    <n v="6.46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251"/>
    <s v="E.B.3"/>
    <n v="194.7"/>
    <x v="1"/>
    <x v="0"/>
    <s v=""/>
    <s v=""/>
    <s v="2&quot;"/>
    <n v="1"/>
    <s v=""/>
    <s v=""/>
    <s v=""/>
    <s v=""/>
    <s v=""/>
    <s v=""/>
    <s v=""/>
    <s v=""/>
    <s v=""/>
    <s v=""/>
    <s v=""/>
    <s v=""/>
    <s v=""/>
    <s v=""/>
  </r>
  <r>
    <s v="N252"/>
    <s v="TP178"/>
    <n v="325.75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249"/>
    <s v="N253"/>
    <n v="21.23"/>
    <x v="2"/>
    <x v="0"/>
    <s v="8&quot;"/>
    <n v="1"/>
    <s v="8&quot;"/>
    <n v="1"/>
    <s v=""/>
    <s v=""/>
    <s v=""/>
    <s v=""/>
    <s v=""/>
    <s v=""/>
    <s v=""/>
    <s v=""/>
    <s v=""/>
    <s v=""/>
    <s v=""/>
    <s v=""/>
    <s v=""/>
    <s v=""/>
  </r>
  <r>
    <s v="N249"/>
    <s v="E.B.3"/>
    <n v="4.17"/>
    <x v="2"/>
    <x v="0"/>
    <s v="8&quot;"/>
    <n v="1"/>
    <s v=""/>
    <s v=""/>
    <s v=""/>
    <s v=""/>
    <s v=""/>
    <s v=""/>
    <s v=""/>
    <s v=""/>
    <s v=""/>
    <s v=""/>
    <s v=""/>
    <s v=""/>
    <s v=""/>
    <s v=""/>
    <s v=""/>
    <s v=""/>
  </r>
  <r>
    <s v="E.B.3"/>
    <s v="N253"/>
    <n v="8.75"/>
    <x v="2"/>
    <x v="0"/>
    <s v="8&quot;"/>
    <n v="1"/>
    <s v=""/>
    <s v=""/>
    <s v=""/>
    <s v=""/>
    <s v=""/>
    <s v=""/>
    <s v=""/>
    <s v=""/>
    <s v=""/>
    <s v=""/>
    <s v=""/>
    <s v=""/>
    <s v=""/>
    <s v=""/>
    <s v=""/>
    <s v=""/>
  </r>
  <r>
    <s v="N253"/>
    <s v="N254"/>
    <n v="97.64"/>
    <x v="2"/>
    <x v="0"/>
    <s v="8&quot;"/>
    <n v="1"/>
    <s v=""/>
    <s v=""/>
    <s v=""/>
    <s v=""/>
    <s v=""/>
    <s v=""/>
    <s v=""/>
    <s v=""/>
    <s v=""/>
    <s v=""/>
    <s v=""/>
    <s v=""/>
    <s v=""/>
    <s v=""/>
    <s v=""/>
    <s v=""/>
  </r>
  <r>
    <s v="N254"/>
    <s v="N255"/>
    <n v="7.13"/>
    <x v="0"/>
    <x v="2"/>
    <s v="8&quot;"/>
    <n v="1"/>
    <s v=""/>
    <s v=""/>
    <s v="3&quot;"/>
    <n v="1"/>
    <s v=""/>
    <s v=""/>
    <s v=""/>
    <s v=""/>
    <s v="3&quot;"/>
    <n v="1"/>
    <s v=""/>
    <s v=""/>
    <s v=""/>
    <s v=""/>
    <s v=""/>
    <s v=""/>
  </r>
  <r>
    <s v="N255"/>
    <s v="N256"/>
    <n v="80.61"/>
    <x v="0"/>
    <x v="0"/>
    <s v="3&quot;"/>
    <n v="0"/>
    <s v=""/>
    <s v=""/>
    <s v=""/>
    <s v=""/>
    <s v=""/>
    <s v=""/>
    <s v=""/>
    <s v=""/>
    <s v=""/>
    <s v=""/>
    <s v=""/>
    <s v=""/>
    <s v=""/>
    <s v=""/>
    <s v=""/>
    <s v=""/>
  </r>
  <r>
    <s v="N256"/>
    <s v="TP179"/>
    <n v="175.11"/>
    <x v="0"/>
    <x v="2"/>
    <s v="3&quot;"/>
    <n v="1"/>
    <s v=""/>
    <s v=""/>
    <s v=""/>
    <s v=""/>
    <s v=""/>
    <s v=""/>
    <s v=""/>
    <s v=""/>
    <s v=""/>
    <s v=""/>
    <s v=""/>
    <s v=""/>
    <s v=""/>
    <s v=""/>
    <s v="3&quot;"/>
    <n v="1"/>
  </r>
  <r>
    <s v="N256"/>
    <s v="N257"/>
    <n v="92.56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257"/>
    <s v="TP180"/>
    <n v="4.4400000000000004"/>
    <x v="0"/>
    <x v="0"/>
    <s v="3&quot;"/>
    <n v="1"/>
    <s v=""/>
    <s v=""/>
    <s v=""/>
    <s v=""/>
    <s v=""/>
    <s v=""/>
    <s v=""/>
    <s v=""/>
    <s v=""/>
    <s v=""/>
    <s v=""/>
    <s v=""/>
    <s v=""/>
    <s v=""/>
    <s v="3&quot;"/>
    <n v="1"/>
  </r>
  <r>
    <s v="N257"/>
    <s v="TP181"/>
    <n v="44.7"/>
    <x v="6"/>
    <x v="0"/>
    <s v="3&quot;"/>
    <n v="1"/>
    <s v=""/>
    <s v=""/>
    <s v="1&quot;"/>
    <n v="1"/>
    <s v=""/>
    <s v=""/>
    <s v=""/>
    <s v=""/>
    <s v=""/>
    <s v=""/>
    <s v=""/>
    <s v=""/>
    <s v=""/>
    <s v=""/>
    <s v="1&quot;"/>
    <n v="1"/>
  </r>
  <r>
    <s v="N254"/>
    <s v="T. SANTA MARTA"/>
    <n v="888.73"/>
    <x v="2"/>
    <x v="0"/>
    <s v="8&quot;"/>
    <n v="1"/>
    <s v="8&quot;"/>
    <n v="6"/>
    <s v=""/>
    <s v=""/>
    <s v=""/>
    <s v=""/>
    <s v=""/>
    <s v=""/>
    <s v=""/>
    <s v=""/>
    <s v=""/>
    <s v=""/>
    <s v=""/>
    <s v=""/>
    <s v=""/>
    <s v=""/>
  </r>
  <r>
    <s v="N255"/>
    <s v="N258"/>
    <n v="167.43"/>
    <x v="0"/>
    <x v="2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258"/>
    <s v="TP182"/>
    <n v="193.79"/>
    <x v="1"/>
    <x v="0"/>
    <s v=""/>
    <s v=""/>
    <s v="2&quot;"/>
    <n v="1"/>
    <s v="2&quot;"/>
    <n v="1"/>
    <s v=""/>
    <s v=""/>
    <s v=""/>
    <s v=""/>
    <s v="2&quot;"/>
    <n v="1"/>
    <s v=""/>
    <s v=""/>
    <s v=""/>
    <s v=""/>
    <s v="2&quot;"/>
    <n v="1"/>
  </r>
  <r>
    <s v="N241"/>
    <s v="N259"/>
    <n v="50.61"/>
    <x v="3"/>
    <x v="1"/>
    <s v="12&quot;"/>
    <n v="1"/>
    <s v="10&quot;"/>
    <n v="1"/>
    <s v="10&quot;"/>
    <n v="1"/>
    <s v=""/>
    <s v=""/>
    <s v=""/>
    <s v=""/>
    <s v="10&quot;"/>
    <n v="1"/>
    <s v=""/>
    <s v=""/>
    <s v=""/>
    <s v=""/>
    <s v=""/>
    <s v=""/>
  </r>
  <r>
    <s v="N259"/>
    <s v="N260"/>
    <n v="19.100000000000001"/>
    <x v="0"/>
    <x v="0"/>
    <s v="10&quot;"/>
    <n v="1"/>
    <s v=""/>
    <s v=""/>
    <s v="3&quot;"/>
    <n v="1"/>
    <s v=""/>
    <s v=""/>
    <s v=""/>
    <s v=""/>
    <s v="3&quot;"/>
    <n v="1"/>
    <s v=""/>
    <s v=""/>
    <s v=""/>
    <s v=""/>
    <s v=""/>
    <s v=""/>
  </r>
  <r>
    <s v="N260"/>
    <s v="TP183"/>
    <n v="15.94"/>
    <x v="0"/>
    <x v="0"/>
    <s v="3&quot;"/>
    <n v="1"/>
    <s v=""/>
    <s v=""/>
    <s v=""/>
    <s v=""/>
    <s v=""/>
    <s v=""/>
    <s v=""/>
    <s v=""/>
    <s v=""/>
    <s v=""/>
    <s v=""/>
    <s v=""/>
    <s v=""/>
    <s v=""/>
    <s v="3&quot;"/>
    <n v="1"/>
  </r>
  <r>
    <s v="N260"/>
    <s v="N261"/>
    <n v="25.91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261"/>
    <s v="TP184"/>
    <n v="18.12"/>
    <x v="0"/>
    <x v="0"/>
    <s v="3&quot;"/>
    <n v="1"/>
    <s v=""/>
    <s v=""/>
    <s v=""/>
    <s v=""/>
    <s v=""/>
    <s v=""/>
    <s v=""/>
    <s v=""/>
    <s v=""/>
    <s v=""/>
    <s v=""/>
    <s v=""/>
    <s v=""/>
    <s v=""/>
    <s v="3&quot;"/>
    <n v="1"/>
  </r>
  <r>
    <s v="N261"/>
    <s v="N262"/>
    <n v="35"/>
    <x v="1"/>
    <x v="0"/>
    <s v="3&quot;"/>
    <n v="1"/>
    <s v="2&quot;"/>
    <n v="1"/>
    <s v="2&quot;"/>
    <n v="1"/>
    <s v=""/>
    <s v=""/>
    <s v=""/>
    <s v=""/>
    <s v="2&quot;"/>
    <n v="1"/>
    <s v=""/>
    <s v=""/>
    <s v=""/>
    <s v=""/>
    <s v=""/>
    <s v=""/>
  </r>
  <r>
    <s v="N262"/>
    <s v="TP185"/>
    <n v="29.08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262"/>
    <s v="N263"/>
    <n v="19.71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263"/>
    <s v="TP186"/>
    <n v="22.82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263"/>
    <s v="TP187"/>
    <n v="40.369999999999997"/>
    <x v="1"/>
    <x v="0"/>
    <s v="2&quot;"/>
    <n v="1"/>
    <s v="2&quot;"/>
    <n v="1"/>
    <s v=""/>
    <s v=""/>
    <s v=""/>
    <s v=""/>
    <s v=""/>
    <s v=""/>
    <s v=""/>
    <s v=""/>
    <s v=""/>
    <s v=""/>
    <s v=""/>
    <s v=""/>
    <s v="2&quot;"/>
    <n v="1"/>
  </r>
  <r>
    <s v="N259"/>
    <s v="N288"/>
    <n v="123.77"/>
    <x v="3"/>
    <x v="1"/>
    <s v="10&quot;"/>
    <n v="1"/>
    <s v=""/>
    <s v=""/>
    <s v=""/>
    <s v=""/>
    <s v=""/>
    <s v=""/>
    <s v=""/>
    <s v=""/>
    <s v=""/>
    <s v=""/>
    <n v="0"/>
    <n v="1"/>
    <s v=""/>
    <s v=""/>
    <s v=""/>
    <s v=""/>
  </r>
  <r>
    <s v="N288"/>
    <s v="TP198"/>
    <n v="96.19"/>
    <x v="0"/>
    <x v="1"/>
    <s v=""/>
    <s v=""/>
    <s v=""/>
    <s v=""/>
    <s v="3&quot;"/>
    <n v="1"/>
    <s v=""/>
    <s v=""/>
    <s v=""/>
    <s v=""/>
    <s v="3&quot;"/>
    <n v="1"/>
    <s v=""/>
    <s v=""/>
    <s v=""/>
    <s v=""/>
    <s v="3&quot;"/>
    <n v="1"/>
  </r>
  <r>
    <s v="N288"/>
    <s v="N289"/>
    <n v="139.22999999999999"/>
    <x v="3"/>
    <x v="1"/>
    <s v=""/>
    <s v=""/>
    <s v=""/>
    <s v=""/>
    <s v=""/>
    <s v=""/>
    <s v=""/>
    <s v=""/>
    <s v=""/>
    <s v=""/>
    <s v="10&quot;"/>
    <n v="1"/>
    <s v=""/>
    <s v=""/>
    <s v=""/>
    <s v=""/>
    <s v=""/>
    <s v=""/>
  </r>
  <r>
    <s v="N289"/>
    <s v="N264"/>
    <n v="57.41"/>
    <x v="3"/>
    <x v="1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64"/>
    <s v="N265"/>
    <n v="11.02"/>
    <x v="1"/>
    <x v="1"/>
    <s v="10&quot;"/>
    <n v="1"/>
    <s v=""/>
    <s v=""/>
    <s v="2&quot;"/>
    <n v="1"/>
    <s v=""/>
    <s v=""/>
    <s v=""/>
    <s v=""/>
    <s v=""/>
    <s v=""/>
    <s v=""/>
    <s v=""/>
    <s v=""/>
    <s v=""/>
    <s v=""/>
    <s v=""/>
  </r>
  <r>
    <s v="N265"/>
    <s v="N266"/>
    <n v="54.87"/>
    <x v="1"/>
    <x v="0"/>
    <s v=""/>
    <s v=""/>
    <s v=""/>
    <s v=""/>
    <s v=""/>
    <s v=""/>
    <s v=""/>
    <s v=""/>
    <s v=""/>
    <s v=""/>
    <s v="2&quot;"/>
    <n v="1"/>
    <s v=""/>
    <s v=""/>
    <s v=""/>
    <s v=""/>
    <s v=""/>
    <s v=""/>
  </r>
  <r>
    <s v="N266"/>
    <s v="TP188"/>
    <n v="45.13"/>
    <x v="6"/>
    <x v="0"/>
    <s v="2&quot;"/>
    <n v="1"/>
    <s v=""/>
    <s v=""/>
    <s v="1&quot;"/>
    <n v="1"/>
    <s v=""/>
    <s v=""/>
    <s v=""/>
    <s v=""/>
    <s v=""/>
    <s v=""/>
    <s v=""/>
    <s v=""/>
    <s v=""/>
    <s v=""/>
    <s v="1&quot;"/>
    <n v="1"/>
  </r>
  <r>
    <s v="N266"/>
    <s v="N267"/>
    <n v="30.08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267"/>
    <s v="TP189"/>
    <n v="16.84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267"/>
    <s v="TP190"/>
    <n v="77.66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264"/>
    <s v="N268"/>
    <n v="16.170000000000002"/>
    <x v="3"/>
    <x v="1"/>
    <s v="10&quot;"/>
    <n v="1"/>
    <s v=""/>
    <s v=""/>
    <s v=""/>
    <s v=""/>
    <s v=""/>
    <s v=""/>
    <s v=""/>
    <s v=""/>
    <s v=""/>
    <s v=""/>
    <s v=""/>
    <s v=""/>
    <s v=""/>
    <s v=""/>
    <s v=""/>
    <s v=""/>
  </r>
  <r>
    <s v="N268"/>
    <s v="N269"/>
    <n v="61.39"/>
    <x v="0"/>
    <x v="0"/>
    <s v="10&quot;"/>
    <n v="1"/>
    <s v=""/>
    <s v=""/>
    <s v="3&quot;"/>
    <n v="1"/>
    <s v=""/>
    <s v=""/>
    <s v=""/>
    <s v=""/>
    <s v=""/>
    <s v=""/>
    <s v=""/>
    <s v=""/>
    <n v="0"/>
    <n v="1"/>
    <s v=""/>
    <s v=""/>
  </r>
  <r>
    <s v="N268"/>
    <s v="N270"/>
    <n v="56.34"/>
    <x v="3"/>
    <x v="1"/>
    <s v="10&quot;"/>
    <n v="1"/>
    <s v=""/>
    <s v=""/>
    <s v=""/>
    <s v=""/>
    <s v=""/>
    <s v=""/>
    <s v=""/>
    <s v=""/>
    <s v="10&quot;"/>
    <n v="1"/>
    <s v=""/>
    <s v=""/>
    <n v="0"/>
    <n v="1"/>
    <s v=""/>
    <s v=""/>
  </r>
  <r>
    <s v="N246"/>
    <s v="N271"/>
    <n v="70.150000000000006"/>
    <x v="8"/>
    <x v="1"/>
    <s v="8&quot;"/>
    <n v="1"/>
    <s v=""/>
    <s v=""/>
    <s v="4&quot;"/>
    <n v="1"/>
    <s v=""/>
    <s v=""/>
    <s v=""/>
    <s v=""/>
    <s v=""/>
    <s v=""/>
    <s v=""/>
    <s v=""/>
    <s v=""/>
    <s v=""/>
    <s v=""/>
    <s v=""/>
  </r>
  <r>
    <s v="N271"/>
    <s v="TP191"/>
    <n v="84.19"/>
    <x v="6"/>
    <x v="0"/>
    <s v="4&quot;"/>
    <n v="1"/>
    <s v=""/>
    <s v=""/>
    <s v="1&quot;"/>
    <n v="1"/>
    <s v=""/>
    <s v=""/>
    <s v=""/>
    <s v=""/>
    <s v="1&quot;"/>
    <n v="1"/>
    <s v=""/>
    <s v=""/>
    <s v=""/>
    <s v=""/>
    <s v="1&quot;"/>
    <n v="1"/>
  </r>
  <r>
    <s v="N271"/>
    <s v="N272"/>
    <n v="53.11"/>
    <x v="8"/>
    <x v="1"/>
    <s v="4&quot;"/>
    <n v="1"/>
    <s v=""/>
    <s v=""/>
    <s v=""/>
    <s v=""/>
    <s v=""/>
    <s v=""/>
    <s v=""/>
    <s v=""/>
    <s v=""/>
    <s v=""/>
    <n v="0"/>
    <n v="1"/>
    <s v=""/>
    <s v=""/>
    <s v=""/>
    <s v=""/>
  </r>
  <r>
    <s v="N272"/>
    <s v="TP192"/>
    <n v="139.27000000000001"/>
    <x v="1"/>
    <x v="0"/>
    <s v=""/>
    <s v=""/>
    <s v=""/>
    <s v=""/>
    <s v="2&quot;"/>
    <n v="1"/>
    <s v=""/>
    <s v=""/>
    <s v=""/>
    <s v=""/>
    <s v="2&quot;"/>
    <n v="1"/>
    <s v=""/>
    <s v=""/>
    <s v=""/>
    <s v=""/>
    <s v="2&quot;"/>
    <n v="1"/>
  </r>
  <r>
    <s v="N272"/>
    <s v="N273"/>
    <n v="8.5299999999999994"/>
    <x v="8"/>
    <x v="1"/>
    <s v=""/>
    <s v=""/>
    <s v=""/>
    <s v=""/>
    <s v="4&quot;"/>
    <n v="1"/>
    <s v=""/>
    <s v=""/>
    <s v=""/>
    <s v=""/>
    <s v=""/>
    <s v=""/>
    <s v=""/>
    <s v=""/>
    <s v=""/>
    <s v=""/>
    <s v=""/>
    <s v=""/>
  </r>
  <r>
    <s v="N273"/>
    <s v="N274"/>
    <n v="115.68"/>
    <x v="8"/>
    <x v="0"/>
    <s v=""/>
    <s v=""/>
    <s v=""/>
    <s v=""/>
    <s v="4&quot;"/>
    <n v="0"/>
    <s v=""/>
    <s v=""/>
    <s v=""/>
    <s v=""/>
    <s v="4&quot;"/>
    <n v="1"/>
    <s v=""/>
    <s v=""/>
    <s v=""/>
    <s v=""/>
    <s v=""/>
    <s v=""/>
  </r>
  <r>
    <s v="N274"/>
    <s v="N275"/>
    <n v="15.53"/>
    <x v="7"/>
    <x v="0"/>
    <s v=""/>
    <s v=""/>
    <s v=""/>
    <s v=""/>
    <s v=""/>
    <s v=""/>
    <s v=""/>
    <s v=""/>
    <s v=""/>
    <s v=""/>
    <s v="6&quot;"/>
    <n v="1"/>
    <s v=""/>
    <s v=""/>
    <s v=""/>
    <s v=""/>
    <s v=""/>
    <s v=""/>
  </r>
  <r>
    <s v="N275"/>
    <s v="N276"/>
    <n v="88.01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</r>
  <r>
    <s v="N276"/>
    <s v="TP193"/>
    <n v="102.28"/>
    <x v="0"/>
    <x v="0"/>
    <s v=""/>
    <s v=""/>
    <s v="3&quot;"/>
    <n v="1"/>
    <s v="3&quot;"/>
    <n v="1"/>
    <s v=""/>
    <s v=""/>
    <s v=""/>
    <s v=""/>
    <s v=""/>
    <s v=""/>
    <s v=""/>
    <s v=""/>
    <s v=""/>
    <s v=""/>
    <s v="3&quot;"/>
    <n v="1"/>
  </r>
  <r>
    <s v="N275"/>
    <s v="N277"/>
    <n v="160.09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</r>
  <r>
    <s v="N277"/>
    <s v="N278"/>
    <n v="9.17"/>
    <x v="7"/>
    <x v="0"/>
    <s v="6&quot;"/>
    <n v="1"/>
    <s v=""/>
    <s v=""/>
    <s v=""/>
    <s v=""/>
    <s v=""/>
    <s v=""/>
    <s v=""/>
    <s v=""/>
    <s v="6&quot;"/>
    <n v="1"/>
    <s v=""/>
    <s v=""/>
    <s v=""/>
    <s v=""/>
    <s v=""/>
    <s v=""/>
  </r>
  <r>
    <s v="N278"/>
    <s v="N279"/>
    <n v="77.569999999999993"/>
    <x v="0"/>
    <x v="1"/>
    <s v=""/>
    <s v=""/>
    <s v=""/>
    <s v=""/>
    <s v="3&quot;"/>
    <n v="1"/>
    <s v=""/>
    <s v=""/>
    <s v=""/>
    <s v=""/>
    <s v=""/>
    <s v=""/>
    <s v=""/>
    <s v=""/>
    <s v=""/>
    <s v=""/>
    <s v=""/>
    <s v=""/>
  </r>
  <r>
    <s v="N279"/>
    <s v="N280"/>
    <n v="52.2"/>
    <x v="1"/>
    <x v="0"/>
    <s v="3&quot;"/>
    <n v="1"/>
    <s v=""/>
    <s v=""/>
    <s v="2&quot;"/>
    <n v="1"/>
    <s v=""/>
    <s v=""/>
    <s v=""/>
    <s v=""/>
    <s v="2&quot;"/>
    <n v="1"/>
    <s v=""/>
    <s v=""/>
    <s v=""/>
    <s v=""/>
    <s v=""/>
    <s v=""/>
  </r>
  <r>
    <s v="N280"/>
    <s v="TP194"/>
    <n v="34.03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280"/>
    <s v="N281"/>
    <n v="114.73"/>
    <x v="1"/>
    <x v="0"/>
    <s v="2&quot;"/>
    <n v="1"/>
    <s v="2&quot;"/>
    <n v="1"/>
    <s v=""/>
    <s v=""/>
    <s v=""/>
    <s v=""/>
    <s v=""/>
    <s v=""/>
    <s v=""/>
    <s v=""/>
    <s v=""/>
    <s v=""/>
    <s v=""/>
    <s v=""/>
    <s v=""/>
    <s v=""/>
  </r>
  <r>
    <s v="N281"/>
    <s v="TP195"/>
    <n v="67.91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281"/>
    <s v="TP196"/>
    <n v="16.04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279"/>
    <s v="N282"/>
    <n v="57.23"/>
    <x v="0"/>
    <x v="1"/>
    <s v="3&quot;"/>
    <n v="1"/>
    <s v=""/>
    <s v=""/>
    <s v="3&quot;"/>
    <n v="1"/>
    <s v=""/>
    <s v=""/>
    <s v=""/>
    <s v=""/>
    <s v="3&quot;"/>
    <n v="1"/>
    <s v=""/>
    <s v=""/>
    <s v=""/>
    <s v=""/>
    <s v=""/>
    <s v=""/>
  </r>
  <r>
    <s v="N272"/>
    <s v="N283"/>
    <n v="60.7"/>
    <x v="2"/>
    <x v="1"/>
    <s v=""/>
    <s v=""/>
    <s v=""/>
    <s v=""/>
    <s v=""/>
    <s v=""/>
    <s v=""/>
    <s v=""/>
    <s v=""/>
    <s v=""/>
    <s v="8&quot;"/>
    <n v="1"/>
    <s v=""/>
    <s v=""/>
    <s v=""/>
    <s v=""/>
    <s v=""/>
    <s v=""/>
  </r>
  <r>
    <s v="N283"/>
    <s v="TP197"/>
    <n v="104.64"/>
    <x v="1"/>
    <x v="0"/>
    <s v=""/>
    <s v=""/>
    <s v="2&quot;"/>
    <n v="2"/>
    <s v=""/>
    <s v=""/>
    <s v=""/>
    <s v=""/>
    <s v=""/>
    <s v=""/>
    <s v=""/>
    <s v=""/>
    <s v=""/>
    <s v=""/>
    <s v=""/>
    <s v=""/>
    <s v="2&quot;"/>
    <n v="1"/>
  </r>
  <r>
    <s v="N283"/>
    <s v="N282"/>
    <n v="78.09"/>
    <x v="2"/>
    <x v="1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82"/>
    <s v="N284"/>
    <n v="129"/>
    <x v="0"/>
    <x v="1"/>
    <s v=""/>
    <s v=""/>
    <s v=""/>
    <s v=""/>
    <s v="3&quot;"/>
    <n v="1"/>
    <s v=""/>
    <s v=""/>
    <s v=""/>
    <s v=""/>
    <s v="3&quot;"/>
    <n v="1"/>
    <s v=""/>
    <s v=""/>
    <s v=""/>
    <s v=""/>
    <s v=""/>
    <s v=""/>
  </r>
  <r>
    <s v="N246"/>
    <s v="N284"/>
    <n v="8.2200000000000006"/>
    <x v="8"/>
    <x v="1"/>
    <s v="8&quot;"/>
    <n v="1"/>
    <s v=""/>
    <s v=""/>
    <s v="4&quot;"/>
    <n v="2"/>
    <s v=""/>
    <s v=""/>
    <s v=""/>
    <s v=""/>
    <s v="4&quot;"/>
    <n v="1"/>
    <s v=""/>
    <s v=""/>
    <s v=""/>
    <s v=""/>
    <s v=""/>
    <s v=""/>
  </r>
  <r>
    <s v="N248"/>
    <s v="N284"/>
    <n v="3.08"/>
    <x v="3"/>
    <x v="1"/>
    <s v="10&quot;"/>
    <n v="1"/>
    <s v=""/>
    <s v=""/>
    <s v=""/>
    <s v=""/>
    <s v=""/>
    <s v=""/>
    <s v=""/>
    <s v=""/>
    <s v=""/>
    <s v=""/>
    <s v=""/>
    <s v=""/>
    <s v=""/>
    <s v=""/>
    <s v=""/>
    <s v=""/>
  </r>
  <r>
    <s v="N284"/>
    <s v="N283"/>
    <n v="183.9"/>
    <x v="0"/>
    <x v="1"/>
    <s v="10&quot;"/>
    <n v="1"/>
    <s v=""/>
    <s v=""/>
    <s v="3&quot;"/>
    <n v="1"/>
    <s v=""/>
    <s v=""/>
    <s v=""/>
    <s v=""/>
    <s v="3&quot;"/>
    <n v="1"/>
    <n v="0"/>
    <n v="1"/>
    <s v=""/>
    <s v=""/>
    <s v=""/>
    <s v=""/>
  </r>
  <r>
    <s v="N283"/>
    <s v="N290"/>
    <n v="130.71"/>
    <x v="0"/>
    <x v="1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48"/>
    <s v="N285"/>
    <n v="134.53"/>
    <x v="3"/>
    <x v="1"/>
    <s v="10&quot;"/>
    <n v="1"/>
    <s v=""/>
    <s v=""/>
    <s v=""/>
    <s v=""/>
    <s v=""/>
    <s v=""/>
    <s v=""/>
    <s v=""/>
    <s v="10&quot;"/>
    <n v="1"/>
    <s v=""/>
    <s v=""/>
    <s v=""/>
    <s v=""/>
    <s v=""/>
    <s v=""/>
  </r>
  <r>
    <s v="N285"/>
    <s v="N290"/>
    <n v="134.56"/>
    <x v="0"/>
    <x v="0"/>
    <s v=""/>
    <s v=""/>
    <s v=""/>
    <s v=""/>
    <s v="3&quot;"/>
    <n v="1"/>
    <s v=""/>
    <s v=""/>
    <s v=""/>
    <s v=""/>
    <s v="3&quot;"/>
    <n v="1"/>
    <s v=""/>
    <s v=""/>
    <s v=""/>
    <s v=""/>
    <s v=""/>
    <s v=""/>
  </r>
  <r>
    <s v="N290"/>
    <s v="N291"/>
    <n v="125.03"/>
    <x v="0"/>
    <x v="1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91"/>
    <s v="N292"/>
    <n v="10.55"/>
    <x v="0"/>
    <x v="0"/>
    <s v=""/>
    <s v=""/>
    <s v=""/>
    <s v=""/>
    <s v=""/>
    <s v=""/>
    <s v=""/>
    <s v=""/>
    <s v=""/>
    <s v=""/>
    <s v="3&quot;"/>
    <n v="1"/>
    <s v=""/>
    <s v=""/>
    <s v=""/>
    <s v=""/>
    <s v=""/>
    <s v=""/>
  </r>
  <r>
    <s v="N285"/>
    <s v="N289"/>
    <n v="133.04"/>
    <x v="3"/>
    <x v="1"/>
    <s v=""/>
    <s v=""/>
    <s v=""/>
    <s v=""/>
    <s v=""/>
    <s v=""/>
    <s v=""/>
    <s v=""/>
    <s v=""/>
    <s v=""/>
    <s v=""/>
    <s v=""/>
    <n v="0"/>
    <n v="1"/>
    <s v=""/>
    <s v=""/>
    <s v=""/>
    <s v=""/>
  </r>
  <r>
    <s v="N270"/>
    <s v="N292"/>
    <n v="8.25"/>
    <x v="2"/>
    <x v="0"/>
    <s v=""/>
    <s v=""/>
    <s v=""/>
    <s v=""/>
    <s v="8&quot;"/>
    <n v="1"/>
    <s v=""/>
    <s v=""/>
    <s v=""/>
    <s v=""/>
    <s v=""/>
    <s v=""/>
    <s v=""/>
    <s v=""/>
    <s v=""/>
    <s v=""/>
    <s v=""/>
    <s v=""/>
  </r>
  <r>
    <s v="N241"/>
    <s v="N293"/>
    <n v="32.520000000000003"/>
    <x v="1"/>
    <x v="1"/>
    <s v="12&quot;"/>
    <n v="1"/>
    <s v=""/>
    <s v=""/>
    <s v="2&quot;"/>
    <n v="1"/>
    <s v=""/>
    <s v=""/>
    <s v=""/>
    <s v=""/>
    <s v="2&quot;"/>
    <n v="1"/>
    <s v=""/>
    <s v=""/>
    <s v=""/>
    <s v=""/>
    <s v=""/>
    <s v=""/>
  </r>
  <r>
    <s v="N293"/>
    <s v="N294"/>
    <n v="31.4"/>
    <x v="8"/>
    <x v="1"/>
    <s v=""/>
    <s v=""/>
    <s v=""/>
    <s v=""/>
    <s v=""/>
    <s v=""/>
    <s v="4&quot;"/>
    <n v="1"/>
    <s v=""/>
    <s v=""/>
    <s v=""/>
    <s v=""/>
    <s v=""/>
    <s v=""/>
    <s v=""/>
    <s v=""/>
    <s v=""/>
    <s v=""/>
  </r>
  <r>
    <s v="N294"/>
    <s v="N295"/>
    <n v="16.55"/>
    <x v="1"/>
    <x v="0"/>
    <s v="4&quot;"/>
    <n v="1"/>
    <s v=""/>
    <s v=""/>
    <s v="2&quot;"/>
    <n v="1"/>
    <s v=""/>
    <s v=""/>
    <s v=""/>
    <s v=""/>
    <s v="2&quot;"/>
    <n v="1"/>
    <s v=""/>
    <s v=""/>
    <s v=""/>
    <s v=""/>
    <s v=""/>
    <s v=""/>
  </r>
  <r>
    <s v="N294"/>
    <s v="N296"/>
    <n v="36.78"/>
    <x v="8"/>
    <x v="1"/>
    <s v="4&quot;"/>
    <n v="1"/>
    <s v=""/>
    <s v=""/>
    <s v=""/>
    <s v=""/>
    <s v=""/>
    <s v=""/>
    <s v=""/>
    <s v=""/>
    <s v=""/>
    <s v=""/>
    <s v=""/>
    <s v=""/>
    <s v=""/>
    <s v=""/>
    <s v=""/>
    <s v=""/>
  </r>
  <r>
    <s v="N230"/>
    <s v="N296"/>
    <n v="13"/>
    <x v="0"/>
    <x v="0"/>
    <s v=""/>
    <s v=""/>
    <s v=""/>
    <s v=""/>
    <s v="3&quot;"/>
    <n v="2"/>
    <s v=""/>
    <s v=""/>
    <s v=""/>
    <s v=""/>
    <s v="3&quot;"/>
    <n v="1"/>
    <s v=""/>
    <s v=""/>
    <s v=""/>
    <s v=""/>
    <s v=""/>
    <s v=""/>
  </r>
  <r>
    <s v="N296"/>
    <s v="N297"/>
    <n v="87.15"/>
    <x v="0"/>
    <x v="0"/>
    <s v="4&quot;"/>
    <n v="1"/>
    <s v=""/>
    <s v=""/>
    <s v="3&quot;"/>
    <n v="1"/>
    <s v=""/>
    <s v=""/>
    <s v=""/>
    <s v=""/>
    <s v=""/>
    <s v=""/>
    <s v=""/>
    <s v=""/>
    <n v="0"/>
    <n v="1"/>
    <s v=""/>
    <s v=""/>
  </r>
  <r>
    <s v="N297"/>
    <s v="TP199"/>
    <n v="130.76"/>
    <x v="0"/>
    <x v="1"/>
    <s v="3&quot;"/>
    <n v="1"/>
    <s v=""/>
    <s v=""/>
    <s v=""/>
    <s v=""/>
    <s v=""/>
    <s v=""/>
    <s v=""/>
    <s v=""/>
    <s v=""/>
    <s v=""/>
    <s v=""/>
    <s v=""/>
    <s v=""/>
    <s v=""/>
    <s v="3&quot;"/>
    <n v="1"/>
  </r>
  <r>
    <s v="N297"/>
    <s v="N298"/>
    <n v="44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288"/>
    <s v="N298"/>
    <n v="139.22"/>
    <x v="8"/>
    <x v="1"/>
    <s v=""/>
    <s v=""/>
    <s v=""/>
    <s v=""/>
    <s v="4&quot;"/>
    <n v="1"/>
    <s v=""/>
    <s v=""/>
    <s v=""/>
    <s v=""/>
    <s v="4&quot;"/>
    <n v="1"/>
    <s v=""/>
    <s v=""/>
    <s v=""/>
    <s v=""/>
    <s v=""/>
    <s v=""/>
  </r>
  <r>
    <s v="N298"/>
    <s v="N299"/>
    <n v="139.46"/>
    <x v="0"/>
    <x v="0"/>
    <s v=""/>
    <s v=""/>
    <s v=""/>
    <s v=""/>
    <s v="3&quot;"/>
    <n v="2"/>
    <s v=""/>
    <s v=""/>
    <s v=""/>
    <s v=""/>
    <s v=""/>
    <s v=""/>
    <s v=""/>
    <s v=""/>
    <s v=""/>
    <s v=""/>
    <s v=""/>
    <s v=""/>
  </r>
  <r>
    <s v="N289"/>
    <s v="N299"/>
    <n v="139.31"/>
    <x v="3"/>
    <x v="1"/>
    <s v=""/>
    <s v=""/>
    <s v=""/>
    <s v=""/>
    <s v=""/>
    <s v=""/>
    <s v=""/>
    <s v=""/>
    <s v=""/>
    <s v=""/>
    <s v="10&quot;"/>
    <n v="1"/>
    <s v=""/>
    <s v=""/>
    <s v=""/>
    <s v=""/>
    <s v=""/>
    <s v=""/>
  </r>
  <r>
    <s v="N299"/>
    <s v="N300"/>
    <n v="62.61"/>
    <x v="0"/>
    <x v="0"/>
    <s v=""/>
    <s v=""/>
    <s v=""/>
    <s v=""/>
    <s v="3&quot;"/>
    <n v="1"/>
    <s v=""/>
    <s v=""/>
    <s v=""/>
    <s v=""/>
    <s v=""/>
    <s v=""/>
    <s v=""/>
    <s v=""/>
    <s v=""/>
    <s v=""/>
    <s v=""/>
    <s v=""/>
  </r>
  <r>
    <s v="N300"/>
    <s v="TP200"/>
    <n v="63.71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300"/>
    <s v="N301"/>
    <n v="55.32"/>
    <x v="0"/>
    <x v="0"/>
    <s v="3&quot;"/>
    <n v="1"/>
    <s v=""/>
    <s v=""/>
    <s v="3&quot;"/>
    <n v="1"/>
    <s v=""/>
    <s v=""/>
    <s v=""/>
    <s v=""/>
    <s v=""/>
    <s v=""/>
    <s v=""/>
    <s v=""/>
    <s v=""/>
    <s v=""/>
    <s v=""/>
    <s v=""/>
  </r>
  <r>
    <s v="N301"/>
    <s v="N302"/>
    <n v="20.53"/>
    <x v="8"/>
    <x v="1"/>
    <s v=""/>
    <s v=""/>
    <s v=""/>
    <s v=""/>
    <s v=""/>
    <s v=""/>
    <s v=""/>
    <s v=""/>
    <s v=""/>
    <s v=""/>
    <s v="4&quot;"/>
    <n v="1"/>
    <s v=""/>
    <s v=""/>
    <s v=""/>
    <s v=""/>
    <s v=""/>
    <s v=""/>
  </r>
  <r>
    <s v="N292"/>
    <s v="N303"/>
    <n v="128.66999999999999"/>
    <x v="0"/>
    <x v="0"/>
    <s v=""/>
    <s v=""/>
    <s v=""/>
    <s v=""/>
    <s v="3&quot;"/>
    <n v="1"/>
    <s v=""/>
    <s v=""/>
    <s v=""/>
    <s v=""/>
    <s v="3&quot;"/>
    <n v="1"/>
    <s v=""/>
    <s v=""/>
    <s v=""/>
    <s v=""/>
    <s v=""/>
    <s v=""/>
  </r>
  <r>
    <s v="N303"/>
    <s v="N302"/>
    <n v="11.5"/>
    <x v="0"/>
    <x v="1"/>
    <s v=""/>
    <s v=""/>
    <s v=""/>
    <s v=""/>
    <s v="3&quot;"/>
    <n v="1"/>
    <s v=""/>
    <s v=""/>
    <s v=""/>
    <s v=""/>
    <s v=""/>
    <s v=""/>
    <s v=""/>
    <s v=""/>
    <s v=""/>
    <s v=""/>
    <s v=""/>
    <s v=""/>
  </r>
  <r>
    <s v="N298"/>
    <s v="N304"/>
    <n v="94.4"/>
    <x v="8"/>
    <x v="1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04"/>
    <s v="N305"/>
    <n v="10.54"/>
    <x v="0"/>
    <x v="1"/>
    <s v=""/>
    <s v=""/>
    <s v=""/>
    <s v=""/>
    <s v="3&quot;"/>
    <n v="1"/>
    <s v=""/>
    <s v=""/>
    <s v=""/>
    <s v=""/>
    <s v="3&quot;"/>
    <n v="1"/>
    <s v=""/>
    <s v=""/>
    <s v=""/>
    <s v=""/>
    <s v=""/>
    <s v=""/>
  </r>
  <r>
    <s v="N305"/>
    <s v="TP201"/>
    <n v="7.8"/>
    <x v="0"/>
    <x v="1"/>
    <s v="3&quot;"/>
    <n v="1"/>
    <s v=""/>
    <s v=""/>
    <s v=""/>
    <s v=""/>
    <s v=""/>
    <s v=""/>
    <s v=""/>
    <s v=""/>
    <s v=""/>
    <s v=""/>
    <s v=""/>
    <s v=""/>
    <s v=""/>
    <s v=""/>
    <s v="3&quot;"/>
    <n v="1"/>
  </r>
  <r>
    <s v="N305"/>
    <s v="N306"/>
    <n v="148.37"/>
    <x v="0"/>
    <x v="1"/>
    <s v="3&quot;"/>
    <n v="1"/>
    <s v=""/>
    <s v=""/>
    <s v=""/>
    <s v=""/>
    <s v=""/>
    <s v=""/>
    <s v=""/>
    <s v=""/>
    <s v=""/>
    <s v=""/>
    <n v="0"/>
    <n v="1"/>
    <s v=""/>
    <s v=""/>
    <s v=""/>
    <s v=""/>
  </r>
  <r>
    <s v="N299"/>
    <s v="N307"/>
    <n v="62.1"/>
    <x v="7"/>
    <x v="1"/>
    <s v=""/>
    <s v=""/>
    <s v=""/>
    <s v=""/>
    <s v="6&quot;"/>
    <n v="1"/>
    <s v=""/>
    <s v=""/>
    <s v=""/>
    <s v=""/>
    <s v=""/>
    <s v=""/>
    <s v=""/>
    <s v=""/>
    <n v="0"/>
    <n v="1"/>
    <s v=""/>
    <s v=""/>
  </r>
  <r>
    <s v="N307"/>
    <s v="TP202"/>
    <n v="44.99"/>
    <x v="1"/>
    <x v="0"/>
    <s v="6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307"/>
    <s v="N306"/>
    <n v="83.74"/>
    <x v="7"/>
    <x v="1"/>
    <s v="6&quot;"/>
    <n v="1"/>
    <s v=""/>
    <s v=""/>
    <s v=""/>
    <s v=""/>
    <s v=""/>
    <s v=""/>
    <s v=""/>
    <s v=""/>
    <s v="6&quot;"/>
    <n v="1"/>
    <s v=""/>
    <s v=""/>
    <s v=""/>
    <s v=""/>
    <s v=""/>
    <s v=""/>
  </r>
  <r>
    <s v="N306"/>
    <s v="N308"/>
    <n v="50.45"/>
    <x v="0"/>
    <x v="1"/>
    <s v=""/>
    <s v=""/>
    <s v=""/>
    <s v=""/>
    <s v="3&quot;"/>
    <n v="1"/>
    <s v=""/>
    <s v=""/>
    <s v=""/>
    <s v=""/>
    <s v=""/>
    <s v=""/>
    <s v=""/>
    <s v=""/>
    <s v=""/>
    <s v=""/>
    <s v=""/>
    <s v=""/>
  </r>
  <r>
    <s v="N308"/>
    <s v="TP203"/>
    <n v="99.84"/>
    <x v="1"/>
    <x v="0"/>
    <s v="3&quot;"/>
    <n v="1"/>
    <s v="2&quot;"/>
    <n v="1"/>
    <s v="2&quot;"/>
    <n v="1"/>
    <s v=""/>
    <s v=""/>
    <s v=""/>
    <s v=""/>
    <s v="2&quot;"/>
    <n v="1"/>
    <s v=""/>
    <s v=""/>
    <s v=""/>
    <s v=""/>
    <s v="2&quot;"/>
    <n v="1"/>
  </r>
  <r>
    <s v="N308"/>
    <s v="N309"/>
    <n v="89.23"/>
    <x v="0"/>
    <x v="1"/>
    <s v="3&quot;"/>
    <n v="1"/>
    <s v=""/>
    <s v=""/>
    <s v="3&quot;"/>
    <n v="1"/>
    <s v=""/>
    <s v=""/>
    <s v=""/>
    <s v=""/>
    <s v=""/>
    <s v=""/>
    <s v=""/>
    <s v=""/>
    <n v="0"/>
    <n v="1"/>
    <s v=""/>
    <s v=""/>
  </r>
  <r>
    <s v="N302"/>
    <s v="N309"/>
    <n v="145.32"/>
    <x v="0"/>
    <x v="1"/>
    <s v=""/>
    <s v=""/>
    <s v=""/>
    <s v=""/>
    <s v="3&quot;"/>
    <n v="2"/>
    <s v=""/>
    <s v=""/>
    <s v=""/>
    <s v=""/>
    <s v="3&quot;"/>
    <n v="0"/>
    <s v=""/>
    <s v=""/>
    <s v=""/>
    <s v=""/>
    <s v=""/>
    <s v=""/>
  </r>
  <r>
    <s v="N306"/>
    <s v="N237"/>
    <n v="139.82"/>
    <x v="7"/>
    <x v="1"/>
    <s v=""/>
    <s v=""/>
    <s v=""/>
    <s v=""/>
    <s v=""/>
    <s v=""/>
    <s v=""/>
    <s v=""/>
    <s v=""/>
    <s v=""/>
    <s v="6&quot;"/>
    <n v="1"/>
    <s v=""/>
    <s v=""/>
    <s v=""/>
    <s v=""/>
    <s v=""/>
    <s v=""/>
  </r>
  <r>
    <s v="N237"/>
    <s v="N310"/>
    <n v="122.96"/>
    <x v="7"/>
    <x v="1"/>
    <s v="6&quot;"/>
    <n v="1"/>
    <s v=""/>
    <s v=""/>
    <s v=""/>
    <s v=""/>
    <s v=""/>
    <s v=""/>
    <s v=""/>
    <s v=""/>
    <s v=""/>
    <s v=""/>
    <s v=""/>
    <s v=""/>
    <s v=""/>
    <s v=""/>
    <s v=""/>
    <s v=""/>
  </r>
  <r>
    <s v="N309"/>
    <s v="N310"/>
    <n v="136.38"/>
    <x v="7"/>
    <x v="1"/>
    <s v=""/>
    <s v=""/>
    <s v=""/>
    <s v=""/>
    <s v=""/>
    <s v=""/>
    <s v=""/>
    <s v=""/>
    <s v=""/>
    <s v=""/>
    <s v="6&quot;"/>
    <n v="1"/>
    <s v=""/>
    <s v=""/>
    <s v=""/>
    <s v=""/>
    <s v=""/>
    <s v=""/>
  </r>
  <r>
    <s v="N310"/>
    <s v="N311"/>
    <n v="60.3"/>
    <x v="7"/>
    <x v="1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11"/>
    <s v="N312"/>
    <n v="18"/>
    <x v="0"/>
    <x v="1"/>
    <s v=""/>
    <s v=""/>
    <s v=""/>
    <s v=""/>
    <s v="3&quot;"/>
    <n v="1"/>
    <s v=""/>
    <s v=""/>
    <s v=""/>
    <s v=""/>
    <s v="3&quot;"/>
    <n v="1"/>
    <s v=""/>
    <s v=""/>
    <s v=""/>
    <s v=""/>
    <s v=""/>
    <s v=""/>
  </r>
  <r>
    <s v="N312"/>
    <s v="N313"/>
    <n v="50.77"/>
    <x v="0"/>
    <x v="1"/>
    <s v="3&quot;"/>
    <n v="1"/>
    <s v=""/>
    <s v=""/>
    <s v=""/>
    <s v=""/>
    <s v=""/>
    <s v=""/>
    <s v=""/>
    <s v=""/>
    <s v=""/>
    <s v=""/>
    <s v=""/>
    <s v=""/>
    <n v="0"/>
    <n v="1"/>
    <s v=""/>
    <s v=""/>
  </r>
  <r>
    <s v="N313"/>
    <s v="TP204"/>
    <n v="55.38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313"/>
    <s v="TP205"/>
    <n v="156.28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312"/>
    <s v="N314"/>
    <n v="160.62"/>
    <x v="0"/>
    <x v="1"/>
    <s v="3&quot;"/>
    <n v="1"/>
    <s v=""/>
    <s v=""/>
    <s v=""/>
    <s v=""/>
    <s v=""/>
    <s v=""/>
    <s v=""/>
    <s v=""/>
    <s v="3&quot;"/>
    <n v="1"/>
    <s v=""/>
    <s v=""/>
    <s v=""/>
    <s v=""/>
    <s v=""/>
    <s v=""/>
  </r>
  <r>
    <s v="N314"/>
    <s v="N315"/>
    <n v="9.08"/>
    <x v="0"/>
    <x v="1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315"/>
    <s v="TP206"/>
    <n v="35.58"/>
    <x v="0"/>
    <x v="4"/>
    <s v="3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314"/>
    <s v="N316"/>
    <n v="166.52"/>
    <x v="0"/>
    <x v="1"/>
    <s v="3&quot;"/>
    <n v="1"/>
    <s v=""/>
    <s v=""/>
    <s v="3&quot;"/>
    <n v="1"/>
    <s v=""/>
    <s v=""/>
    <s v=""/>
    <s v=""/>
    <s v=""/>
    <s v=""/>
    <s v=""/>
    <s v=""/>
    <s v=""/>
    <s v=""/>
    <s v=""/>
    <s v=""/>
  </r>
  <r>
    <s v="N310"/>
    <s v="N316"/>
    <n v="134.69999999999999"/>
    <x v="7"/>
    <x v="1"/>
    <s v=""/>
    <s v=""/>
    <s v=""/>
    <s v=""/>
    <s v=""/>
    <s v=""/>
    <s v=""/>
    <s v=""/>
    <s v=""/>
    <s v=""/>
    <s v="6&quot;"/>
    <n v="1"/>
    <s v=""/>
    <s v=""/>
    <s v=""/>
    <s v=""/>
    <s v=""/>
    <s v=""/>
  </r>
  <r>
    <s v="N316"/>
    <s v="N317"/>
    <n v="137.05000000000001"/>
    <x v="0"/>
    <x v="1"/>
    <s v=""/>
    <s v=""/>
    <s v=""/>
    <s v=""/>
    <s v="3&quot;"/>
    <n v="1"/>
    <s v=""/>
    <s v=""/>
    <s v=""/>
    <s v=""/>
    <s v="3&quot;"/>
    <n v="1"/>
    <s v=""/>
    <s v=""/>
    <s v=""/>
    <s v=""/>
    <s v=""/>
    <s v=""/>
  </r>
  <r>
    <s v="N309"/>
    <s v="N317"/>
    <n v="135.47"/>
    <x v="0"/>
    <x v="0"/>
    <s v=""/>
    <s v=""/>
    <s v=""/>
    <s v=""/>
    <s v="3&quot;"/>
    <n v="1"/>
    <s v=""/>
    <s v=""/>
    <s v=""/>
    <s v=""/>
    <s v="3&quot;"/>
    <n v="1"/>
    <s v=""/>
    <s v=""/>
    <s v=""/>
    <s v=""/>
    <s v=""/>
    <s v=""/>
  </r>
  <r>
    <s v="N317"/>
    <s v="N318"/>
    <n v="95.07"/>
    <x v="0"/>
    <x v="1"/>
    <s v=""/>
    <s v=""/>
    <s v=""/>
    <s v=""/>
    <s v=""/>
    <s v=""/>
    <s v=""/>
    <s v=""/>
    <s v=""/>
    <s v=""/>
    <s v="3&quot;"/>
    <n v="1"/>
    <s v=""/>
    <s v=""/>
    <s v=""/>
    <s v=""/>
    <s v=""/>
    <s v=""/>
  </r>
  <r>
    <s v="N318"/>
    <s v="TP 207"/>
    <n v="71.959999999999994"/>
    <x v="8"/>
    <x v="1"/>
    <s v="3&quot;"/>
    <n v="1"/>
    <s v=""/>
    <s v=""/>
    <s v=""/>
    <s v=""/>
    <s v="4&quot;"/>
    <n v="1"/>
    <s v=""/>
    <s v=""/>
    <s v=""/>
    <s v=""/>
    <s v=""/>
    <s v=""/>
    <s v=""/>
    <s v=""/>
    <s v="4&quot;"/>
    <n v="1"/>
  </r>
  <r>
    <s v="N318"/>
    <s v="N319"/>
    <n v="45.91"/>
    <x v="0"/>
    <x v="1"/>
    <s v="3&quot;"/>
    <n v="1"/>
    <s v=""/>
    <s v=""/>
    <s v="3&quot;"/>
    <n v="1"/>
    <s v=""/>
    <s v=""/>
    <s v=""/>
    <s v=""/>
    <s v=""/>
    <s v=""/>
    <s v=""/>
    <s v=""/>
    <n v="0"/>
    <n v="1"/>
    <s v=""/>
    <s v=""/>
  </r>
  <r>
    <s v="N302"/>
    <s v="N319"/>
    <n v="133.57"/>
    <x v="8"/>
    <x v="1"/>
    <s v=""/>
    <s v=""/>
    <s v=""/>
    <s v=""/>
    <s v=""/>
    <s v=""/>
    <s v=""/>
    <s v=""/>
    <s v=""/>
    <s v=""/>
    <s v="4&quot;"/>
    <n v="1"/>
    <s v=""/>
    <s v=""/>
    <s v=""/>
    <s v=""/>
    <s v=""/>
    <s v=""/>
  </r>
  <r>
    <s v="N319"/>
    <s v="N320"/>
    <n v="9.73"/>
    <x v="0"/>
    <x v="1"/>
    <s v=""/>
    <s v=""/>
    <s v=""/>
    <s v=""/>
    <s v="3&quot;"/>
    <n v="1"/>
    <s v=""/>
    <s v=""/>
    <s v=""/>
    <s v=""/>
    <s v=""/>
    <s v=""/>
    <s v=""/>
    <s v=""/>
    <s v=""/>
    <s v=""/>
    <s v=""/>
    <s v=""/>
  </r>
  <r>
    <s v="N320"/>
    <s v="N321"/>
    <n v="134.91999999999999"/>
    <x v="0"/>
    <x v="0"/>
    <s v=""/>
    <s v=""/>
    <s v=""/>
    <s v=""/>
    <s v="3&quot;"/>
    <n v="0"/>
    <s v=""/>
    <s v=""/>
    <s v=""/>
    <s v=""/>
    <s v="3&quot;"/>
    <n v="1"/>
    <s v=""/>
    <s v=""/>
    <s v=""/>
    <s v=""/>
    <s v=""/>
    <s v=""/>
  </r>
  <r>
    <s v="N292"/>
    <s v="N321"/>
    <n v="135.16"/>
    <x v="2"/>
    <x v="0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21"/>
    <s v="N322"/>
    <n v="72.75"/>
    <x v="0"/>
    <x v="1"/>
    <s v=""/>
    <s v=""/>
    <s v=""/>
    <s v=""/>
    <s v="3&quot;"/>
    <n v="1"/>
    <s v=""/>
    <s v=""/>
    <s v=""/>
    <s v=""/>
    <s v="3&quot;"/>
    <n v="1"/>
    <s v=""/>
    <s v=""/>
    <s v=""/>
    <s v=""/>
    <s v=""/>
    <s v=""/>
  </r>
  <r>
    <s v="N322"/>
    <s v="TP208"/>
    <n v="38.049999999999997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322"/>
    <s v="N323"/>
    <n v="78.930000000000007"/>
    <x v="0"/>
    <x v="1"/>
    <s v="3&quot;"/>
    <n v="1"/>
    <s v=""/>
    <s v=""/>
    <s v=""/>
    <s v=""/>
    <s v=""/>
    <s v=""/>
    <s v=""/>
    <s v=""/>
    <s v=""/>
    <s v=""/>
    <n v="0"/>
    <n v="1"/>
    <s v=""/>
    <s v=""/>
    <s v=""/>
    <s v=""/>
  </r>
  <r>
    <s v="N290"/>
    <s v="N323"/>
    <n v="138.30000000000001"/>
    <x v="0"/>
    <x v="0"/>
    <s v=""/>
    <s v=""/>
    <s v=""/>
    <s v=""/>
    <s v=""/>
    <s v=""/>
    <s v=""/>
    <s v=""/>
    <s v=""/>
    <s v=""/>
    <s v="3&quot;"/>
    <n v="1"/>
    <s v=""/>
    <s v=""/>
    <s v=""/>
    <s v=""/>
    <s v=""/>
    <s v=""/>
  </r>
  <r>
    <s v="N323"/>
    <s v="N324"/>
    <n v="67.86"/>
    <x v="0"/>
    <x v="1"/>
    <s v=""/>
    <s v=""/>
    <s v=""/>
    <s v=""/>
    <s v=""/>
    <s v=""/>
    <s v=""/>
    <s v=""/>
    <s v=""/>
    <s v=""/>
    <s v="3&quot;"/>
    <n v="1"/>
    <s v=""/>
    <s v=""/>
    <s v=""/>
    <s v=""/>
    <s v=""/>
    <s v=""/>
  </r>
  <r>
    <s v="N324"/>
    <s v="TP209"/>
    <n v="37.19"/>
    <x v="0"/>
    <x v="0"/>
    <s v="3&quot;"/>
    <n v="1"/>
    <s v=""/>
    <s v=""/>
    <s v=""/>
    <s v=""/>
    <s v=""/>
    <s v=""/>
    <s v=""/>
    <s v=""/>
    <s v="3&quot;"/>
    <n v="1"/>
    <s v=""/>
    <s v=""/>
    <s v=""/>
    <s v=""/>
    <s v="3&quot;"/>
    <n v="1"/>
  </r>
  <r>
    <s v="N324"/>
    <s v="N325"/>
    <n v="66.37"/>
    <x v="0"/>
    <x v="1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283"/>
    <s v="N325"/>
    <n v="139.46"/>
    <x v="0"/>
    <x v="1"/>
    <s v=""/>
    <s v=""/>
    <s v=""/>
    <s v=""/>
    <s v=""/>
    <s v=""/>
    <s v=""/>
    <s v=""/>
    <s v=""/>
    <s v=""/>
    <s v="3&quot;"/>
    <n v="1"/>
    <s v=""/>
    <s v=""/>
    <s v=""/>
    <s v=""/>
    <s v=""/>
    <s v=""/>
  </r>
  <r>
    <s v="N325"/>
    <s v="N326"/>
    <n v="127.05"/>
    <x v="8"/>
    <x v="1"/>
    <s v=""/>
    <s v=""/>
    <s v=""/>
    <s v=""/>
    <s v="4&quot;"/>
    <n v="1"/>
    <s v="4&quot;"/>
    <n v="1"/>
    <s v=""/>
    <s v=""/>
    <s v="4&quot;"/>
    <n v="1"/>
    <n v="0"/>
    <n v="1"/>
    <s v=""/>
    <s v=""/>
    <s v=""/>
    <s v=""/>
  </r>
  <r>
    <s v="N282"/>
    <s v="N326"/>
    <n v="139.16999999999999"/>
    <x v="2"/>
    <x v="1"/>
    <s v=""/>
    <s v=""/>
    <s v=""/>
    <s v=""/>
    <s v=""/>
    <s v=""/>
    <s v=""/>
    <s v=""/>
    <s v=""/>
    <s v=""/>
    <s v="8&quot;"/>
    <n v="1"/>
    <s v=""/>
    <s v=""/>
    <s v=""/>
    <s v=""/>
    <s v=""/>
    <s v=""/>
  </r>
  <r>
    <s v="N326"/>
    <s v="N327"/>
    <n v="70.12"/>
    <x v="8"/>
    <x v="1"/>
    <s v=""/>
    <s v=""/>
    <s v=""/>
    <s v=""/>
    <s v="4&quot;"/>
    <n v="1"/>
    <s v=""/>
    <s v=""/>
    <s v=""/>
    <s v=""/>
    <s v="4&quot;"/>
    <n v="1"/>
    <s v=""/>
    <s v=""/>
    <s v=""/>
    <s v=""/>
    <s v=""/>
    <s v=""/>
  </r>
  <r>
    <s v="N327"/>
    <s v="TP210"/>
    <n v="71.87"/>
    <x v="8"/>
    <x v="0"/>
    <s v="4&quot;"/>
    <n v="1"/>
    <s v=""/>
    <s v=""/>
    <s v=""/>
    <s v=""/>
    <s v=""/>
    <s v=""/>
    <s v=""/>
    <s v=""/>
    <s v=""/>
    <s v=""/>
    <s v=""/>
    <s v=""/>
    <s v=""/>
    <s v=""/>
    <s v="4&quot;"/>
    <n v="1"/>
  </r>
  <r>
    <s v="N327"/>
    <s v="N328"/>
    <n v="31.03"/>
    <x v="8"/>
    <x v="1"/>
    <s v="4&quot;"/>
    <n v="1"/>
    <s v=""/>
    <s v=""/>
    <s v=""/>
    <s v=""/>
    <s v=""/>
    <s v=""/>
    <s v=""/>
    <s v=""/>
    <s v=""/>
    <s v=""/>
    <s v=""/>
    <s v=""/>
    <s v=""/>
    <s v=""/>
    <s v=""/>
    <s v=""/>
  </r>
  <r>
    <s v="N328"/>
    <s v="TP211"/>
    <n v="16.5"/>
    <x v="9"/>
    <x v="0"/>
    <s v="4&quot;"/>
    <n v="1"/>
    <s v=""/>
    <s v=""/>
    <s v="1 1/2&quot;"/>
    <n v="1"/>
    <s v=""/>
    <s v=""/>
    <s v=""/>
    <s v=""/>
    <s v=""/>
    <s v=""/>
    <s v=""/>
    <s v=""/>
    <s v=""/>
    <s v=""/>
    <s v="1 1/2&quot;"/>
    <n v="1"/>
  </r>
  <r>
    <s v="N328"/>
    <s v="N329"/>
    <n v="12.28"/>
    <x v="8"/>
    <x v="1"/>
    <s v="4&quot;"/>
    <n v="1"/>
    <s v=""/>
    <s v=""/>
    <s v=""/>
    <s v=""/>
    <s v=""/>
    <s v=""/>
    <s v=""/>
    <s v=""/>
    <s v=""/>
    <s v=""/>
    <s v=""/>
    <s v=""/>
    <s v=""/>
    <s v=""/>
    <s v=""/>
    <s v=""/>
  </r>
  <r>
    <s v="N277"/>
    <s v="N330"/>
    <n v="8.2200000000000006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</r>
  <r>
    <s v="N330"/>
    <s v="N331"/>
    <n v="83.79"/>
    <x v="0"/>
    <x v="1"/>
    <s v=""/>
    <s v=""/>
    <s v="3&quot;"/>
    <n v="1"/>
    <s v="3&quot;"/>
    <n v="1"/>
    <s v=""/>
    <s v=""/>
    <s v=""/>
    <s v=""/>
    <s v=""/>
    <s v=""/>
    <s v=""/>
    <s v=""/>
    <s v=""/>
    <s v=""/>
    <s v=""/>
    <s v=""/>
  </r>
  <r>
    <s v="N331"/>
    <s v="N329"/>
    <n v="33.5"/>
    <x v="8"/>
    <x v="1"/>
    <s v="4&quot;"/>
    <n v="1"/>
    <s v=""/>
    <s v=""/>
    <s v=""/>
    <s v=""/>
    <s v=""/>
    <s v=""/>
    <s v=""/>
    <s v=""/>
    <s v=""/>
    <s v=""/>
    <s v=""/>
    <s v=""/>
    <s v=""/>
    <s v=""/>
    <s v=""/>
    <s v=""/>
  </r>
  <r>
    <s v="N329"/>
    <s v="TP212"/>
    <n v="56"/>
    <x v="6"/>
    <x v="4"/>
    <s v=""/>
    <s v=""/>
    <s v=""/>
    <s v=""/>
    <s v=""/>
    <s v=""/>
    <s v=""/>
    <s v=""/>
    <s v=""/>
    <s v=""/>
    <s v=""/>
    <s v=""/>
    <s v=""/>
    <s v=""/>
    <s v=""/>
    <s v=""/>
    <s v="1&quot;"/>
    <n v="1"/>
  </r>
  <r>
    <s v="N331"/>
    <s v="N332"/>
    <n v="59"/>
    <x v="0"/>
    <x v="2"/>
    <s v="4&quot;"/>
    <n v="1"/>
    <s v=""/>
    <s v=""/>
    <s v="3&quot;"/>
    <n v="1"/>
    <s v=""/>
    <s v=""/>
    <s v=""/>
    <s v=""/>
    <s v="3&quot;"/>
    <n v="1"/>
    <s v=""/>
    <s v=""/>
    <s v=""/>
    <s v=""/>
    <s v=""/>
    <s v=""/>
  </r>
  <r>
    <s v="N332"/>
    <s v="N333"/>
    <n v="55.97"/>
    <x v="0"/>
    <x v="2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333"/>
    <s v="N334"/>
    <n v="54.6"/>
    <x v="0"/>
    <x v="0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34"/>
    <s v="N213"/>
    <n v="45.13"/>
    <x v="6"/>
    <x v="0"/>
    <s v="3&quot;"/>
    <n v="1"/>
    <s v=""/>
    <s v=""/>
    <s v="1&quot;"/>
    <n v="1"/>
    <s v=""/>
    <s v=""/>
    <s v=""/>
    <s v=""/>
    <s v=""/>
    <s v=""/>
    <s v=""/>
    <s v=""/>
    <s v=""/>
    <s v=""/>
    <s v="1&quot;"/>
    <n v="1"/>
  </r>
  <r>
    <s v="N334"/>
    <s v="N335"/>
    <n v="60.19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"/>
    <s v=""/>
  </r>
  <r>
    <s v="N335"/>
    <s v="TP214"/>
    <n v="41.29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335"/>
    <s v="TP215"/>
    <n v="46.52"/>
    <x v="1"/>
    <x v="0"/>
    <s v="2&quot;"/>
    <n v="1"/>
    <s v="2&quot;"/>
    <n v="1"/>
    <s v=""/>
    <s v=""/>
    <s v=""/>
    <s v=""/>
    <s v=""/>
    <s v=""/>
    <s v=""/>
    <s v=""/>
    <s v=""/>
    <s v=""/>
    <s v=""/>
    <s v=""/>
    <s v="2&quot;"/>
    <n v="1"/>
  </r>
  <r>
    <s v="N332"/>
    <s v="N336"/>
    <n v="50.35"/>
    <x v="0"/>
    <x v="2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336"/>
    <s v="TP216"/>
    <n v="203.38"/>
    <x v="1"/>
    <x v="0"/>
    <s v="3&quot;"/>
    <n v="1"/>
    <s v="2&quot;"/>
    <n v="1"/>
    <s v="2&quot;"/>
    <n v="1"/>
    <s v=""/>
    <s v=""/>
    <s v=""/>
    <s v=""/>
    <s v=""/>
    <s v=""/>
    <s v=""/>
    <s v=""/>
    <s v=""/>
    <s v=""/>
    <s v="2&quot;"/>
    <n v="1"/>
  </r>
  <r>
    <s v="N336"/>
    <s v="N337"/>
    <n v="52.11"/>
    <x v="0"/>
    <x v="2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337"/>
    <s v="TP217"/>
    <n v="42.53"/>
    <x v="9"/>
    <x v="0"/>
    <s v="3&quot;"/>
    <n v="1"/>
    <s v=""/>
    <s v=""/>
    <s v="1 1/2&quot;"/>
    <n v="1"/>
    <s v=""/>
    <s v=""/>
    <s v=""/>
    <s v=""/>
    <s v=""/>
    <s v=""/>
    <s v=""/>
    <s v=""/>
    <s v=""/>
    <s v=""/>
    <s v="1 1/2&quot;"/>
    <n v="1"/>
  </r>
  <r>
    <s v="N337"/>
    <s v="N338"/>
    <n v="7.65"/>
    <x v="0"/>
    <x v="2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338"/>
    <s v="N339"/>
    <n v="85.96"/>
    <x v="0"/>
    <x v="0"/>
    <s v="3&quot;"/>
    <n v="1"/>
    <s v=""/>
    <s v=""/>
    <s v=""/>
    <s v=""/>
    <s v=""/>
    <s v=""/>
    <s v=""/>
    <s v=""/>
    <s v="3&quot;"/>
    <n v="1"/>
    <s v=""/>
    <s v=""/>
    <s v=""/>
    <s v=""/>
    <s v=""/>
    <s v=""/>
  </r>
  <r>
    <s v="N339"/>
    <s v="TP218"/>
    <n v="57.96"/>
    <x v="0"/>
    <x v="0"/>
    <s v="3&quot;"/>
    <n v="1"/>
    <s v=""/>
    <s v=""/>
    <s v=""/>
    <s v=""/>
    <s v=""/>
    <s v=""/>
    <s v=""/>
    <s v=""/>
    <s v=""/>
    <s v=""/>
    <s v=""/>
    <s v=""/>
    <s v=""/>
    <s v=""/>
    <s v="3&quot;"/>
    <n v="1"/>
  </r>
  <r>
    <s v="N339"/>
    <s v="N340"/>
    <n v="25.45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340"/>
    <s v="TP219"/>
    <n v="31.67"/>
    <x v="6"/>
    <x v="0"/>
    <s v=""/>
    <s v=""/>
    <s v=""/>
    <s v=""/>
    <s v="1&quot;"/>
    <n v="1"/>
    <s v=""/>
    <s v=""/>
    <s v=""/>
    <s v=""/>
    <s v=""/>
    <s v=""/>
    <s v=""/>
    <s v=""/>
    <s v=""/>
    <s v=""/>
    <s v="1&quot;"/>
    <n v="1"/>
  </r>
  <r>
    <s v="N338"/>
    <s v="N341"/>
    <n v="38.549999999999997"/>
    <x v="0"/>
    <x v="2"/>
    <s v="3&quot;"/>
    <n v="1"/>
    <s v="3&quot;"/>
    <n v="1"/>
    <s v="3&quot;"/>
    <n v="1"/>
    <s v=""/>
    <s v=""/>
    <s v=""/>
    <s v=""/>
    <s v=""/>
    <s v=""/>
    <s v=""/>
    <s v=""/>
    <s v=""/>
    <s v=""/>
    <s v=""/>
    <s v=""/>
  </r>
  <r>
    <s v="N341"/>
    <s v="TP220"/>
    <n v="21.21"/>
    <x v="0"/>
    <x v="0"/>
    <s v="6&quot;"/>
    <n v="1"/>
    <s v=""/>
    <s v=""/>
    <s v="3&quot;"/>
    <n v="1"/>
    <s v=""/>
    <s v=""/>
    <s v=""/>
    <s v=""/>
    <s v=""/>
    <s v=""/>
    <s v=""/>
    <s v=""/>
    <s v=""/>
    <s v=""/>
    <s v="3&quot;"/>
    <n v="1"/>
  </r>
  <r>
    <s v="N341"/>
    <s v="N342"/>
    <n v="59.47"/>
    <x v="7"/>
    <x v="2"/>
    <s v="6&quot;"/>
    <n v="1"/>
    <s v=""/>
    <s v=""/>
    <s v=""/>
    <s v=""/>
    <s v=""/>
    <s v=""/>
    <s v=""/>
    <s v=""/>
    <s v="6&quot;"/>
    <n v="1"/>
    <s v=""/>
    <s v=""/>
    <s v=""/>
    <s v=""/>
    <s v=""/>
    <s v=""/>
  </r>
  <r>
    <s v="N342"/>
    <s v="T. SANTA MARTA"/>
    <n v="11.44"/>
    <x v="7"/>
    <x v="2"/>
    <s v="6&quot;"/>
    <n v="1"/>
    <s v=""/>
    <s v=""/>
    <s v=""/>
    <s v=""/>
    <s v=""/>
    <s v=""/>
    <s v=""/>
    <s v=""/>
    <s v="6&quot;"/>
    <n v="1"/>
    <s v=""/>
    <s v=""/>
    <s v=""/>
    <s v=""/>
    <s v=""/>
    <s v=""/>
  </r>
  <r>
    <s v="N326"/>
    <s v="N343"/>
    <n v="82.77"/>
    <x v="2"/>
    <x v="1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43"/>
    <s v="TP221"/>
    <n v="65.489999999999995"/>
    <x v="1"/>
    <x v="0"/>
    <s v="8&quot;"/>
    <n v="1"/>
    <s v=""/>
    <s v=""/>
    <s v="2&quot;"/>
    <n v="1"/>
    <s v=""/>
    <s v=""/>
    <s v=""/>
    <s v=""/>
    <s v="2&quot;"/>
    <n v="1"/>
    <s v=""/>
    <s v=""/>
    <s v=""/>
    <s v=""/>
    <s v="2&quot;"/>
    <n v="1"/>
  </r>
  <r>
    <s v="N343"/>
    <s v="N344"/>
    <n v="52.09"/>
    <x v="2"/>
    <x v="1"/>
    <s v="8&quot;"/>
    <n v="1"/>
    <s v=""/>
    <s v=""/>
    <s v=""/>
    <s v=""/>
    <s v=""/>
    <s v=""/>
    <s v=""/>
    <s v=""/>
    <s v=""/>
    <s v=""/>
    <s v=""/>
    <s v=""/>
    <s v=""/>
    <s v=""/>
    <s v=""/>
    <s v=""/>
  </r>
  <r>
    <s v="N344"/>
    <s v="N345"/>
    <n v="60.24"/>
    <x v="0"/>
    <x v="1"/>
    <s v="8&quot;"/>
    <n v="1"/>
    <s v=""/>
    <s v=""/>
    <s v="3&quot;"/>
    <n v="1"/>
    <s v=""/>
    <s v=""/>
    <s v=""/>
    <s v=""/>
    <s v="3&quot;"/>
    <n v="1"/>
    <s v=""/>
    <s v=""/>
    <s v=""/>
    <s v=""/>
    <s v=""/>
    <s v=""/>
  </r>
  <r>
    <s v="N345"/>
    <s v="TP222"/>
    <n v="61.93"/>
    <x v="1"/>
    <x v="0"/>
    <s v="3&quot;"/>
    <n v="1"/>
    <s v=""/>
    <s v=""/>
    <s v="2&quot;"/>
    <n v="1"/>
    <s v=""/>
    <s v=""/>
    <s v=""/>
    <s v=""/>
    <s v="2&quot;"/>
    <n v="1"/>
    <s v=""/>
    <s v=""/>
    <s v=""/>
    <s v=""/>
    <s v="2&quot;"/>
    <n v="1"/>
  </r>
  <r>
    <s v="N345"/>
    <s v="N346"/>
    <n v="66.040000000000006"/>
    <x v="0"/>
    <x v="1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325"/>
    <s v="N346"/>
    <n v="134.13"/>
    <x v="0"/>
    <x v="1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46"/>
    <s v="N347"/>
    <n v="137.28"/>
    <x v="0"/>
    <x v="1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23"/>
    <s v="N347"/>
    <n v="132.24"/>
    <x v="0"/>
    <x v="1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47"/>
    <s v="TP223"/>
    <n v="4.9400000000000004"/>
    <x v="0"/>
    <x v="1"/>
    <s v=""/>
    <s v=""/>
    <s v=""/>
    <s v=""/>
    <s v=""/>
    <s v=""/>
    <s v=""/>
    <s v=""/>
    <s v=""/>
    <s v=""/>
    <s v=""/>
    <s v=""/>
    <s v=""/>
    <s v=""/>
    <s v=""/>
    <s v=""/>
    <s v="3&quot;"/>
    <n v="1"/>
  </r>
  <r>
    <s v="N321"/>
    <s v="N348"/>
    <n v="130.66"/>
    <x v="2"/>
    <x v="0"/>
    <s v=""/>
    <s v=""/>
    <s v=""/>
    <s v=""/>
    <s v=""/>
    <s v=""/>
    <s v=""/>
    <s v=""/>
    <s v=""/>
    <s v=""/>
    <s v=""/>
    <s v=""/>
    <n v="0"/>
    <n v="1"/>
    <s v=""/>
    <s v=""/>
    <s v=""/>
    <s v=""/>
  </r>
  <r>
    <s v="N348"/>
    <s v="N349"/>
    <n v="73.36"/>
    <x v="7"/>
    <x v="2"/>
    <s v=""/>
    <s v=""/>
    <s v=""/>
    <s v=""/>
    <s v="6&quot;"/>
    <n v="1"/>
    <s v=""/>
    <s v=""/>
    <s v=""/>
    <s v=""/>
    <s v=""/>
    <s v=""/>
    <s v=""/>
    <s v=""/>
    <s v=""/>
    <s v=""/>
    <s v=""/>
    <s v=""/>
  </r>
  <r>
    <s v="N349"/>
    <s v="TP224"/>
    <n v="52.36"/>
    <x v="1"/>
    <x v="0"/>
    <s v="6&quot;"/>
    <n v="1"/>
    <s v=""/>
    <s v=""/>
    <s v="2&quot;"/>
    <n v="1"/>
    <s v=""/>
    <s v=""/>
    <s v=""/>
    <s v=""/>
    <s v="2&quot;"/>
    <n v="1"/>
    <s v=""/>
    <s v=""/>
    <s v=""/>
    <s v=""/>
    <s v="2&quot;"/>
    <n v="1"/>
  </r>
  <r>
    <s v="N349"/>
    <s v="TP225"/>
    <n v="49.43"/>
    <x v="7"/>
    <x v="2"/>
    <s v="6&quot;"/>
    <n v="1"/>
    <s v=""/>
    <s v=""/>
    <s v=""/>
    <s v=""/>
    <s v=""/>
    <s v=""/>
    <s v=""/>
    <s v=""/>
    <s v=""/>
    <s v=""/>
    <s v=""/>
    <s v=""/>
    <s v=""/>
    <s v=""/>
    <s v="6&quot;"/>
    <n v="1"/>
  </r>
  <r>
    <s v="N348"/>
    <s v="N350"/>
    <n v="284.89"/>
    <x v="8"/>
    <x v="0"/>
    <s v=""/>
    <s v=""/>
    <s v=""/>
    <s v=""/>
    <s v="4&quot;"/>
    <n v="1"/>
    <s v=""/>
    <s v=""/>
    <s v=""/>
    <s v=""/>
    <s v="4&quot;"/>
    <n v="2"/>
    <s v=""/>
    <s v=""/>
    <s v=""/>
    <s v=""/>
    <s v=""/>
    <s v=""/>
  </r>
  <r>
    <s v="N319"/>
    <s v="N351"/>
    <n v="143.97"/>
    <x v="8"/>
    <x v="1"/>
    <s v=""/>
    <s v=""/>
    <s v=""/>
    <s v=""/>
    <s v=""/>
    <s v=""/>
    <s v=""/>
    <s v=""/>
    <s v=""/>
    <s v=""/>
    <s v="4&quot;"/>
    <n v="1"/>
    <s v=""/>
    <s v=""/>
    <s v=""/>
    <s v=""/>
    <s v=""/>
    <s v=""/>
  </r>
  <r>
    <s v="N351"/>
    <s v="N352"/>
    <n v="66.58"/>
    <x v="8"/>
    <x v="0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52"/>
    <s v="TP226"/>
    <n v="70.41"/>
    <x v="1"/>
    <x v="0"/>
    <s v="4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352"/>
    <s v="TP227"/>
    <n v="51.53"/>
    <x v="8"/>
    <x v="0"/>
    <s v="4&quot;"/>
    <n v="1"/>
    <s v=""/>
    <s v=""/>
    <s v=""/>
    <s v=""/>
    <s v=""/>
    <s v=""/>
    <s v=""/>
    <s v=""/>
    <s v=""/>
    <s v=""/>
    <s v=""/>
    <s v=""/>
    <s v=""/>
    <s v=""/>
    <s v="4&quot;"/>
    <n v="1"/>
  </r>
  <r>
    <s v="N317"/>
    <s v="N350"/>
    <n v="132.15"/>
    <x v="0"/>
    <x v="1"/>
    <s v=""/>
    <s v=""/>
    <s v=""/>
    <s v=""/>
    <s v="3&quot;"/>
    <n v="1"/>
    <s v=""/>
    <s v=""/>
    <s v=""/>
    <s v=""/>
    <s v=""/>
    <s v=""/>
    <n v="0"/>
    <n v="1"/>
    <s v=""/>
    <s v=""/>
    <s v=""/>
    <s v=""/>
  </r>
  <r>
    <s v="N350"/>
    <s v="N353"/>
    <n v="72.73"/>
    <x v="8"/>
    <x v="0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53"/>
    <s v="TP228"/>
    <n v="46.68"/>
    <x v="1"/>
    <x v="0"/>
    <s v="4&quot;"/>
    <n v="1"/>
    <s v=""/>
    <s v=""/>
    <s v="2&quot;"/>
    <n v="1"/>
    <s v=""/>
    <s v=""/>
    <s v=""/>
    <s v=""/>
    <s v="2&quot;"/>
    <n v="1"/>
    <s v=""/>
    <s v=""/>
    <s v=""/>
    <s v=""/>
    <s v="2&quot;"/>
    <n v="1"/>
  </r>
  <r>
    <s v="N353"/>
    <s v="N354"/>
    <n v="67.81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</r>
  <r>
    <s v="N316"/>
    <s v="N354"/>
    <n v="130.05000000000001"/>
    <x v="7"/>
    <x v="1"/>
    <s v=""/>
    <s v=""/>
    <s v=""/>
    <s v=""/>
    <s v=""/>
    <s v=""/>
    <s v=""/>
    <s v=""/>
    <s v=""/>
    <s v=""/>
    <s v=""/>
    <s v=""/>
    <s v=""/>
    <s v=""/>
    <n v="0"/>
    <n v="1"/>
    <s v=""/>
    <s v=""/>
  </r>
  <r>
    <s v="N354"/>
    <s v="N355"/>
    <n v="83.13"/>
    <x v="0"/>
    <x v="0"/>
    <s v=""/>
    <s v=""/>
    <s v=""/>
    <s v=""/>
    <s v="3&quot;"/>
    <n v="1"/>
    <s v=""/>
    <s v=""/>
    <s v=""/>
    <s v=""/>
    <s v=""/>
    <s v=""/>
    <s v=""/>
    <s v=""/>
    <s v=""/>
    <s v=""/>
    <s v=""/>
    <s v=""/>
  </r>
  <r>
    <s v="N355"/>
    <s v="N356"/>
    <n v="41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"/>
    <s v=""/>
  </r>
  <r>
    <s v="N356"/>
    <s v="TP229"/>
    <n v="60.17"/>
    <x v="1"/>
    <x v="0"/>
    <s v="2&quot;"/>
    <n v="1"/>
    <s v="2&quot;"/>
    <n v="1"/>
    <s v=""/>
    <s v=""/>
    <s v=""/>
    <s v=""/>
    <s v=""/>
    <s v=""/>
    <s v="2&quot;"/>
    <n v="1"/>
    <s v=""/>
    <s v=""/>
    <s v=""/>
    <s v=""/>
    <s v="2&quot;"/>
    <n v="1"/>
  </r>
  <r>
    <s v="N356"/>
    <s v="N357"/>
    <n v="30.9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357"/>
    <s v="TP230"/>
    <n v="77.7"/>
    <x v="1"/>
    <x v="0"/>
    <s v="2&quot;"/>
    <n v="1"/>
    <s v=""/>
    <s v=""/>
    <s v=""/>
    <s v=""/>
    <s v=""/>
    <s v=""/>
    <s v=""/>
    <s v=""/>
    <s v="2&quot;"/>
    <n v="1"/>
    <s v=""/>
    <s v=""/>
    <s v=""/>
    <s v=""/>
    <s v="2&quot;"/>
    <n v="1"/>
  </r>
  <r>
    <s v="N357"/>
    <s v="TP231"/>
    <n v="52.29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355"/>
    <s v="N358"/>
    <n v="24.18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358"/>
    <s v="TP232"/>
    <n v="40.119999999999997"/>
    <x v="1"/>
    <x v="2"/>
    <s v="3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358"/>
    <s v="N359"/>
    <n v="81.99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359"/>
    <s v="TP233"/>
    <n v="58.26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359"/>
    <s v="N360"/>
    <n v="62.35"/>
    <x v="0"/>
    <x v="0"/>
    <s v="3&quot;"/>
    <n v="1"/>
    <s v=""/>
    <s v=""/>
    <s v=""/>
    <s v=""/>
    <s v=""/>
    <s v=""/>
    <s v=""/>
    <s v=""/>
    <s v=""/>
    <s v=""/>
    <s v=""/>
    <s v=""/>
    <n v="0"/>
    <n v="1"/>
    <s v=""/>
    <s v=""/>
  </r>
  <r>
    <s v="N315"/>
    <s v="N361"/>
    <n v="38.630000000000003"/>
    <x v="0"/>
    <x v="1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361"/>
    <s v="TP234"/>
    <n v="59.24"/>
    <x v="6"/>
    <x v="0"/>
    <s v="3&quot;"/>
    <n v="1"/>
    <s v="1&quot;"/>
    <n v="1"/>
    <s v="1&quot;"/>
    <n v="1"/>
    <s v=""/>
    <s v=""/>
    <s v=""/>
    <s v=""/>
    <s v=""/>
    <s v=""/>
    <s v=""/>
    <s v=""/>
    <s v=""/>
    <s v=""/>
    <s v="1&quot;"/>
    <n v="1"/>
  </r>
  <r>
    <s v="N361"/>
    <s v="N360"/>
    <n v="109.71"/>
    <x v="0"/>
    <x v="1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360"/>
    <s v="N362"/>
    <n v="161.38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"/>
    <s v=""/>
  </r>
  <r>
    <s v="N362"/>
    <s v="N363"/>
    <n v="54.1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363"/>
    <s v="TP235"/>
    <n v="42.38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363"/>
    <s v="N364"/>
    <n v="10.17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364"/>
    <s v="TP236"/>
    <n v="23.33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364"/>
    <s v="TP237"/>
    <n v="36.33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362"/>
    <s v="N365"/>
    <n v="53.57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365"/>
    <s v="N366"/>
    <n v="277.45999999999998"/>
    <x v="1"/>
    <x v="0"/>
    <s v="2&quot;"/>
    <n v="1"/>
    <s v="2&quot;"/>
    <n v="3"/>
    <s v=""/>
    <s v=""/>
    <s v=""/>
    <s v=""/>
    <s v=""/>
    <s v=""/>
    <s v="2&quot;"/>
    <n v="1"/>
    <s v=""/>
    <s v=""/>
    <s v=""/>
    <s v=""/>
    <s v=""/>
    <s v=""/>
  </r>
  <r>
    <s v="N366"/>
    <s v="TP238"/>
    <n v="23.8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366"/>
    <s v="TP239"/>
    <n v="372.95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365"/>
    <s v="N367"/>
    <n v="99.45"/>
    <x v="1"/>
    <x v="0"/>
    <s v="2&quot;"/>
    <n v="1"/>
    <s v="2&quot;"/>
    <n v="1"/>
    <s v="2&quot;"/>
    <n v="1"/>
    <s v=""/>
    <s v=""/>
    <s v=""/>
    <s v=""/>
    <s v="2&quot;"/>
    <n v="1"/>
    <s v=""/>
    <s v=""/>
    <s v=""/>
    <s v=""/>
    <s v=""/>
    <s v=""/>
  </r>
  <r>
    <s v="N367"/>
    <s v="N368"/>
    <n v="14.29"/>
    <x v="0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368"/>
    <s v="TP240"/>
    <n v="26.79"/>
    <x v="6"/>
    <x v="0"/>
    <s v="3&quot;"/>
    <n v="1"/>
    <s v=""/>
    <s v=""/>
    <s v="1&quot;"/>
    <n v="1"/>
    <s v=""/>
    <s v=""/>
    <s v=""/>
    <s v=""/>
    <s v=""/>
    <s v=""/>
    <s v=""/>
    <s v=""/>
    <s v=""/>
    <s v=""/>
    <s v="1&quot;"/>
    <n v="1"/>
  </r>
  <r>
    <s v="N368"/>
    <s v="N369"/>
    <n v="40.33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369"/>
    <s v="TP241"/>
    <n v="41.24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369"/>
    <s v="N370"/>
    <n v="42.26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370"/>
    <s v="TP242"/>
    <n v="52.6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370"/>
    <s v="N371"/>
    <n v="44.16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371"/>
    <s v="TP243"/>
    <n v="76.239999999999995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371"/>
    <s v="N372"/>
    <n v="52.63"/>
    <x v="0"/>
    <x v="0"/>
    <s v="3&quot;"/>
    <n v="0"/>
    <s v=""/>
    <s v=""/>
    <s v=""/>
    <s v=""/>
    <s v=""/>
    <s v=""/>
    <s v=""/>
    <s v=""/>
    <s v=""/>
    <s v=""/>
    <s v=""/>
    <s v=""/>
    <s v=""/>
    <s v=""/>
    <s v=""/>
    <s v=""/>
  </r>
  <r>
    <s v="N372"/>
    <s v="TP244"/>
    <n v="81.27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372"/>
    <s v="N373"/>
    <n v="56.13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373"/>
    <s v="N374"/>
    <n v="9.33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374"/>
    <s v="TP245"/>
    <n v="110.49"/>
    <x v="1"/>
    <x v="0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373"/>
    <s v="N375"/>
    <n v="21.76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"/>
    <s v=""/>
  </r>
  <r>
    <s v="N375"/>
    <s v="N376"/>
    <n v="77.8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376"/>
    <s v="TP246"/>
    <n v="7.08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376"/>
    <s v="N377"/>
    <n v="34.32"/>
    <x v="1"/>
    <x v="0"/>
    <s v="2&quot;"/>
    <n v="1"/>
    <s v="2&quot;"/>
    <n v="2"/>
    <s v=""/>
    <s v=""/>
    <s v=""/>
    <s v=""/>
    <s v=""/>
    <s v=""/>
    <s v=""/>
    <s v=""/>
    <s v=""/>
    <s v=""/>
    <s v=""/>
    <s v=""/>
    <s v=""/>
    <s v=""/>
  </r>
  <r>
    <s v="N377"/>
    <s v="TP247"/>
    <n v="62.36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377"/>
    <s v="TP248"/>
    <n v="24.8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375"/>
    <s v="N378"/>
    <n v="35.06"/>
    <x v="1"/>
    <x v="0"/>
    <s v="2&quot;"/>
    <n v="1"/>
    <s v=""/>
    <s v=""/>
    <s v="2&quot;"/>
    <n v="1"/>
    <s v=""/>
    <s v=""/>
    <s v=""/>
    <s v=""/>
    <s v=""/>
    <s v=""/>
    <s v=""/>
    <s v=""/>
    <s v=""/>
    <s v=""/>
    <s v=""/>
    <s v=""/>
  </r>
  <r>
    <s v="N378"/>
    <s v="TP249"/>
    <n v="37"/>
    <x v="6"/>
    <x v="0"/>
    <s v=""/>
    <s v=""/>
    <s v=""/>
    <s v=""/>
    <s v=""/>
    <s v=""/>
    <s v=""/>
    <s v=""/>
    <s v=""/>
    <s v=""/>
    <s v=""/>
    <s v=""/>
    <s v=""/>
    <s v=""/>
    <s v=""/>
    <s v=""/>
    <s v="1&quot;"/>
    <n v="1"/>
  </r>
  <r>
    <s v="N378"/>
    <s v="N379"/>
    <n v="46.66"/>
    <x v="0"/>
    <x v="0"/>
    <s v=""/>
    <s v=""/>
    <s v=""/>
    <s v=""/>
    <s v=""/>
    <s v=""/>
    <s v=""/>
    <s v=""/>
    <s v=""/>
    <s v=""/>
    <s v="3&quot;"/>
    <n v="1"/>
    <s v=""/>
    <s v=""/>
    <s v=""/>
    <s v=""/>
    <s v=""/>
    <s v=""/>
  </r>
  <r>
    <s v="N354"/>
    <s v="N380"/>
    <n v="139.59"/>
    <x v="7"/>
    <x v="1"/>
    <s v=""/>
    <s v=""/>
    <s v=""/>
    <s v=""/>
    <s v=""/>
    <s v=""/>
    <s v=""/>
    <s v=""/>
    <s v=""/>
    <s v=""/>
    <s v=""/>
    <s v=""/>
    <s v=""/>
    <s v=""/>
    <n v="0"/>
    <n v="1"/>
    <s v=""/>
    <s v=""/>
  </r>
  <r>
    <s v="N380"/>
    <s v="N379"/>
    <n v="1.75"/>
    <x v="0"/>
    <x v="0"/>
    <s v=""/>
    <s v=""/>
    <s v=""/>
    <s v=""/>
    <s v="3&quot;"/>
    <n v="1"/>
    <s v=""/>
    <s v=""/>
    <s v=""/>
    <s v=""/>
    <s v=""/>
    <s v=""/>
    <s v=""/>
    <s v=""/>
    <s v=""/>
    <s v=""/>
    <s v=""/>
    <s v=""/>
  </r>
  <r>
    <s v="N379"/>
    <s v="N381"/>
    <n v="4.9400000000000004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381"/>
    <s v="N382"/>
    <n v="147.78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382"/>
    <s v="N383"/>
    <n v="2.2400000000000002"/>
    <x v="0"/>
    <x v="1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383"/>
    <s v="N384"/>
    <n v="12.35"/>
    <x v="0"/>
    <x v="1"/>
    <s v="3&quot;"/>
    <n v="1"/>
    <s v=""/>
    <s v=""/>
    <s v="3&quot;"/>
    <n v="1"/>
    <s v=""/>
    <s v=""/>
    <s v=""/>
    <s v=""/>
    <s v=""/>
    <s v=""/>
    <s v=""/>
    <s v=""/>
    <s v=""/>
    <s v=""/>
    <s v=""/>
    <s v=""/>
  </r>
  <r>
    <s v="N350"/>
    <s v="N385"/>
    <n v="79.680000000000007"/>
    <x v="0"/>
    <x v="0"/>
    <s v=""/>
    <s v=""/>
    <s v=""/>
    <s v=""/>
    <s v="3&quot;"/>
    <n v="1"/>
    <s v=""/>
    <s v=""/>
    <s v=""/>
    <s v=""/>
    <s v=""/>
    <s v=""/>
    <s v=""/>
    <s v=""/>
    <s v=""/>
    <s v=""/>
    <s v=""/>
    <s v=""/>
  </r>
  <r>
    <s v="N385"/>
    <s v="TP250"/>
    <n v="51.02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385"/>
    <s v="N386"/>
    <n v="41.88"/>
    <x v="0"/>
    <x v="0"/>
    <s v="3&quot;"/>
    <n v="1"/>
    <s v=""/>
    <s v=""/>
    <s v=""/>
    <s v=""/>
    <s v=""/>
    <s v=""/>
    <s v=""/>
    <s v=""/>
    <s v="3&quot;"/>
    <n v="1"/>
    <s v=""/>
    <s v=""/>
    <s v=""/>
    <s v=""/>
    <s v=""/>
    <s v=""/>
  </r>
  <r>
    <s v="N386"/>
    <s v="N384"/>
    <n v="7.66"/>
    <x v="0"/>
    <x v="1"/>
    <s v=""/>
    <s v=""/>
    <s v=""/>
    <s v=""/>
    <s v="3&quot;"/>
    <n v="1"/>
    <s v=""/>
    <s v=""/>
    <s v=""/>
    <s v=""/>
    <s v=""/>
    <s v=""/>
    <s v=""/>
    <s v=""/>
    <s v=""/>
    <s v=""/>
    <s v=""/>
    <s v=""/>
  </r>
  <r>
    <s v="N384"/>
    <s v="TP251"/>
    <n v="124.82"/>
    <x v="0"/>
    <x v="0"/>
    <s v=""/>
    <s v=""/>
    <s v=""/>
    <s v=""/>
    <s v="3&quot;"/>
    <n v="1"/>
    <s v=""/>
    <s v=""/>
    <s v=""/>
    <s v=""/>
    <s v=""/>
    <s v=""/>
    <s v=""/>
    <s v=""/>
    <s v=""/>
    <s v=""/>
    <s v="3&quot;"/>
    <n v="1"/>
  </r>
  <r>
    <s v="N384"/>
    <s v="N387"/>
    <n v="128.04"/>
    <x v="7"/>
    <x v="0"/>
    <s v=""/>
    <s v=""/>
    <s v=""/>
    <s v=""/>
    <s v=""/>
    <s v=""/>
    <s v=""/>
    <s v=""/>
    <s v=""/>
    <s v=""/>
    <s v="6&quot;"/>
    <n v="1"/>
    <n v="0"/>
    <n v="1"/>
    <s v=""/>
    <s v=""/>
    <s v=""/>
    <s v=""/>
  </r>
  <r>
    <s v="N387"/>
    <s v="N388"/>
    <n v="147.22999999999999"/>
    <x v="7"/>
    <x v="0"/>
    <s v="6&quot;"/>
    <n v="1"/>
    <s v=""/>
    <s v=""/>
    <s v="6&quot;"/>
    <n v="1"/>
    <s v=""/>
    <s v=""/>
    <s v=""/>
    <s v=""/>
    <s v=""/>
    <s v=""/>
    <s v=""/>
    <s v=""/>
    <s v=""/>
    <s v=""/>
    <s v=""/>
    <s v=""/>
  </r>
  <r>
    <s v="N348"/>
    <s v="N388"/>
    <n v="133.6"/>
    <x v="2"/>
    <x v="0"/>
    <s v=""/>
    <s v=""/>
    <s v=""/>
    <s v=""/>
    <s v=""/>
    <s v=""/>
    <s v=""/>
    <s v=""/>
    <s v=""/>
    <s v=""/>
    <s v="8&quot;"/>
    <n v="1"/>
    <s v=""/>
    <s v=""/>
    <s v=""/>
    <s v=""/>
    <s v=""/>
    <s v=""/>
  </r>
  <r>
    <s v="N388"/>
    <s v="N389"/>
    <n v="198.34"/>
    <x v="7"/>
    <x v="0"/>
    <s v=""/>
    <s v=""/>
    <s v=""/>
    <s v=""/>
    <s v="6&quot;"/>
    <n v="1"/>
    <s v=""/>
    <s v=""/>
    <s v=""/>
    <s v=""/>
    <s v=""/>
    <s v=""/>
    <s v=""/>
    <s v=""/>
    <s v=""/>
    <s v=""/>
    <s v=""/>
    <s v=""/>
  </r>
  <r>
    <s v="N389"/>
    <s v="TP252"/>
    <n v="64.66"/>
    <x v="1"/>
    <x v="0"/>
    <s v="6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389"/>
    <s v="TP253"/>
    <n v="70.959999999999994"/>
    <x v="7"/>
    <x v="0"/>
    <s v="6&quot;"/>
    <n v="1"/>
    <s v=""/>
    <s v=""/>
    <s v=""/>
    <s v=""/>
    <s v=""/>
    <s v=""/>
    <s v=""/>
    <s v=""/>
    <s v=""/>
    <s v=""/>
    <s v=""/>
    <s v=""/>
    <s v=""/>
    <s v=""/>
    <s v="6&quot;"/>
    <n v="1"/>
  </r>
  <r>
    <s v="N347"/>
    <s v="N390"/>
    <n v="151.47"/>
    <x v="0"/>
    <x v="0"/>
    <s v=""/>
    <s v=""/>
    <s v=""/>
    <s v=""/>
    <s v="3&quot;"/>
    <n v="1"/>
    <s v=""/>
    <s v=""/>
    <s v=""/>
    <s v=""/>
    <s v="3&quot;"/>
    <n v="0"/>
    <s v=""/>
    <s v=""/>
    <s v=""/>
    <s v=""/>
    <s v=""/>
    <s v=""/>
  </r>
  <r>
    <s v="N346"/>
    <s v="N391"/>
    <n v="129.88"/>
    <x v="0"/>
    <x v="2"/>
    <s v=""/>
    <s v=""/>
    <s v=""/>
    <s v=""/>
    <s v=""/>
    <s v=""/>
    <s v=""/>
    <s v=""/>
    <s v=""/>
    <s v=""/>
    <s v="3&quot;"/>
    <n v="1"/>
    <s v=""/>
    <s v=""/>
    <s v=""/>
    <s v=""/>
    <s v=""/>
    <s v=""/>
  </r>
  <r>
    <s v="N391"/>
    <s v="N392"/>
    <n v="3.96"/>
    <x v="1"/>
    <x v="4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392"/>
    <s v="TP253"/>
    <n v="3.46"/>
    <x v="0"/>
    <x v="0"/>
    <s v=""/>
    <s v=""/>
    <s v=""/>
    <s v=""/>
    <s v=""/>
    <s v=""/>
    <s v=""/>
    <s v=""/>
    <s v=""/>
    <s v=""/>
    <s v=""/>
    <s v=""/>
    <s v=""/>
    <s v=""/>
    <s v=""/>
    <s v=""/>
    <s v="3&quot;"/>
    <n v="1"/>
  </r>
  <r>
    <s v="N392"/>
    <s v="N393"/>
    <n v="25.9"/>
    <x v="0"/>
    <x v="0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93"/>
    <s v="TP254"/>
    <n v="71.81"/>
    <x v="1"/>
    <x v="0"/>
    <s v="3&quot;"/>
    <n v="1"/>
    <s v=""/>
    <s v=""/>
    <s v="2&quot;"/>
    <n v="1"/>
    <s v=""/>
    <s v=""/>
    <s v=""/>
    <s v=""/>
    <s v="2&quot;"/>
    <n v="1"/>
    <s v=""/>
    <s v=""/>
    <s v=""/>
    <s v=""/>
    <s v="2&quot;"/>
    <n v="1"/>
  </r>
  <r>
    <s v="N393"/>
    <s v="N394"/>
    <n v="50.44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394"/>
    <s v="N395"/>
    <n v="34.67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"/>
    <s v=""/>
  </r>
  <r>
    <s v="N395"/>
    <s v="TP255"/>
    <n v="42.9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395"/>
    <s v="TP256"/>
    <n v="81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394"/>
    <s v="N396"/>
    <n v="49.18"/>
    <x v="0"/>
    <x v="0"/>
    <s v="3&quot;"/>
    <n v="1"/>
    <s v=""/>
    <s v=""/>
    <s v=""/>
    <s v=""/>
    <s v=""/>
    <s v=""/>
    <s v=""/>
    <s v=""/>
    <s v="3&quot;"/>
    <n v="1"/>
    <s v=""/>
    <s v=""/>
    <s v=""/>
    <s v=""/>
    <s v=""/>
    <s v=""/>
  </r>
  <r>
    <s v="N344"/>
    <s v="N397"/>
    <n v="68.349999999999994"/>
    <x v="2"/>
    <x v="1"/>
    <s v="8&quot;"/>
    <n v="1"/>
    <s v=""/>
    <s v=""/>
    <s v=""/>
    <s v=""/>
    <s v=""/>
    <s v=""/>
    <s v=""/>
    <s v=""/>
    <s v="8&quot;"/>
    <n v="1"/>
    <s v=""/>
    <s v=""/>
    <s v=""/>
    <s v=""/>
    <s v=""/>
    <s v=""/>
  </r>
  <r>
    <s v="N397"/>
    <s v="N398"/>
    <n v="28.64"/>
    <x v="1"/>
    <x v="0"/>
    <s v="8&quot;"/>
    <n v="1"/>
    <s v=""/>
    <s v=""/>
    <s v="2&quot;"/>
    <n v="1"/>
    <s v=""/>
    <s v=""/>
    <s v=""/>
    <s v=""/>
    <s v=""/>
    <s v=""/>
    <s v=""/>
    <s v=""/>
    <s v=""/>
    <s v=""/>
    <s v=""/>
    <s v=""/>
  </r>
  <r>
    <s v="N398"/>
    <s v="TP257"/>
    <n v="22.6"/>
    <x v="6"/>
    <x v="0"/>
    <s v="2&quot;"/>
    <n v="1"/>
    <s v=""/>
    <s v=""/>
    <s v="1&quot;"/>
    <n v="1"/>
    <s v=""/>
    <s v=""/>
    <s v=""/>
    <s v=""/>
    <s v=""/>
    <s v=""/>
    <s v=""/>
    <s v=""/>
    <s v=""/>
    <s v=""/>
    <s v="1&quot;"/>
    <n v="1"/>
  </r>
  <r>
    <s v="N398"/>
    <s v="TP258"/>
    <n v="38.93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397"/>
    <s v="N396"/>
    <n v="64.650000000000006"/>
    <x v="2"/>
    <x v="1"/>
    <s v="8&quot;"/>
    <n v="1"/>
    <s v=""/>
    <s v=""/>
    <s v=""/>
    <s v=""/>
    <s v=""/>
    <s v=""/>
    <s v=""/>
    <s v=""/>
    <s v=""/>
    <s v=""/>
    <s v=""/>
    <s v=""/>
    <s v=""/>
    <s v=""/>
    <s v=""/>
    <s v=""/>
  </r>
  <r>
    <s v="N45"/>
    <s v="T. PICAPIEDRA"/>
    <n v="1306.5"/>
    <x v="7"/>
    <x v="0"/>
    <s v="6&quot;"/>
    <n v="1"/>
    <s v="6&quot;"/>
    <n v="1"/>
    <s v=""/>
    <s v=""/>
    <s v=""/>
    <s v=""/>
    <s v=""/>
    <s v=""/>
    <s v=""/>
    <s v=""/>
    <s v=""/>
    <s v=""/>
    <s v=""/>
    <s v=""/>
    <s v=""/>
    <s v=""/>
  </r>
  <r>
    <s v="T. PICAPIEDRA"/>
    <s v="T. ANIMES"/>
    <n v="216.8"/>
    <x v="2"/>
    <x v="0"/>
    <s v=""/>
    <s v=""/>
    <s v="8&quot;"/>
    <n v="2"/>
    <s v=""/>
    <s v=""/>
    <s v=""/>
    <s v=""/>
    <s v=""/>
    <s v=""/>
    <s v=""/>
    <s v=""/>
    <s v=""/>
    <s v=""/>
    <s v=""/>
    <s v=""/>
    <s v=""/>
    <s v=""/>
  </r>
  <r>
    <s v="T. ANIMES"/>
    <s v="T. SANTA MARTA"/>
    <n v="506.71"/>
    <x v="3"/>
    <x v="0"/>
    <s v=""/>
    <s v=""/>
    <s v="10&quot;"/>
    <n v="3"/>
    <s v=""/>
    <s v=""/>
    <s v=""/>
    <s v=""/>
    <s v=""/>
    <s v=""/>
    <s v=""/>
    <s v=""/>
    <s v=""/>
    <s v=""/>
    <s v=""/>
    <s v=""/>
    <s v=""/>
    <s v=""/>
  </r>
  <r>
    <s v="T. ANIMES"/>
    <s v="N399"/>
    <n v="66.67"/>
    <x v="7"/>
    <x v="0"/>
    <s v=""/>
    <s v=""/>
    <s v="6&quot;"/>
    <n v="1"/>
    <s v=""/>
    <s v=""/>
    <s v=""/>
    <s v=""/>
    <s v=""/>
    <s v=""/>
    <s v="6&quot;"/>
    <n v="1"/>
    <s v=""/>
    <s v=""/>
    <s v=""/>
    <s v=""/>
    <s v=""/>
    <s v=""/>
  </r>
  <r>
    <s v="N399"/>
    <s v="N400"/>
    <n v="194.37"/>
    <x v="8"/>
    <x v="0"/>
    <s v="6&quot;"/>
    <n v="1"/>
    <s v=""/>
    <s v=""/>
    <s v="4&quot;"/>
    <n v="1"/>
    <s v=""/>
    <s v=""/>
    <s v=""/>
    <s v=""/>
    <s v="4&quot;"/>
    <n v="1"/>
    <s v=""/>
    <s v=""/>
    <s v=""/>
    <s v=""/>
    <s v=""/>
    <s v=""/>
  </r>
  <r>
    <s v="N400"/>
    <s v="TP259"/>
    <n v="16.41"/>
    <x v="8"/>
    <x v="0"/>
    <s v="4&quot;"/>
    <n v="1"/>
    <s v=""/>
    <s v=""/>
    <s v=""/>
    <s v=""/>
    <s v=""/>
    <s v=""/>
    <s v=""/>
    <s v=""/>
    <s v=""/>
    <s v=""/>
    <s v=""/>
    <s v=""/>
    <s v=""/>
    <s v=""/>
    <s v="4&quot;"/>
    <n v="1"/>
  </r>
  <r>
    <s v="N400"/>
    <s v="TP260"/>
    <n v="185.07"/>
    <x v="1"/>
    <x v="0"/>
    <s v="4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399"/>
    <s v="N401"/>
    <n v="3.87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</r>
  <r>
    <s v="N401"/>
    <s v="N402"/>
    <n v="182.22"/>
    <x v="8"/>
    <x v="0"/>
    <s v="6&quot;"/>
    <n v="1"/>
    <s v=""/>
    <s v=""/>
    <s v="4&quot;"/>
    <n v="1"/>
    <s v=""/>
    <s v=""/>
    <s v=""/>
    <s v=""/>
    <s v=""/>
    <s v=""/>
    <s v=""/>
    <s v=""/>
    <s v=""/>
    <s v=""/>
    <s v=""/>
    <s v=""/>
  </r>
  <r>
    <s v="N402"/>
    <s v="N403"/>
    <n v="329.73"/>
    <x v="0"/>
    <x v="0"/>
    <s v="4&quot;"/>
    <n v="1"/>
    <s v=""/>
    <s v=""/>
    <s v="3&quot;"/>
    <n v="1"/>
    <s v=""/>
    <s v=""/>
    <s v=""/>
    <s v=""/>
    <s v=""/>
    <s v=""/>
    <s v=""/>
    <s v=""/>
    <s v=""/>
    <s v=""/>
    <s v=""/>
    <s v=""/>
  </r>
  <r>
    <s v="N403"/>
    <s v="N404"/>
    <n v="55.27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"/>
    <s v=""/>
  </r>
  <r>
    <s v="N404"/>
    <s v="TP261"/>
    <n v="34.46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404"/>
    <s v="TP262"/>
    <n v="29.61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403"/>
    <s v="N405"/>
    <n v="18.71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405"/>
    <s v="N406"/>
    <n v="63.6"/>
    <x v="1"/>
    <x v="0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406"/>
    <s v="TP263"/>
    <n v="48.45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406"/>
    <s v="TP264"/>
    <n v="17.11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402"/>
    <s v="CQ5"/>
    <n v="43.17"/>
    <x v="8"/>
    <x v="0"/>
    <s v="4&quot;"/>
    <n v="1"/>
    <s v="4&quot;"/>
    <n v="1"/>
    <s v=""/>
    <s v=""/>
    <s v=""/>
    <s v=""/>
    <s v=""/>
    <s v=""/>
    <s v=""/>
    <s v=""/>
    <s v=""/>
    <s v=""/>
    <s v=""/>
    <s v=""/>
    <s v=""/>
    <s v=""/>
  </r>
  <r>
    <s v="CQ5"/>
    <s v="N407"/>
    <n v="147.97"/>
    <x v="0"/>
    <x v="0"/>
    <s v=""/>
    <s v=""/>
    <s v="3&quot;"/>
    <n v="1"/>
    <s v=""/>
    <s v=""/>
    <s v=""/>
    <s v=""/>
    <s v=""/>
    <s v=""/>
    <s v=""/>
    <s v=""/>
    <s v=""/>
    <s v=""/>
    <s v=""/>
    <s v=""/>
    <s v=""/>
    <s v=""/>
  </r>
  <r>
    <s v="N407"/>
    <s v="N408"/>
    <n v="131.71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407"/>
    <s v="N409"/>
    <n v="53.86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409"/>
    <s v="N410"/>
    <n v="191.93"/>
    <x v="0"/>
    <x v="0"/>
    <s v="3&quot;"/>
    <n v="1"/>
    <s v="3&quot;"/>
    <n v="1"/>
    <s v=""/>
    <s v=""/>
    <s v=""/>
    <s v=""/>
    <s v=""/>
    <s v=""/>
    <s v=""/>
    <s v=""/>
    <s v=""/>
    <s v=""/>
    <s v=""/>
    <s v=""/>
    <s v=""/>
    <s v=""/>
  </r>
  <r>
    <s v="N410"/>
    <s v="TP265"/>
    <n v="39.61"/>
    <x v="6"/>
    <x v="0"/>
    <s v="3&quot;"/>
    <n v="1"/>
    <s v=""/>
    <s v=""/>
    <s v="1&quot;"/>
    <n v="1"/>
    <s v=""/>
    <s v=""/>
    <s v=""/>
    <s v=""/>
    <s v=""/>
    <s v=""/>
    <s v=""/>
    <s v=""/>
    <s v=""/>
    <s v=""/>
    <s v="1&quot;"/>
    <n v="1"/>
  </r>
  <r>
    <s v="N410"/>
    <s v="N411"/>
    <n v="140.85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411"/>
    <s v="TP266"/>
    <n v="28.99"/>
    <x v="6"/>
    <x v="0"/>
    <s v="3&quot;"/>
    <n v="1"/>
    <s v=""/>
    <s v=""/>
    <s v="1&quot;"/>
    <n v="1"/>
    <s v=""/>
    <s v=""/>
    <s v=""/>
    <s v=""/>
    <s v=""/>
    <s v=""/>
    <s v=""/>
    <s v=""/>
    <s v=""/>
    <s v=""/>
    <s v="1&quot;"/>
    <n v="1"/>
  </r>
  <r>
    <s v="N411"/>
    <s v="N412"/>
    <n v="93.35"/>
    <x v="0"/>
    <x v="0"/>
    <s v="3&quot;"/>
    <n v="1"/>
    <s v="3&quot;"/>
    <n v="1"/>
    <s v=""/>
    <s v=""/>
    <s v=""/>
    <s v=""/>
    <s v=""/>
    <s v=""/>
    <s v=""/>
    <s v=""/>
    <s v=""/>
    <s v=""/>
    <s v=""/>
    <s v=""/>
    <s v=""/>
    <s v=""/>
  </r>
  <r>
    <s v="N412"/>
    <s v="TP267"/>
    <n v="26.29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412"/>
    <s v="N413"/>
    <n v="162.81"/>
    <x v="0"/>
    <x v="0"/>
    <s v="3&quot;"/>
    <n v="1"/>
    <s v="3&quot;"/>
    <n v="1"/>
    <s v=""/>
    <s v=""/>
    <s v=""/>
    <s v=""/>
    <s v=""/>
    <s v=""/>
    <s v=""/>
    <s v=""/>
    <s v=""/>
    <s v=""/>
    <s v=""/>
    <s v=""/>
    <s v=""/>
    <s v=""/>
  </r>
  <r>
    <s v="N413"/>
    <s v="TP268"/>
    <n v="177.76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413"/>
    <s v="N414"/>
    <n v="65.31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414"/>
    <s v="TP269"/>
    <n v="24.58"/>
    <x v="6"/>
    <x v="0"/>
    <s v="3&quot;"/>
    <n v="1"/>
    <s v=""/>
    <s v=""/>
    <s v="1&quot;"/>
    <n v="1"/>
    <s v=""/>
    <s v=""/>
    <s v=""/>
    <s v=""/>
    <s v=""/>
    <s v=""/>
    <s v=""/>
    <s v=""/>
    <s v=""/>
    <s v=""/>
    <s v="1&quot;"/>
    <n v="1"/>
  </r>
  <r>
    <s v="N414"/>
    <s v="N415"/>
    <n v="44.95"/>
    <x v="0"/>
    <x v="0"/>
    <s v="3&quot;"/>
    <n v="1"/>
    <s v=""/>
    <s v=""/>
    <s v=""/>
    <s v=""/>
    <s v=""/>
    <s v=""/>
    <s v=""/>
    <s v=""/>
    <s v="3&quot;"/>
    <n v="1"/>
    <s v=""/>
    <s v=""/>
    <s v=""/>
    <s v=""/>
    <s v=""/>
    <s v=""/>
  </r>
  <r>
    <s v="N409"/>
    <s v="N416"/>
    <n v="2.4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416"/>
    <s v="N408"/>
    <n v="102.42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416"/>
    <s v="N417"/>
    <n v="58.18"/>
    <x v="0"/>
    <x v="0"/>
    <s v="3&quot;"/>
    <n v="1"/>
    <s v=""/>
    <s v=""/>
    <s v=""/>
    <s v=""/>
    <s v=""/>
    <s v=""/>
    <s v=""/>
    <s v=""/>
    <s v="3&quot;"/>
    <n v="1"/>
    <s v=""/>
    <s v=""/>
    <s v=""/>
    <s v=""/>
    <s v=""/>
    <s v=""/>
  </r>
  <r>
    <s v="N417"/>
    <s v="N418"/>
    <n v="128.81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418"/>
    <s v="N419"/>
    <n v="73.81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"/>
    <s v=""/>
  </r>
  <r>
    <s v="N419"/>
    <s v="TP270"/>
    <n v="5.54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419"/>
    <s v="TP271"/>
    <n v="86.11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418"/>
    <s v="N420"/>
    <n v="158.13999999999999"/>
    <x v="0"/>
    <x v="0"/>
    <s v="3&quot;"/>
    <n v="1"/>
    <s v=""/>
    <s v=""/>
    <s v=""/>
    <s v=""/>
    <s v=""/>
    <s v=""/>
    <s v=""/>
    <s v=""/>
    <s v=""/>
    <s v=""/>
    <n v="0"/>
    <n v="1"/>
    <s v=""/>
    <s v=""/>
    <s v=""/>
    <s v=""/>
  </r>
  <r>
    <s v="N420"/>
    <s v="N421"/>
    <n v="132.43"/>
    <x v="1"/>
    <x v="0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421"/>
    <s v="N415"/>
    <n v="43.97"/>
    <x v="1"/>
    <x v="0"/>
    <s v="2&quot;"/>
    <n v="1"/>
    <s v=""/>
    <s v=""/>
    <s v="2&quot;"/>
    <n v="1"/>
    <s v=""/>
    <s v=""/>
    <s v=""/>
    <s v=""/>
    <s v=""/>
    <s v=""/>
    <s v=""/>
    <s v=""/>
    <s v=""/>
    <s v=""/>
    <s v=""/>
    <s v=""/>
  </r>
  <r>
    <s v="N421"/>
    <s v="N422"/>
    <n v="6.1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422"/>
    <s v="TP272"/>
    <n v="31.26"/>
    <x v="1"/>
    <x v="0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422"/>
    <s v="N423"/>
    <n v="43.16"/>
    <x v="1"/>
    <x v="0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23"/>
    <s v="TP273"/>
    <n v="28.77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423"/>
    <s v="N424"/>
    <n v="1.66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424"/>
    <s v="N425"/>
    <n v="133.32"/>
    <x v="8"/>
    <x v="1"/>
    <s v="2&quot;"/>
    <n v="1"/>
    <s v=""/>
    <s v=""/>
    <s v=""/>
    <s v=""/>
    <s v="4&quot;"/>
    <n v="1"/>
    <s v=""/>
    <s v=""/>
    <s v=""/>
    <s v=""/>
    <s v=""/>
    <s v=""/>
    <s v=""/>
    <s v=""/>
    <s v=""/>
    <s v=""/>
  </r>
  <r>
    <s v="N425"/>
    <s v="TP274"/>
    <n v="46.65"/>
    <x v="6"/>
    <x v="0"/>
    <s v="4&quot;"/>
    <n v="1"/>
    <s v=""/>
    <s v=""/>
    <s v="1&quot;"/>
    <n v="1"/>
    <s v=""/>
    <s v=""/>
    <s v=""/>
    <s v=""/>
    <s v=""/>
    <s v=""/>
    <s v=""/>
    <s v=""/>
    <s v=""/>
    <s v=""/>
    <s v="1&quot;"/>
    <n v="1"/>
  </r>
  <r>
    <s v="N425"/>
    <s v="TP275"/>
    <n v="31.51"/>
    <x v="6"/>
    <x v="0"/>
    <s v="4&quot;"/>
    <n v="1"/>
    <s v=""/>
    <s v=""/>
    <s v="1&quot;"/>
    <n v="1"/>
    <s v=""/>
    <s v=""/>
    <s v=""/>
    <s v=""/>
    <s v=""/>
    <s v=""/>
    <s v=""/>
    <s v=""/>
    <s v=""/>
    <s v=""/>
    <s v="1&quot;"/>
    <n v="1"/>
  </r>
  <r>
    <s v="N424"/>
    <s v="N426"/>
    <n v="40.869999999999997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426"/>
    <s v="TP276"/>
    <n v="54.42"/>
    <x v="8"/>
    <x v="0"/>
    <s v="2&quot;"/>
    <n v="1"/>
    <s v=""/>
    <s v=""/>
    <s v=""/>
    <s v=""/>
    <s v="4&quot;"/>
    <n v="1"/>
    <s v=""/>
    <s v=""/>
    <s v=""/>
    <s v=""/>
    <s v=""/>
    <s v=""/>
    <s v=""/>
    <s v=""/>
    <s v="4&quot;"/>
    <n v="1"/>
  </r>
  <r>
    <s v="N426"/>
    <s v="TP277"/>
    <n v="788.75"/>
    <x v="1"/>
    <x v="0"/>
    <s v="2&quot;"/>
    <n v="1"/>
    <s v="2&quot;"/>
    <n v="1"/>
    <s v=""/>
    <s v=""/>
    <s v=""/>
    <s v=""/>
    <s v=""/>
    <s v=""/>
    <s v=""/>
    <s v=""/>
    <s v=""/>
    <s v=""/>
    <s v=""/>
    <s v=""/>
    <s v="2&quot;"/>
    <n v="1"/>
  </r>
  <r>
    <s v="N417"/>
    <s v="N427"/>
    <n v="22.33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427"/>
    <s v="N428"/>
    <n v="63.54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"/>
    <s v=""/>
  </r>
  <r>
    <s v="N428"/>
    <s v="TP278"/>
    <n v="14.03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428"/>
    <s v="TP279"/>
    <n v="83.56"/>
    <x v="1"/>
    <x v="0"/>
    <s v="2&quot;"/>
    <n v="1"/>
    <s v="2&quot;"/>
    <n v="1"/>
    <s v=""/>
    <s v=""/>
    <s v=""/>
    <s v=""/>
    <s v=""/>
    <s v=""/>
    <s v=""/>
    <s v=""/>
    <s v=""/>
    <s v=""/>
    <s v=""/>
    <s v=""/>
    <s v="2&quot;"/>
    <n v="1"/>
  </r>
  <r>
    <s v="N427"/>
    <s v="N429"/>
    <n v="34.729999999999997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429"/>
    <s v="N430"/>
    <n v="54.8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"/>
    <s v=""/>
  </r>
  <r>
    <s v="N430"/>
    <s v="TP280"/>
    <n v="32.159999999999997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208"/>
    <s v="N431"/>
    <n v="63.49"/>
    <x v="0"/>
    <x v="0"/>
    <s v="3&quot;"/>
    <n v="1"/>
    <s v=""/>
    <s v=""/>
    <s v=""/>
    <s v=""/>
    <s v=""/>
    <s v=""/>
    <s v=""/>
    <s v=""/>
    <s v="3&quot;"/>
    <n v="1"/>
    <s v=""/>
    <s v=""/>
    <s v=""/>
    <s v=""/>
    <s v=""/>
    <s v=""/>
  </r>
  <r>
    <s v="N429"/>
    <s v="N431"/>
    <n v="62.43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431"/>
    <s v="N432"/>
    <n v="40.39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430"/>
    <s v="N432"/>
    <n v="76.48999999999999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432"/>
    <s v="TP281"/>
    <n v="21.01"/>
    <x v="0"/>
    <x v="0"/>
    <s v="3&quot;"/>
    <n v="1"/>
    <s v=""/>
    <s v=""/>
    <s v=""/>
    <s v=""/>
    <s v=""/>
    <s v=""/>
    <s v=""/>
    <s v=""/>
    <s v=""/>
    <s v=""/>
    <s v=""/>
    <s v=""/>
    <s v=""/>
    <s v=""/>
    <s v="3&quot;"/>
    <n v="1"/>
  </r>
  <r>
    <s v="N342"/>
    <s v="N433"/>
    <n v="301.77"/>
    <x v="7"/>
    <x v="0"/>
    <s v="6&quot;"/>
    <n v="1"/>
    <s v="6&quot;"/>
    <n v="3"/>
    <s v=""/>
    <s v=""/>
    <s v=""/>
    <s v=""/>
    <s v=""/>
    <s v=""/>
    <s v=""/>
    <s v=""/>
    <s v=""/>
    <s v=""/>
    <s v=""/>
    <s v=""/>
    <s v=""/>
    <s v=""/>
  </r>
  <r>
    <s v="N433"/>
    <s v="N434"/>
    <n v="7.7"/>
    <x v="1"/>
    <x v="0"/>
    <s v="6&quot;"/>
    <n v="1"/>
    <s v=""/>
    <s v=""/>
    <s v="2&quot;"/>
    <n v="1"/>
    <s v=""/>
    <s v=""/>
    <s v=""/>
    <s v=""/>
    <s v=""/>
    <s v=""/>
    <s v=""/>
    <s v=""/>
    <s v=""/>
    <s v=""/>
    <s v=""/>
    <s v=""/>
  </r>
  <r>
    <s v="N434"/>
    <s v="N435"/>
    <n v="124.89"/>
    <x v="1"/>
    <x v="0"/>
    <s v="2&quot;"/>
    <n v="1"/>
    <s v="2&quot;"/>
    <n v="1"/>
    <s v=""/>
    <s v=""/>
    <s v=""/>
    <s v=""/>
    <s v=""/>
    <s v=""/>
    <s v="2&quot;"/>
    <n v="1"/>
    <s v=""/>
    <s v=""/>
    <s v=""/>
    <s v=""/>
    <s v=""/>
    <s v=""/>
  </r>
  <r>
    <s v="N435"/>
    <s v="TP282"/>
    <n v="22.06"/>
    <x v="6"/>
    <x v="0"/>
    <s v="2&quot;"/>
    <n v="1"/>
    <s v=""/>
    <s v=""/>
    <s v="1&quot;"/>
    <n v="1"/>
    <s v=""/>
    <s v=""/>
    <s v=""/>
    <s v=""/>
    <s v=""/>
    <s v=""/>
    <s v=""/>
    <s v=""/>
    <s v=""/>
    <s v=""/>
    <s v="1&quot;"/>
    <n v="1"/>
  </r>
  <r>
    <s v="N435"/>
    <s v="TP283"/>
    <n v="69.19"/>
    <x v="12"/>
    <x v="0"/>
    <s v="2&quot;"/>
    <n v="1"/>
    <s v="3/4&quot;"/>
    <n v="1"/>
    <s v="3/4&quot;"/>
    <n v="1"/>
    <s v=""/>
    <s v=""/>
    <s v=""/>
    <s v=""/>
    <s v=""/>
    <s v=""/>
    <s v=""/>
    <s v=""/>
    <s v=""/>
    <s v=""/>
    <s v="3/4&quot;"/>
    <n v="1"/>
  </r>
  <r>
    <s v="N434"/>
    <s v="N436"/>
    <n v="14.16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436"/>
    <s v="N437"/>
    <n v="40.08"/>
    <x v="1"/>
    <x v="4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37"/>
    <s v="TP284"/>
    <n v="36.86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437"/>
    <s v="N438"/>
    <n v="72.44"/>
    <x v="1"/>
    <x v="4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438"/>
    <s v="N439"/>
    <n v="20.329999999999998"/>
    <x v="1"/>
    <x v="4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439"/>
    <s v="TP285"/>
    <n v="29.1"/>
    <x v="1"/>
    <x v="0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438"/>
    <s v="TP286"/>
    <n v="57.63"/>
    <x v="1"/>
    <x v="4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433"/>
    <s v="N440"/>
    <n v="24.31"/>
    <x v="7"/>
    <x v="0"/>
    <s v="6&quot;"/>
    <n v="1"/>
    <s v=""/>
    <s v=""/>
    <s v=""/>
    <s v=""/>
    <s v=""/>
    <s v=""/>
    <s v=""/>
    <s v=""/>
    <s v="6&quot;"/>
    <n v="2"/>
    <s v=""/>
    <s v=""/>
    <s v=""/>
    <s v=""/>
    <s v=""/>
    <s v=""/>
  </r>
  <r>
    <s v="N440"/>
    <s v="N441"/>
    <n v="80.73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</r>
  <r>
    <s v="N441"/>
    <s v="TP287"/>
    <n v="21.5"/>
    <x v="6"/>
    <x v="0"/>
    <s v=""/>
    <s v=""/>
    <s v=""/>
    <s v=""/>
    <s v=""/>
    <s v=""/>
    <s v=""/>
    <s v=""/>
    <s v=""/>
    <s v=""/>
    <s v=""/>
    <s v=""/>
    <s v=""/>
    <s v=""/>
    <s v=""/>
    <s v=""/>
    <s v="1&quot;"/>
    <n v="1"/>
  </r>
  <r>
    <s v="N441"/>
    <s v="N396"/>
    <n v="64.08"/>
    <x v="7"/>
    <x v="0"/>
    <s v=""/>
    <s v=""/>
    <s v="6&quot;"/>
    <n v="1"/>
    <s v=""/>
    <s v=""/>
    <s v=""/>
    <s v=""/>
    <s v=""/>
    <s v=""/>
    <s v=""/>
    <s v=""/>
    <s v=""/>
    <s v=""/>
    <s v=""/>
    <s v=""/>
    <s v=""/>
    <s v=""/>
  </r>
  <r>
    <s v="N440"/>
    <s v="N442"/>
    <n v="39.39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</r>
  <r>
    <s v="N442"/>
    <s v="TP288"/>
    <n v="29.42"/>
    <x v="6"/>
    <x v="0"/>
    <s v=""/>
    <s v=""/>
    <s v=""/>
    <s v=""/>
    <s v=""/>
    <s v=""/>
    <s v=""/>
    <s v=""/>
    <s v=""/>
    <s v=""/>
    <s v=""/>
    <s v=""/>
    <s v=""/>
    <s v=""/>
    <s v=""/>
    <s v=""/>
    <s v="1&quot;"/>
    <n v="1"/>
  </r>
  <r>
    <s v="N442"/>
    <s v="N443"/>
    <n v="42.15"/>
    <x v="7"/>
    <x v="0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43"/>
    <s v="TP289"/>
    <n v="122.58"/>
    <x v="0"/>
    <x v="0"/>
    <s v="6&quot;"/>
    <n v="1"/>
    <s v=""/>
    <s v=""/>
    <s v="3&quot;"/>
    <n v="1"/>
    <s v=""/>
    <s v=""/>
    <s v=""/>
    <s v=""/>
    <s v="3&quot;"/>
    <n v="1"/>
    <s v=""/>
    <s v=""/>
    <s v=""/>
    <s v=""/>
    <s v="3&quot;"/>
    <n v="1"/>
  </r>
  <r>
    <s v="N443"/>
    <s v="N444"/>
    <n v="77.239999999999995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</r>
  <r>
    <s v="N444"/>
    <s v="TP290"/>
    <n v="135.13999999999999"/>
    <x v="8"/>
    <x v="0"/>
    <s v="6&quot;"/>
    <n v="1"/>
    <s v="4&quot;"/>
    <n v="1"/>
    <s v="4&quot;"/>
    <n v="1"/>
    <s v=""/>
    <s v=""/>
    <s v=""/>
    <s v=""/>
    <s v=""/>
    <s v=""/>
    <s v=""/>
    <s v=""/>
    <s v=""/>
    <s v=""/>
    <s v="4&quot;"/>
    <n v="1"/>
  </r>
  <r>
    <s v="N444"/>
    <s v="N445"/>
    <n v="81.92"/>
    <x v="7"/>
    <x v="2"/>
    <s v="6&quot;"/>
    <n v="1"/>
    <s v="6&quot;"/>
    <n v="2"/>
    <s v=""/>
    <s v=""/>
    <s v=""/>
    <s v=""/>
    <s v=""/>
    <s v=""/>
    <s v="6&quot;"/>
    <n v="1"/>
    <s v=""/>
    <s v=""/>
    <s v=""/>
    <s v=""/>
    <s v=""/>
    <s v=""/>
  </r>
  <r>
    <s v="N445"/>
    <s v="TP291"/>
    <n v="123.27"/>
    <x v="6"/>
    <x v="0"/>
    <s v=""/>
    <s v=""/>
    <s v=""/>
    <s v=""/>
    <s v=""/>
    <s v=""/>
    <s v=""/>
    <s v=""/>
    <s v=""/>
    <s v=""/>
    <s v=""/>
    <s v=""/>
    <s v=""/>
    <s v=""/>
    <s v=""/>
    <s v=""/>
    <s v="1&quot;"/>
    <n v="1"/>
  </r>
  <r>
    <s v="N445"/>
    <s v="N446"/>
    <n v="117.41"/>
    <x v="7"/>
    <x v="2"/>
    <s v=""/>
    <s v=""/>
    <s v="6&quot;"/>
    <n v="5"/>
    <s v=""/>
    <s v=""/>
    <s v=""/>
    <s v=""/>
    <s v=""/>
    <s v=""/>
    <s v=""/>
    <s v=""/>
    <s v=""/>
    <s v=""/>
    <s v=""/>
    <s v=""/>
    <s v=""/>
    <s v=""/>
  </r>
  <r>
    <s v="N446"/>
    <s v="TP292"/>
    <n v="92.49"/>
    <x v="8"/>
    <x v="0"/>
    <s v=""/>
    <s v=""/>
    <s v="4&quot;"/>
    <n v="2"/>
    <s v="4&quot;"/>
    <n v="1"/>
    <s v=""/>
    <s v=""/>
    <s v=""/>
    <s v=""/>
    <s v=""/>
    <s v=""/>
    <s v=""/>
    <s v=""/>
    <s v=""/>
    <s v=""/>
    <s v="4&quot;"/>
    <n v="1"/>
  </r>
  <r>
    <s v="N446"/>
    <s v="N447"/>
    <n v="52.56"/>
    <x v="6"/>
    <x v="0"/>
    <s v=""/>
    <s v=""/>
    <s v="1&quot;"/>
    <n v="1"/>
    <s v="1&quot;"/>
    <n v="1"/>
    <s v=""/>
    <s v=""/>
    <s v=""/>
    <s v=""/>
    <s v=""/>
    <s v=""/>
    <s v=""/>
    <s v=""/>
    <s v=""/>
    <s v=""/>
    <s v=""/>
    <s v=""/>
  </r>
  <r>
    <s v="N447"/>
    <s v="TP293"/>
    <n v="35.01"/>
    <x v="6"/>
    <x v="0"/>
    <s v="1&quot;"/>
    <n v="1"/>
    <s v=""/>
    <s v=""/>
    <s v=""/>
    <s v=""/>
    <s v=""/>
    <s v=""/>
    <s v=""/>
    <s v=""/>
    <s v=""/>
    <s v=""/>
    <s v=""/>
    <s v=""/>
    <s v=""/>
    <s v=""/>
    <s v="1&quot;"/>
    <n v="1"/>
  </r>
  <r>
    <s v="N447"/>
    <s v="TP294"/>
    <n v="53.71"/>
    <x v="6"/>
    <x v="0"/>
    <s v="1&quot;"/>
    <n v="1"/>
    <s v="1&quot;"/>
    <n v="1"/>
    <s v=""/>
    <s v=""/>
    <s v=""/>
    <s v=""/>
    <s v=""/>
    <s v=""/>
    <s v=""/>
    <s v=""/>
    <s v=""/>
    <s v=""/>
    <s v=""/>
    <s v=""/>
    <s v="1&quot;"/>
    <n v="1"/>
  </r>
  <r>
    <s v="N392"/>
    <s v="N448"/>
    <n v="16.059999999999999"/>
    <x v="1"/>
    <x v="4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448"/>
    <s v="N449"/>
    <n v="294.63"/>
    <x v="1"/>
    <x v="4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449"/>
    <s v="TP295"/>
    <n v="56.7"/>
    <x v="10"/>
    <x v="4"/>
    <s v=""/>
    <s v=""/>
    <s v=""/>
    <s v=""/>
    <s v="1/2&quot;"/>
    <n v="1"/>
    <s v=""/>
    <s v=""/>
    <s v=""/>
    <s v=""/>
    <s v=""/>
    <s v=""/>
    <s v=""/>
    <s v=""/>
    <s v=""/>
    <s v=""/>
    <s v="1/2&quot;"/>
    <n v="1"/>
  </r>
  <r>
    <s v="N448"/>
    <s v="TP296"/>
    <n v="249.69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T. PICAPIEDRA"/>
    <s v="N450"/>
    <n v="155.16999999999999"/>
    <x v="7"/>
    <x v="0"/>
    <s v=""/>
    <s v=""/>
    <s v="6&quot;"/>
    <n v="2"/>
    <s v=""/>
    <s v=""/>
    <s v=""/>
    <s v=""/>
    <s v=""/>
    <s v=""/>
    <s v=""/>
    <s v=""/>
    <s v=""/>
    <s v=""/>
    <s v=""/>
    <s v=""/>
    <s v=""/>
    <s v=""/>
  </r>
  <r>
    <s v="N450"/>
    <s v="N451"/>
    <n v="9.01"/>
    <x v="12"/>
    <x v="0"/>
    <s v="6&quot;"/>
    <n v="1"/>
    <s v=""/>
    <s v=""/>
    <s v="3/4&quot;"/>
    <n v="1"/>
    <s v=""/>
    <s v=""/>
    <s v=""/>
    <s v=""/>
    <s v=""/>
    <s v=""/>
    <s v=""/>
    <s v=""/>
    <s v=""/>
    <s v=""/>
    <s v=""/>
    <s v=""/>
  </r>
  <r>
    <s v="N451"/>
    <s v="TP296"/>
    <n v="16.63"/>
    <x v="12"/>
    <x v="0"/>
    <s v="3/4&quot;"/>
    <n v="1"/>
    <s v="3/4&quot;"/>
    <n v="1"/>
    <s v=""/>
    <s v=""/>
    <s v=""/>
    <s v=""/>
    <s v=""/>
    <s v=""/>
    <s v=""/>
    <s v=""/>
    <s v=""/>
    <s v=""/>
    <s v=""/>
    <s v=""/>
    <s v="3/4&quot;"/>
    <n v="0"/>
  </r>
  <r>
    <s v="N451"/>
    <s v="TP297"/>
    <n v="61.65"/>
    <x v="12"/>
    <x v="0"/>
    <s v="3/4&quot;"/>
    <n v="1"/>
    <s v=""/>
    <s v=""/>
    <s v=""/>
    <s v=""/>
    <s v=""/>
    <s v=""/>
    <s v=""/>
    <s v=""/>
    <s v=""/>
    <s v=""/>
    <s v=""/>
    <s v=""/>
    <s v=""/>
    <s v=""/>
    <s v="3/4&quot;"/>
    <n v="1"/>
  </r>
  <r>
    <s v="N450"/>
    <s v="N452"/>
    <n v="25.65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</r>
  <r>
    <s v="N452"/>
    <s v="TP298"/>
    <n v="10.31"/>
    <x v="7"/>
    <x v="0"/>
    <s v="6&quot;"/>
    <n v="1"/>
    <s v=""/>
    <s v=""/>
    <s v=""/>
    <s v=""/>
    <s v=""/>
    <s v=""/>
    <s v=""/>
    <s v=""/>
    <s v=""/>
    <s v=""/>
    <s v=""/>
    <s v=""/>
    <s v=""/>
    <s v=""/>
    <s v="6&quot;"/>
    <n v="1"/>
  </r>
  <r>
    <s v="N452"/>
    <s v="N453"/>
    <n v="648.57000000000005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</r>
  <r>
    <s v="N453"/>
    <s v="TP299"/>
    <n v="137.94"/>
    <x v="7"/>
    <x v="0"/>
    <s v="6&quot;"/>
    <n v="1"/>
    <s v="6&quot;"/>
    <n v="4"/>
    <s v=""/>
    <s v=""/>
    <s v=""/>
    <s v=""/>
    <s v=""/>
    <s v=""/>
    <s v=""/>
    <s v=""/>
    <s v=""/>
    <s v=""/>
    <s v=""/>
    <s v=""/>
    <s v="6&quot;"/>
    <n v="1"/>
  </r>
  <r>
    <s v="N453"/>
    <s v="N454"/>
    <n v="17.97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</r>
  <r>
    <s v="N454"/>
    <s v="TP300"/>
    <n v="45.42"/>
    <x v="0"/>
    <x v="0"/>
    <s v="6&quot;"/>
    <n v="1"/>
    <s v=""/>
    <s v=""/>
    <s v="3&quot;"/>
    <n v="1"/>
    <s v=""/>
    <s v=""/>
    <s v=""/>
    <s v=""/>
    <s v=""/>
    <s v=""/>
    <s v=""/>
    <s v=""/>
    <s v=""/>
    <s v=""/>
    <s v="3&quot;"/>
    <n v="1"/>
  </r>
  <r>
    <s v="N454"/>
    <s v="N455"/>
    <n v="16.78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</r>
  <r>
    <s v="N455"/>
    <s v="TP301"/>
    <n v="55.66"/>
    <x v="6"/>
    <x v="0"/>
    <s v="6&quot;"/>
    <n v="1"/>
    <s v=""/>
    <s v=""/>
    <s v="1&quot;"/>
    <n v="1"/>
    <s v=""/>
    <s v=""/>
    <s v=""/>
    <s v=""/>
    <s v=""/>
    <s v=""/>
    <s v=""/>
    <s v=""/>
    <s v=""/>
    <s v=""/>
    <s v="1&quot;"/>
    <n v="1"/>
  </r>
  <r>
    <s v="N455"/>
    <s v="N456"/>
    <n v="122.32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</r>
  <r>
    <s v="N456"/>
    <s v="TP302"/>
    <n v="20.86"/>
    <x v="1"/>
    <x v="0"/>
    <s v="6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456"/>
    <s v="N457"/>
    <n v="424.61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</r>
  <r>
    <s v="N457"/>
    <s v="TP303"/>
    <n v="50.15"/>
    <x v="1"/>
    <x v="0"/>
    <s v="6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457"/>
    <s v="N458"/>
    <n v="223.17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</r>
  <r>
    <s v="N458"/>
    <s v="TP304"/>
    <n v="242.61"/>
    <x v="1"/>
    <x v="0"/>
    <s v="6&quot;"/>
    <n v="1"/>
    <s v="2&quot;"/>
    <n v="1"/>
    <s v="2&quot;"/>
    <n v="1"/>
    <s v=""/>
    <s v=""/>
    <s v=""/>
    <s v=""/>
    <s v="2&quot;"/>
    <n v="1"/>
    <s v=""/>
    <s v=""/>
    <s v=""/>
    <s v=""/>
    <s v="2&quot;"/>
    <n v="1"/>
  </r>
  <r>
    <s v="N458"/>
    <s v="N459"/>
    <n v="400.18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</r>
  <r>
    <s v="N459"/>
    <s v="CQ6"/>
    <n v="8.44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</r>
  <r>
    <s v="CQ6"/>
    <s v="N460"/>
    <n v="195.08"/>
    <x v="0"/>
    <x v="0"/>
    <s v=""/>
    <s v=""/>
    <s v="3&quot;"/>
    <n v="2"/>
    <s v=""/>
    <s v=""/>
    <s v=""/>
    <s v=""/>
    <s v=""/>
    <s v=""/>
    <s v=""/>
    <s v=""/>
    <s v=""/>
    <s v=""/>
    <s v=""/>
    <s v=""/>
    <s v=""/>
    <s v=""/>
  </r>
  <r>
    <s v="N460"/>
    <s v="N461"/>
    <n v="79.77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461"/>
    <s v="TP305"/>
    <n v="75.23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461"/>
    <s v="N462"/>
    <n v="18.14"/>
    <x v="0"/>
    <x v="0"/>
    <s v="3&quot;"/>
    <n v="1"/>
    <s v="3&quot;"/>
    <n v="1"/>
    <s v=""/>
    <s v=""/>
    <s v=""/>
    <s v=""/>
    <s v=""/>
    <s v=""/>
    <s v=""/>
    <s v=""/>
    <s v=""/>
    <s v=""/>
    <s v=""/>
    <s v=""/>
    <s v=""/>
    <s v=""/>
  </r>
  <r>
    <s v="N462"/>
    <s v="N463"/>
    <n v="115.78"/>
    <x v="1"/>
    <x v="0"/>
    <s v="3&quot;"/>
    <n v="1"/>
    <s v="2&quot;"/>
    <n v="1"/>
    <s v="2&quot;"/>
    <n v="1"/>
    <s v=""/>
    <s v=""/>
    <s v=""/>
    <s v=""/>
    <s v="2&quot;"/>
    <n v="1"/>
    <s v=""/>
    <s v=""/>
    <s v=""/>
    <s v=""/>
    <s v=""/>
    <s v=""/>
  </r>
  <r>
    <s v="N463"/>
    <s v="TP306"/>
    <n v="49.18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463"/>
    <s v="N464"/>
    <n v="87.68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464"/>
    <s v="TP307"/>
    <n v="57.33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464"/>
    <s v="TP308"/>
    <n v="90.19"/>
    <x v="1"/>
    <x v="0"/>
    <s v="2&quot;"/>
    <n v="1"/>
    <s v="2&quot;"/>
    <n v="2"/>
    <s v=""/>
    <s v=""/>
    <s v=""/>
    <s v=""/>
    <s v=""/>
    <s v=""/>
    <s v=""/>
    <s v=""/>
    <s v=""/>
    <s v=""/>
    <s v=""/>
    <s v=""/>
    <s v="2&quot;"/>
    <n v="1"/>
  </r>
  <r>
    <s v="N462"/>
    <s v="N465"/>
    <n v="58.43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465"/>
    <s v="N466"/>
    <n v="65.36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466"/>
    <s v="TP309"/>
    <n v="27.72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466"/>
    <s v="N467"/>
    <n v="47.07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467"/>
    <s v="N468"/>
    <n v="187.57"/>
    <x v="11"/>
    <x v="0"/>
    <s v="3&quot;"/>
    <n v="1"/>
    <s v="2 1/2&quot;"/>
    <n v="2"/>
    <s v="2 1/2&quot;"/>
    <n v="2"/>
    <s v=""/>
    <s v=""/>
    <s v=""/>
    <s v=""/>
    <s v=""/>
    <s v=""/>
    <s v=""/>
    <s v=""/>
    <s v=""/>
    <s v=""/>
    <s v=""/>
    <s v=""/>
  </r>
  <r>
    <s v="N468"/>
    <s v="TP310"/>
    <n v="362.9"/>
    <x v="0"/>
    <x v="0"/>
    <s v=""/>
    <s v=""/>
    <s v="3&quot;"/>
    <n v="1"/>
    <s v=""/>
    <s v=""/>
    <s v=""/>
    <s v=""/>
    <s v=""/>
    <s v=""/>
    <s v=""/>
    <s v=""/>
    <s v=""/>
    <s v=""/>
    <s v=""/>
    <s v=""/>
    <s v="3&quot;"/>
    <n v="1"/>
  </r>
  <r>
    <s v="N467"/>
    <s v="N469"/>
    <n v="12.33"/>
    <x v="0"/>
    <x v="0"/>
    <s v="3&quot;"/>
    <n v="1"/>
    <s v=""/>
    <s v=""/>
    <s v=""/>
    <s v=""/>
    <s v=""/>
    <s v=""/>
    <s v=""/>
    <s v=""/>
    <s v="3&quot;"/>
    <n v="1"/>
    <s v=""/>
    <s v=""/>
    <s v=""/>
    <s v=""/>
    <s v=""/>
    <s v=""/>
  </r>
  <r>
    <s v="N469"/>
    <s v="TP311"/>
    <n v="54.23"/>
    <x v="6"/>
    <x v="0"/>
    <s v=""/>
    <s v=""/>
    <s v=""/>
    <s v=""/>
    <s v=""/>
    <s v=""/>
    <s v=""/>
    <s v=""/>
    <s v=""/>
    <s v=""/>
    <s v=""/>
    <s v=""/>
    <s v=""/>
    <s v=""/>
    <s v=""/>
    <s v=""/>
    <s v="1&quot;"/>
    <n v="1"/>
  </r>
  <r>
    <s v="N469"/>
    <s v="N470"/>
    <n v="52.14"/>
    <x v="0"/>
    <x v="0"/>
    <s v=""/>
    <s v=""/>
    <s v="3&quot;"/>
    <n v="1"/>
    <s v=""/>
    <s v=""/>
    <s v=""/>
    <s v=""/>
    <s v=""/>
    <s v=""/>
    <s v=""/>
    <s v=""/>
    <s v=""/>
    <s v=""/>
    <s v=""/>
    <s v=""/>
    <s v=""/>
    <s v=""/>
  </r>
  <r>
    <s v="N470"/>
    <s v="N471"/>
    <n v="167.43"/>
    <x v="0"/>
    <x v="2"/>
    <s v=""/>
    <s v=""/>
    <s v=""/>
    <s v=""/>
    <s v="3&quot;"/>
    <n v="1"/>
    <s v=""/>
    <s v=""/>
    <s v=""/>
    <s v=""/>
    <s v="3&quot;"/>
    <n v="1"/>
    <s v=""/>
    <s v=""/>
    <s v=""/>
    <s v=""/>
    <s v=""/>
    <s v=""/>
  </r>
  <r>
    <s v="N471"/>
    <s v="N472"/>
    <n v="4.4000000000000004"/>
    <x v="7"/>
    <x v="2"/>
    <s v="6&quot;"/>
    <n v="1"/>
    <s v=""/>
    <s v=""/>
    <s v=""/>
    <s v=""/>
    <s v=""/>
    <s v=""/>
    <s v=""/>
    <s v=""/>
    <s v=""/>
    <s v=""/>
    <s v=""/>
    <s v=""/>
    <s v=""/>
    <s v=""/>
    <s v=""/>
    <s v=""/>
  </r>
  <r>
    <s v="N472"/>
    <s v="N473"/>
    <n v="37.479999999999997"/>
    <x v="7"/>
    <x v="2"/>
    <s v="6&quot;"/>
    <n v="1"/>
    <s v=""/>
    <s v=""/>
    <s v=""/>
    <s v=""/>
    <s v=""/>
    <s v=""/>
    <s v=""/>
    <s v=""/>
    <s v=""/>
    <s v=""/>
    <s v=""/>
    <s v=""/>
    <s v=""/>
    <s v=""/>
    <s v=""/>
    <s v=""/>
  </r>
  <r>
    <s v="N473"/>
    <s v="N474"/>
    <n v="18.420000000000002"/>
    <x v="1"/>
    <x v="4"/>
    <s v="6&quot;"/>
    <n v="1"/>
    <s v=""/>
    <s v=""/>
    <s v="2&quot;"/>
    <n v="1"/>
    <s v=""/>
    <s v=""/>
    <s v=""/>
    <s v=""/>
    <s v="2&quot;"/>
    <n v="1"/>
    <s v=""/>
    <s v=""/>
    <s v=""/>
    <s v=""/>
    <s v=""/>
    <s v=""/>
  </r>
  <r>
    <s v="N474"/>
    <s v="N475"/>
    <n v="41.86"/>
    <x v="1"/>
    <x v="0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75"/>
    <s v="TP312"/>
    <n v="97.83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475"/>
    <s v="N476"/>
    <n v="99.31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476"/>
    <s v="TP313"/>
    <n v="123.64"/>
    <x v="1"/>
    <x v="0"/>
    <s v="2&quot;"/>
    <n v="1"/>
    <s v="2&quot;"/>
    <n v="2"/>
    <s v=""/>
    <s v=""/>
    <s v=""/>
    <s v=""/>
    <s v=""/>
    <s v=""/>
    <s v="2&quot;"/>
    <n v="1"/>
    <s v=""/>
    <s v=""/>
    <s v=""/>
    <s v=""/>
    <s v="2&quot;"/>
    <n v="1"/>
  </r>
  <r>
    <s v="N476"/>
    <s v="TP314"/>
    <n v="147.08000000000001"/>
    <x v="1"/>
    <x v="0"/>
    <s v="2&quot;"/>
    <n v="1"/>
    <s v="2&quot;"/>
    <n v="1"/>
    <s v=""/>
    <s v=""/>
    <s v=""/>
    <s v=""/>
    <s v=""/>
    <s v=""/>
    <s v=""/>
    <s v=""/>
    <s v=""/>
    <s v=""/>
    <s v=""/>
    <s v=""/>
    <s v="2&quot;"/>
    <n v="1"/>
  </r>
  <r>
    <s v="N473"/>
    <s v="N477"/>
    <n v="126.51"/>
    <x v="7"/>
    <x v="2"/>
    <s v="6&quot;"/>
    <n v="1"/>
    <s v=""/>
    <s v=""/>
    <s v=""/>
    <s v=""/>
    <s v=""/>
    <s v=""/>
    <s v=""/>
    <s v=""/>
    <s v=""/>
    <s v=""/>
    <s v=""/>
    <s v=""/>
    <s v=""/>
    <s v=""/>
    <s v=""/>
    <s v=""/>
  </r>
  <r>
    <s v="N477"/>
    <s v="N478"/>
    <n v="7.08"/>
    <x v="1"/>
    <x v="2"/>
    <s v="6&quot;"/>
    <n v="1"/>
    <s v=""/>
    <s v=""/>
    <s v="2&quot;"/>
    <n v="1"/>
    <s v=""/>
    <s v=""/>
    <s v=""/>
    <s v=""/>
    <s v=""/>
    <s v=""/>
    <s v=""/>
    <s v=""/>
    <s v=""/>
    <s v=""/>
    <s v=""/>
    <s v=""/>
  </r>
  <r>
    <s v="N478"/>
    <s v="N479"/>
    <n v="25.3"/>
    <x v="6"/>
    <x v="0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79"/>
    <s v="TP315"/>
    <n v="28.04"/>
    <x v="6"/>
    <x v="0"/>
    <s v="1&quot;"/>
    <n v="1"/>
    <s v=""/>
    <s v=""/>
    <s v=""/>
    <s v=""/>
    <s v=""/>
    <s v=""/>
    <s v=""/>
    <s v=""/>
    <s v=""/>
    <s v=""/>
    <s v=""/>
    <s v=""/>
    <s v=""/>
    <s v=""/>
    <s v="1&quot;"/>
    <n v="1"/>
  </r>
  <r>
    <s v="N479"/>
    <s v="TP316"/>
    <n v="29.83"/>
    <x v="6"/>
    <x v="0"/>
    <s v="1&quot;"/>
    <n v="1"/>
    <s v=""/>
    <s v=""/>
    <s v=""/>
    <s v=""/>
    <s v=""/>
    <s v=""/>
    <s v=""/>
    <s v=""/>
    <s v=""/>
    <s v=""/>
    <s v=""/>
    <s v=""/>
    <s v=""/>
    <s v=""/>
    <s v="1&quot;"/>
    <n v="1"/>
  </r>
  <r>
    <s v="N478"/>
    <s v="N480"/>
    <n v="80.44"/>
    <x v="1"/>
    <x v="0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80"/>
    <s v="TP317"/>
    <n v="47.9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480"/>
    <s v="TP318"/>
    <n v="100.97"/>
    <x v="1"/>
    <x v="0"/>
    <s v="2&quot;"/>
    <n v="1"/>
    <s v="2&quot;"/>
    <n v="1"/>
    <s v=""/>
    <s v=""/>
    <s v=""/>
    <s v=""/>
    <s v=""/>
    <s v=""/>
    <s v=""/>
    <s v=""/>
    <s v=""/>
    <s v=""/>
    <s v=""/>
    <s v=""/>
    <s v="2&quot;"/>
    <n v="1"/>
  </r>
  <r>
    <s v="N477"/>
    <s v="N481"/>
    <n v="29.78"/>
    <x v="7"/>
    <x v="2"/>
    <s v="6&quot;"/>
    <n v="1"/>
    <s v=""/>
    <s v=""/>
    <s v=""/>
    <s v=""/>
    <s v=""/>
    <s v=""/>
    <s v=""/>
    <s v=""/>
    <s v=""/>
    <s v=""/>
    <s v=""/>
    <s v=""/>
    <s v=""/>
    <s v=""/>
    <s v=""/>
    <s v=""/>
  </r>
  <r>
    <s v="N481"/>
    <s v="N446"/>
    <n v="74.150000000000006"/>
    <x v="7"/>
    <x v="2"/>
    <s v="6&quot;"/>
    <n v="1"/>
    <s v="6&quot;"/>
    <n v="3"/>
    <s v=""/>
    <s v=""/>
    <s v=""/>
    <s v=""/>
    <s v=""/>
    <s v=""/>
    <s v=""/>
    <s v=""/>
    <s v=""/>
    <s v=""/>
    <s v=""/>
    <s v=""/>
    <s v=""/>
    <s v=""/>
  </r>
  <r>
    <s v="N481"/>
    <s v="N482"/>
    <n v="83.9"/>
    <x v="0"/>
    <x v="0"/>
    <s v="6&quot;"/>
    <n v="1"/>
    <s v=""/>
    <s v=""/>
    <s v="3&quot;"/>
    <n v="1"/>
    <s v=""/>
    <s v=""/>
    <s v=""/>
    <s v=""/>
    <s v="3&quot;"/>
    <n v="1"/>
    <s v=""/>
    <s v=""/>
    <s v=""/>
    <s v=""/>
    <s v=""/>
    <s v=""/>
  </r>
  <r>
    <s v="N482"/>
    <s v="N483"/>
    <n v="52.02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"/>
    <s v=""/>
  </r>
  <r>
    <s v="N483"/>
    <s v="TP319"/>
    <n v="36.049999999999997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483"/>
    <s v="N484"/>
    <n v="43.91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482"/>
    <s v="N485"/>
    <n v="47.24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485"/>
    <s v="N484"/>
    <n v="53.01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"/>
    <s v=""/>
  </r>
  <r>
    <s v="N484"/>
    <s v="TP320"/>
    <n v="22.05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485"/>
    <s v="TP321"/>
    <n v="118.98"/>
    <x v="0"/>
    <x v="0"/>
    <s v="3&quot;"/>
    <n v="1"/>
    <s v="3&quot;"/>
    <n v="1"/>
    <s v=""/>
    <s v=""/>
    <s v=""/>
    <s v=""/>
    <s v=""/>
    <s v=""/>
    <s v=""/>
    <s v=""/>
    <s v=""/>
    <s v=""/>
    <s v=""/>
    <s v=""/>
    <s v="3&quot;"/>
    <n v="1"/>
  </r>
  <r>
    <s v="N472"/>
    <s v="N486"/>
    <n v="38.21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</r>
  <r>
    <s v="N486"/>
    <s v="TP322"/>
    <n v="42.8"/>
    <x v="1"/>
    <x v="0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486"/>
    <s v="N487"/>
    <n v="130.61000000000001"/>
    <x v="7"/>
    <x v="2"/>
    <s v=""/>
    <s v=""/>
    <s v=""/>
    <s v=""/>
    <s v=""/>
    <s v=""/>
    <s v=""/>
    <s v=""/>
    <s v=""/>
    <s v=""/>
    <s v="6&quot;"/>
    <n v="1"/>
    <s v=""/>
    <s v=""/>
    <s v=""/>
    <s v=""/>
    <s v=""/>
    <s v=""/>
  </r>
  <r>
    <s v="N471"/>
    <s v="N488"/>
    <n v="18.559999999999999"/>
    <x v="1"/>
    <x v="0"/>
    <s v="6&quot;"/>
    <n v="1"/>
    <s v=""/>
    <s v=""/>
    <s v="2&quot;"/>
    <n v="1"/>
    <s v=""/>
    <s v=""/>
    <s v=""/>
    <s v=""/>
    <s v=""/>
    <s v=""/>
    <s v=""/>
    <s v=""/>
    <s v=""/>
    <s v=""/>
    <s v=""/>
    <s v=""/>
  </r>
  <r>
    <s v="N488"/>
    <s v="TP323"/>
    <n v="110.43"/>
    <x v="1"/>
    <x v="0"/>
    <s v="2&quot;"/>
    <n v="1"/>
    <s v="2&quot;"/>
    <n v="1"/>
    <s v=""/>
    <s v=""/>
    <s v=""/>
    <s v=""/>
    <s v=""/>
    <s v=""/>
    <s v=""/>
    <s v=""/>
    <s v=""/>
    <s v=""/>
    <s v=""/>
    <s v=""/>
    <s v="2&quot;"/>
    <n v="1"/>
  </r>
  <r>
    <s v="N488"/>
    <s v="TP324"/>
    <n v="73.650000000000006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460"/>
    <s v="N489"/>
    <n v="2.63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489"/>
    <s v="N490"/>
    <n v="69.92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465"/>
    <s v="N490"/>
    <n v="91.35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489"/>
    <s v="N491"/>
    <n v="46.05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491"/>
    <s v="N492"/>
    <n v="91.78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491"/>
    <s v="N493"/>
    <n v="300.26"/>
    <x v="0"/>
    <x v="0"/>
    <s v="3&quot;"/>
    <n v="1"/>
    <s v="3&quot;"/>
    <n v="1"/>
    <s v=""/>
    <s v=""/>
    <s v=""/>
    <s v=""/>
    <s v=""/>
    <s v=""/>
    <s v=""/>
    <s v=""/>
    <s v=""/>
    <s v=""/>
    <s v=""/>
    <s v=""/>
    <s v=""/>
    <s v=""/>
  </r>
  <r>
    <s v="N493"/>
    <s v="TP325"/>
    <n v="58.34"/>
    <x v="1"/>
    <x v="0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492"/>
    <s v="N494"/>
    <n v="11.63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490"/>
    <s v="N494"/>
    <n v="127.29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494"/>
    <s v="N495"/>
    <n v="26.09"/>
    <x v="0"/>
    <x v="0"/>
    <s v="3&quot;"/>
    <n v="1"/>
    <s v="3&quot;"/>
    <n v="1"/>
    <s v=""/>
    <s v=""/>
    <s v=""/>
    <s v=""/>
    <s v=""/>
    <s v=""/>
    <s v="3&quot;"/>
    <n v="2"/>
    <s v=""/>
    <s v=""/>
    <s v=""/>
    <s v=""/>
    <s v=""/>
    <s v=""/>
  </r>
  <r>
    <s v="N495"/>
    <s v="N496"/>
    <n v="38.450000000000003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496"/>
    <s v="TP326"/>
    <n v="58.88"/>
    <x v="0"/>
    <x v="0"/>
    <s v="3&quot;"/>
    <n v="1"/>
    <s v=""/>
    <s v=""/>
    <s v=""/>
    <s v=""/>
    <s v=""/>
    <s v=""/>
    <s v=""/>
    <s v=""/>
    <s v=""/>
    <s v=""/>
    <s v=""/>
    <s v=""/>
    <s v=""/>
    <s v=""/>
    <s v="3&quot;"/>
    <n v="1"/>
  </r>
  <r>
    <s v="N496"/>
    <s v="N497"/>
    <n v="137.43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497"/>
    <s v="TP327"/>
    <n v="70"/>
    <x v="1"/>
    <x v="0"/>
    <s v=""/>
    <s v=""/>
    <s v="2&quot;"/>
    <n v="1"/>
    <s v="2&quot;"/>
    <n v="1"/>
    <s v=""/>
    <s v=""/>
    <s v=""/>
    <s v=""/>
    <s v=""/>
    <s v=""/>
    <s v=""/>
    <s v=""/>
    <s v=""/>
    <s v=""/>
    <s v="2&quot;"/>
    <n v="1"/>
  </r>
  <r>
    <s v="N495"/>
    <s v="N498"/>
    <n v="233.2"/>
    <x v="0"/>
    <x v="0"/>
    <s v="3&quot;"/>
    <n v="1"/>
    <s v="3&quot;"/>
    <n v="1"/>
    <s v=""/>
    <s v=""/>
    <s v=""/>
    <s v=""/>
    <s v=""/>
    <s v=""/>
    <s v="3&quot;"/>
    <n v="1"/>
    <s v=""/>
    <s v=""/>
    <s v=""/>
    <s v=""/>
    <s v=""/>
    <s v=""/>
  </r>
  <r>
    <s v="N498"/>
    <s v="TP328"/>
    <n v="294.70999999999998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498"/>
    <s v="N499"/>
    <n v="211.48"/>
    <x v="0"/>
    <x v="0"/>
    <s v="3&quot;"/>
    <n v="1"/>
    <s v="3&quot;"/>
    <n v="2"/>
    <s v=""/>
    <s v=""/>
    <s v=""/>
    <s v=""/>
    <s v=""/>
    <s v=""/>
    <s v=""/>
    <s v=""/>
    <s v=""/>
    <s v=""/>
    <n v="0"/>
    <n v="1"/>
    <s v=""/>
    <s v=""/>
  </r>
  <r>
    <s v="N499"/>
    <s v="N500"/>
    <n v="10.5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"/>
    <s v=""/>
  </r>
  <r>
    <s v="N500"/>
    <s v=" TP329"/>
    <n v="19.32"/>
    <x v="10"/>
    <x v="0"/>
    <s v="2&quot;"/>
    <n v="1"/>
    <s v=""/>
    <s v=""/>
    <s v="1/2&quot;"/>
    <n v="1"/>
    <s v=""/>
    <s v=""/>
    <s v=""/>
    <s v=""/>
    <s v=""/>
    <s v=""/>
    <s v=""/>
    <s v=""/>
    <s v=""/>
    <s v=""/>
    <s v="1/2&quot;"/>
    <n v="1"/>
  </r>
  <r>
    <s v="N500"/>
    <s v="N501"/>
    <n v="35.06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501"/>
    <s v="TP330"/>
    <n v="64.44"/>
    <x v="12"/>
    <x v="0"/>
    <s v="2&quot;"/>
    <n v="1"/>
    <s v=""/>
    <s v=""/>
    <s v="3/4&quot;"/>
    <n v="1"/>
    <s v=""/>
    <s v=""/>
    <s v=""/>
    <s v=""/>
    <s v=""/>
    <s v=""/>
    <s v=""/>
    <s v=""/>
    <s v=""/>
    <s v=""/>
    <s v="3/4&quot;"/>
    <n v="1"/>
  </r>
  <r>
    <s v="N501"/>
    <s v="N502"/>
    <n v="51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502"/>
    <s v="TP331"/>
    <n v="93.92"/>
    <x v="12"/>
    <x v="0"/>
    <s v="2&quot;"/>
    <n v="1"/>
    <s v=""/>
    <s v=""/>
    <s v="3/4&quot;"/>
    <n v="1"/>
    <s v=""/>
    <s v=""/>
    <s v=""/>
    <s v=""/>
    <s v=""/>
    <s v=""/>
    <s v=""/>
    <s v=""/>
    <s v=""/>
    <s v=""/>
    <s v="3/4&quot;"/>
    <n v="1"/>
  </r>
  <r>
    <s v="N502"/>
    <s v="N503"/>
    <n v="8.24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503"/>
    <s v="TP332"/>
    <n v="29.13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503"/>
    <s v="TP333"/>
    <n v="140.93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499"/>
    <s v="N504"/>
    <n v="12.66"/>
    <x v="10"/>
    <x v="0"/>
    <s v="3&quot;"/>
    <n v="1"/>
    <s v=""/>
    <s v=""/>
    <s v="1/2&quot;"/>
    <n v="2"/>
    <s v=""/>
    <s v=""/>
    <s v=""/>
    <s v=""/>
    <s v=""/>
    <s v=""/>
    <s v=""/>
    <s v=""/>
    <s v=""/>
    <s v=""/>
    <s v=""/>
    <s v=""/>
  </r>
  <r>
    <s v="N504"/>
    <s v="TP334"/>
    <n v="26.43"/>
    <x v="10"/>
    <x v="0"/>
    <s v="3&quot;"/>
    <n v="1"/>
    <s v=""/>
    <s v=""/>
    <s v="1/2&quot;"/>
    <n v="1"/>
    <s v=""/>
    <s v=""/>
    <s v=""/>
    <s v=""/>
    <s v=""/>
    <s v=""/>
    <s v=""/>
    <s v=""/>
    <s v=""/>
    <s v=""/>
    <s v="1/2&quot;"/>
    <n v="1"/>
  </r>
  <r>
    <s v="N504"/>
    <s v="N487"/>
    <n v="50.7"/>
    <x v="0"/>
    <x v="0"/>
    <s v="3&quot;"/>
    <n v="1"/>
    <s v=""/>
    <s v=""/>
    <s v="3&quot;"/>
    <n v="1"/>
    <s v=""/>
    <s v=""/>
    <s v=""/>
    <s v=""/>
    <s v=""/>
    <s v=""/>
    <s v=""/>
    <s v=""/>
    <s v=""/>
    <s v=""/>
    <s v=""/>
    <s v=""/>
  </r>
  <r>
    <s v="N487"/>
    <s v="N505"/>
    <n v="30.56"/>
    <x v="8"/>
    <x v="0"/>
    <s v="6&quot;"/>
    <n v="1"/>
    <s v="4&quot;"/>
    <n v="1"/>
    <s v="4&quot;"/>
    <n v="1"/>
    <s v=""/>
    <s v=""/>
    <s v=""/>
    <s v=""/>
    <s v=""/>
    <s v=""/>
    <s v=""/>
    <s v=""/>
    <s v=""/>
    <s v=""/>
    <s v=""/>
    <s v=""/>
  </r>
  <r>
    <s v="N506"/>
    <s v="N506"/>
    <n v="49.62"/>
    <x v="8"/>
    <x v="0"/>
    <s v="4&quot;"/>
    <n v="1"/>
    <s v="4&quot;"/>
    <n v="2"/>
    <s v=""/>
    <s v=""/>
    <s v=""/>
    <s v=""/>
    <s v=""/>
    <s v=""/>
    <s v="4&quot;"/>
    <n v="1"/>
    <s v=""/>
    <s v=""/>
    <s v=""/>
    <s v=""/>
    <s v=""/>
    <s v=""/>
  </r>
  <r>
    <s v="N506"/>
    <s v="N507"/>
    <n v="70.19"/>
    <x v="0"/>
    <x v="0"/>
    <s v="4&quot;"/>
    <n v="1"/>
    <s v=""/>
    <s v=""/>
    <s v="3&quot;"/>
    <n v="1"/>
    <s v=""/>
    <s v=""/>
    <s v=""/>
    <s v=""/>
    <s v="3&quot;"/>
    <n v="1"/>
    <s v=""/>
    <s v=""/>
    <s v=""/>
    <s v=""/>
    <s v=""/>
    <s v=""/>
  </r>
  <r>
    <s v="N507"/>
    <s v="TP335"/>
    <n v="7.96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507"/>
    <s v="N508"/>
    <n v="33.4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508"/>
    <s v="N509"/>
    <n v="28.32"/>
    <x v="0"/>
    <x v="0"/>
    <s v="3&quot;"/>
    <n v="1"/>
    <s v=""/>
    <s v=""/>
    <s v="3&quot;"/>
    <n v="1"/>
    <s v=""/>
    <s v=""/>
    <s v=""/>
    <s v=""/>
    <s v="3&quot;"/>
    <n v="1"/>
    <s v=""/>
    <s v=""/>
    <s v=""/>
    <s v=""/>
    <s v=""/>
    <s v=""/>
  </r>
  <r>
    <s v="N509"/>
    <s v="TP336"/>
    <n v="6.68"/>
    <x v="8"/>
    <x v="0"/>
    <s v="4&quot;"/>
    <n v="1"/>
    <s v=""/>
    <s v=""/>
    <s v=""/>
    <s v=""/>
    <s v=""/>
    <s v=""/>
    <s v=""/>
    <s v=""/>
    <s v=""/>
    <s v=""/>
    <s v=""/>
    <s v=""/>
    <s v=""/>
    <s v=""/>
    <s v="4&quot;"/>
    <n v="1"/>
  </r>
  <r>
    <s v="N509"/>
    <s v="N510"/>
    <n v="95.16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</r>
  <r>
    <s v="N510"/>
    <s v="TP337"/>
    <n v="86.48"/>
    <x v="12"/>
    <x v="0"/>
    <s v="4&quot;"/>
    <n v="1"/>
    <s v=""/>
    <s v=""/>
    <s v="3/4&quot;"/>
    <n v="1"/>
    <s v=""/>
    <s v=""/>
    <s v=""/>
    <s v=""/>
    <s v=""/>
    <s v=""/>
    <s v=""/>
    <s v=""/>
    <s v=""/>
    <s v=""/>
    <s v="3/4&quot;"/>
    <n v="1"/>
  </r>
  <r>
    <s v="N510"/>
    <s v="N511"/>
    <n v="35.46"/>
    <x v="8"/>
    <x v="1"/>
    <s v="4&quot;"/>
    <n v="1"/>
    <s v=""/>
    <s v=""/>
    <s v=""/>
    <s v=""/>
    <s v=""/>
    <s v=""/>
    <s v=""/>
    <s v=""/>
    <s v=""/>
    <s v=""/>
    <s v=""/>
    <s v=""/>
    <s v=""/>
    <s v=""/>
    <s v=""/>
    <s v=""/>
  </r>
  <r>
    <s v="N511"/>
    <s v="N512"/>
    <n v="26.72"/>
    <x v="8"/>
    <x v="1"/>
    <s v="4&quot;"/>
    <n v="1"/>
    <s v=""/>
    <s v=""/>
    <s v=""/>
    <s v=""/>
    <s v=""/>
    <s v=""/>
    <s v=""/>
    <s v=""/>
    <s v=""/>
    <s v=""/>
    <s v=""/>
    <s v=""/>
    <s v=""/>
    <s v=""/>
    <s v=""/>
    <s v=""/>
  </r>
  <r>
    <s v="N512"/>
    <s v="N513"/>
    <n v="38.22"/>
    <x v="8"/>
    <x v="0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13"/>
    <s v="TP338"/>
    <n v="81.400000000000006"/>
    <x v="1"/>
    <x v="0"/>
    <s v="4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513"/>
    <s v="N390"/>
    <n v="56.86"/>
    <x v="8"/>
    <x v="0"/>
    <s v="4&quot;"/>
    <n v="1"/>
    <s v=""/>
    <s v=""/>
    <s v=""/>
    <s v=""/>
    <s v=""/>
    <s v=""/>
    <s v=""/>
    <s v=""/>
    <s v=""/>
    <s v=""/>
    <n v="0"/>
    <n v="0"/>
    <s v=""/>
    <s v=""/>
    <s v=""/>
    <s v=""/>
  </r>
  <r>
    <s v="N506"/>
    <s v="N514"/>
    <n v="34.24"/>
    <x v="8"/>
    <x v="0"/>
    <s v="4&quot;"/>
    <n v="1"/>
    <s v=""/>
    <s v=""/>
    <s v=""/>
    <s v=""/>
    <s v=""/>
    <s v=""/>
    <s v=""/>
    <s v=""/>
    <s v="4&quot;"/>
    <n v="1"/>
    <s v=""/>
    <s v=""/>
    <s v=""/>
    <s v=""/>
    <s v=""/>
    <s v=""/>
  </r>
  <r>
    <s v="N514"/>
    <s v="TP339"/>
    <n v="78.02"/>
    <x v="1"/>
    <x v="0"/>
    <s v="4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514"/>
    <s v="N515"/>
    <n v="52.77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</r>
  <r>
    <s v="N515"/>
    <s v="TP340"/>
    <n v="73.510000000000005"/>
    <x v="1"/>
    <x v="0"/>
    <s v="4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515"/>
    <s v="N516"/>
    <n v="24.56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</r>
  <r>
    <s v="N516"/>
    <s v="TP341"/>
    <n v="73.66"/>
    <x v="1"/>
    <x v="0"/>
    <s v="4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516"/>
    <s v="N517"/>
    <n v="16.62"/>
    <x v="8"/>
    <x v="0"/>
    <s v="4&quot;"/>
    <n v="1"/>
    <s v=""/>
    <s v=""/>
    <s v=""/>
    <s v=""/>
    <s v=""/>
    <s v=""/>
    <s v=""/>
    <s v=""/>
    <s v=""/>
    <s v=""/>
    <s v=""/>
    <s v=""/>
    <n v="0"/>
    <n v="1"/>
    <s v=""/>
    <s v=""/>
  </r>
  <r>
    <s v="N517"/>
    <s v="N518"/>
    <n v="50.7"/>
    <x v="0"/>
    <x v="0"/>
    <s v="4&quot;"/>
    <n v="1"/>
    <s v=""/>
    <s v=""/>
    <s v="3&quot;"/>
    <n v="1"/>
    <s v=""/>
    <s v=""/>
    <s v=""/>
    <s v=""/>
    <s v=""/>
    <s v=""/>
    <s v=""/>
    <s v=""/>
    <s v=""/>
    <s v=""/>
    <s v=""/>
    <s v=""/>
  </r>
  <r>
    <s v="N508"/>
    <s v="N518"/>
    <n v="178.8"/>
    <x v="1"/>
    <x v="0"/>
    <s v="3&quot;"/>
    <n v="1"/>
    <s v=""/>
    <s v=""/>
    <s v="2&quot;"/>
    <n v="2"/>
    <s v=""/>
    <s v=""/>
    <s v=""/>
    <s v=""/>
    <s v=""/>
    <s v=""/>
    <s v=""/>
    <s v=""/>
    <s v=""/>
    <s v=""/>
    <s v=""/>
    <s v=""/>
  </r>
  <r>
    <s v="N518"/>
    <s v="N511"/>
    <n v="88.91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517"/>
    <s v="N519"/>
    <n v="7.37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</r>
  <r>
    <s v="N519"/>
    <s v="TP342"/>
    <n v="139.38999999999999"/>
    <x v="1"/>
    <x v="0"/>
    <s v="4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388"/>
    <s v="N520"/>
    <n v="13.14"/>
    <x v="2"/>
    <x v="0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20"/>
    <s v="N521"/>
    <n v="93.84"/>
    <x v="8"/>
    <x v="1"/>
    <s v=""/>
    <s v=""/>
    <s v=""/>
    <s v=""/>
    <s v="4&quot;"/>
    <n v="1"/>
    <s v=""/>
    <s v=""/>
    <s v=""/>
    <s v=""/>
    <s v=""/>
    <s v=""/>
    <s v=""/>
    <s v=""/>
    <s v=""/>
    <s v=""/>
    <s v=""/>
    <s v=""/>
  </r>
  <r>
    <s v="N521"/>
    <s v="TP343"/>
    <n v="113.35"/>
    <x v="1"/>
    <x v="0"/>
    <s v="4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387"/>
    <s v="N522"/>
    <n v="83.15"/>
    <x v="0"/>
    <x v="0"/>
    <s v="6&quot;"/>
    <n v="1"/>
    <s v=""/>
    <s v=""/>
    <s v="3&quot;"/>
    <n v="1"/>
    <s v=""/>
    <s v=""/>
    <s v=""/>
    <s v=""/>
    <s v="3&quot;"/>
    <n v="1"/>
    <s v=""/>
    <s v=""/>
    <s v=""/>
    <s v=""/>
    <s v=""/>
    <s v=""/>
  </r>
  <r>
    <s v="N522"/>
    <s v="TP344"/>
    <n v="107.94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522"/>
    <s v="N523"/>
    <n v="21.31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383"/>
    <s v="TP345"/>
    <n v="112.94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382"/>
    <s v="N524"/>
    <n v="60.99"/>
    <x v="0"/>
    <x v="1"/>
    <s v="3&quot;"/>
    <n v="1"/>
    <s v=""/>
    <s v=""/>
    <s v=""/>
    <s v=""/>
    <s v=""/>
    <s v=""/>
    <s v=""/>
    <s v=""/>
    <s v="3&quot;"/>
    <n v="1"/>
    <s v=""/>
    <s v=""/>
    <s v=""/>
    <s v=""/>
    <s v=""/>
    <s v=""/>
  </r>
  <r>
    <s v="N524"/>
    <s v="N523"/>
    <n v="137.31"/>
    <x v="0"/>
    <x v="1"/>
    <s v="3&quot;"/>
    <n v="1"/>
    <s v="3&quot;"/>
    <n v="1"/>
    <s v=""/>
    <s v=""/>
    <s v=""/>
    <s v=""/>
    <s v=""/>
    <s v=""/>
    <s v=""/>
    <s v=""/>
    <s v=""/>
    <s v=""/>
    <s v=""/>
    <s v=""/>
    <s v=""/>
    <s v=""/>
  </r>
  <r>
    <s v="N523"/>
    <s v="N525"/>
    <n v="12.82"/>
    <x v="0"/>
    <x v="0"/>
    <s v="3&quot;"/>
    <n v="1"/>
    <s v=""/>
    <s v=""/>
    <s v=""/>
    <s v=""/>
    <s v=""/>
    <s v=""/>
    <s v=""/>
    <s v=""/>
    <s v="3&quot;"/>
    <n v="1"/>
    <s v=""/>
    <s v=""/>
    <s v=""/>
    <s v=""/>
    <s v=""/>
    <s v=""/>
  </r>
  <r>
    <s v="N519"/>
    <s v="N525"/>
    <n v="156.88"/>
    <x v="0"/>
    <x v="0"/>
    <s v="4&quot;"/>
    <n v="1"/>
    <s v=""/>
    <s v=""/>
    <s v="3&quot;"/>
    <n v="1"/>
    <s v=""/>
    <s v=""/>
    <s v=""/>
    <s v=""/>
    <s v=""/>
    <s v=""/>
    <s v=""/>
    <s v=""/>
    <s v=""/>
    <s v=""/>
    <s v=""/>
    <s v=""/>
  </r>
  <r>
    <s v="N525"/>
    <s v="N526"/>
    <n v="70.41"/>
    <x v="8"/>
    <x v="0"/>
    <s v="3&quot;"/>
    <n v="1"/>
    <s v=""/>
    <s v=""/>
    <s v=""/>
    <s v=""/>
    <s v="4&quot;"/>
    <n v="1"/>
    <s v=""/>
    <s v=""/>
    <s v="4&quot;"/>
    <n v="1"/>
    <s v=""/>
    <s v=""/>
    <s v=""/>
    <s v=""/>
    <s v=""/>
    <s v=""/>
  </r>
  <r>
    <s v="N526"/>
    <s v="TP346"/>
    <n v="107.71"/>
    <x v="6"/>
    <x v="0"/>
    <s v="4&quot;"/>
    <n v="1"/>
    <s v=""/>
    <s v=""/>
    <s v="1&quot;"/>
    <n v="1"/>
    <s v=""/>
    <s v=""/>
    <s v=""/>
    <s v=""/>
    <s v=""/>
    <s v=""/>
    <s v=""/>
    <s v=""/>
    <s v=""/>
    <s v=""/>
    <s v="1&quot;"/>
    <n v="1"/>
  </r>
  <r>
    <s v="N526"/>
    <s v="TP347"/>
    <n v="14.25"/>
    <x v="8"/>
    <x v="0"/>
    <s v="4&quot;"/>
    <n v="1"/>
    <s v=""/>
    <s v=""/>
    <s v=""/>
    <s v=""/>
    <s v=""/>
    <s v=""/>
    <s v=""/>
    <s v=""/>
    <s v=""/>
    <s v=""/>
    <s v=""/>
    <s v=""/>
    <s v=""/>
    <s v=""/>
    <s v="4&quot;"/>
    <n v="1"/>
  </r>
  <r>
    <s v="N492"/>
    <s v="N527"/>
    <n v="38.15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527"/>
    <s v="N528"/>
    <n v="215.8"/>
    <x v="0"/>
    <x v="2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28"/>
    <s v="N529"/>
    <n v="111.58"/>
    <x v="1"/>
    <x v="0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529"/>
    <s v="TP348"/>
    <n v="68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529"/>
    <s v="N530"/>
    <n v="210.26"/>
    <x v="1"/>
    <x v="0"/>
    <s v="2&quot;"/>
    <n v="1"/>
    <s v="2&quot;"/>
    <n v="1"/>
    <s v=""/>
    <s v=""/>
    <s v=""/>
    <s v=""/>
    <s v=""/>
    <s v=""/>
    <s v=""/>
    <s v=""/>
    <s v=""/>
    <s v=""/>
    <s v=""/>
    <s v=""/>
    <s v=""/>
    <s v=""/>
  </r>
  <r>
    <s v="N530"/>
    <s v="TP349"/>
    <n v="47.22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530"/>
    <s v="N531"/>
    <n v="178.16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531"/>
    <s v="TP350"/>
    <n v="87.03"/>
    <x v="6"/>
    <x v="0"/>
    <s v="2&quot;"/>
    <n v="1"/>
    <s v=""/>
    <s v=""/>
    <s v="1&quot;"/>
    <n v="1"/>
    <s v=""/>
    <s v=""/>
    <s v=""/>
    <s v=""/>
    <s v=""/>
    <s v=""/>
    <s v=""/>
    <s v=""/>
    <s v=""/>
    <s v=""/>
    <s v="1&quot;"/>
    <n v="1"/>
  </r>
  <r>
    <s v="N531"/>
    <s v="N532"/>
    <n v="39.93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532"/>
    <s v="N533"/>
    <n v="56.5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533"/>
    <s v="TP351"/>
    <n v="74.849999999999994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533"/>
    <s v="TP352"/>
    <n v="57.68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532"/>
    <s v="N534"/>
    <n v="9.11"/>
    <x v="12"/>
    <x v="0"/>
    <s v="2&quot;"/>
    <n v="1"/>
    <s v=""/>
    <s v=""/>
    <s v="3/4&quot;"/>
    <n v="2"/>
    <s v=""/>
    <s v=""/>
    <s v=""/>
    <s v=""/>
    <s v=""/>
    <s v=""/>
    <s v=""/>
    <s v=""/>
    <s v=""/>
    <s v=""/>
    <s v=""/>
    <s v=""/>
  </r>
  <r>
    <s v="N534"/>
    <s v="TP353"/>
    <n v="50.51"/>
    <x v="12"/>
    <x v="0"/>
    <s v="2&quot;"/>
    <n v="1"/>
    <s v=""/>
    <s v=""/>
    <s v="3/4&quot;"/>
    <n v="1"/>
    <s v=""/>
    <s v=""/>
    <s v=""/>
    <s v=""/>
    <s v=""/>
    <s v=""/>
    <s v=""/>
    <s v=""/>
    <s v=""/>
    <s v=""/>
    <s v="3/4&quot;"/>
    <n v="1"/>
  </r>
  <r>
    <s v="N534"/>
    <s v="N535"/>
    <n v="62.85"/>
    <x v="1"/>
    <x v="0"/>
    <s v="2&quot;"/>
    <n v="1"/>
    <s v=""/>
    <s v=""/>
    <s v=""/>
    <s v=""/>
    <s v=""/>
    <s v=""/>
    <s v=""/>
    <s v=""/>
    <s v="2&quot;"/>
    <n v="1"/>
    <s v=""/>
    <s v=""/>
    <s v=""/>
    <s v=""/>
    <s v="2&quot;"/>
    <n v="1"/>
  </r>
  <r>
    <s v="N535"/>
    <s v="TP354"/>
    <n v="3.8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535"/>
    <s v="N536"/>
    <n v="31.7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536"/>
    <s v="TP355"/>
    <n v="39.049999999999997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536"/>
    <s v="TP356"/>
    <n v="178.58"/>
    <x v="1"/>
    <x v="0"/>
    <s v="2&quot;"/>
    <n v="1"/>
    <s v="2&quot;"/>
    <n v="1"/>
    <s v=""/>
    <s v=""/>
    <s v=""/>
    <s v=""/>
    <s v=""/>
    <s v=""/>
    <s v=""/>
    <s v=""/>
    <s v=""/>
    <s v=""/>
    <s v=""/>
    <s v=""/>
    <s v="2&quot;"/>
    <n v="1"/>
  </r>
  <r>
    <s v="N505"/>
    <s v="N537"/>
    <n v="16.77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</r>
  <r>
    <s v="N537"/>
    <s v="TP357"/>
    <n v="62.5"/>
    <x v="1"/>
    <x v="0"/>
    <s v="4&quot;"/>
    <n v="1"/>
    <s v=""/>
    <s v=""/>
    <s v="2&quot;"/>
    <n v="1"/>
    <s v=""/>
    <s v=""/>
    <s v=""/>
    <s v=""/>
    <s v="2&quot;"/>
    <n v="1"/>
    <s v=""/>
    <s v=""/>
    <s v=""/>
    <s v=""/>
    <s v="2&quot;"/>
    <n v="1"/>
  </r>
  <r>
    <s v="N537"/>
    <s v="N538"/>
    <n v="45.63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</r>
  <r>
    <s v="N538"/>
    <s v="TP358"/>
    <n v="41.43"/>
    <x v="1"/>
    <x v="0"/>
    <s v="4&quot;"/>
    <n v="1"/>
    <s v=""/>
    <s v=""/>
    <s v="2&quot;"/>
    <n v="1"/>
    <s v=""/>
    <s v=""/>
    <s v=""/>
    <s v=""/>
    <s v="2&quot;"/>
    <n v="1"/>
    <s v=""/>
    <s v=""/>
    <s v=""/>
    <s v=""/>
    <s v="2&quot;"/>
    <n v="1"/>
  </r>
  <r>
    <s v="N538"/>
    <s v="N539"/>
    <n v="39.090000000000003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</r>
  <r>
    <s v="N539"/>
    <s v="TP359"/>
    <n v="27.27"/>
    <x v="1"/>
    <x v="0"/>
    <s v="4&quot;"/>
    <n v="1"/>
    <s v=""/>
    <s v=""/>
    <s v="2&quot;"/>
    <n v="1"/>
    <s v=""/>
    <s v=""/>
    <s v=""/>
    <s v=""/>
    <s v="2&quot;"/>
    <n v="1"/>
    <s v=""/>
    <s v=""/>
    <s v=""/>
    <s v=""/>
    <s v="2&quot;"/>
    <n v="1"/>
  </r>
  <r>
    <s v="N539"/>
    <s v="N540"/>
    <n v="52.56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</r>
  <r>
    <s v="N540"/>
    <s v="N541"/>
    <n v="10.88"/>
    <x v="8"/>
    <x v="1"/>
    <s v="4&quot;"/>
    <n v="1"/>
    <s v=""/>
    <s v=""/>
    <s v=""/>
    <s v=""/>
    <s v=""/>
    <s v=""/>
    <s v=""/>
    <s v=""/>
    <s v="4&quot;"/>
    <n v="1"/>
    <s v=""/>
    <s v=""/>
    <s v=""/>
    <s v=""/>
    <s v=""/>
    <s v=""/>
  </r>
  <r>
    <s v="N541"/>
    <s v="N542"/>
    <n v="27.76"/>
    <x v="8"/>
    <x v="0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42"/>
    <s v="TP360"/>
    <n v="65.819999999999993"/>
    <x v="6"/>
    <x v="0"/>
    <s v="4&quot;"/>
    <n v="1"/>
    <s v=""/>
    <s v=""/>
    <s v="1&quot;"/>
    <n v="1"/>
    <s v=""/>
    <s v=""/>
    <s v=""/>
    <s v=""/>
    <s v=""/>
    <s v=""/>
    <s v=""/>
    <s v=""/>
    <s v=""/>
    <s v=""/>
    <s v="1&quot;"/>
    <n v="1"/>
  </r>
  <r>
    <s v="N542"/>
    <s v="TP361"/>
    <n v="8.34"/>
    <x v="8"/>
    <x v="0"/>
    <s v="4&quot;"/>
    <n v="1"/>
    <s v=""/>
    <s v=""/>
    <s v=""/>
    <s v=""/>
    <s v=""/>
    <s v=""/>
    <s v=""/>
    <s v=""/>
    <s v=""/>
    <s v=""/>
    <s v=""/>
    <s v=""/>
    <s v=""/>
    <s v=""/>
    <s v="4&quot;"/>
    <n v="1"/>
  </r>
  <r>
    <s v="N540"/>
    <s v="N543"/>
    <n v="13.2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</r>
  <r>
    <s v="N543"/>
    <s v="N544"/>
    <n v="67.66"/>
    <x v="0"/>
    <x v="0"/>
    <s v="4&quot;"/>
    <n v="1"/>
    <s v=""/>
    <s v=""/>
    <s v="3&quot;"/>
    <n v="1"/>
    <s v=""/>
    <s v=""/>
    <s v=""/>
    <s v=""/>
    <s v="3&quot;"/>
    <n v="1"/>
    <s v=""/>
    <s v=""/>
    <s v=""/>
    <s v=""/>
    <s v=""/>
    <s v=""/>
  </r>
  <r>
    <s v="N544"/>
    <s v="N545"/>
    <n v="146.61000000000001"/>
    <x v="0"/>
    <x v="0"/>
    <s v="3&quot;"/>
    <n v="1"/>
    <s v="3&quot;"/>
    <n v="1"/>
    <s v=""/>
    <s v=""/>
    <s v=""/>
    <s v=""/>
    <s v=""/>
    <s v=""/>
    <s v=""/>
    <s v=""/>
    <s v=""/>
    <s v=""/>
    <s v=""/>
    <s v=""/>
    <s v=""/>
    <s v=""/>
  </r>
  <r>
    <s v="N544"/>
    <s v="N546"/>
    <n v="78.989999999999995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545"/>
    <s v="N546"/>
    <n v="103.63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546"/>
    <s v="N547"/>
    <n v="7.32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547"/>
    <s v="TP362"/>
    <n v="48.2"/>
    <x v="0"/>
    <x v="0"/>
    <s v="3&quot;"/>
    <n v="1"/>
    <s v=""/>
    <s v=""/>
    <s v=""/>
    <s v=""/>
    <s v=""/>
    <s v=""/>
    <s v=""/>
    <s v=""/>
    <s v=""/>
    <s v=""/>
    <s v=""/>
    <s v=""/>
    <s v=""/>
    <s v=""/>
    <s v="3&quot;"/>
    <n v="1"/>
  </r>
  <r>
    <s v="N547"/>
    <s v="N548"/>
    <n v="63.29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548"/>
    <s v="N549"/>
    <n v="53.85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549"/>
    <s v="TP363"/>
    <n v="46.27"/>
    <x v="0"/>
    <x v="0"/>
    <s v="3&quot;"/>
    <n v="1"/>
    <s v=""/>
    <s v=""/>
    <s v=""/>
    <s v=""/>
    <s v=""/>
    <s v=""/>
    <s v=""/>
    <s v=""/>
    <s v=""/>
    <s v=""/>
    <s v=""/>
    <s v=""/>
    <s v=""/>
    <s v=""/>
    <s v="3&quot;"/>
    <n v="1"/>
  </r>
  <r>
    <s v="N549"/>
    <s v="N550"/>
    <n v="95.93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548"/>
    <s v="N551"/>
    <n v="154.6"/>
    <x v="0"/>
    <x v="0"/>
    <s v="3&quot;"/>
    <n v="1"/>
    <s v="3&quot;"/>
    <n v="1"/>
    <s v=""/>
    <s v=""/>
    <s v=""/>
    <s v=""/>
    <s v=""/>
    <s v=""/>
    <s v=""/>
    <s v=""/>
    <s v=""/>
    <s v=""/>
    <s v=""/>
    <s v=""/>
    <s v=""/>
    <s v=""/>
  </r>
  <r>
    <s v="N551"/>
    <s v="TP364"/>
    <n v="27.73"/>
    <x v="10"/>
    <x v="0"/>
    <s v=""/>
    <s v=""/>
    <s v=""/>
    <s v=""/>
    <s v=""/>
    <s v=""/>
    <s v=""/>
    <s v=""/>
    <s v=""/>
    <s v=""/>
    <s v=""/>
    <s v=""/>
    <s v=""/>
    <s v=""/>
    <s v=""/>
    <s v=""/>
    <s v="1/2&quot;"/>
    <n v="1"/>
  </r>
  <r>
    <s v="N550"/>
    <s v="N551"/>
    <n v="114.09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545"/>
    <s v="N552"/>
    <n v="86.29"/>
    <x v="0"/>
    <x v="0"/>
    <s v="3&quot;"/>
    <n v="1"/>
    <s v="3&quot;"/>
    <n v="1"/>
    <s v=""/>
    <s v=""/>
    <s v=""/>
    <s v=""/>
    <s v=""/>
    <s v=""/>
    <s v=""/>
    <s v=""/>
    <s v=""/>
    <s v=""/>
    <s v=""/>
    <s v=""/>
    <s v=""/>
    <s v=""/>
  </r>
  <r>
    <s v="N552"/>
    <s v="N553"/>
    <n v="127.58"/>
    <x v="1"/>
    <x v="0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553"/>
    <s v="TP365"/>
    <n v="55"/>
    <x v="6"/>
    <x v="0"/>
    <s v="2&quot;"/>
    <n v="1"/>
    <s v=""/>
    <s v=""/>
    <s v="1&quot;"/>
    <n v="1"/>
    <s v=""/>
    <s v=""/>
    <s v=""/>
    <s v=""/>
    <s v=""/>
    <s v=""/>
    <s v=""/>
    <s v=""/>
    <s v=""/>
    <s v=""/>
    <s v="1&quot;"/>
    <n v="1"/>
  </r>
  <r>
    <s v="N553"/>
    <s v="N554"/>
    <n v="9"/>
    <x v="1"/>
    <x v="0"/>
    <s v="2&quot;"/>
    <n v="1"/>
    <s v="2&quot;"/>
    <n v="1"/>
    <s v=""/>
    <s v=""/>
    <s v=""/>
    <s v=""/>
    <s v=""/>
    <s v=""/>
    <s v=""/>
    <s v=""/>
    <s v=""/>
    <s v=""/>
    <s v=""/>
    <s v=""/>
    <s v=""/>
    <s v=""/>
  </r>
  <r>
    <s v="N554"/>
    <s v="N550"/>
    <n v="29.78"/>
    <x v="1"/>
    <x v="0"/>
    <s v="2&quot;"/>
    <n v="1"/>
    <s v=""/>
    <s v=""/>
    <s v="2&quot;"/>
    <n v="1"/>
    <s v=""/>
    <s v=""/>
    <s v=""/>
    <s v=""/>
    <s v=""/>
    <s v=""/>
    <s v=""/>
    <s v=""/>
    <s v=""/>
    <s v=""/>
    <s v=""/>
    <s v=""/>
  </r>
  <r>
    <s v="N554"/>
    <s v="N555"/>
    <n v="117.41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555"/>
    <s v="TP366"/>
    <n v="24.22"/>
    <x v="1"/>
    <x v="0"/>
    <s v="2&quot;"/>
    <n v="1"/>
    <s v="2&quot;"/>
    <n v="1"/>
    <s v=""/>
    <s v=""/>
    <s v=""/>
    <s v=""/>
    <s v=""/>
    <s v=""/>
    <s v=""/>
    <s v=""/>
    <s v=""/>
    <s v=""/>
    <s v=""/>
    <s v=""/>
    <s v="2&quot;"/>
    <n v="1"/>
  </r>
  <r>
    <s v="N555"/>
    <s v="TP367"/>
    <n v="65.099999999999994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543"/>
    <s v="N556"/>
    <n v="230.69"/>
    <x v="8"/>
    <x v="0"/>
    <s v="4&quot;"/>
    <n v="1"/>
    <s v=""/>
    <s v=""/>
    <s v=""/>
    <s v=""/>
    <s v=""/>
    <s v=""/>
    <s v=""/>
    <s v=""/>
    <s v="4&quot;"/>
    <n v="1"/>
    <s v=""/>
    <s v=""/>
    <s v=""/>
    <s v=""/>
    <s v=""/>
    <s v=""/>
  </r>
  <r>
    <s v="N556"/>
    <s v="TP368"/>
    <n v="21.3"/>
    <x v="6"/>
    <x v="0"/>
    <s v="4&quot;"/>
    <n v="1"/>
    <s v=""/>
    <s v=""/>
    <s v="1&quot;"/>
    <n v="1"/>
    <s v=""/>
    <s v=""/>
    <s v=""/>
    <s v=""/>
    <s v=""/>
    <s v=""/>
    <s v=""/>
    <s v=""/>
    <s v=""/>
    <s v=""/>
    <s v="1&quot;"/>
    <n v="1"/>
  </r>
  <r>
    <s v="N556"/>
    <s v="N557"/>
    <n v="70.41"/>
    <x v="8"/>
    <x v="0"/>
    <s v="4&quot;"/>
    <n v="1"/>
    <s v="4&quot;"/>
    <n v="1"/>
    <s v=""/>
    <s v=""/>
    <s v=""/>
    <s v=""/>
    <s v=""/>
    <s v=""/>
    <s v=""/>
    <s v=""/>
    <s v=""/>
    <s v=""/>
    <s v=""/>
    <s v=""/>
    <s v=""/>
    <s v=""/>
  </r>
  <r>
    <s v="N557"/>
    <s v="N558"/>
    <n v="9.9"/>
    <x v="0"/>
    <x v="1"/>
    <s v="4&quot;"/>
    <n v="1"/>
    <s v=""/>
    <s v=""/>
    <s v="3&quot;"/>
    <n v="1"/>
    <s v=""/>
    <s v=""/>
    <s v=""/>
    <s v=""/>
    <s v="3&quot;"/>
    <n v="1"/>
    <s v=""/>
    <s v=""/>
    <s v=""/>
    <s v=""/>
    <s v=""/>
    <s v=""/>
  </r>
  <r>
    <s v="N558"/>
    <s v="N559"/>
    <n v="133.34"/>
    <x v="0"/>
    <x v="1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558"/>
    <s v="N560"/>
    <n v="51.11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560"/>
    <s v="N561"/>
    <n v="21.64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"/>
    <s v=""/>
  </r>
  <r>
    <s v="N561"/>
    <s v="TP369"/>
    <n v="21.51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561"/>
    <s v="N562"/>
    <n v="6.58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562"/>
    <s v="TP370"/>
    <n v="41.36"/>
    <x v="6"/>
    <x v="0"/>
    <s v="2&quot;"/>
    <n v="1"/>
    <s v=""/>
    <s v=""/>
    <s v="1&quot;"/>
    <n v="1"/>
    <s v=""/>
    <s v=""/>
    <s v=""/>
    <s v=""/>
    <s v=""/>
    <s v=""/>
    <s v=""/>
    <s v=""/>
    <s v=""/>
    <s v=""/>
    <s v="1&quot;"/>
    <n v="1"/>
  </r>
  <r>
    <s v="N562"/>
    <s v="N563"/>
    <n v="15.9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563"/>
    <s v="TP371"/>
    <n v="20.440000000000001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563"/>
    <s v="TP372"/>
    <n v="30"/>
    <x v="1"/>
    <x v="0"/>
    <s v="2&quot;"/>
    <n v="1"/>
    <s v="2&quot;"/>
    <n v="1"/>
    <s v=""/>
    <s v=""/>
    <s v=""/>
    <s v=""/>
    <s v=""/>
    <s v=""/>
    <s v=""/>
    <s v=""/>
    <s v=""/>
    <s v=""/>
    <s v=""/>
    <s v=""/>
    <s v="2&quot;"/>
    <n v="1"/>
  </r>
  <r>
    <s v="N560"/>
    <s v="N564"/>
    <n v="24.94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524"/>
    <s v="N559"/>
    <n v="42.93"/>
    <x v="0"/>
    <x v="0"/>
    <s v="3&quot;"/>
    <n v="1"/>
    <s v=""/>
    <s v=""/>
    <s v=""/>
    <s v=""/>
    <s v=""/>
    <s v=""/>
    <s v=""/>
    <s v=""/>
    <s v="3&quot;"/>
    <n v="1"/>
    <s v=""/>
    <s v=""/>
    <n v="0"/>
    <n v="1"/>
    <s v=""/>
    <s v=""/>
  </r>
  <r>
    <s v="N559"/>
    <s v="N564"/>
    <n v="112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564"/>
    <s v="N381"/>
    <n v="52.39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557"/>
    <s v="N565"/>
    <n v="104.3"/>
    <x v="0"/>
    <x v="0"/>
    <s v="4&quot;"/>
    <n v="1"/>
    <s v="3&quot;"/>
    <n v="1"/>
    <s v="3&quot;"/>
    <n v="1"/>
    <s v=""/>
    <s v=""/>
    <s v=""/>
    <s v=""/>
    <s v="3&quot;"/>
    <n v="1"/>
    <s v=""/>
    <s v=""/>
    <s v=""/>
    <s v=""/>
    <s v=""/>
    <s v=""/>
  </r>
  <r>
    <s v="N565"/>
    <s v="N566"/>
    <n v="35.07"/>
    <x v="0"/>
    <x v="0"/>
    <s v="3&quot;"/>
    <n v="1"/>
    <s v=""/>
    <s v=""/>
    <s v=""/>
    <s v=""/>
    <s v=""/>
    <s v=""/>
    <s v=""/>
    <s v=""/>
    <s v=""/>
    <s v=""/>
    <s v=""/>
    <s v=""/>
    <n v="0"/>
    <n v="1"/>
    <s v=""/>
    <s v=""/>
  </r>
  <r>
    <s v="N565"/>
    <s v="TP438"/>
    <n v="153"/>
    <x v="1"/>
    <x v="0"/>
    <s v="3&quot;"/>
    <n v="1"/>
    <s v=""/>
    <s v=""/>
    <s v="2&quot;"/>
    <n v="1"/>
    <s v=""/>
    <s v=""/>
    <s v=""/>
    <s v=""/>
    <s v="2&quot;"/>
    <n v="1"/>
    <s v=""/>
    <s v=""/>
    <s v=""/>
    <s v=""/>
    <s v="2&quot;"/>
    <n v="1"/>
  </r>
  <r>
    <s v="N566"/>
    <s v="TP373"/>
    <n v="74.73"/>
    <x v="0"/>
    <x v="0"/>
    <s v="3&quot;"/>
    <n v="1"/>
    <s v=""/>
    <s v=""/>
    <s v=""/>
    <s v=""/>
    <s v=""/>
    <s v=""/>
    <s v=""/>
    <s v=""/>
    <s v=""/>
    <s v=""/>
    <s v=""/>
    <s v=""/>
    <s v=""/>
    <s v=""/>
    <s v="3&quot;"/>
    <n v="1"/>
  </r>
  <r>
    <s v="N566"/>
    <s v="N567"/>
    <n v="131.99"/>
    <x v="0"/>
    <x v="0"/>
    <s v="3&quot;"/>
    <n v="1"/>
    <s v="3&quot;"/>
    <n v="1"/>
    <s v=""/>
    <s v=""/>
    <s v=""/>
    <s v=""/>
    <s v=""/>
    <s v=""/>
    <s v="3&quot;"/>
    <n v="1"/>
    <s v=""/>
    <s v=""/>
    <n v="0"/>
    <n v="1"/>
    <s v=""/>
    <s v=""/>
  </r>
  <r>
    <s v="N567"/>
    <s v="TP374"/>
    <n v="19.2"/>
    <x v="0"/>
    <x v="0"/>
    <s v="3&quot;"/>
    <n v="1"/>
    <s v=""/>
    <s v=""/>
    <s v=""/>
    <s v=""/>
    <s v=""/>
    <s v=""/>
    <s v=""/>
    <s v=""/>
    <s v=""/>
    <s v=""/>
    <s v=""/>
    <s v=""/>
    <s v=""/>
    <s v=""/>
    <s v="3&quot;"/>
    <n v="1"/>
  </r>
  <r>
    <s v="N567"/>
    <s v="N568"/>
    <n v="19.41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568"/>
    <s v="N569"/>
    <n v="103.45"/>
    <x v="1"/>
    <x v="0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569"/>
    <s v="TP375"/>
    <n v="14.47"/>
    <x v="10"/>
    <x v="0"/>
    <s v="2&quot;"/>
    <n v="1"/>
    <s v=""/>
    <s v=""/>
    <s v="1/2&quot;"/>
    <n v="1"/>
    <s v=""/>
    <s v=""/>
    <s v=""/>
    <s v=""/>
    <s v=""/>
    <s v=""/>
    <s v=""/>
    <s v=""/>
    <s v=""/>
    <s v=""/>
    <s v="1/2&quot;"/>
    <n v="1"/>
  </r>
  <r>
    <s v="N569"/>
    <s v="N570"/>
    <n v="91.4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367"/>
    <s v="N570"/>
    <n v="56.68"/>
    <x v="1"/>
    <x v="0"/>
    <s v="2&quot;"/>
    <n v="1"/>
    <s v=""/>
    <s v=""/>
    <s v=""/>
    <s v=""/>
    <s v=""/>
    <s v=""/>
    <s v=""/>
    <s v=""/>
    <s v="2&quot;"/>
    <n v="1"/>
    <s v=""/>
    <s v=""/>
    <s v=""/>
    <s v=""/>
    <s v=""/>
    <s v=""/>
  </r>
  <r>
    <s v="N570"/>
    <s v="TP376"/>
    <n v="299.68"/>
    <x v="1"/>
    <x v="0"/>
    <s v="2&quot;"/>
    <n v="1"/>
    <s v="2&quot;"/>
    <n v="1"/>
    <s v=""/>
    <s v=""/>
    <s v=""/>
    <s v=""/>
    <s v=""/>
    <s v=""/>
    <s v=""/>
    <s v=""/>
    <s v=""/>
    <s v=""/>
    <s v=""/>
    <s v=""/>
    <s v="2&quot;"/>
    <n v="1"/>
  </r>
  <r>
    <s v="N459"/>
    <s v="N571"/>
    <n v="99.48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</r>
  <r>
    <s v="N571"/>
    <s v="N572"/>
    <n v="347.76"/>
    <x v="2"/>
    <x v="0"/>
    <s v=""/>
    <s v=""/>
    <s v=""/>
    <s v=""/>
    <s v=""/>
    <s v=""/>
    <s v="8&quot;"/>
    <n v="1"/>
    <s v=""/>
    <s v=""/>
    <s v=""/>
    <s v=""/>
    <s v=""/>
    <s v=""/>
    <s v=""/>
    <s v=""/>
    <s v=""/>
    <s v=""/>
  </r>
  <r>
    <s v="N572"/>
    <s v="CQ7"/>
    <n v="13.75"/>
    <x v="2"/>
    <x v="0"/>
    <s v="8&quot;"/>
    <n v="1"/>
    <s v=""/>
    <s v=""/>
    <s v=""/>
    <s v=""/>
    <s v=""/>
    <s v=""/>
    <s v=""/>
    <s v=""/>
    <s v=""/>
    <s v=""/>
    <s v=""/>
    <s v=""/>
    <s v=""/>
    <s v=""/>
    <s v=""/>
    <s v=""/>
  </r>
  <r>
    <s v="CQ7"/>
    <s v="N573"/>
    <n v="57.78"/>
    <x v="0"/>
    <x v="0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73"/>
    <s v="N574"/>
    <n v="89.53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"/>
    <s v=""/>
  </r>
  <r>
    <s v="N574"/>
    <s v="N575"/>
    <n v="275.89"/>
    <x v="0"/>
    <x v="0"/>
    <s v=""/>
    <s v=""/>
    <s v=""/>
    <s v=""/>
    <s v=""/>
    <s v=""/>
    <s v="3&quot;"/>
    <n v="1"/>
    <s v=""/>
    <s v=""/>
    <s v=""/>
    <s v=""/>
    <s v=""/>
    <s v=""/>
    <s v=""/>
    <s v=""/>
    <s v=""/>
    <s v=""/>
  </r>
  <r>
    <s v="N575"/>
    <s v="TP377"/>
    <n v="120.42"/>
    <x v="1"/>
    <x v="0"/>
    <s v=""/>
    <s v=""/>
    <s v="2&quot;"/>
    <n v="1"/>
    <s v="2&quot;"/>
    <n v="1"/>
    <s v=""/>
    <s v=""/>
    <s v=""/>
    <s v=""/>
    <s v=""/>
    <s v=""/>
    <s v=""/>
    <s v=""/>
    <s v=""/>
    <s v=""/>
    <s v="2&quot;"/>
    <n v="1"/>
  </r>
  <r>
    <s v="N573"/>
    <s v="N576"/>
    <n v="319.64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576"/>
    <s v="TP378"/>
    <n v="128.91999999999999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576"/>
    <s v="TP379"/>
    <n v="123.79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572"/>
    <s v="N577"/>
    <n v="141.53"/>
    <x v="2"/>
    <x v="0"/>
    <s v="8&quot;"/>
    <n v="1"/>
    <s v=""/>
    <s v=""/>
    <s v=""/>
    <s v=""/>
    <s v=""/>
    <s v=""/>
    <s v=""/>
    <s v=""/>
    <s v=""/>
    <s v=""/>
    <s v=""/>
    <s v=""/>
    <s v=""/>
    <s v=""/>
    <s v=""/>
    <s v=""/>
  </r>
  <r>
    <s v="N577"/>
    <s v="N578"/>
    <n v="19.21"/>
    <x v="2"/>
    <x v="0"/>
    <s v="8&quot;"/>
    <n v="1"/>
    <s v=""/>
    <s v=""/>
    <s v=""/>
    <s v=""/>
    <s v=""/>
    <s v=""/>
    <s v=""/>
    <s v=""/>
    <s v="8&quot;"/>
    <n v="1"/>
    <s v=""/>
    <s v=""/>
    <s v=""/>
    <s v=""/>
    <s v=""/>
    <s v=""/>
  </r>
  <r>
    <s v="N578"/>
    <s v="N579"/>
    <n v="60.73"/>
    <x v="0"/>
    <x v="0"/>
    <s v=""/>
    <s v=""/>
    <s v=""/>
    <s v=""/>
    <s v="3&quot;"/>
    <n v="1"/>
    <s v=""/>
    <s v=""/>
    <s v=""/>
    <s v=""/>
    <s v=""/>
    <s v=""/>
    <s v=""/>
    <s v=""/>
    <n v="0"/>
    <n v="1"/>
    <s v=""/>
    <s v=""/>
  </r>
  <r>
    <s v="N579"/>
    <s v="N580"/>
    <n v="46.55"/>
    <x v="1"/>
    <x v="0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580"/>
    <s v="TP380"/>
    <n v="76.180000000000007"/>
    <x v="1"/>
    <x v="0"/>
    <s v="2&quot;"/>
    <n v="1"/>
    <s v="2&quot;"/>
    <n v="1"/>
    <s v=""/>
    <s v=""/>
    <s v=""/>
    <s v=""/>
    <s v=""/>
    <s v=""/>
    <s v=""/>
    <s v=""/>
    <s v=""/>
    <s v=""/>
    <s v=""/>
    <s v=""/>
    <s v="2&quot;"/>
    <n v="1"/>
  </r>
  <r>
    <s v="N580"/>
    <s v="TP381"/>
    <n v="126.55"/>
    <x v="1"/>
    <x v="0"/>
    <s v="2&quot;"/>
    <n v="1"/>
    <s v="2&quot;"/>
    <n v="2"/>
    <s v=""/>
    <s v=""/>
    <s v=""/>
    <s v=""/>
    <s v=""/>
    <s v=""/>
    <s v=""/>
    <s v=""/>
    <s v=""/>
    <s v=""/>
    <s v=""/>
    <s v=""/>
    <s v="2&quot;"/>
    <n v="1"/>
  </r>
  <r>
    <s v="N577"/>
    <s v="N581"/>
    <n v="142.82"/>
    <x v="2"/>
    <x v="0"/>
    <s v="8&quot;"/>
    <n v="1"/>
    <s v=""/>
    <s v=""/>
    <s v=""/>
    <s v=""/>
    <s v=""/>
    <s v=""/>
    <s v=""/>
    <s v=""/>
    <s v=""/>
    <s v=""/>
    <s v=""/>
    <s v=""/>
    <s v=""/>
    <s v=""/>
    <s v=""/>
    <s v=""/>
  </r>
  <r>
    <s v="N581"/>
    <s v="N582"/>
    <n v="100.23"/>
    <x v="7"/>
    <x v="0"/>
    <s v=""/>
    <s v=""/>
    <s v=""/>
    <s v=""/>
    <s v="6&quot;"/>
    <n v="1"/>
    <s v=""/>
    <s v=""/>
    <s v=""/>
    <s v=""/>
    <s v=""/>
    <s v=""/>
    <s v=""/>
    <s v=""/>
    <s v=""/>
    <s v=""/>
    <s v=""/>
    <s v=""/>
  </r>
  <r>
    <s v="N582"/>
    <s v="N583"/>
    <n v="21.28"/>
    <x v="7"/>
    <x v="0"/>
    <s v="6&quot;"/>
    <n v="1"/>
    <s v=""/>
    <s v=""/>
    <s v=""/>
    <s v=""/>
    <s v=""/>
    <s v=""/>
    <s v=""/>
    <s v=""/>
    <s v="6&quot;"/>
    <n v="1"/>
    <s v=""/>
    <s v=""/>
    <s v=""/>
    <s v=""/>
    <s v=""/>
    <s v=""/>
  </r>
  <r>
    <s v="N583"/>
    <s v="N584"/>
    <n v="40.6"/>
    <x v="8"/>
    <x v="0"/>
    <s v=""/>
    <s v=""/>
    <s v=""/>
    <s v=""/>
    <s v="4&quot;"/>
    <n v="1"/>
    <s v=""/>
    <s v=""/>
    <s v=""/>
    <s v=""/>
    <s v=""/>
    <s v=""/>
    <s v=""/>
    <s v=""/>
    <s v=""/>
    <s v=""/>
    <s v=""/>
    <s v=""/>
  </r>
  <r>
    <s v="N584"/>
    <s v="TP382"/>
    <n v="128.65"/>
    <x v="1"/>
    <x v="0"/>
    <s v="4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584"/>
    <s v="N585"/>
    <n v="163.07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</r>
  <r>
    <s v="N585"/>
    <s v="CQ8"/>
    <n v="54.39"/>
    <x v="8"/>
    <x v="0"/>
    <s v="4&quot;"/>
    <n v="1"/>
    <s v="4&quot;"/>
    <n v="1"/>
    <s v=""/>
    <s v=""/>
    <s v=""/>
    <s v=""/>
    <s v=""/>
    <s v=""/>
    <s v=""/>
    <s v=""/>
    <s v=""/>
    <s v=""/>
    <s v=""/>
    <s v=""/>
    <s v=""/>
    <s v=""/>
  </r>
  <r>
    <s v="CQ8"/>
    <s v="N586"/>
    <n v="66.83"/>
    <x v="0"/>
    <x v="0"/>
    <s v=""/>
    <s v=""/>
    <s v="3&quot;"/>
    <n v="1"/>
    <s v=""/>
    <s v=""/>
    <s v=""/>
    <s v=""/>
    <s v=""/>
    <s v=""/>
    <s v=""/>
    <s v=""/>
    <s v=""/>
    <s v=""/>
    <s v=""/>
    <s v=""/>
    <s v=""/>
    <s v=""/>
  </r>
  <r>
    <s v="N586"/>
    <s v="N587"/>
    <n v="128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587"/>
    <s v="TP383"/>
    <n v="139.08000000000001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587"/>
    <s v="N588"/>
    <n v="98.28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588"/>
    <s v="TP384"/>
    <n v="56.54"/>
    <x v="0"/>
    <x v="0"/>
    <s v="3&quot;"/>
    <n v="1"/>
    <s v=""/>
    <s v=""/>
    <s v=""/>
    <s v=""/>
    <s v=""/>
    <s v=""/>
    <s v=""/>
    <s v=""/>
    <s v=""/>
    <s v=""/>
    <s v=""/>
    <s v=""/>
    <s v=""/>
    <s v=""/>
    <s v="3&quot;"/>
    <n v="1"/>
  </r>
  <r>
    <s v="N588"/>
    <s v="TP385"/>
    <n v="241.72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586"/>
    <s v="N589"/>
    <n v="22.75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589"/>
    <s v="TP386"/>
    <n v="260.94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589"/>
    <s v="N590"/>
    <n v="126.82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"/>
    <s v=""/>
  </r>
  <r>
    <s v="N590"/>
    <s v="TP387"/>
    <n v="145.91999999999999"/>
    <x v="1"/>
    <x v="0"/>
    <s v="2&quot;"/>
    <n v="1"/>
    <s v="2&quot;"/>
    <n v="1"/>
    <s v=""/>
    <s v=""/>
    <s v=""/>
    <s v=""/>
    <s v=""/>
    <s v=""/>
    <s v=""/>
    <s v=""/>
    <s v=""/>
    <s v=""/>
    <s v=""/>
    <s v=""/>
    <s v="2&quot;"/>
    <n v="1"/>
  </r>
  <r>
    <s v="N590"/>
    <s v="TP388"/>
    <n v="19.57"/>
    <x v="1"/>
    <x v="0"/>
    <s v="2&quot;"/>
    <n v="1"/>
    <s v="2&quot;"/>
    <n v="1"/>
    <s v=""/>
    <s v=""/>
    <s v=""/>
    <s v=""/>
    <s v=""/>
    <s v=""/>
    <s v=""/>
    <s v=""/>
    <s v=""/>
    <s v=""/>
    <s v=""/>
    <s v=""/>
    <s v="2&quot;"/>
    <n v="1"/>
  </r>
  <r>
    <s v="N585"/>
    <s v="N591"/>
    <n v="10.38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</r>
  <r>
    <s v="N591"/>
    <s v="N592"/>
    <n v="290.02"/>
    <x v="0"/>
    <x v="0"/>
    <s v=""/>
    <s v=""/>
    <s v=""/>
    <s v=""/>
    <s v="3&quot;"/>
    <n v="1"/>
    <s v=""/>
    <s v=""/>
    <s v=""/>
    <s v=""/>
    <s v=""/>
    <s v=""/>
    <s v=""/>
    <s v=""/>
    <s v=""/>
    <s v=""/>
    <s v=""/>
    <s v=""/>
  </r>
  <r>
    <s v="N592"/>
    <s v="TP389"/>
    <n v="56.36"/>
    <x v="0"/>
    <x v="0"/>
    <s v="3&quot;"/>
    <n v="1"/>
    <s v=""/>
    <s v=""/>
    <s v=""/>
    <s v=""/>
    <s v=""/>
    <s v=""/>
    <s v=""/>
    <s v=""/>
    <s v=""/>
    <s v=""/>
    <s v=""/>
    <s v=""/>
    <s v=""/>
    <s v=""/>
    <s v="3&quot;"/>
    <n v="1"/>
  </r>
  <r>
    <s v="N592"/>
    <s v="N593"/>
    <n v="64.19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"/>
    <s v=""/>
  </r>
  <r>
    <s v="N593"/>
    <s v="TP390"/>
    <n v="117"/>
    <x v="1"/>
    <x v="0"/>
    <s v="2&quot;"/>
    <n v="1"/>
    <s v="2&quot;"/>
    <n v="1"/>
    <s v=""/>
    <s v=""/>
    <s v=""/>
    <s v=""/>
    <s v=""/>
    <s v=""/>
    <s v=""/>
    <s v=""/>
    <s v=""/>
    <s v=""/>
    <s v=""/>
    <s v=""/>
    <s v="2&quot;"/>
    <n v="1"/>
  </r>
  <r>
    <s v="N593"/>
    <s v="N594"/>
    <n v="120.65"/>
    <x v="1"/>
    <x v="0"/>
    <s v="2&quot;"/>
    <n v="1"/>
    <s v="2&quot;"/>
    <n v="1"/>
    <s v=""/>
    <s v=""/>
    <s v=""/>
    <s v=""/>
    <s v=""/>
    <s v=""/>
    <s v="2&quot;"/>
    <n v="1"/>
    <s v=""/>
    <s v=""/>
    <s v=""/>
    <s v=""/>
    <s v=""/>
    <s v=""/>
  </r>
  <r>
    <s v="N594"/>
    <s v="TP391"/>
    <n v="190.13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594"/>
    <s v="TP392"/>
    <n v="204.72"/>
    <x v="1"/>
    <x v="0"/>
    <s v="2&quot;"/>
    <n v="1"/>
    <s v="2&quot;"/>
    <n v="1"/>
    <s v=""/>
    <s v=""/>
    <s v=""/>
    <s v=""/>
    <s v=""/>
    <s v=""/>
    <s v=""/>
    <s v=""/>
    <s v=""/>
    <s v=""/>
    <s v=""/>
    <s v=""/>
    <s v="2&quot;"/>
    <n v="1"/>
  </r>
  <r>
    <s v="N582"/>
    <s v="N595"/>
    <n v="11.48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</r>
  <r>
    <s v="N595"/>
    <s v="N596"/>
    <n v="27"/>
    <x v="8"/>
    <x v="0"/>
    <s v=""/>
    <s v=""/>
    <s v=""/>
    <s v=""/>
    <s v="4&quot;"/>
    <n v="1"/>
    <s v=""/>
    <s v=""/>
    <s v=""/>
    <s v=""/>
    <s v="4&quot;"/>
    <n v="1"/>
    <s v=""/>
    <s v=""/>
    <s v=""/>
    <s v=""/>
    <s v=""/>
    <s v=""/>
  </r>
  <r>
    <s v="N596"/>
    <s v="TP393"/>
    <n v="59.4"/>
    <x v="6"/>
    <x v="0"/>
    <s v="4&quot;"/>
    <n v="1"/>
    <s v=""/>
    <s v=""/>
    <s v="1&quot;"/>
    <n v="1"/>
    <s v=""/>
    <s v=""/>
    <s v=""/>
    <s v=""/>
    <s v=""/>
    <s v=""/>
    <s v=""/>
    <s v=""/>
    <s v=""/>
    <s v=""/>
    <s v="1&quot;"/>
    <n v="1"/>
  </r>
  <r>
    <s v="N596"/>
    <s v="N597"/>
    <n v="168.76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</r>
  <r>
    <s v="N597"/>
    <s v="TP394"/>
    <n v="46.93"/>
    <x v="0"/>
    <x v="0"/>
    <s v="4&quot;"/>
    <n v="1"/>
    <s v=""/>
    <s v=""/>
    <s v="3&quot;"/>
    <n v="1"/>
    <s v=""/>
    <s v=""/>
    <s v=""/>
    <s v=""/>
    <s v=""/>
    <s v=""/>
    <s v=""/>
    <s v=""/>
    <s v=""/>
    <s v=""/>
    <s v="3&quot;"/>
    <n v="1"/>
  </r>
  <r>
    <s v="N597"/>
    <s v="N598"/>
    <n v="7.12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</r>
  <r>
    <s v="N598"/>
    <s v="N599"/>
    <n v="123.04"/>
    <x v="0"/>
    <x v="0"/>
    <s v="4&quot;"/>
    <n v="1"/>
    <s v=""/>
    <s v=""/>
    <s v="3&quot;"/>
    <n v="1"/>
    <s v=""/>
    <s v=""/>
    <s v=""/>
    <s v=""/>
    <s v=""/>
    <s v=""/>
    <s v=""/>
    <s v=""/>
    <s v=""/>
    <s v=""/>
    <s v=""/>
    <s v=""/>
  </r>
  <r>
    <s v="N599"/>
    <s v="TP395"/>
    <n v="84.67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599"/>
    <s v="N600"/>
    <n v="55.4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600"/>
    <s v="TP396"/>
    <n v="41.5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600"/>
    <s v="N601"/>
    <n v="8.7200000000000006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601"/>
    <s v="TP397"/>
    <n v="156.65"/>
    <x v="1"/>
    <x v="0"/>
    <s v="2&quot;"/>
    <n v="1"/>
    <s v="2&quot;"/>
    <n v="1"/>
    <s v=""/>
    <s v=""/>
    <s v=""/>
    <s v=""/>
    <s v=""/>
    <s v=""/>
    <s v=""/>
    <s v=""/>
    <s v=""/>
    <s v=""/>
    <s v=""/>
    <s v=""/>
    <s v="2&quot;"/>
    <n v="1"/>
  </r>
  <r>
    <s v="N601"/>
    <s v="N602"/>
    <n v="37.130000000000003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602"/>
    <s v="TP398"/>
    <n v="52.37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602"/>
    <s v="TP399"/>
    <n v="30.94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598"/>
    <s v="N603"/>
    <n v="96.08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</r>
  <r>
    <s v="N603"/>
    <s v="N604"/>
    <n v="10.19"/>
    <x v="1"/>
    <x v="0"/>
    <s v="4&quot;"/>
    <n v="1"/>
    <s v=""/>
    <s v=""/>
    <s v="2&quot;"/>
    <n v="1"/>
    <s v=""/>
    <s v=""/>
    <s v=""/>
    <s v=""/>
    <s v=""/>
    <s v=""/>
    <s v=""/>
    <s v=""/>
    <s v=""/>
    <s v=""/>
    <s v=""/>
    <s v=""/>
  </r>
  <r>
    <s v="N604"/>
    <s v="TP400"/>
    <n v="70.53"/>
    <x v="6"/>
    <x v="0"/>
    <s v="2&quot;"/>
    <n v="1"/>
    <s v="1&quot;"/>
    <n v="1"/>
    <s v="1&quot;"/>
    <n v="1"/>
    <s v=""/>
    <s v=""/>
    <s v=""/>
    <s v=""/>
    <s v=""/>
    <s v=""/>
    <s v=""/>
    <s v=""/>
    <s v=""/>
    <s v=""/>
    <s v="1&quot;"/>
    <n v="1"/>
  </r>
  <r>
    <s v="N604"/>
    <s v="N605"/>
    <n v="135.18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605"/>
    <s v="TP401"/>
    <n v="54.63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605"/>
    <s v="TP402"/>
    <n v="64.66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603"/>
    <s v="N606"/>
    <n v="51.32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</r>
  <r>
    <s v="N606"/>
    <s v="N607"/>
    <n v="92.03"/>
    <x v="1"/>
    <x v="0"/>
    <s v="4&quot;"/>
    <n v="1"/>
    <s v=""/>
    <s v=""/>
    <s v="2&quot;"/>
    <n v="1"/>
    <s v=""/>
    <s v=""/>
    <s v=""/>
    <s v=""/>
    <s v="2&quot;"/>
    <n v="1"/>
    <s v=""/>
    <s v=""/>
    <s v=""/>
    <s v=""/>
    <s v=""/>
    <s v=""/>
  </r>
  <r>
    <s v="N607"/>
    <s v="N608"/>
    <n v="68.72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608"/>
    <s v="N609"/>
    <n v="58.24"/>
    <x v="1"/>
    <x v="0"/>
    <s v="2&quot;"/>
    <n v="1"/>
    <s v="2&quot;"/>
    <n v="1"/>
    <s v=""/>
    <s v=""/>
    <s v=""/>
    <s v=""/>
    <s v=""/>
    <s v=""/>
    <s v="2&quot;"/>
    <n v="1"/>
    <s v=""/>
    <s v=""/>
    <s v=""/>
    <s v=""/>
    <s v=""/>
    <s v=""/>
  </r>
  <r>
    <s v="N609"/>
    <s v="TP403"/>
    <n v="24.9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609"/>
    <s v="TP404"/>
    <n v="49.48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608"/>
    <s v="N610"/>
    <n v="41.21"/>
    <x v="1"/>
    <x v="0"/>
    <s v="2&quot;"/>
    <n v="1"/>
    <s v="2&quot;"/>
    <n v="3"/>
    <s v=""/>
    <s v=""/>
    <s v=""/>
    <s v=""/>
    <s v=""/>
    <s v=""/>
    <s v=""/>
    <s v=""/>
    <s v=""/>
    <s v=""/>
    <s v=""/>
    <s v=""/>
    <s v=""/>
    <s v=""/>
  </r>
  <r>
    <s v="N610"/>
    <s v="N611"/>
    <n v="25.67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611"/>
    <s v="TP405"/>
    <n v="26.1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611"/>
    <s v="N612"/>
    <n v="29.11"/>
    <x v="1"/>
    <x v="0"/>
    <s v="2&quot;"/>
    <n v="1"/>
    <s v="2&quot;"/>
    <n v="1"/>
    <s v=""/>
    <s v=""/>
    <s v=""/>
    <s v=""/>
    <s v=""/>
    <s v=""/>
    <s v=""/>
    <s v=""/>
    <s v=""/>
    <s v=""/>
    <s v=""/>
    <s v=""/>
    <s v=""/>
    <s v=""/>
  </r>
  <r>
    <s v="N607"/>
    <s v="N613"/>
    <n v="30.03"/>
    <x v="1"/>
    <x v="0"/>
    <s v="2&quot;"/>
    <n v="1"/>
    <s v="2&quot;"/>
    <n v="1"/>
    <s v=""/>
    <s v=""/>
    <s v=""/>
    <s v=""/>
    <s v=""/>
    <s v=""/>
    <s v=""/>
    <s v=""/>
    <s v=""/>
    <s v=""/>
    <s v=""/>
    <s v=""/>
    <s v=""/>
    <s v=""/>
  </r>
  <r>
    <s v="N613"/>
    <s v="N610"/>
    <n v="52.51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613"/>
    <s v="N612"/>
    <n v="123.9"/>
    <x v="1"/>
    <x v="0"/>
    <s v="2&quot;"/>
    <n v="1"/>
    <s v="2&quot;"/>
    <n v="2"/>
    <s v=""/>
    <s v=""/>
    <s v=""/>
    <s v=""/>
    <s v=""/>
    <s v=""/>
    <s v=""/>
    <s v=""/>
    <s v=""/>
    <s v=""/>
    <s v=""/>
    <s v=""/>
    <s v=""/>
    <s v=""/>
  </r>
  <r>
    <s v="N612"/>
    <s v="N614"/>
    <n v="51.64"/>
    <x v="1"/>
    <x v="0"/>
    <s v="2&quot;"/>
    <n v="1"/>
    <s v="2&quot;"/>
    <n v="1"/>
    <s v=""/>
    <s v=""/>
    <s v=""/>
    <s v=""/>
    <s v=""/>
    <s v=""/>
    <s v=""/>
    <s v=""/>
    <s v=""/>
    <s v=""/>
    <s v=""/>
    <s v=""/>
    <s v=""/>
    <s v=""/>
  </r>
  <r>
    <s v="N614"/>
    <s v="N615"/>
    <n v="32.86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615"/>
    <s v="TP406"/>
    <n v="72.37"/>
    <x v="1"/>
    <x v="0"/>
    <s v="2&quot;"/>
    <n v="1"/>
    <s v="2&quot;"/>
    <n v="1"/>
    <s v=""/>
    <s v=""/>
    <s v=""/>
    <s v=""/>
    <s v=""/>
    <s v=""/>
    <s v=""/>
    <s v=""/>
    <s v=""/>
    <s v=""/>
    <s v=""/>
    <s v=""/>
    <s v="2&quot;"/>
    <n v="1"/>
  </r>
  <r>
    <s v="N615"/>
    <s v="N616"/>
    <n v="12.1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616"/>
    <s v="TP407"/>
    <n v="25.67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616"/>
    <s v="N617"/>
    <n v="28.8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617"/>
    <s v="TP408"/>
    <n v="28.71"/>
    <x v="1"/>
    <x v="0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617"/>
    <s v="TP409"/>
    <n v="58.09"/>
    <x v="1"/>
    <x v="0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617"/>
    <s v="N618"/>
    <n v="27.5"/>
    <x v="1"/>
    <x v="0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618"/>
    <s v="TP410"/>
    <n v="20.309999999999999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618"/>
    <s v="TP411"/>
    <n v="59.16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614"/>
    <s v="N619"/>
    <n v="103.7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619"/>
    <s v="TP412"/>
    <n v="71.7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619"/>
    <s v="N620"/>
    <n v="40.450000000000003"/>
    <x v="1"/>
    <x v="0"/>
    <s v="2&quot;"/>
    <n v="1"/>
    <s v=""/>
    <s v=""/>
    <s v=""/>
    <s v=""/>
    <s v=""/>
    <s v=""/>
    <s v=""/>
    <s v=""/>
    <s v="2&quot;"/>
    <n v="1"/>
    <s v=""/>
    <s v=""/>
    <s v=""/>
    <s v=""/>
    <s v=""/>
    <s v=""/>
  </r>
  <r>
    <s v="N620"/>
    <s v="TP413"/>
    <n v="122.76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620"/>
    <s v="N621"/>
    <n v="12.32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621"/>
    <s v="TP414"/>
    <n v="52.4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621"/>
    <s v="N622"/>
    <n v="41.68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622"/>
    <s v="TP415"/>
    <n v="110.82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622"/>
    <s v="N623"/>
    <n v="51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606"/>
    <s v="T. VILLA CRISTINA"/>
    <n v="87.63"/>
    <x v="8"/>
    <x v="0"/>
    <s v="4&quot;"/>
    <n v="1"/>
    <s v="4&quot;"/>
    <n v="1"/>
    <s v=""/>
    <s v=""/>
    <s v=""/>
    <s v=""/>
    <s v=""/>
    <s v=""/>
    <s v=""/>
    <s v=""/>
    <s v=""/>
    <s v=""/>
    <s v=""/>
    <s v=""/>
    <s v=""/>
    <s v=""/>
  </r>
  <r>
    <s v="T.VILLA CRISTINA"/>
    <s v="N624"/>
    <n v="88.33"/>
    <x v="0"/>
    <x v="0"/>
    <s v=""/>
    <s v=""/>
    <s v="3&quot;"/>
    <n v="2"/>
    <s v=""/>
    <s v=""/>
    <s v=""/>
    <s v=""/>
    <s v=""/>
    <s v=""/>
    <s v=""/>
    <s v=""/>
    <s v=""/>
    <s v=""/>
    <s v=""/>
    <s v=""/>
    <s v=""/>
    <s v=""/>
  </r>
  <r>
    <s v="N624"/>
    <s v="TP416"/>
    <n v="44.75"/>
    <x v="0"/>
    <x v="0"/>
    <s v="3&quot;"/>
    <n v="1"/>
    <s v=""/>
    <s v=""/>
    <s v=""/>
    <s v=""/>
    <s v=""/>
    <s v=""/>
    <s v=""/>
    <s v=""/>
    <s v=""/>
    <s v=""/>
    <s v=""/>
    <s v=""/>
    <s v=""/>
    <s v=""/>
    <s v="3&quot;"/>
    <n v="1"/>
  </r>
  <r>
    <s v="N624"/>
    <s v="N625"/>
    <n v="27.57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625"/>
    <s v="TP417"/>
    <n v="103.55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625"/>
    <s v="N626"/>
    <n v="41.18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626"/>
    <s v="N627"/>
    <n v="114.24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"/>
    <s v=""/>
  </r>
  <r>
    <s v="N627"/>
    <s v="TP418"/>
    <n v="114.53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627"/>
    <s v="N628"/>
    <n v="116.68"/>
    <x v="1"/>
    <x v="0"/>
    <s v="2&quot;"/>
    <n v="1"/>
    <s v="2&quot;"/>
    <n v="2"/>
    <s v=""/>
    <s v=""/>
    <s v=""/>
    <s v=""/>
    <s v=""/>
    <s v=""/>
    <s v=""/>
    <s v=""/>
    <s v=""/>
    <s v=""/>
    <s v=""/>
    <s v=""/>
    <s v=""/>
    <s v=""/>
  </r>
  <r>
    <s v="N628"/>
    <s v="TP419"/>
    <n v="26.55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628"/>
    <s v="N629"/>
    <n v="163.7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629"/>
    <s v="TP420"/>
    <n v="29.85"/>
    <x v="1"/>
    <x v="0"/>
    <s v="2&quot;"/>
    <n v="1"/>
    <s v="2&quot;"/>
    <n v="1"/>
    <s v=""/>
    <s v=""/>
    <s v=""/>
    <s v=""/>
    <s v=""/>
    <s v=""/>
    <s v=""/>
    <s v=""/>
    <s v=""/>
    <s v=""/>
    <s v=""/>
    <s v=""/>
    <s v="2&quot;"/>
    <n v="1"/>
  </r>
  <r>
    <s v="N629"/>
    <s v="TP421"/>
    <n v="29.15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626"/>
    <s v="N630"/>
    <n v="36.04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630"/>
    <s v="TP422"/>
    <n v="241.49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630"/>
    <s v="N623"/>
    <n v="10.31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623"/>
    <s v="N637"/>
    <n v="25.56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637"/>
    <s v="N631"/>
    <n v="21.17"/>
    <x v="0"/>
    <x v="0"/>
    <s v="3&quot;"/>
    <n v="1"/>
    <s v="3&quot;"/>
    <n v="1"/>
    <s v=""/>
    <s v=""/>
    <s v=""/>
    <s v=""/>
    <s v=""/>
    <s v=""/>
    <s v=""/>
    <s v=""/>
    <s v=""/>
    <s v=""/>
    <s v=""/>
    <s v=""/>
    <s v=""/>
    <s v=""/>
  </r>
  <r>
    <s v="N631"/>
    <s v="N632"/>
    <n v="6.66"/>
    <x v="1"/>
    <x v="0"/>
    <s v="3&quot;"/>
    <n v="1"/>
    <s v=""/>
    <s v=""/>
    <s v="2&quot;"/>
    <n v="1"/>
    <s v=""/>
    <s v=""/>
    <s v=""/>
    <s v=""/>
    <s v="2&quot;"/>
    <n v="1"/>
    <s v=""/>
    <s v=""/>
    <s v=""/>
    <s v=""/>
    <s v=""/>
    <s v=""/>
  </r>
  <r>
    <s v="N632"/>
    <s v="TP423"/>
    <n v="50.88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632"/>
    <s v="N633"/>
    <n v="24.38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633"/>
    <s v="TP424"/>
    <n v="54.62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633"/>
    <s v="TP425"/>
    <n v="77.66"/>
    <x v="1"/>
    <x v="0"/>
    <s v="2&quot;"/>
    <n v="1"/>
    <s v="2&quot;"/>
    <n v="1"/>
    <s v=""/>
    <s v=""/>
    <s v=""/>
    <s v=""/>
    <s v=""/>
    <s v=""/>
    <s v=""/>
    <s v=""/>
    <s v=""/>
    <s v=""/>
    <s v=""/>
    <s v=""/>
    <s v="2&quot;"/>
    <n v="1"/>
  </r>
  <r>
    <s v="N631"/>
    <s v="N634"/>
    <n v="158.87"/>
    <x v="1"/>
    <x v="0"/>
    <s v="3&quot;"/>
    <n v="1"/>
    <s v="2&quot;"/>
    <n v="1"/>
    <s v="2&quot;"/>
    <n v="1"/>
    <s v=""/>
    <s v=""/>
    <s v=""/>
    <s v=""/>
    <s v=""/>
    <s v=""/>
    <s v=""/>
    <s v=""/>
    <s v=""/>
    <s v=""/>
    <s v=""/>
    <s v=""/>
  </r>
  <r>
    <s v="N634"/>
    <s v="TP426"/>
    <n v="43.32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634"/>
    <s v="TP427"/>
    <n v="107.14"/>
    <x v="1"/>
    <x v="0"/>
    <s v="2&quot;"/>
    <n v="1"/>
    <s v=""/>
    <s v=""/>
    <s v=""/>
    <s v=""/>
    <s v=""/>
    <s v=""/>
    <s v=""/>
    <s v=""/>
    <s v="2&quot;"/>
    <n v="1"/>
    <s v=""/>
    <s v=""/>
    <s v=""/>
    <s v=""/>
    <s v="2&quot;"/>
    <n v="1"/>
  </r>
  <r>
    <s v="T.VILLA CRISTINA"/>
    <s v="N635"/>
    <n v="336.34"/>
    <x v="0"/>
    <x v="0"/>
    <s v=""/>
    <s v=""/>
    <s v="3&quot;"/>
    <n v="5"/>
    <s v=""/>
    <s v=""/>
    <s v=""/>
    <s v=""/>
    <s v=""/>
    <s v=""/>
    <s v=""/>
    <s v=""/>
    <s v=""/>
    <s v=""/>
    <s v=""/>
    <s v=""/>
    <s v=""/>
    <s v=""/>
  </r>
  <r>
    <s v="N635"/>
    <s v="TP428"/>
    <n v="113.9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635"/>
    <s v="N636"/>
    <n v="52.17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636"/>
    <s v="TP429"/>
    <n v="111.97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636"/>
    <s v="TP430"/>
    <n v="229.81"/>
    <x v="1"/>
    <x v="0"/>
    <s v="3&quot;"/>
    <n v="1"/>
    <s v="2&quot;"/>
    <n v="2"/>
    <s v="2&quot;"/>
    <n v="1"/>
    <s v=""/>
    <s v=""/>
    <s v=""/>
    <s v=""/>
    <s v=""/>
    <s v=""/>
    <s v=""/>
    <s v=""/>
    <s v=""/>
    <s v=""/>
    <s v="2&quot;"/>
    <n v="1"/>
  </r>
  <r>
    <s v="N637"/>
    <s v="N638"/>
    <n v="214.3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638"/>
    <s v="N639"/>
    <n v="150.27000000000001"/>
    <x v="1"/>
    <x v="0"/>
    <s v="3&quot;"/>
    <n v="1"/>
    <s v="2&quot;"/>
    <n v="1"/>
    <s v="2&quot;"/>
    <n v="1"/>
    <s v=""/>
    <s v=""/>
    <s v=""/>
    <s v=""/>
    <s v=""/>
    <s v=""/>
    <s v=""/>
    <s v=""/>
    <s v=""/>
    <s v=""/>
    <s v=""/>
    <s v=""/>
  </r>
  <r>
    <s v="N639"/>
    <s v="TP431"/>
    <n v="50.66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639"/>
    <s v="N640"/>
    <n v="37.49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</r>
  <r>
    <s v="N640"/>
    <s v="N641"/>
    <n v="42.55"/>
    <x v="1"/>
    <x v="0"/>
    <s v="2&quot;"/>
    <n v="1"/>
    <s v="2&quot;"/>
    <n v="1"/>
    <s v=""/>
    <s v=""/>
    <s v=""/>
    <s v=""/>
    <s v=""/>
    <s v=""/>
    <s v=""/>
    <s v=""/>
    <s v=""/>
    <s v=""/>
    <s v=""/>
    <s v=""/>
    <s v=""/>
    <s v=""/>
  </r>
  <r>
    <s v="N641"/>
    <s v="TP432"/>
    <n v="18.53"/>
    <x v="6"/>
    <x v="0"/>
    <s v=""/>
    <s v=""/>
    <s v=""/>
    <s v=""/>
    <s v="1&quot;"/>
    <n v="1"/>
    <s v=""/>
    <s v=""/>
    <s v=""/>
    <s v=""/>
    <s v=""/>
    <s v=""/>
    <s v=""/>
    <s v=""/>
    <s v=""/>
    <s v=""/>
    <s v="1&quot;"/>
    <n v="1"/>
  </r>
  <r>
    <s v="N640"/>
    <s v="TP433"/>
    <n v="87.68"/>
    <x v="1"/>
    <x v="0"/>
    <s v="2&quot;"/>
    <n v="1"/>
    <s v="2&quot;"/>
    <n v="1"/>
    <s v=""/>
    <s v=""/>
    <s v=""/>
    <s v=""/>
    <s v=""/>
    <s v=""/>
    <s v=""/>
    <s v=""/>
    <s v=""/>
    <s v=""/>
    <s v=""/>
    <s v=""/>
    <s v="2&quot;"/>
    <n v="1"/>
  </r>
  <r>
    <s v="N638"/>
    <s v="N642"/>
    <n v="271.32"/>
    <x v="0"/>
    <x v="0"/>
    <s v="3&quot;"/>
    <n v="1"/>
    <s v=""/>
    <s v=""/>
    <s v=""/>
    <s v=""/>
    <s v=""/>
    <s v=""/>
    <s v=""/>
    <s v=""/>
    <s v=""/>
    <s v=""/>
    <n v="0"/>
    <n v="1"/>
    <s v=""/>
    <s v=""/>
    <s v=""/>
    <s v=""/>
  </r>
  <r>
    <s v="N642"/>
    <s v="TP434"/>
    <n v="41.27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2&quot;"/>
    <n v="1"/>
  </r>
  <r>
    <s v="N642"/>
    <s v="N643"/>
    <n v="70.08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643"/>
    <s v="TP435"/>
    <n v="7.61"/>
    <x v="0"/>
    <x v="0"/>
    <s v="3&quot;"/>
    <n v="1"/>
    <s v=""/>
    <s v=""/>
    <s v=""/>
    <s v=""/>
    <s v=""/>
    <s v=""/>
    <s v=""/>
    <s v=""/>
    <s v=""/>
    <s v=""/>
    <s v=""/>
    <s v=""/>
    <s v=""/>
    <s v=""/>
    <s v="3&quot;"/>
    <n v="1"/>
  </r>
  <r>
    <s v="N643"/>
    <s v="N644"/>
    <n v="33.06"/>
    <x v="1"/>
    <x v="0"/>
    <s v="3&quot;"/>
    <n v="1"/>
    <s v=""/>
    <s v=""/>
    <s v="2&quot;"/>
    <n v="1"/>
    <s v=""/>
    <s v=""/>
    <s v=""/>
    <s v=""/>
    <s v=""/>
    <s v=""/>
    <s v=""/>
    <s v=""/>
    <s v=""/>
    <s v=""/>
    <s v=""/>
    <s v=""/>
  </r>
  <r>
    <s v="N644"/>
    <s v="TP436"/>
    <n v="31"/>
    <x v="1"/>
    <x v="0"/>
    <s v="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644"/>
    <s v="TP437"/>
    <n v="204.93"/>
    <x v="1"/>
    <x v="0"/>
    <s v="2&quot;"/>
    <n v="1"/>
    <s v="2&quot;"/>
    <n v="1"/>
    <s v=""/>
    <s v=""/>
    <s v=""/>
    <s v=""/>
    <s v=""/>
    <s v=""/>
    <s v=""/>
    <s v=""/>
    <s v=""/>
    <s v=""/>
    <s v=""/>
    <s v=""/>
    <s v="2&quot;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1">
  <r>
    <s v="PTAP2"/>
    <s v="N1"/>
    <n v="4333.8900000000003"/>
    <x v="0"/>
    <x v="0"/>
    <s v="TPL"/>
    <s v="3&quot;"/>
    <n v="1"/>
    <s v="Codo"/>
    <s v="3&quot;"/>
    <n v="1"/>
    <m/>
    <m/>
    <m/>
    <m/>
    <m/>
    <m/>
    <m/>
    <m/>
    <m/>
    <m/>
    <m/>
    <m/>
    <m/>
    <m/>
    <m/>
    <m/>
    <m/>
    <m/>
  </r>
  <r>
    <s v="N1"/>
    <s v="TP1"/>
    <n v="48.98"/>
    <x v="1"/>
    <x v="0"/>
    <s v="TPL"/>
    <s v="3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1"/>
    <s v="N2"/>
    <n v="17.57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2"/>
    <s v="TP2"/>
    <n v="71.349999999999994"/>
    <x v="1"/>
    <x v="0"/>
    <s v="TPL"/>
    <s v="3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2"/>
    <s v="N3"/>
    <n v="19.600000000000001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3"/>
    <s v="N4"/>
    <n v="184.14999999999998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N4"/>
    <s v="TP3"/>
    <n v="101.48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4"/>
    <s v="N5"/>
    <n v="20.43"/>
    <x v="1"/>
    <x v="0"/>
    <s v="TPD"/>
    <s v="2&quot;"/>
    <n v="1"/>
    <m/>
    <m/>
    <m/>
    <m/>
    <m/>
    <m/>
    <m/>
    <m/>
    <m/>
    <m/>
    <m/>
    <m/>
    <m/>
    <m/>
    <m/>
    <m/>
    <m/>
    <m/>
    <m/>
    <m/>
    <m/>
  </r>
  <r>
    <s v="N5"/>
    <s v="TP4"/>
    <n v="33.35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5"/>
    <s v="N6"/>
    <n v="10.85"/>
    <x v="1"/>
    <x v="0"/>
    <s v="TPD"/>
    <s v="2&quot;"/>
    <n v="1"/>
    <m/>
    <m/>
    <m/>
    <m/>
    <m/>
    <m/>
    <m/>
    <m/>
    <m/>
    <m/>
    <m/>
    <m/>
    <m/>
    <m/>
    <m/>
    <m/>
    <m/>
    <m/>
    <m/>
    <m/>
    <m/>
  </r>
  <r>
    <s v="N6"/>
    <s v="N7"/>
    <n v="12.56"/>
    <x v="1"/>
    <x v="0"/>
    <s v="TPD"/>
    <s v="2&quot;"/>
    <n v="1"/>
    <m/>
    <m/>
    <m/>
    <m/>
    <m/>
    <m/>
    <m/>
    <m/>
    <m/>
    <m/>
    <m/>
    <m/>
    <m/>
    <m/>
    <m/>
    <m/>
    <m/>
    <m/>
    <m/>
    <m/>
    <m/>
  </r>
  <r>
    <s v="N7"/>
    <s v="TP5"/>
    <n v="79.92"/>
    <x v="1"/>
    <x v="0"/>
    <s v="TPD"/>
    <s v="2&quot;"/>
    <n v="1"/>
    <s v="Codo"/>
    <s v="2&quot;"/>
    <n v="1"/>
    <s v="Tapón"/>
    <s v="2&quot;"/>
    <n v="1"/>
    <m/>
    <m/>
    <m/>
    <m/>
    <m/>
    <m/>
    <m/>
    <m/>
    <m/>
    <m/>
    <m/>
    <m/>
    <m/>
    <m/>
    <m/>
  </r>
  <r>
    <s v="N7"/>
    <s v="N8"/>
    <n v="24.97"/>
    <x v="1"/>
    <x v="0"/>
    <s v="TPL"/>
    <s v="2&quot;"/>
    <n v="1"/>
    <m/>
    <m/>
    <m/>
    <m/>
    <m/>
    <m/>
    <m/>
    <m/>
    <m/>
    <m/>
    <m/>
    <m/>
    <m/>
    <m/>
    <m/>
    <m/>
    <m/>
    <m/>
    <m/>
    <m/>
    <m/>
  </r>
  <r>
    <s v="N8"/>
    <s v="TP6"/>
    <n v="18.55"/>
    <x v="1"/>
    <x v="0"/>
    <s v="TPD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8"/>
    <s v="N9"/>
    <n v="12.45"/>
    <x v="1"/>
    <x v="0"/>
    <s v="TPL"/>
    <s v="2&quot;"/>
    <n v="1"/>
    <m/>
    <m/>
    <m/>
    <m/>
    <m/>
    <m/>
    <m/>
    <m/>
    <m/>
    <m/>
    <m/>
    <m/>
    <m/>
    <m/>
    <m/>
    <m/>
    <m/>
    <m/>
    <m/>
    <m/>
    <m/>
  </r>
  <r>
    <s v="N9"/>
    <s v="TP7"/>
    <n v="13.77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9"/>
    <s v="TP8"/>
    <n v="12.3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9"/>
    <s v="TP9"/>
    <n v="34.11"/>
    <x v="1"/>
    <x v="0"/>
    <s v="TPD"/>
    <s v="2&quot;"/>
    <n v="1"/>
    <s v="Codo"/>
    <s v="2&quot;"/>
    <n v="1"/>
    <s v="Tapón"/>
    <s v="2&quot;"/>
    <n v="1"/>
    <m/>
    <m/>
    <m/>
    <m/>
    <m/>
    <m/>
    <m/>
    <m/>
    <m/>
    <m/>
    <m/>
    <m/>
    <m/>
    <m/>
    <m/>
  </r>
  <r>
    <s v="N6"/>
    <s v="N10"/>
    <n v="359.44"/>
    <x v="1"/>
    <x v="0"/>
    <s v="TPL"/>
    <s v="2&quot;"/>
    <n v="1"/>
    <m/>
    <m/>
    <m/>
    <m/>
    <m/>
    <m/>
    <m/>
    <m/>
    <m/>
    <m/>
    <m/>
    <m/>
    <m/>
    <m/>
    <m/>
    <m/>
    <m/>
    <m/>
    <m/>
    <m/>
    <m/>
  </r>
  <r>
    <s v="N10"/>
    <s v="TP10"/>
    <n v="62.04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10"/>
    <s v="TP11"/>
    <n v="55.35"/>
    <x v="1"/>
    <x v="0"/>
    <s v="TPD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3"/>
    <s v="N11"/>
    <n v="329.06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PTAP2"/>
    <s v="N12"/>
    <n v="3924.99"/>
    <x v="2"/>
    <x v="0"/>
    <s v="TPD"/>
    <s v="8&quot;"/>
    <n v="1"/>
    <s v="Válvula de Corte "/>
    <s v="8&quot;"/>
    <n v="1"/>
    <s v="Purgas"/>
    <s v="8&quot;"/>
    <n v="1"/>
    <s v="Válvula Reguladora de Presión"/>
    <s v="8&quot;"/>
    <n v="3"/>
    <m/>
    <m/>
    <m/>
    <m/>
    <m/>
    <m/>
    <m/>
    <m/>
    <m/>
    <m/>
    <m/>
    <m/>
  </r>
  <r>
    <s v="PTAP2"/>
    <s v="CQ1"/>
    <n v="254"/>
    <x v="2"/>
    <x v="0"/>
    <m/>
    <m/>
    <m/>
    <m/>
    <m/>
    <m/>
    <m/>
    <m/>
    <m/>
    <m/>
    <m/>
    <m/>
    <m/>
    <m/>
    <m/>
    <m/>
    <m/>
    <m/>
    <m/>
    <m/>
    <m/>
    <m/>
    <m/>
    <m/>
  </r>
  <r>
    <s v="CQ1"/>
    <s v="PTAP1"/>
    <n v="2252.69"/>
    <x v="2"/>
    <x v="0"/>
    <m/>
    <m/>
    <m/>
    <m/>
    <m/>
    <m/>
    <m/>
    <m/>
    <m/>
    <m/>
    <m/>
    <m/>
    <m/>
    <m/>
    <m/>
    <m/>
    <m/>
    <m/>
    <m/>
    <m/>
    <m/>
    <m/>
    <m/>
    <m/>
  </r>
  <r>
    <s v="N11"/>
    <s v="N19"/>
    <n v="1.87"/>
    <x v="0"/>
    <x v="0"/>
    <s v="Galápago"/>
    <s v="3&quot;"/>
    <n v="1"/>
    <m/>
    <m/>
    <m/>
    <m/>
    <m/>
    <m/>
    <m/>
    <m/>
    <m/>
    <m/>
    <m/>
    <m/>
    <m/>
    <m/>
    <m/>
    <m/>
    <m/>
    <m/>
    <m/>
    <m/>
    <m/>
  </r>
  <r>
    <s v="N19"/>
    <s v="T. CARIONGO"/>
    <n v="34.119999999999997"/>
    <x v="0"/>
    <x v="0"/>
    <s v="TPL"/>
    <s v="3&quot;"/>
    <n v="1"/>
    <s v="Válvula de Corte "/>
    <s v="3&quot;"/>
    <n v="1"/>
    <m/>
    <m/>
    <m/>
    <m/>
    <m/>
    <m/>
    <m/>
    <m/>
    <m/>
    <m/>
    <m/>
    <m/>
    <m/>
    <m/>
    <m/>
    <m/>
    <m/>
    <m/>
  </r>
  <r>
    <s v="N11"/>
    <s v="PTAP1"/>
    <n v="19"/>
    <x v="0"/>
    <x v="0"/>
    <s v="Galápago"/>
    <m/>
    <m/>
    <m/>
    <m/>
    <m/>
    <m/>
    <m/>
    <m/>
    <m/>
    <m/>
    <m/>
    <m/>
    <m/>
    <m/>
    <m/>
    <m/>
    <m/>
    <m/>
    <m/>
    <m/>
    <m/>
    <m/>
    <m/>
  </r>
  <r>
    <s v="T.CARIONGO"/>
    <s v="E.B.1"/>
    <n v="143.19999999999999"/>
    <x v="3"/>
    <x v="0"/>
    <m/>
    <m/>
    <m/>
    <m/>
    <m/>
    <m/>
    <m/>
    <m/>
    <m/>
    <m/>
    <m/>
    <m/>
    <m/>
    <m/>
    <m/>
    <m/>
    <m/>
    <m/>
    <m/>
    <m/>
    <m/>
    <m/>
    <m/>
    <m/>
  </r>
  <r>
    <s v="PTAP1"/>
    <s v="T.1"/>
    <n v="73"/>
    <x v="4"/>
    <x v="1"/>
    <m/>
    <m/>
    <m/>
    <m/>
    <m/>
    <m/>
    <m/>
    <m/>
    <m/>
    <m/>
    <m/>
    <m/>
    <m/>
    <m/>
    <m/>
    <m/>
    <m/>
    <m/>
    <m/>
    <m/>
    <m/>
    <m/>
    <m/>
    <m/>
  </r>
  <r>
    <s v="PTAP1"/>
    <s v="N13"/>
    <n v="64.88"/>
    <x v="2"/>
    <x v="2"/>
    <m/>
    <s v="8&quot;"/>
    <n v="1"/>
    <m/>
    <m/>
    <m/>
    <m/>
    <m/>
    <m/>
    <m/>
    <m/>
    <m/>
    <m/>
    <m/>
    <m/>
    <m/>
    <m/>
    <m/>
    <m/>
    <m/>
    <m/>
    <m/>
    <m/>
    <m/>
  </r>
  <r>
    <s v="N13"/>
    <s v="T.2"/>
    <n v="16.21"/>
    <x v="2"/>
    <x v="2"/>
    <s v="TPL"/>
    <s v="8&quot;"/>
    <n v="1"/>
    <s v="Codo"/>
    <s v="8&quot;"/>
    <n v="1"/>
    <m/>
    <m/>
    <m/>
    <m/>
    <m/>
    <m/>
    <m/>
    <m/>
    <m/>
    <m/>
    <m/>
    <m/>
    <m/>
    <m/>
    <m/>
    <m/>
    <m/>
    <m/>
  </r>
  <r>
    <s v="PTAP1"/>
    <s v="N14"/>
    <n v="66.099999999999994"/>
    <x v="5"/>
    <x v="3"/>
    <m/>
    <s v="16&quot;"/>
    <n v="1"/>
    <m/>
    <m/>
    <m/>
    <m/>
    <m/>
    <m/>
    <m/>
    <m/>
    <m/>
    <m/>
    <m/>
    <m/>
    <m/>
    <m/>
    <m/>
    <m/>
    <m/>
    <m/>
    <m/>
    <m/>
    <m/>
  </r>
  <r>
    <s v="N14"/>
    <s v="T.1"/>
    <n v="6.95"/>
    <x v="2"/>
    <x v="0"/>
    <s v="TPL"/>
    <s v="16&quot;"/>
    <n v="1"/>
    <s v="Reducción"/>
    <s v="8&quot;"/>
    <n v="1"/>
    <s v="Codo"/>
    <s v="8&quot;"/>
    <n v="1"/>
    <m/>
    <m/>
    <m/>
    <m/>
    <m/>
    <m/>
    <m/>
    <m/>
    <m/>
    <m/>
    <m/>
    <m/>
    <m/>
    <m/>
    <m/>
  </r>
  <r>
    <s v="N14"/>
    <s v="N15"/>
    <n v="24"/>
    <x v="2"/>
    <x v="0"/>
    <s v="TPD"/>
    <s v="16&quot;"/>
    <n v="1"/>
    <s v="Reducción"/>
    <s v="8&quot;"/>
    <n v="2"/>
    <s v="Codo"/>
    <s v="8&quot;"/>
    <n v="1"/>
    <m/>
    <m/>
    <m/>
    <m/>
    <m/>
    <m/>
    <m/>
    <m/>
    <m/>
    <m/>
    <m/>
    <m/>
    <m/>
    <m/>
    <m/>
  </r>
  <r>
    <s v="T.1"/>
    <s v="N15"/>
    <n v="4.5"/>
    <x v="5"/>
    <x v="3"/>
    <m/>
    <s v="16&quot;"/>
    <n v="1"/>
    <m/>
    <m/>
    <m/>
    <m/>
    <m/>
    <m/>
    <m/>
    <m/>
    <m/>
    <m/>
    <m/>
    <m/>
    <m/>
    <m/>
    <m/>
    <m/>
    <m/>
    <m/>
    <m/>
    <m/>
    <m/>
  </r>
  <r>
    <s v="N15"/>
    <s v="N16"/>
    <n v="7.95"/>
    <x v="5"/>
    <x v="3"/>
    <s v="TPD"/>
    <s v="16&quot;"/>
    <n v="1"/>
    <m/>
    <m/>
    <m/>
    <m/>
    <m/>
    <m/>
    <m/>
    <m/>
    <m/>
    <m/>
    <m/>
    <m/>
    <m/>
    <m/>
    <m/>
    <m/>
    <m/>
    <m/>
    <m/>
    <m/>
    <m/>
  </r>
  <r>
    <s v="T.1"/>
    <s v="N16"/>
    <n v="11.42"/>
    <x v="4"/>
    <x v="1"/>
    <m/>
    <m/>
    <m/>
    <m/>
    <m/>
    <m/>
    <m/>
    <m/>
    <m/>
    <m/>
    <m/>
    <m/>
    <m/>
    <m/>
    <m/>
    <m/>
    <m/>
    <m/>
    <m/>
    <m/>
    <m/>
    <m/>
    <m/>
    <m/>
  </r>
  <r>
    <s v="T.1"/>
    <s v="T.2"/>
    <n v="7.15"/>
    <x v="2"/>
    <x v="0"/>
    <m/>
    <m/>
    <m/>
    <m/>
    <m/>
    <m/>
    <m/>
    <m/>
    <m/>
    <m/>
    <m/>
    <m/>
    <m/>
    <m/>
    <m/>
    <m/>
    <m/>
    <m/>
    <m/>
    <m/>
    <m/>
    <m/>
    <m/>
    <m/>
  </r>
  <r>
    <s v="E.B.1"/>
    <s v="N17"/>
    <n v="16.82"/>
    <x v="2"/>
    <x v="2"/>
    <m/>
    <s v="8&quot;"/>
    <n v="1"/>
    <s v="Codo"/>
    <s v="8&quot;"/>
    <n v="1"/>
    <m/>
    <m/>
    <m/>
    <m/>
    <m/>
    <m/>
    <m/>
    <m/>
    <m/>
    <m/>
    <m/>
    <m/>
    <m/>
    <m/>
    <m/>
    <m/>
    <m/>
    <m/>
  </r>
  <r>
    <s v="N17"/>
    <s v="N18"/>
    <n v="6.68"/>
    <x v="2"/>
    <x v="2"/>
    <s v="TPD"/>
    <s v="8&quot;"/>
    <n v="1"/>
    <m/>
    <m/>
    <m/>
    <m/>
    <m/>
    <m/>
    <m/>
    <m/>
    <m/>
    <m/>
    <m/>
    <m/>
    <m/>
    <m/>
    <m/>
    <m/>
    <m/>
    <m/>
    <m/>
    <m/>
    <m/>
  </r>
  <r>
    <s v="N18"/>
    <s v="N16"/>
    <n v="7.32"/>
    <x v="2"/>
    <x v="2"/>
    <s v="TPL"/>
    <s v="8&quot;"/>
    <n v="1"/>
    <m/>
    <m/>
    <m/>
    <m/>
    <m/>
    <m/>
    <m/>
    <m/>
    <m/>
    <m/>
    <m/>
    <m/>
    <m/>
    <m/>
    <m/>
    <m/>
    <m/>
    <m/>
    <m/>
    <m/>
    <m/>
  </r>
  <r>
    <s v="N19"/>
    <s v="N20"/>
    <n v="914.17"/>
    <x v="0"/>
    <x v="0"/>
    <s v="TPD"/>
    <s v="3&quot;"/>
    <n v="1"/>
    <s v="Válvula Reguladora de Presión"/>
    <s v="3&quot;"/>
    <n v="1"/>
    <m/>
    <m/>
    <m/>
    <m/>
    <m/>
    <m/>
    <m/>
    <m/>
    <m/>
    <m/>
    <m/>
    <m/>
    <m/>
    <m/>
    <m/>
    <m/>
    <m/>
    <m/>
  </r>
  <r>
    <s v="N20"/>
    <s v="N21"/>
    <n v="52.82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N21"/>
    <s v="N22"/>
    <n v="36.78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N22"/>
    <s v="N24"/>
    <n v="74.11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N24"/>
    <s v="TP12"/>
    <n v="16.75"/>
    <x v="0"/>
    <x v="0"/>
    <s v="TPD"/>
    <s v="3&quot;"/>
    <n v="1"/>
    <s v="Tapón"/>
    <m/>
    <m/>
    <m/>
    <m/>
    <m/>
    <m/>
    <m/>
    <m/>
    <m/>
    <m/>
    <m/>
    <m/>
    <m/>
    <m/>
    <m/>
    <m/>
    <m/>
    <m/>
    <m/>
    <m/>
  </r>
  <r>
    <s v="N22"/>
    <s v="N23"/>
    <n v="4.9800000000000004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23"/>
    <s v="TP13"/>
    <n v="26.33"/>
    <x v="0"/>
    <x v="0"/>
    <s v="TPD"/>
    <s v="3&quot;"/>
    <n v="1"/>
    <s v="Tapón"/>
    <s v="3&quot;"/>
    <n v="1"/>
    <m/>
    <m/>
    <m/>
    <m/>
    <m/>
    <m/>
    <m/>
    <m/>
    <m/>
    <m/>
    <m/>
    <m/>
    <m/>
    <m/>
    <m/>
    <m/>
    <m/>
    <m/>
  </r>
  <r>
    <s v="N23"/>
    <s v="N25"/>
    <n v="66.52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N25"/>
    <s v="TP14"/>
    <n v="33.57"/>
    <x v="0"/>
    <x v="0"/>
    <s v="TPD"/>
    <s v="3&quot;"/>
    <n v="1"/>
    <s v="Tapón"/>
    <s v="3&quot;"/>
    <n v="1"/>
    <m/>
    <m/>
    <m/>
    <m/>
    <m/>
    <m/>
    <m/>
    <m/>
    <m/>
    <m/>
    <m/>
    <m/>
    <m/>
    <m/>
    <m/>
    <m/>
    <m/>
    <m/>
  </r>
  <r>
    <s v="N25"/>
    <s v="TP15"/>
    <n v="33.83"/>
    <x v="0"/>
    <x v="0"/>
    <s v="TPL"/>
    <s v="3&quot;"/>
    <n v="1"/>
    <s v="Tapón"/>
    <s v="3&quot;"/>
    <n v="1"/>
    <m/>
    <m/>
    <m/>
    <m/>
    <m/>
    <m/>
    <m/>
    <m/>
    <m/>
    <m/>
    <m/>
    <m/>
    <m/>
    <m/>
    <m/>
    <m/>
    <m/>
    <m/>
  </r>
  <r>
    <s v="N21"/>
    <s v="N26"/>
    <n v="104.34"/>
    <x v="0"/>
    <x v="0"/>
    <s v="TPD"/>
    <s v="3&quot;"/>
    <m/>
    <m/>
    <m/>
    <m/>
    <m/>
    <m/>
    <m/>
    <m/>
    <m/>
    <m/>
    <m/>
    <m/>
    <m/>
    <m/>
    <m/>
    <m/>
    <m/>
    <m/>
    <m/>
    <m/>
    <m/>
    <m/>
  </r>
  <r>
    <s v="N26"/>
    <s v="N34"/>
    <n v="90.81"/>
    <x v="1"/>
    <x v="0"/>
    <s v="TPL"/>
    <s v="3&quot;"/>
    <n v="1"/>
    <s v="Reducción"/>
    <s v="2&quot;"/>
    <n v="1"/>
    <m/>
    <m/>
    <m/>
    <m/>
    <m/>
    <m/>
    <m/>
    <m/>
    <m/>
    <m/>
    <m/>
    <m/>
    <m/>
    <m/>
    <m/>
    <m/>
    <m/>
    <m/>
  </r>
  <r>
    <s v="N33"/>
    <s v="T. LOS PINOS "/>
    <n v="249.76"/>
    <x v="6"/>
    <x v="0"/>
    <s v="Reducción"/>
    <s v="1&quot;"/>
    <n v="1"/>
    <s v="Codo"/>
    <s v="1&quot;"/>
    <n v="2"/>
    <m/>
    <m/>
    <m/>
    <m/>
    <m/>
    <m/>
    <m/>
    <m/>
    <m/>
    <m/>
    <m/>
    <m/>
    <m/>
    <m/>
    <m/>
    <m/>
    <m/>
    <m/>
  </r>
  <r>
    <s v="T. LOS PINOS "/>
    <s v="TP16"/>
    <n v="298.44"/>
    <x v="1"/>
    <x v="0"/>
    <s v="Codo"/>
    <s v="2&quot;"/>
    <n v="6"/>
    <s v="Tapón"/>
    <s v="2&quot;"/>
    <n v="1"/>
    <m/>
    <m/>
    <m/>
    <m/>
    <m/>
    <m/>
    <m/>
    <m/>
    <m/>
    <m/>
    <m/>
    <m/>
    <m/>
    <m/>
    <m/>
    <m/>
    <m/>
    <m/>
  </r>
  <r>
    <s v="N26"/>
    <s v="N27"/>
    <n v="9.2100000000000009"/>
    <x v="0"/>
    <x v="0"/>
    <s v="TPD"/>
    <s v="3&quot;"/>
    <n v="1"/>
    <s v="Válvula de Corte "/>
    <s v="3&quot;"/>
    <n v="1"/>
    <m/>
    <m/>
    <m/>
    <m/>
    <m/>
    <m/>
    <m/>
    <m/>
    <m/>
    <m/>
    <m/>
    <m/>
    <m/>
    <m/>
    <m/>
    <m/>
    <m/>
    <m/>
  </r>
  <r>
    <s v="N27"/>
    <s v="N28"/>
    <n v="122.57"/>
    <x v="1"/>
    <x v="0"/>
    <s v="TPL"/>
    <s v="3&quot;"/>
    <n v="1"/>
    <s v="Reducción"/>
    <s v="2&quot;"/>
    <n v="1"/>
    <s v="Codo"/>
    <s v="2&quot;"/>
    <n v="1"/>
    <m/>
    <m/>
    <m/>
    <m/>
    <m/>
    <m/>
    <m/>
    <m/>
    <m/>
    <m/>
    <m/>
    <m/>
    <m/>
    <m/>
    <m/>
  </r>
  <r>
    <s v="N28"/>
    <s v="TPL17"/>
    <n v="22.87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28"/>
    <s v="TP18"/>
    <n v="41.33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27"/>
    <s v="N29"/>
    <n v="57.44"/>
    <x v="0"/>
    <x v="0"/>
    <s v="TPD"/>
    <s v="3&quot;"/>
    <m/>
    <m/>
    <m/>
    <m/>
    <m/>
    <m/>
    <m/>
    <m/>
    <m/>
    <m/>
    <m/>
    <m/>
    <m/>
    <m/>
    <m/>
    <m/>
    <m/>
    <m/>
    <m/>
    <m/>
    <m/>
    <m/>
  </r>
  <r>
    <s v="N29"/>
    <s v="N30"/>
    <n v="31.13"/>
    <x v="1"/>
    <x v="0"/>
    <s v="Reducción"/>
    <s v="2&quot;"/>
    <n v="1"/>
    <s v="Codo"/>
    <s v="2&quot;"/>
    <n v="1"/>
    <m/>
    <m/>
    <m/>
    <m/>
    <m/>
    <m/>
    <m/>
    <m/>
    <m/>
    <m/>
    <m/>
    <m/>
    <m/>
    <m/>
    <m/>
    <m/>
    <m/>
    <m/>
  </r>
  <r>
    <s v="N30"/>
    <s v="TP19"/>
    <n v="71.34"/>
    <x v="1"/>
    <x v="0"/>
    <s v="TPD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30"/>
    <s v="N31"/>
    <n v="25.75"/>
    <x v="1"/>
    <x v="0"/>
    <s v="TPL"/>
    <s v="2&quot;"/>
    <n v="1"/>
    <m/>
    <m/>
    <m/>
    <m/>
    <m/>
    <m/>
    <m/>
    <m/>
    <m/>
    <m/>
    <m/>
    <m/>
    <m/>
    <m/>
    <m/>
    <m/>
    <m/>
    <m/>
    <m/>
    <m/>
    <m/>
  </r>
  <r>
    <s v="N31"/>
    <s v="TP20"/>
    <n v="70.459999999999994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31"/>
    <s v="N32"/>
    <n v="25.95"/>
    <x v="1"/>
    <x v="0"/>
    <s v="TPD"/>
    <s v="2&quot;"/>
    <n v="1"/>
    <m/>
    <m/>
    <m/>
    <m/>
    <m/>
    <m/>
    <m/>
    <m/>
    <m/>
    <m/>
    <m/>
    <m/>
    <m/>
    <m/>
    <m/>
    <m/>
    <m/>
    <m/>
    <m/>
    <m/>
    <m/>
  </r>
  <r>
    <s v="N32"/>
    <s v="TP21"/>
    <n v="68.569999999999993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32"/>
    <s v="N33"/>
    <n v="35.24"/>
    <x v="1"/>
    <x v="0"/>
    <s v="TPD"/>
    <s v="2&quot;"/>
    <n v="1"/>
    <s v="Codo"/>
    <s v="2&quot;"/>
    <n v="1"/>
    <m/>
    <m/>
    <m/>
    <m/>
    <m/>
    <m/>
    <m/>
    <m/>
    <m/>
    <m/>
    <m/>
    <m/>
    <m/>
    <m/>
    <m/>
    <m/>
    <m/>
    <m/>
  </r>
  <r>
    <s v="N33"/>
    <s v="TP22"/>
    <n v="84.34"/>
    <x v="1"/>
    <x v="0"/>
    <s v="TPD"/>
    <s v="2&quot;"/>
    <n v="1"/>
    <s v="Codo"/>
    <s v="2&quot;"/>
    <n v="1"/>
    <s v="Tapón"/>
    <s v="2&quot;"/>
    <n v="1"/>
    <m/>
    <m/>
    <m/>
    <m/>
    <m/>
    <m/>
    <m/>
    <m/>
    <m/>
    <m/>
    <m/>
    <m/>
    <m/>
    <m/>
    <m/>
  </r>
  <r>
    <s v="N33"/>
    <s v="N35"/>
    <n v="135.04"/>
    <x v="1"/>
    <x v="0"/>
    <s v="TPL"/>
    <s v="2&quot;"/>
    <n v="1"/>
    <s v="Codo"/>
    <s v="2&quot;"/>
    <n v="1"/>
    <m/>
    <m/>
    <m/>
    <m/>
    <m/>
    <m/>
    <m/>
    <m/>
    <m/>
    <m/>
    <m/>
    <m/>
    <m/>
    <m/>
    <m/>
    <m/>
    <m/>
    <m/>
  </r>
  <r>
    <s v="N25"/>
    <s v="TP23"/>
    <n v="31.98"/>
    <x v="1"/>
    <x v="0"/>
    <s v="TPD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35"/>
    <s v="N36"/>
    <n v="14"/>
    <x v="1"/>
    <x v="0"/>
    <s v="TPL"/>
    <s v="2&quot;"/>
    <n v="1"/>
    <m/>
    <m/>
    <m/>
    <m/>
    <m/>
    <m/>
    <m/>
    <m/>
    <m/>
    <m/>
    <m/>
    <m/>
    <m/>
    <m/>
    <m/>
    <m/>
    <m/>
    <m/>
    <m/>
    <m/>
    <m/>
  </r>
  <r>
    <s v="N36"/>
    <s v="TP24"/>
    <n v="32.340000000000003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36"/>
    <s v="N37"/>
    <n v="1.9"/>
    <x v="1"/>
    <x v="0"/>
    <s v="TPD"/>
    <s v="2&quot;"/>
    <n v="1"/>
    <m/>
    <m/>
    <m/>
    <m/>
    <m/>
    <m/>
    <m/>
    <m/>
    <m/>
    <m/>
    <m/>
    <m/>
    <m/>
    <m/>
    <m/>
    <m/>
    <m/>
    <m/>
    <m/>
    <m/>
    <m/>
  </r>
  <r>
    <s v="N37"/>
    <s v="TP25"/>
    <n v="32.520000000000003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37"/>
    <s v="TP26"/>
    <n v="12.8"/>
    <x v="1"/>
    <x v="0"/>
    <s v="TPD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20"/>
    <s v="N38"/>
    <n v="8.15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N38"/>
    <s v="N24"/>
    <n v="49.1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N38"/>
    <s v="N39"/>
    <n v="56.99"/>
    <x v="0"/>
    <x v="0"/>
    <s v="TPD"/>
    <s v="3&quot;"/>
    <n v="1"/>
    <s v="Codo"/>
    <s v="3&quot;"/>
    <n v="2"/>
    <m/>
    <m/>
    <m/>
    <m/>
    <m/>
    <m/>
    <m/>
    <m/>
    <m/>
    <m/>
    <m/>
    <m/>
    <m/>
    <m/>
    <m/>
    <m/>
    <m/>
    <m/>
  </r>
  <r>
    <s v="N39"/>
    <s v="N40"/>
    <n v="41.18"/>
    <x v="0"/>
    <x v="2"/>
    <m/>
    <m/>
    <m/>
    <m/>
    <m/>
    <m/>
    <m/>
    <m/>
    <m/>
    <m/>
    <m/>
    <m/>
    <m/>
    <m/>
    <m/>
    <m/>
    <m/>
    <m/>
    <m/>
    <m/>
    <m/>
    <m/>
    <m/>
    <m/>
  </r>
  <r>
    <s v="N40"/>
    <s v="N41"/>
    <n v="54.75"/>
    <x v="1"/>
    <x v="0"/>
    <s v="TPL"/>
    <s v="3&quot;"/>
    <n v="1"/>
    <s v="Reducción"/>
    <s v="2&quot;"/>
    <n v="1"/>
    <m/>
    <m/>
    <m/>
    <m/>
    <m/>
    <m/>
    <m/>
    <m/>
    <m/>
    <m/>
    <m/>
    <m/>
    <m/>
    <m/>
    <m/>
    <m/>
    <m/>
    <m/>
  </r>
  <r>
    <s v="N41"/>
    <s v="TP27"/>
    <n v="61.81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41"/>
    <s v="N42"/>
    <n v="273"/>
    <x v="1"/>
    <x v="0"/>
    <s v="TPL"/>
    <s v="2&quot;"/>
    <n v="1"/>
    <s v="Codo"/>
    <s v="2&quot;"/>
    <n v="1"/>
    <m/>
    <m/>
    <m/>
    <m/>
    <m/>
    <m/>
    <m/>
    <m/>
    <m/>
    <m/>
    <m/>
    <m/>
    <m/>
    <m/>
    <m/>
    <m/>
    <m/>
    <m/>
  </r>
  <r>
    <s v="N42"/>
    <s v="TP28"/>
    <n v="30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42"/>
    <s v="TP29"/>
    <n v="143.97999999999999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40"/>
    <s v="N43"/>
    <n v="30.44"/>
    <x v="0"/>
    <x v="2"/>
    <s v="TPD"/>
    <s v="3&quot;"/>
    <n v="1"/>
    <m/>
    <m/>
    <m/>
    <m/>
    <m/>
    <m/>
    <m/>
    <m/>
    <m/>
    <m/>
    <m/>
    <m/>
    <m/>
    <m/>
    <m/>
    <m/>
    <m/>
    <m/>
    <m/>
    <m/>
    <m/>
  </r>
  <r>
    <s v="N43"/>
    <s v="TP30"/>
    <n v="32.5"/>
    <x v="1"/>
    <x v="0"/>
    <s v="TPL"/>
    <s v="3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12"/>
    <s v="N44"/>
    <n v="1038.51"/>
    <x v="7"/>
    <x v="4"/>
    <s v="Reducción"/>
    <s v="6&quot;"/>
    <n v="1"/>
    <m/>
    <m/>
    <m/>
    <m/>
    <m/>
    <m/>
    <m/>
    <m/>
    <m/>
    <m/>
    <m/>
    <m/>
    <m/>
    <m/>
    <m/>
    <m/>
    <m/>
    <m/>
    <m/>
    <m/>
    <m/>
  </r>
  <r>
    <s v="N44"/>
    <s v="N45"/>
    <n v="1051.9100000000001"/>
    <x v="7"/>
    <x v="0"/>
    <m/>
    <m/>
    <m/>
    <m/>
    <m/>
    <m/>
    <m/>
    <m/>
    <m/>
    <m/>
    <m/>
    <m/>
    <m/>
    <m/>
    <m/>
    <m/>
    <m/>
    <m/>
    <m/>
    <m/>
    <m/>
    <m/>
    <m/>
    <m/>
  </r>
  <r>
    <s v="N45"/>
    <s v="T. JURADO 3"/>
    <n v="21.31"/>
    <x v="8"/>
    <x v="1"/>
    <s v="TPL"/>
    <s v="6&quot;"/>
    <n v="1"/>
    <s v="Reducción"/>
    <s v="4&quot;"/>
    <n v="1"/>
    <s v="Válvula de Corte "/>
    <s v="4&quot;"/>
    <n v="1"/>
    <m/>
    <m/>
    <m/>
    <m/>
    <m/>
    <m/>
    <m/>
    <m/>
    <m/>
    <m/>
    <m/>
    <m/>
    <m/>
    <m/>
    <m/>
  </r>
  <r>
    <s v="N16"/>
    <s v="N46"/>
    <n v="1720.4299999999998"/>
    <x v="5"/>
    <x v="3"/>
    <s v="Codo"/>
    <s v="16&quot;"/>
    <n v="1"/>
    <s v="Ventosas "/>
    <s v="16&quot;"/>
    <n v="1"/>
    <m/>
    <m/>
    <m/>
    <m/>
    <m/>
    <m/>
    <m/>
    <m/>
    <m/>
    <m/>
    <m/>
    <m/>
    <m/>
    <m/>
    <m/>
    <m/>
    <m/>
    <m/>
  </r>
  <r>
    <s v="N16"/>
    <s v="CQ2"/>
    <n v="385.42"/>
    <x v="4"/>
    <x v="1"/>
    <m/>
    <m/>
    <m/>
    <m/>
    <m/>
    <m/>
    <m/>
    <m/>
    <m/>
    <m/>
    <m/>
    <m/>
    <m/>
    <m/>
    <m/>
    <m/>
    <m/>
    <m/>
    <m/>
    <m/>
    <m/>
    <m/>
    <m/>
    <m/>
  </r>
  <r>
    <s v="CQ2"/>
    <s v="N47"/>
    <n v="326.60000000000002"/>
    <x v="4"/>
    <x v="1"/>
    <m/>
    <m/>
    <m/>
    <m/>
    <m/>
    <m/>
    <m/>
    <m/>
    <m/>
    <m/>
    <m/>
    <m/>
    <m/>
    <m/>
    <m/>
    <m/>
    <m/>
    <m/>
    <m/>
    <m/>
    <m/>
    <m/>
    <m/>
    <m/>
  </r>
  <r>
    <s v="N47"/>
    <s v="N48"/>
    <n v="1271.97"/>
    <x v="4"/>
    <x v="1"/>
    <s v="TPD"/>
    <s v="12&quot;"/>
    <n v="1"/>
    <s v="Codo"/>
    <s v="12&quot;"/>
    <n v="1"/>
    <s v="Hidrantes de Piso"/>
    <m/>
    <n v="1"/>
    <m/>
    <m/>
    <m/>
    <m/>
    <m/>
    <m/>
    <m/>
    <m/>
    <m/>
    <m/>
    <m/>
    <m/>
    <m/>
    <m/>
    <m/>
  </r>
  <r>
    <s v="N18"/>
    <s v="N49"/>
    <n v="1036.19"/>
    <x v="2"/>
    <x v="2"/>
    <m/>
    <m/>
    <m/>
    <m/>
    <m/>
    <m/>
    <m/>
    <m/>
    <m/>
    <m/>
    <m/>
    <m/>
    <m/>
    <m/>
    <m/>
    <m/>
    <m/>
    <m/>
    <m/>
    <m/>
    <m/>
    <m/>
    <m/>
    <m/>
  </r>
  <r>
    <s v="N50"/>
    <s v="N51"/>
    <n v="302.12"/>
    <x v="8"/>
    <x v="4"/>
    <s v="TPL"/>
    <s v="6&quot;"/>
    <n v="1"/>
    <s v="Reducción"/>
    <s v="4&quot;"/>
    <n v="1"/>
    <s v="Válvula de Corte "/>
    <s v="4&quot;"/>
    <n v="1"/>
    <s v="Purgas"/>
    <s v="4&quot;"/>
    <n v="1"/>
    <s v="Codo"/>
    <s v="4&quot;"/>
    <n v="1"/>
    <m/>
    <m/>
    <m/>
    <m/>
    <m/>
    <m/>
    <m/>
    <m/>
    <m/>
  </r>
  <r>
    <s v="N51"/>
    <s v="N52"/>
    <n v="735.52"/>
    <x v="0"/>
    <x v="0"/>
    <s v="Reducción"/>
    <s v="3&quot;"/>
    <n v="1"/>
    <s v="Ventosas "/>
    <s v="3&quot;"/>
    <n v="1"/>
    <m/>
    <m/>
    <m/>
    <m/>
    <m/>
    <m/>
    <m/>
    <m/>
    <m/>
    <m/>
    <m/>
    <m/>
    <m/>
    <m/>
    <m/>
    <m/>
    <m/>
    <m/>
  </r>
  <r>
    <s v="N52"/>
    <s v="T. TRINIDAD"/>
    <n v="64.400000000000006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N52"/>
    <s v="T.PROGRESO2"/>
    <n v="2379.85"/>
    <x v="0"/>
    <x v="0"/>
    <s v="TPD"/>
    <s v="3&quot;"/>
    <n v="1"/>
    <s v="Codo"/>
    <s v="3&quot;"/>
    <n v="2"/>
    <m/>
    <m/>
    <m/>
    <m/>
    <m/>
    <m/>
    <m/>
    <m/>
    <m/>
    <m/>
    <m/>
    <m/>
    <m/>
    <m/>
    <m/>
    <m/>
    <m/>
    <m/>
  </r>
  <r>
    <s v="E.B.1"/>
    <s v="T.TRINIDAD"/>
    <n v="980.04"/>
    <x v="3"/>
    <x v="0"/>
    <s v="Purgas"/>
    <s v="10&quot;"/>
    <n v="1"/>
    <m/>
    <m/>
    <m/>
    <m/>
    <m/>
    <m/>
    <m/>
    <m/>
    <m/>
    <m/>
    <m/>
    <m/>
    <m/>
    <m/>
    <m/>
    <m/>
    <m/>
    <m/>
    <m/>
    <m/>
    <m/>
  </r>
  <r>
    <s v="N47"/>
    <s v="N53"/>
    <n v="8.56"/>
    <x v="1"/>
    <x v="1"/>
    <s v="TPL"/>
    <s v="12&quot;"/>
    <n v="1"/>
    <s v="Reducción"/>
    <s v="2&quot;"/>
    <n v="1"/>
    <m/>
    <m/>
    <m/>
    <m/>
    <m/>
    <m/>
    <m/>
    <m/>
    <m/>
    <m/>
    <m/>
    <m/>
    <m/>
    <m/>
    <m/>
    <m/>
    <m/>
    <m/>
  </r>
  <r>
    <s v="N53"/>
    <s v="N54"/>
    <n v="103.22"/>
    <x v="1"/>
    <x v="0"/>
    <s v="Válvula de Corte "/>
    <s v="2&quot;"/>
    <n v="1"/>
    <m/>
    <m/>
    <m/>
    <m/>
    <m/>
    <m/>
    <m/>
    <m/>
    <m/>
    <m/>
    <m/>
    <m/>
    <m/>
    <m/>
    <m/>
    <m/>
    <m/>
    <m/>
    <m/>
    <m/>
    <m/>
  </r>
  <r>
    <s v="N54"/>
    <s v="N55"/>
    <n v="164.61"/>
    <x v="1"/>
    <x v="0"/>
    <s v="TPL"/>
    <s v="2&quot;"/>
    <n v="1"/>
    <s v="Codo"/>
    <s v="2&quot;"/>
    <n v="3"/>
    <m/>
    <m/>
    <m/>
    <m/>
    <m/>
    <m/>
    <m/>
    <m/>
    <m/>
    <m/>
    <m/>
    <m/>
    <m/>
    <m/>
    <m/>
    <m/>
    <m/>
    <m/>
  </r>
  <r>
    <s v="N55"/>
    <s v="TP31"/>
    <n v="35.14"/>
    <x v="1"/>
    <x v="0"/>
    <s v="TPD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55"/>
    <s v="TP32"/>
    <n v="35.07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54"/>
    <s v="N56"/>
    <n v="11.3"/>
    <x v="1"/>
    <x v="0"/>
    <s v="TPL"/>
    <s v="2&quot;"/>
    <n v="1"/>
    <s v="Válvula de Corte "/>
    <s v="2&quot;"/>
    <n v="1"/>
    <m/>
    <m/>
    <m/>
    <m/>
    <m/>
    <m/>
    <m/>
    <m/>
    <m/>
    <m/>
    <m/>
    <m/>
    <m/>
    <m/>
    <m/>
    <m/>
    <m/>
    <m/>
  </r>
  <r>
    <s v="N56"/>
    <s v="TP33"/>
    <n v="59.56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56"/>
    <s v="N57"/>
    <n v="43.62"/>
    <x v="1"/>
    <x v="0"/>
    <s v="TPD"/>
    <s v="2&quot;"/>
    <n v="1"/>
    <m/>
    <m/>
    <m/>
    <m/>
    <m/>
    <m/>
    <m/>
    <m/>
    <m/>
    <m/>
    <m/>
    <m/>
    <m/>
    <m/>
    <m/>
    <m/>
    <m/>
    <m/>
    <m/>
    <m/>
    <m/>
  </r>
  <r>
    <s v="N57"/>
    <s v="TP34"/>
    <n v="50.02"/>
    <x v="1"/>
    <x v="0"/>
    <s v="TPL"/>
    <s v="2&quot;"/>
    <n v="1"/>
    <s v="Tapón"/>
    <s v="2&quot;"/>
    <m/>
    <m/>
    <m/>
    <m/>
    <m/>
    <m/>
    <m/>
    <m/>
    <m/>
    <m/>
    <m/>
    <m/>
    <m/>
    <m/>
    <m/>
    <m/>
    <m/>
    <m/>
    <m/>
  </r>
  <r>
    <s v="N57"/>
    <s v="N58"/>
    <n v="44"/>
    <x v="1"/>
    <x v="0"/>
    <s v="TPD"/>
    <s v="2&quot;"/>
    <n v="1"/>
    <m/>
    <m/>
    <m/>
    <m/>
    <m/>
    <m/>
    <m/>
    <m/>
    <m/>
    <m/>
    <m/>
    <m/>
    <m/>
    <m/>
    <m/>
    <m/>
    <m/>
    <m/>
    <m/>
    <m/>
    <m/>
  </r>
  <r>
    <s v="N58"/>
    <s v="TP35"/>
    <n v="71.45"/>
    <x v="1"/>
    <x v="0"/>
    <s v="TPD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58"/>
    <s v="N59"/>
    <n v="17.36"/>
    <x v="1"/>
    <x v="0"/>
    <s v="TPL"/>
    <s v="2&quot;"/>
    <n v="1"/>
    <s v="Válvula de Corte "/>
    <s v="2&quot;"/>
    <n v="1"/>
    <m/>
    <m/>
    <m/>
    <m/>
    <m/>
    <m/>
    <m/>
    <m/>
    <m/>
    <m/>
    <m/>
    <m/>
    <m/>
    <m/>
    <m/>
    <m/>
    <m/>
    <m/>
  </r>
  <r>
    <s v="N59"/>
    <s v="TP36"/>
    <n v="76.17"/>
    <x v="1"/>
    <x v="0"/>
    <s v="TPD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59"/>
    <s v="N60"/>
    <n v="18.09"/>
    <x v="1"/>
    <x v="0"/>
    <s v="TPL"/>
    <s v="2&quot;"/>
    <n v="1"/>
    <m/>
    <m/>
    <m/>
    <m/>
    <m/>
    <m/>
    <m/>
    <m/>
    <m/>
    <m/>
    <m/>
    <m/>
    <m/>
    <m/>
    <m/>
    <m/>
    <m/>
    <m/>
    <m/>
    <m/>
    <m/>
  </r>
  <r>
    <s v="N60"/>
    <s v="TP37"/>
    <n v="78.680000000000007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60"/>
    <s v="TP38"/>
    <n v="93.48"/>
    <x v="1"/>
    <x v="0"/>
    <s v="TPD"/>
    <s v="2&quot;"/>
    <n v="1"/>
    <s v="Codo"/>
    <s v="2&quot;"/>
    <n v="1"/>
    <s v="Tapón"/>
    <s v="2&quot;"/>
    <n v="1"/>
    <m/>
    <m/>
    <m/>
    <m/>
    <m/>
    <m/>
    <m/>
    <m/>
    <m/>
    <m/>
    <m/>
    <m/>
    <m/>
    <m/>
    <m/>
  </r>
  <r>
    <s v="N59"/>
    <s v="N61"/>
    <n v="47.82"/>
    <x v="1"/>
    <x v="0"/>
    <s v="TPL"/>
    <s v="2&quot;"/>
    <n v="1"/>
    <s v="Codo"/>
    <s v="2&quot;"/>
    <n v="3"/>
    <m/>
    <m/>
    <m/>
    <m/>
    <m/>
    <m/>
    <m/>
    <m/>
    <m/>
    <m/>
    <m/>
    <m/>
    <m/>
    <m/>
    <m/>
    <m/>
    <m/>
    <m/>
  </r>
  <r>
    <s v="N61"/>
    <s v="TP39"/>
    <n v="18.73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61"/>
    <s v="TP40"/>
    <n v="52.94"/>
    <x v="1"/>
    <x v="0"/>
    <s v="TPD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43"/>
    <s v="N62"/>
    <n v="112.52"/>
    <x v="0"/>
    <x v="2"/>
    <s v="TPD"/>
    <s v="3&quot;"/>
    <n v="1"/>
    <m/>
    <m/>
    <m/>
    <m/>
    <m/>
    <m/>
    <m/>
    <m/>
    <m/>
    <m/>
    <m/>
    <m/>
    <m/>
    <m/>
    <m/>
    <m/>
    <m/>
    <m/>
    <m/>
    <m/>
    <m/>
  </r>
  <r>
    <s v="N62"/>
    <s v="N63"/>
    <n v="43.89"/>
    <x v="0"/>
    <x v="0"/>
    <s v="TPL"/>
    <s v="3&quot;"/>
    <n v="1"/>
    <s v="Válvula de Corte "/>
    <s v="3&quot;"/>
    <n v="1"/>
    <m/>
    <m/>
    <m/>
    <m/>
    <m/>
    <m/>
    <m/>
    <m/>
    <m/>
    <m/>
    <m/>
    <m/>
    <m/>
    <m/>
    <m/>
    <m/>
    <m/>
    <m/>
  </r>
  <r>
    <s v="N63"/>
    <s v="TP41"/>
    <n v="30.69"/>
    <x v="0"/>
    <x v="0"/>
    <s v="TPL"/>
    <s v="3&quot;"/>
    <n v="1"/>
    <s v="Codo"/>
    <s v="3&quot;"/>
    <n v="1"/>
    <s v="Tapón"/>
    <s v="3&quot;"/>
    <m/>
    <m/>
    <m/>
    <m/>
    <m/>
    <m/>
    <m/>
    <m/>
    <m/>
    <m/>
    <m/>
    <m/>
    <m/>
    <m/>
    <m/>
    <m/>
  </r>
  <r>
    <s v="N63"/>
    <s v="TP42"/>
    <n v="18.73"/>
    <x v="0"/>
    <x v="0"/>
    <s v="TPD"/>
    <s v="3&quot;"/>
    <n v="1"/>
    <s v="Tapón"/>
    <s v="3&quot;"/>
    <n v="1"/>
    <m/>
    <m/>
    <m/>
    <m/>
    <m/>
    <m/>
    <m/>
    <m/>
    <m/>
    <m/>
    <m/>
    <m/>
    <m/>
    <m/>
    <m/>
    <m/>
    <m/>
    <m/>
  </r>
  <r>
    <s v="N49"/>
    <s v="N64"/>
    <n v="30.29"/>
    <x v="8"/>
    <x v="2"/>
    <s v="TPL"/>
    <s v="8&quot;"/>
    <n v="1"/>
    <s v="Reducción"/>
    <s v="4&quot;"/>
    <n v="1"/>
    <s v="Válvula de Corte "/>
    <s v="4&quot;"/>
    <n v="1"/>
    <m/>
    <m/>
    <m/>
    <m/>
    <m/>
    <m/>
    <m/>
    <m/>
    <m/>
    <m/>
    <m/>
    <m/>
    <m/>
    <m/>
    <m/>
  </r>
  <r>
    <s v="N64"/>
    <s v="N65"/>
    <n v="71.48"/>
    <x v="1"/>
    <x v="0"/>
    <s v="TPL"/>
    <s v="4&quot;"/>
    <n v="1"/>
    <s v="Reducción"/>
    <s v="2&quot;"/>
    <n v="1"/>
    <s v="Válvula de Corte "/>
    <s v="2&quot;"/>
    <n v="1"/>
    <s v="Codo"/>
    <s v="2&quot;"/>
    <n v="2"/>
    <m/>
    <m/>
    <m/>
    <m/>
    <m/>
    <m/>
    <m/>
    <m/>
    <m/>
    <m/>
    <m/>
    <m/>
  </r>
  <r>
    <s v="N65"/>
    <s v="TP43"/>
    <n v="19.079999999999998"/>
    <x v="1"/>
    <x v="0"/>
    <s v="TPD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65"/>
    <s v="TP44"/>
    <n v="49.76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64"/>
    <s v="N62"/>
    <n v="26.27"/>
    <x v="8"/>
    <x v="2"/>
    <s v="TPD"/>
    <s v="4&quot;"/>
    <n v="1"/>
    <m/>
    <m/>
    <m/>
    <m/>
    <m/>
    <m/>
    <m/>
    <m/>
    <m/>
    <m/>
    <m/>
    <m/>
    <m/>
    <m/>
    <m/>
    <m/>
    <m/>
    <m/>
    <m/>
    <m/>
    <m/>
  </r>
  <r>
    <s v="N49"/>
    <s v="N66"/>
    <n v="169.41"/>
    <x v="2"/>
    <x v="2"/>
    <s v="TPL"/>
    <s v="8&quot;"/>
    <n v="1"/>
    <s v="Válvula de Corte "/>
    <s v="8&quot;"/>
    <n v="1"/>
    <m/>
    <m/>
    <m/>
    <m/>
    <m/>
    <m/>
    <m/>
    <m/>
    <m/>
    <m/>
    <m/>
    <m/>
    <m/>
    <m/>
    <m/>
    <m/>
    <m/>
    <m/>
  </r>
  <r>
    <s v="N66"/>
    <s v="N67"/>
    <n v="85.1"/>
    <x v="0"/>
    <x v="0"/>
    <s v="TPL"/>
    <s v="8&quot;"/>
    <n v="1"/>
    <s v="Reducción"/>
    <s v="3&quot;"/>
    <n v="1"/>
    <m/>
    <m/>
    <m/>
    <m/>
    <m/>
    <m/>
    <m/>
    <m/>
    <m/>
    <m/>
    <m/>
    <m/>
    <m/>
    <m/>
    <m/>
    <m/>
    <m/>
    <m/>
  </r>
  <r>
    <s v="N67"/>
    <s v="N68"/>
    <n v="151.55000000000001"/>
    <x v="1"/>
    <x v="0"/>
    <s v="TPD"/>
    <s v="3&quot;"/>
    <n v="1"/>
    <s v="Reducción"/>
    <s v="2&quot;"/>
    <n v="1"/>
    <s v="Válvula de Corte "/>
    <s v="2&quot;"/>
    <m/>
    <m/>
    <m/>
    <m/>
    <m/>
    <m/>
    <m/>
    <m/>
    <m/>
    <m/>
    <m/>
    <m/>
    <m/>
    <m/>
    <m/>
    <m/>
  </r>
  <r>
    <s v="N68"/>
    <s v="TP45"/>
    <n v="50.6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68"/>
    <s v="TP46"/>
    <n v="66.7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67"/>
    <s v="N69"/>
    <n v="107.51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N69"/>
    <s v="N70"/>
    <n v="71.98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N70"/>
    <s v="TP47"/>
    <n v="121.81"/>
    <x v="1"/>
    <x v="0"/>
    <s v="TPL"/>
    <s v="3&quot;"/>
    <n v="1"/>
    <s v="Reducción"/>
    <s v="2&quot;"/>
    <n v="1"/>
    <s v="Codo"/>
    <s v="2&quot;"/>
    <n v="2"/>
    <s v="Tapón"/>
    <s v="2&quot;"/>
    <n v="1"/>
    <m/>
    <m/>
    <m/>
    <m/>
    <m/>
    <m/>
    <m/>
    <m/>
    <m/>
    <m/>
    <m/>
    <m/>
  </r>
  <r>
    <s v="N70"/>
    <s v="TP48"/>
    <n v="19.2"/>
    <x v="0"/>
    <x v="0"/>
    <s v="TPD"/>
    <s v="3&quot;"/>
    <n v="1"/>
    <s v="Codo"/>
    <s v="3&quot;"/>
    <n v="1"/>
    <s v="Tapón"/>
    <s v="3&quot;"/>
    <n v="1"/>
    <m/>
    <m/>
    <m/>
    <m/>
    <m/>
    <m/>
    <m/>
    <m/>
    <m/>
    <m/>
    <m/>
    <m/>
    <m/>
    <m/>
    <m/>
  </r>
  <r>
    <s v="N71"/>
    <s v="N69"/>
    <n v="88.58"/>
    <x v="0"/>
    <x v="0"/>
    <s v="TPL"/>
    <s v="8&quot;"/>
    <n v="1"/>
    <s v="Reducción"/>
    <s v="3&quot;"/>
    <n v="1"/>
    <s v="Válvula de Corte "/>
    <s v="3&quot;"/>
    <n v="1"/>
    <m/>
    <m/>
    <m/>
    <m/>
    <m/>
    <m/>
    <m/>
    <m/>
    <m/>
    <m/>
    <m/>
    <m/>
    <m/>
    <m/>
    <m/>
  </r>
  <r>
    <s v="N71"/>
    <s v="N72"/>
    <n v="128.53"/>
    <x v="2"/>
    <x v="2"/>
    <s v="TPD"/>
    <s v="8&quot;"/>
    <n v="1"/>
    <m/>
    <m/>
    <m/>
    <m/>
    <m/>
    <m/>
    <m/>
    <m/>
    <m/>
    <m/>
    <m/>
    <m/>
    <m/>
    <m/>
    <m/>
    <m/>
    <m/>
    <m/>
    <m/>
    <m/>
    <m/>
  </r>
  <r>
    <s v="N72"/>
    <s v="TP49"/>
    <n v="66.69"/>
    <x v="1"/>
    <x v="0"/>
    <s v="Galápago"/>
    <s v="8&quot; A 2&quot;"/>
    <n v="1"/>
    <s v="Tapón"/>
    <s v="2&quot;"/>
    <n v="1"/>
    <m/>
    <m/>
    <m/>
    <m/>
    <m/>
    <m/>
    <m/>
    <m/>
    <m/>
    <m/>
    <m/>
    <m/>
    <m/>
    <m/>
    <m/>
    <m/>
    <m/>
    <m/>
  </r>
  <r>
    <s v="N72"/>
    <s v="N73"/>
    <n v="4.25"/>
    <x v="2"/>
    <x v="2"/>
    <s v="Galápago"/>
    <s v="8&quot;"/>
    <m/>
    <m/>
    <m/>
    <m/>
    <m/>
    <m/>
    <m/>
    <m/>
    <m/>
    <m/>
    <m/>
    <m/>
    <m/>
    <m/>
    <m/>
    <m/>
    <m/>
    <m/>
    <m/>
    <m/>
    <m/>
    <m/>
  </r>
  <r>
    <s v="N73"/>
    <s v="TP50"/>
    <n v="52"/>
    <x v="0"/>
    <x v="0"/>
    <s v="Galápago"/>
    <s v="8&quot; A 3&quot;"/>
    <n v="1"/>
    <s v="Tapón"/>
    <s v="3&quot;"/>
    <n v="1"/>
    <m/>
    <m/>
    <m/>
    <m/>
    <m/>
    <m/>
    <m/>
    <m/>
    <m/>
    <m/>
    <m/>
    <m/>
    <m/>
    <m/>
    <m/>
    <m/>
    <m/>
    <m/>
  </r>
  <r>
    <s v="N73"/>
    <s v="N74"/>
    <n v="161.16999999999999"/>
    <x v="2"/>
    <x v="2"/>
    <s v="Galápago"/>
    <s v="8&quot;"/>
    <n v="1"/>
    <s v="Purgas"/>
    <s v="8&quot;"/>
    <n v="1"/>
    <s v="Válvula de Corte "/>
    <s v="8&quot;"/>
    <n v="1"/>
    <m/>
    <m/>
    <m/>
    <m/>
    <m/>
    <m/>
    <m/>
    <m/>
    <m/>
    <m/>
    <m/>
    <m/>
    <m/>
    <m/>
    <m/>
  </r>
  <r>
    <s v="N74"/>
    <s v="TP51"/>
    <n v="48.87"/>
    <x v="1"/>
    <x v="0"/>
    <s v="TPL"/>
    <s v="8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74"/>
    <s v="N75"/>
    <n v="68.87"/>
    <x v="2"/>
    <x v="2"/>
    <s v="TPD"/>
    <s v="8&quot;"/>
    <n v="1"/>
    <m/>
    <m/>
    <m/>
    <m/>
    <m/>
    <m/>
    <m/>
    <m/>
    <m/>
    <m/>
    <m/>
    <m/>
    <m/>
    <m/>
    <m/>
    <m/>
    <m/>
    <m/>
    <m/>
    <m/>
    <m/>
  </r>
  <r>
    <s v="N75"/>
    <s v="N76"/>
    <n v="199"/>
    <x v="2"/>
    <x v="2"/>
    <s v="TPD"/>
    <s v="8&quot;"/>
    <n v="1"/>
    <s v="Codo"/>
    <s v="8&quot;"/>
    <n v="1"/>
    <s v="Válvula de Corte "/>
    <s v="8&quot;"/>
    <n v="1"/>
    <m/>
    <m/>
    <m/>
    <m/>
    <m/>
    <m/>
    <m/>
    <m/>
    <m/>
    <m/>
    <m/>
    <m/>
    <m/>
    <m/>
    <m/>
  </r>
  <r>
    <s v="T. TRINIDAD"/>
    <s v="CQ3"/>
    <n v="554.01"/>
    <x v="7"/>
    <x v="0"/>
    <s v="Codo"/>
    <s v="6&quot;"/>
    <n v="4"/>
    <m/>
    <m/>
    <m/>
    <m/>
    <m/>
    <m/>
    <m/>
    <m/>
    <m/>
    <m/>
    <m/>
    <m/>
    <m/>
    <m/>
    <m/>
    <m/>
    <m/>
    <m/>
    <m/>
    <m/>
    <m/>
  </r>
  <r>
    <s v="CQ3"/>
    <s v="N77"/>
    <n v="79.45"/>
    <x v="8"/>
    <x v="0"/>
    <m/>
    <m/>
    <m/>
    <m/>
    <m/>
    <m/>
    <m/>
    <m/>
    <m/>
    <m/>
    <m/>
    <m/>
    <m/>
    <m/>
    <m/>
    <m/>
    <m/>
    <m/>
    <m/>
    <m/>
    <m/>
    <m/>
    <m/>
    <m/>
  </r>
  <r>
    <s v="N77"/>
    <s v="N78"/>
    <n v="111.03"/>
    <x v="1"/>
    <x v="0"/>
    <s v="TPL"/>
    <s v="4&quot;"/>
    <n v="1"/>
    <s v="Reducción"/>
    <s v="2&quot;"/>
    <n v="1"/>
    <m/>
    <m/>
    <m/>
    <m/>
    <m/>
    <m/>
    <m/>
    <m/>
    <m/>
    <m/>
    <m/>
    <m/>
    <m/>
    <m/>
    <m/>
    <m/>
    <m/>
    <m/>
  </r>
  <r>
    <s v="N78"/>
    <s v="TP52"/>
    <n v="49.06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78"/>
    <s v="TP53"/>
    <n v="422.07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77"/>
    <s v="N78"/>
    <n v="221.86"/>
    <x v="1"/>
    <x v="0"/>
    <s v="TPL"/>
    <s v="4&quot;"/>
    <n v="1"/>
    <s v="Reducción"/>
    <s v="2&quot;"/>
    <n v="1"/>
    <m/>
    <m/>
    <m/>
    <m/>
    <m/>
    <m/>
    <m/>
    <m/>
    <m/>
    <m/>
    <m/>
    <m/>
    <m/>
    <m/>
    <m/>
    <m/>
    <m/>
    <m/>
  </r>
  <r>
    <s v="N78"/>
    <s v="N79"/>
    <n v="71.5"/>
    <x v="8"/>
    <x v="0"/>
    <s v="TPL"/>
    <s v="2&quot;"/>
    <n v="1"/>
    <s v="Ampliación"/>
    <s v="4&quot;"/>
    <n v="1"/>
    <s v="Codo"/>
    <s v="4&quot;"/>
    <n v="2"/>
    <m/>
    <m/>
    <m/>
    <m/>
    <m/>
    <m/>
    <m/>
    <m/>
    <m/>
    <m/>
    <m/>
    <m/>
    <m/>
    <m/>
    <m/>
  </r>
  <r>
    <s v="N79"/>
    <s v="N80"/>
    <n v="85.539999999999992"/>
    <x v="7"/>
    <x v="0"/>
    <s v="Ampliación"/>
    <s v="6&quot;"/>
    <n v="1"/>
    <m/>
    <m/>
    <m/>
    <m/>
    <m/>
    <m/>
    <m/>
    <m/>
    <m/>
    <m/>
    <m/>
    <m/>
    <m/>
    <m/>
    <m/>
    <m/>
    <m/>
    <m/>
    <m/>
    <m/>
    <m/>
  </r>
  <r>
    <s v="N80"/>
    <s v="N81"/>
    <n v="57.15"/>
    <x v="1"/>
    <x v="0"/>
    <s v="TPL"/>
    <s v="6&quot;"/>
    <n v="1"/>
    <s v="Reducción"/>
    <s v="2&quot;"/>
    <n v="1"/>
    <s v="Válvula de Corte "/>
    <s v="2&quot;"/>
    <n v="1"/>
    <m/>
    <m/>
    <m/>
    <m/>
    <m/>
    <m/>
    <m/>
    <m/>
    <m/>
    <m/>
    <m/>
    <m/>
    <m/>
    <m/>
    <m/>
  </r>
  <r>
    <s v="N81"/>
    <s v="TP54"/>
    <n v="65.010000000000005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81"/>
    <s v="N82"/>
    <n v="28.81"/>
    <x v="1"/>
    <x v="0"/>
    <s v="TPD"/>
    <s v="2&quot;"/>
    <n v="1"/>
    <m/>
    <m/>
    <m/>
    <m/>
    <m/>
    <m/>
    <m/>
    <m/>
    <m/>
    <m/>
    <m/>
    <m/>
    <m/>
    <m/>
    <m/>
    <m/>
    <m/>
    <m/>
    <m/>
    <m/>
    <m/>
  </r>
  <r>
    <s v="N82"/>
    <s v="TP55"/>
    <n v="73.430000000000007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82"/>
    <s v="N83"/>
    <n v="28.58"/>
    <x v="1"/>
    <x v="0"/>
    <s v="TPD"/>
    <s v="2&quot;"/>
    <n v="1"/>
    <m/>
    <m/>
    <m/>
    <m/>
    <m/>
    <m/>
    <m/>
    <m/>
    <m/>
    <m/>
    <m/>
    <m/>
    <m/>
    <m/>
    <m/>
    <m/>
    <m/>
    <m/>
    <m/>
    <m/>
    <m/>
  </r>
  <r>
    <s v="N83"/>
    <s v="TP56"/>
    <n v="31.07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83"/>
    <s v="N84"/>
    <n v="1.35"/>
    <x v="1"/>
    <x v="0"/>
    <s v="TPD"/>
    <s v="2&quot;"/>
    <n v="1"/>
    <m/>
    <m/>
    <m/>
    <m/>
    <m/>
    <m/>
    <m/>
    <m/>
    <m/>
    <m/>
    <m/>
    <m/>
    <m/>
    <m/>
    <m/>
    <m/>
    <m/>
    <m/>
    <m/>
    <m/>
    <m/>
  </r>
  <r>
    <s v="N84"/>
    <s v="TP57"/>
    <n v="75.19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84"/>
    <s v="TP58"/>
    <n v="45.03"/>
    <x v="1"/>
    <x v="0"/>
    <s v="TPD"/>
    <s v="2&quot;"/>
    <n v="1"/>
    <s v="Codo"/>
    <s v="2&quot;"/>
    <n v="1"/>
    <s v="Tapón"/>
    <s v="2&quot;"/>
    <n v="1"/>
    <m/>
    <m/>
    <m/>
    <m/>
    <m/>
    <m/>
    <m/>
    <m/>
    <m/>
    <m/>
    <m/>
    <m/>
    <m/>
    <m/>
    <m/>
  </r>
  <r>
    <s v="N80"/>
    <s v="N85"/>
    <n v="48.97"/>
    <x v="7"/>
    <x v="0"/>
    <s v="TPD"/>
    <s v="6&quot;"/>
    <n v="1"/>
    <m/>
    <m/>
    <m/>
    <m/>
    <m/>
    <m/>
    <m/>
    <m/>
    <m/>
    <m/>
    <m/>
    <m/>
    <m/>
    <m/>
    <m/>
    <m/>
    <m/>
    <m/>
    <m/>
    <m/>
    <m/>
  </r>
  <r>
    <s v="N85"/>
    <s v="TP59"/>
    <n v="267.11"/>
    <x v="1"/>
    <x v="0"/>
    <s v="TPL"/>
    <s v="6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85"/>
    <s v="N86"/>
    <n v="7.86"/>
    <x v="7"/>
    <x v="0"/>
    <s v="TPL"/>
    <s v="6&quot;"/>
    <n v="1"/>
    <m/>
    <m/>
    <m/>
    <m/>
    <m/>
    <m/>
    <m/>
    <m/>
    <m/>
    <m/>
    <m/>
    <m/>
    <m/>
    <m/>
    <m/>
    <m/>
    <m/>
    <m/>
    <m/>
    <m/>
    <m/>
  </r>
  <r>
    <s v="N86"/>
    <s v="TP60"/>
    <n v="102.27"/>
    <x v="1"/>
    <x v="0"/>
    <s v="TPD"/>
    <s v="6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86"/>
    <s v="N87"/>
    <n v="359.28"/>
    <x v="7"/>
    <x v="0"/>
    <s v="TPL"/>
    <s v="6&quot;"/>
    <n v="1"/>
    <s v="Codo"/>
    <s v="6&quot;"/>
    <n v="2"/>
    <s v="Válvula de Corte "/>
    <s v="6&quot;"/>
    <n v="1"/>
    <m/>
    <m/>
    <m/>
    <m/>
    <m/>
    <m/>
    <m/>
    <m/>
    <m/>
    <m/>
    <m/>
    <m/>
    <m/>
    <m/>
    <m/>
  </r>
  <r>
    <s v="N87"/>
    <s v="N88"/>
    <n v="61.97"/>
    <x v="0"/>
    <x v="0"/>
    <s v="TPL"/>
    <s v="6&quot;"/>
    <n v="1"/>
    <s v="Reducción"/>
    <s v="3&quot;"/>
    <n v="1"/>
    <m/>
    <m/>
    <m/>
    <m/>
    <m/>
    <m/>
    <m/>
    <m/>
    <m/>
    <m/>
    <m/>
    <m/>
    <m/>
    <m/>
    <m/>
    <m/>
    <m/>
    <m/>
  </r>
  <r>
    <s v="N88"/>
    <s v="TP61"/>
    <n v="164.5"/>
    <x v="0"/>
    <x v="0"/>
    <s v="TPL"/>
    <s v="3&quot;"/>
    <n v="1"/>
    <s v="Tapón"/>
    <s v="3&quot;"/>
    <n v="1"/>
    <m/>
    <m/>
    <m/>
    <m/>
    <m/>
    <m/>
    <m/>
    <m/>
    <m/>
    <m/>
    <m/>
    <m/>
    <m/>
    <m/>
    <m/>
    <m/>
    <m/>
    <m/>
  </r>
  <r>
    <s v="N88"/>
    <s v="N89"/>
    <n v="232.28"/>
    <x v="0"/>
    <x v="0"/>
    <s v="TPD"/>
    <s v="3&quot;"/>
    <n v="1"/>
    <s v="Codo"/>
    <s v="3&quot;"/>
    <n v="1"/>
    <m/>
    <m/>
    <m/>
    <m/>
    <m/>
    <m/>
    <m/>
    <m/>
    <m/>
    <m/>
    <m/>
    <m/>
    <m/>
    <m/>
    <m/>
    <m/>
    <m/>
    <m/>
  </r>
  <r>
    <s v="N89"/>
    <s v="TP62"/>
    <n v="86.45"/>
    <x v="1"/>
    <x v="0"/>
    <s v="TPL"/>
    <s v="3&quot;"/>
    <n v="1"/>
    <s v="Reducción"/>
    <s v="2&quot;"/>
    <n v="1"/>
    <s v="Tapón"/>
    <s v="3&quot;"/>
    <n v="1"/>
    <m/>
    <m/>
    <m/>
    <m/>
    <m/>
    <m/>
    <m/>
    <m/>
    <m/>
    <m/>
    <m/>
    <m/>
    <m/>
    <m/>
    <m/>
  </r>
  <r>
    <s v="N89"/>
    <s v="N90"/>
    <n v="34.08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90"/>
    <s v="N91"/>
    <n v="53.12"/>
    <x v="1"/>
    <x v="0"/>
    <s v="Codo"/>
    <s v="3&quot;"/>
    <n v="1"/>
    <s v="Reducción"/>
    <s v="2&quot;"/>
    <n v="1"/>
    <m/>
    <m/>
    <m/>
    <m/>
    <m/>
    <m/>
    <m/>
    <m/>
    <m/>
    <m/>
    <m/>
    <m/>
    <m/>
    <m/>
    <m/>
    <m/>
    <m/>
    <m/>
  </r>
  <r>
    <s v="N91"/>
    <s v="TP63"/>
    <n v="75.55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91"/>
    <s v="N92"/>
    <n v="100.93"/>
    <x v="1"/>
    <x v="0"/>
    <s v="TPL"/>
    <s v="2&quot;"/>
    <n v="1"/>
    <s v="Codo"/>
    <s v="2&quot;"/>
    <n v="1"/>
    <m/>
    <m/>
    <m/>
    <m/>
    <m/>
    <m/>
    <m/>
    <m/>
    <m/>
    <m/>
    <m/>
    <m/>
    <m/>
    <m/>
    <m/>
    <m/>
    <m/>
    <m/>
  </r>
  <r>
    <s v="N92"/>
    <s v="TP64"/>
    <n v="48.07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92"/>
    <s v="N93"/>
    <n v="56.85"/>
    <x v="1"/>
    <x v="0"/>
    <s v="TPD"/>
    <s v="2&quot;"/>
    <n v="1"/>
    <m/>
    <m/>
    <m/>
    <m/>
    <m/>
    <m/>
    <m/>
    <m/>
    <m/>
    <m/>
    <m/>
    <m/>
    <m/>
    <m/>
    <m/>
    <m/>
    <m/>
    <m/>
    <m/>
    <m/>
    <m/>
  </r>
  <r>
    <s v="N93"/>
    <s v="TP65"/>
    <n v="151.9"/>
    <x v="6"/>
    <x v="0"/>
    <s v="Reducción"/>
    <s v="1&quot;"/>
    <n v="1"/>
    <s v="Tapón"/>
    <s v="1&quot;"/>
    <n v="1"/>
    <m/>
    <m/>
    <m/>
    <m/>
    <m/>
    <m/>
    <m/>
    <m/>
    <m/>
    <m/>
    <m/>
    <m/>
    <m/>
    <m/>
    <m/>
    <m/>
    <m/>
    <m/>
  </r>
  <r>
    <s v="N87"/>
    <s v="N94"/>
    <n v="2.17"/>
    <x v="7"/>
    <x v="0"/>
    <s v="TPL"/>
    <s v="6&quot;"/>
    <n v="1"/>
    <s v="Válvula de Corte "/>
    <s v="6&quot;"/>
    <n v="1"/>
    <m/>
    <m/>
    <m/>
    <m/>
    <m/>
    <m/>
    <m/>
    <m/>
    <m/>
    <m/>
    <m/>
    <m/>
    <m/>
    <m/>
    <m/>
    <m/>
    <m/>
    <m/>
  </r>
  <r>
    <s v="N94"/>
    <s v="N95"/>
    <n v="48.71"/>
    <x v="0"/>
    <x v="0"/>
    <s v="TPL"/>
    <s v="6&quot;"/>
    <n v="1"/>
    <s v="Reducción"/>
    <s v="3&quot;"/>
    <n v="1"/>
    <m/>
    <m/>
    <m/>
    <m/>
    <m/>
    <m/>
    <m/>
    <m/>
    <m/>
    <m/>
    <m/>
    <m/>
    <m/>
    <m/>
    <m/>
    <m/>
    <m/>
    <m/>
  </r>
  <r>
    <s v="N95"/>
    <s v="TP66"/>
    <n v="92.86"/>
    <x v="9"/>
    <x v="0"/>
    <s v="TPL"/>
    <s v="3&quot;"/>
    <n v="1"/>
    <s v="Reducción"/>
    <s v="1 1/2&quot;"/>
    <n v="1"/>
    <s v="Tapón"/>
    <s v="1 1/2&quot;"/>
    <n v="1"/>
    <m/>
    <m/>
    <m/>
    <m/>
    <m/>
    <m/>
    <m/>
    <m/>
    <m/>
    <m/>
    <m/>
    <m/>
    <m/>
    <m/>
    <m/>
  </r>
  <r>
    <s v="N95"/>
    <s v="N96"/>
    <n v="11.3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96"/>
    <s v="TP67"/>
    <n v="93.53"/>
    <x v="9"/>
    <x v="0"/>
    <s v="TPL"/>
    <s v="3&quot;"/>
    <n v="1"/>
    <s v="Reducción"/>
    <s v="1 1/2&quot;"/>
    <n v="1"/>
    <s v="Tapón"/>
    <s v="1 1/2&quot;"/>
    <n v="1"/>
    <m/>
    <m/>
    <m/>
    <m/>
    <m/>
    <m/>
    <m/>
    <m/>
    <m/>
    <m/>
    <m/>
    <m/>
    <m/>
    <m/>
    <m/>
  </r>
  <r>
    <s v="N96"/>
    <s v="N97"/>
    <n v="48.32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97"/>
    <s v="TP68"/>
    <n v="90.17"/>
    <x v="9"/>
    <x v="0"/>
    <s v="TPL"/>
    <s v="3&quot;"/>
    <n v="1"/>
    <s v="Reducción"/>
    <s v="1 1/2&quot;"/>
    <n v="1"/>
    <s v="Tapón"/>
    <s v="1 1/2&quot;"/>
    <n v="1"/>
    <m/>
    <m/>
    <m/>
    <m/>
    <m/>
    <m/>
    <m/>
    <m/>
    <m/>
    <m/>
    <m/>
    <m/>
    <m/>
    <m/>
    <m/>
  </r>
  <r>
    <s v="N97"/>
    <s v="N98"/>
    <n v="5.63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98"/>
    <s v="TP69"/>
    <n v="90.74"/>
    <x v="9"/>
    <x v="0"/>
    <s v="TPL"/>
    <s v="3&quot;"/>
    <n v="1"/>
    <s v="Reducción"/>
    <s v="1 1/2&quot;"/>
    <n v="1"/>
    <s v="Tapón"/>
    <s v="1 1/2&quot;"/>
    <n v="1"/>
    <m/>
    <m/>
    <m/>
    <m/>
    <m/>
    <m/>
    <m/>
    <m/>
    <m/>
    <m/>
    <m/>
    <m/>
    <m/>
    <m/>
    <m/>
  </r>
  <r>
    <s v="N98"/>
    <s v="N99"/>
    <n v="30.03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99"/>
    <s v="TP70"/>
    <n v="71.349999999999994"/>
    <x v="9"/>
    <x v="0"/>
    <s v="TPL"/>
    <s v="3&quot;"/>
    <n v="1"/>
    <s v="Reducción"/>
    <s v="1 1/2&quot;"/>
    <n v="1"/>
    <s v="Tapón"/>
    <s v="1 1/2&quot;"/>
    <n v="1"/>
    <m/>
    <m/>
    <m/>
    <m/>
    <m/>
    <m/>
    <m/>
    <m/>
    <m/>
    <m/>
    <m/>
    <m/>
    <m/>
    <m/>
    <m/>
  </r>
  <r>
    <s v="N99"/>
    <s v="N100"/>
    <n v="8.42"/>
    <x v="0"/>
    <x v="0"/>
    <s v="TPD"/>
    <s v="3&quot;"/>
    <m/>
    <m/>
    <m/>
    <m/>
    <m/>
    <m/>
    <m/>
    <m/>
    <m/>
    <m/>
    <m/>
    <m/>
    <m/>
    <m/>
    <m/>
    <m/>
    <m/>
    <m/>
    <m/>
    <m/>
    <m/>
    <m/>
  </r>
  <r>
    <s v="N100"/>
    <s v="TP71"/>
    <n v="72.02"/>
    <x v="9"/>
    <x v="0"/>
    <s v="Codo"/>
    <s v="3&quot;"/>
    <n v="1"/>
    <s v="Reducción"/>
    <s v="1 1/2&quot;"/>
    <n v="1"/>
    <s v="Tapón"/>
    <s v="1 1/2&quot;"/>
    <n v="1"/>
    <m/>
    <m/>
    <m/>
    <m/>
    <m/>
    <m/>
    <m/>
    <m/>
    <m/>
    <m/>
    <m/>
    <m/>
    <m/>
    <m/>
    <m/>
  </r>
  <r>
    <s v="N94"/>
    <s v="N101"/>
    <n v="108.52"/>
    <x v="8"/>
    <x v="0"/>
    <s v="TPD"/>
    <s v="6&quot;"/>
    <n v="1"/>
    <s v="Reducción"/>
    <s v="4&quot;"/>
    <n v="1"/>
    <m/>
    <m/>
    <m/>
    <m/>
    <m/>
    <m/>
    <m/>
    <m/>
    <m/>
    <m/>
    <m/>
    <m/>
    <m/>
    <m/>
    <m/>
    <m/>
    <m/>
    <m/>
  </r>
  <r>
    <s v="N101"/>
    <s v="N102"/>
    <n v="56.65"/>
    <x v="0"/>
    <x v="0"/>
    <s v="TPL"/>
    <s v="4&quot;"/>
    <n v="1"/>
    <s v="Reducción"/>
    <s v="3&quot;"/>
    <n v="1"/>
    <m/>
    <m/>
    <m/>
    <m/>
    <m/>
    <m/>
    <m/>
    <m/>
    <m/>
    <m/>
    <m/>
    <m/>
    <m/>
    <m/>
    <m/>
    <m/>
    <m/>
    <m/>
  </r>
  <r>
    <s v="N102"/>
    <s v="TP72"/>
    <n v="99.1"/>
    <x v="9"/>
    <x v="0"/>
    <s v="TPL"/>
    <s v="3&quot;"/>
    <n v="1"/>
    <s v="Reducción"/>
    <s v="1 1/2&quot;"/>
    <n v="1"/>
    <s v="Tapón"/>
    <s v="1 1/2&quot;"/>
    <n v="1"/>
    <m/>
    <m/>
    <m/>
    <m/>
    <m/>
    <m/>
    <m/>
    <m/>
    <m/>
    <m/>
    <m/>
    <m/>
    <m/>
    <m/>
    <m/>
  </r>
  <r>
    <s v="N102"/>
    <s v="N113"/>
    <n v="5.83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113"/>
    <s v="N103"/>
    <n v="45.74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103"/>
    <s v="TP73"/>
    <n v="51.28"/>
    <x v="9"/>
    <x v="0"/>
    <s v="TPL"/>
    <s v="3&quot;"/>
    <n v="1"/>
    <s v="Reducción"/>
    <s v="1 1/2&quot;"/>
    <n v="1"/>
    <s v="Tapón"/>
    <s v="1 1/2&quot;"/>
    <n v="1"/>
    <m/>
    <m/>
    <m/>
    <m/>
    <m/>
    <m/>
    <m/>
    <m/>
    <m/>
    <m/>
    <m/>
    <m/>
    <m/>
    <m/>
    <m/>
  </r>
  <r>
    <s v="N103"/>
    <s v="N104"/>
    <n v="5.13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104"/>
    <s v="TP74"/>
    <n v="51.71"/>
    <x v="9"/>
    <x v="0"/>
    <s v="TPL"/>
    <s v="3&quot;"/>
    <n v="1"/>
    <s v="Reducción"/>
    <s v="1 1/2&quot;"/>
    <n v="1"/>
    <s v="Tapón"/>
    <s v="1 1/2&quot;"/>
    <n v="1"/>
    <m/>
    <m/>
    <m/>
    <m/>
    <m/>
    <m/>
    <m/>
    <m/>
    <m/>
    <m/>
    <m/>
    <m/>
    <m/>
    <m/>
    <m/>
  </r>
  <r>
    <s v="N104"/>
    <s v="N105"/>
    <n v="36.04"/>
    <x v="0"/>
    <x v="0"/>
    <s v="TPD"/>
    <s v="3&quot;"/>
    <n v="1"/>
    <s v="Codo"/>
    <s v="3&quot;"/>
    <n v="2"/>
    <m/>
    <m/>
    <m/>
    <m/>
    <m/>
    <m/>
    <m/>
    <m/>
    <m/>
    <m/>
    <m/>
    <m/>
    <m/>
    <m/>
    <m/>
    <m/>
    <m/>
    <m/>
  </r>
  <r>
    <s v="N105"/>
    <s v="N106"/>
    <n v="56.82"/>
    <x v="0"/>
    <x v="0"/>
    <s v="TPD"/>
    <s v="3&quot;"/>
    <n v="1"/>
    <s v="Codo"/>
    <s v="3&quot;"/>
    <n v="2"/>
    <m/>
    <m/>
    <m/>
    <m/>
    <m/>
    <m/>
    <m/>
    <m/>
    <m/>
    <m/>
    <m/>
    <m/>
    <m/>
    <m/>
    <m/>
    <m/>
    <m/>
    <m/>
  </r>
  <r>
    <s v="N106"/>
    <s v="N107"/>
    <n v="62.57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N107"/>
    <s v="TP75"/>
    <n v="33.119999999999997"/>
    <x v="0"/>
    <x v="0"/>
    <s v="TPD"/>
    <s v="3&quot;"/>
    <n v="1"/>
    <s v="Tapón"/>
    <s v="3&quot;"/>
    <n v="1"/>
    <m/>
    <m/>
    <m/>
    <m/>
    <m/>
    <m/>
    <m/>
    <m/>
    <m/>
    <m/>
    <m/>
    <m/>
    <m/>
    <m/>
    <m/>
    <m/>
    <m/>
    <m/>
  </r>
  <r>
    <s v="N107"/>
    <s v="N108"/>
    <n v="22.55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N108"/>
    <s v="TP76"/>
    <n v="33.770000000000003"/>
    <x v="0"/>
    <x v="0"/>
    <s v="TPL"/>
    <s v="3&quot;"/>
    <n v="1"/>
    <s v="Tapón"/>
    <s v="3&quot;"/>
    <n v="1"/>
    <m/>
    <m/>
    <m/>
    <m/>
    <m/>
    <m/>
    <m/>
    <m/>
    <m/>
    <m/>
    <m/>
    <m/>
    <m/>
    <m/>
    <m/>
    <m/>
    <m/>
    <m/>
  </r>
  <r>
    <s v="N108"/>
    <s v="N109"/>
    <n v="11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109"/>
    <s v="TP77"/>
    <n v="63.77"/>
    <x v="0"/>
    <x v="0"/>
    <s v="TPD"/>
    <s v="3&quot;"/>
    <n v="1"/>
    <s v="Codo"/>
    <s v="3&quot;"/>
    <n v="1"/>
    <s v="Tapón"/>
    <s v="3&quot;"/>
    <n v="1"/>
    <m/>
    <m/>
    <m/>
    <m/>
    <m/>
    <m/>
    <m/>
    <m/>
    <m/>
    <m/>
    <m/>
    <m/>
    <m/>
    <m/>
    <m/>
  </r>
  <r>
    <s v="N109"/>
    <s v="N110"/>
    <n v="73.45"/>
    <x v="0"/>
    <x v="0"/>
    <s v="TPL"/>
    <s v="3&quot;"/>
    <n v="1"/>
    <s v="Codo"/>
    <s v="3&quot;"/>
    <n v="1"/>
    <m/>
    <m/>
    <m/>
    <m/>
    <m/>
    <m/>
    <m/>
    <m/>
    <m/>
    <m/>
    <m/>
    <m/>
    <m/>
    <m/>
    <m/>
    <m/>
    <m/>
    <m/>
  </r>
  <r>
    <s v="N106"/>
    <s v="N110"/>
    <n v="23.3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110"/>
    <s v="N111"/>
    <n v="79.27"/>
    <x v="0"/>
    <x v="0"/>
    <s v="TPL"/>
    <s v="3&quot;"/>
    <n v="1"/>
    <s v="Codo"/>
    <s v="3&quot;"/>
    <n v="1"/>
    <m/>
    <m/>
    <m/>
    <m/>
    <m/>
    <m/>
    <m/>
    <m/>
    <m/>
    <m/>
    <m/>
    <m/>
    <m/>
    <m/>
    <m/>
    <m/>
    <m/>
    <m/>
  </r>
  <r>
    <s v="N111"/>
    <s v="N112"/>
    <n v="48.5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N112"/>
    <s v="TP78"/>
    <n v="38.35"/>
    <x v="0"/>
    <x v="0"/>
    <s v="TPL"/>
    <s v="3&quot;"/>
    <n v="1"/>
    <s v="Tapón"/>
    <s v="3&quot;"/>
    <n v="1"/>
    <m/>
    <m/>
    <m/>
    <m/>
    <m/>
    <m/>
    <m/>
    <m/>
    <m/>
    <m/>
    <m/>
    <m/>
    <m/>
    <m/>
    <m/>
    <m/>
    <m/>
    <m/>
  </r>
  <r>
    <s v="N105"/>
    <s v="N113"/>
    <n v="49.01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N113"/>
    <s v="TP79"/>
    <n v="41.23"/>
    <x v="0"/>
    <x v="0"/>
    <s v="TPD"/>
    <s v="3&quot;"/>
    <n v="1"/>
    <s v="Tapón"/>
    <s v="3&quot;"/>
    <n v="1"/>
    <m/>
    <m/>
    <m/>
    <m/>
    <m/>
    <m/>
    <m/>
    <m/>
    <m/>
    <m/>
    <m/>
    <m/>
    <m/>
    <m/>
    <m/>
    <m/>
    <m/>
    <m/>
  </r>
  <r>
    <s v="N113"/>
    <s v="N111"/>
    <n v="45.29"/>
    <x v="0"/>
    <x v="0"/>
    <s v="TPL"/>
    <s v="3&quot;"/>
    <m/>
    <m/>
    <m/>
    <m/>
    <m/>
    <m/>
    <m/>
    <m/>
    <m/>
    <m/>
    <m/>
    <m/>
    <m/>
    <m/>
    <m/>
    <m/>
    <m/>
    <m/>
    <m/>
    <m/>
    <m/>
    <m/>
  </r>
  <r>
    <s v="N112"/>
    <s v="TP80"/>
    <n v="121.05"/>
    <x v="0"/>
    <x v="0"/>
    <s v="TPL"/>
    <s v="3&quot;"/>
    <n v="1"/>
    <s v="Tapón"/>
    <s v="3&quot;"/>
    <n v="1"/>
    <m/>
    <m/>
    <m/>
    <m/>
    <m/>
    <m/>
    <m/>
    <m/>
    <m/>
    <m/>
    <m/>
    <m/>
    <m/>
    <m/>
    <m/>
    <m/>
    <m/>
    <m/>
  </r>
  <r>
    <s v="N113"/>
    <s v="N114"/>
    <n v="57.31"/>
    <x v="9"/>
    <x v="0"/>
    <s v="TPL"/>
    <s v="3&quot;"/>
    <n v="1"/>
    <s v="Reducción"/>
    <s v="1 1/2&quot;"/>
    <n v="1"/>
    <m/>
    <m/>
    <m/>
    <m/>
    <m/>
    <m/>
    <m/>
    <m/>
    <m/>
    <m/>
    <m/>
    <m/>
    <m/>
    <m/>
    <m/>
    <m/>
    <m/>
    <m/>
  </r>
  <r>
    <s v="N114"/>
    <s v="TP81"/>
    <n v="67.44"/>
    <x v="9"/>
    <x v="0"/>
    <s v="TPL"/>
    <s v="1 1/2&quot;"/>
    <n v="1"/>
    <s v="Tapón"/>
    <s v="1 1/2&quot;"/>
    <n v="1"/>
    <m/>
    <m/>
    <m/>
    <m/>
    <m/>
    <m/>
    <m/>
    <m/>
    <m/>
    <m/>
    <m/>
    <m/>
    <m/>
    <m/>
    <m/>
    <m/>
    <m/>
    <m/>
  </r>
  <r>
    <s v="N114"/>
    <s v="TP82"/>
    <n v="75.11"/>
    <x v="9"/>
    <x v="0"/>
    <s v="TPD"/>
    <s v="1 1/2&quot;"/>
    <n v="1"/>
    <s v="Codo"/>
    <s v="1 1/2&quot;"/>
    <n v="1"/>
    <s v="Tapón"/>
    <s v="1 1/2&quot;"/>
    <n v="1"/>
    <m/>
    <m/>
    <m/>
    <m/>
    <m/>
    <m/>
    <m/>
    <m/>
    <m/>
    <m/>
    <m/>
    <m/>
    <m/>
    <m/>
    <m/>
  </r>
  <r>
    <s v="N101"/>
    <s v="N115"/>
    <n v="44.32"/>
    <x v="8"/>
    <x v="0"/>
    <s v="TPD"/>
    <s v="4&quot;"/>
    <m/>
    <m/>
    <m/>
    <m/>
    <m/>
    <m/>
    <m/>
    <m/>
    <m/>
    <m/>
    <m/>
    <m/>
    <m/>
    <m/>
    <m/>
    <m/>
    <m/>
    <m/>
    <m/>
    <m/>
    <m/>
    <m/>
  </r>
  <r>
    <s v="N115"/>
    <s v="N116"/>
    <n v="19.53"/>
    <x v="1"/>
    <x v="0"/>
    <s v="TPL"/>
    <s v="4&quot;"/>
    <n v="1"/>
    <s v="Reducción"/>
    <s v="2&quot;"/>
    <n v="1"/>
    <s v="Válvula de Corte "/>
    <s v="2&quot;"/>
    <n v="1"/>
    <m/>
    <m/>
    <m/>
    <m/>
    <m/>
    <m/>
    <m/>
    <m/>
    <m/>
    <m/>
    <m/>
    <m/>
    <m/>
    <m/>
    <m/>
  </r>
  <r>
    <s v="N116"/>
    <s v="TP83"/>
    <n v="39.409999999999997"/>
    <x v="1"/>
    <x v="0"/>
    <s v="TPD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116"/>
    <s v="N117"/>
    <n v="36.479999999999997"/>
    <x v="1"/>
    <x v="0"/>
    <s v="TPL"/>
    <s v="2&quot;"/>
    <n v="1"/>
    <m/>
    <m/>
    <m/>
    <m/>
    <m/>
    <m/>
    <m/>
    <m/>
    <m/>
    <m/>
    <m/>
    <m/>
    <m/>
    <m/>
    <m/>
    <m/>
    <m/>
    <m/>
    <m/>
    <m/>
    <m/>
  </r>
  <r>
    <s v="N117"/>
    <s v="TP84"/>
    <n v="229.38"/>
    <x v="1"/>
    <x v="0"/>
    <s v="TPL"/>
    <s v="2&quot;"/>
    <n v="1"/>
    <s v="Válvula de Corte "/>
    <s v="2&quot;"/>
    <n v="1"/>
    <s v="Tapón"/>
    <s v="2&quot;"/>
    <n v="1"/>
    <m/>
    <m/>
    <m/>
    <m/>
    <m/>
    <m/>
    <m/>
    <m/>
    <m/>
    <m/>
    <m/>
    <m/>
    <m/>
    <m/>
    <m/>
  </r>
  <r>
    <s v="N117"/>
    <s v="TP85"/>
    <n v="18.36"/>
    <x v="1"/>
    <x v="0"/>
    <s v="TPD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115"/>
    <s v="N118"/>
    <n v="57.24"/>
    <x v="8"/>
    <x v="0"/>
    <s v="TPD"/>
    <s v="4&quot;"/>
    <n v="1"/>
    <m/>
    <m/>
    <m/>
    <m/>
    <m/>
    <m/>
    <m/>
    <m/>
    <m/>
    <m/>
    <m/>
    <m/>
    <m/>
    <m/>
    <m/>
    <m/>
    <m/>
    <m/>
    <m/>
    <m/>
    <m/>
  </r>
  <r>
    <s v="N118"/>
    <s v="N119"/>
    <n v="44.33"/>
    <x v="0"/>
    <x v="0"/>
    <s v="TPL"/>
    <s v="4&quot;"/>
    <n v="1"/>
    <s v="Reducción"/>
    <s v="3&quot;"/>
    <n v="1"/>
    <s v="Válvula de Corte "/>
    <s v="3&quot;"/>
    <n v="1"/>
    <m/>
    <m/>
    <m/>
    <m/>
    <m/>
    <m/>
    <m/>
    <m/>
    <m/>
    <m/>
    <m/>
    <m/>
    <m/>
    <m/>
    <m/>
  </r>
  <r>
    <s v="N118"/>
    <s v="N120"/>
    <n v="206.59"/>
    <x v="8"/>
    <x v="0"/>
    <s v="TPD"/>
    <s v="4&quot;"/>
    <n v="1"/>
    <m/>
    <m/>
    <m/>
    <m/>
    <m/>
    <m/>
    <m/>
    <m/>
    <m/>
    <m/>
    <m/>
    <m/>
    <m/>
    <m/>
    <m/>
    <m/>
    <m/>
    <m/>
    <m/>
    <m/>
    <m/>
  </r>
  <r>
    <s v="N78"/>
    <s v="CQ4"/>
    <n v="10.11"/>
    <x v="1"/>
    <x v="0"/>
    <s v="TPD"/>
    <s v="2&quot;"/>
    <n v="1"/>
    <m/>
    <m/>
    <m/>
    <m/>
    <m/>
    <m/>
    <m/>
    <m/>
    <m/>
    <m/>
    <m/>
    <m/>
    <m/>
    <m/>
    <m/>
    <m/>
    <m/>
    <m/>
    <m/>
    <m/>
    <m/>
  </r>
  <r>
    <s v="CQ4"/>
    <s v="N121"/>
    <n v="311.98"/>
    <x v="7"/>
    <x v="0"/>
    <s v="Codo"/>
    <s v="6&quot;"/>
    <n v="1"/>
    <m/>
    <m/>
    <m/>
    <m/>
    <m/>
    <m/>
    <m/>
    <m/>
    <m/>
    <m/>
    <m/>
    <m/>
    <m/>
    <m/>
    <m/>
    <m/>
    <m/>
    <m/>
    <m/>
    <m/>
    <m/>
  </r>
  <r>
    <s v="N121"/>
    <s v="N122"/>
    <n v="6.53"/>
    <x v="7"/>
    <x v="0"/>
    <s v="TPD"/>
    <s v="6&quot;"/>
    <n v="1"/>
    <s v="Hidrantes de Columna "/>
    <s v="6&quot;"/>
    <n v="1"/>
    <m/>
    <m/>
    <m/>
    <m/>
    <m/>
    <m/>
    <m/>
    <m/>
    <m/>
    <m/>
    <m/>
    <m/>
    <m/>
    <m/>
    <m/>
    <m/>
    <m/>
    <m/>
  </r>
  <r>
    <s v="N122"/>
    <s v="N123"/>
    <n v="45.96"/>
    <x v="0"/>
    <x v="0"/>
    <s v="TPD"/>
    <s v="6&quot;"/>
    <n v="1"/>
    <s v="Reducción"/>
    <s v="3&quot;"/>
    <n v="1"/>
    <m/>
    <m/>
    <m/>
    <m/>
    <m/>
    <m/>
    <m/>
    <m/>
    <m/>
    <m/>
    <m/>
    <m/>
    <m/>
    <m/>
    <m/>
    <m/>
    <m/>
    <m/>
  </r>
  <r>
    <s v="N123"/>
    <s v="TP86"/>
    <n v="54.86"/>
    <x v="6"/>
    <x v="0"/>
    <s v="Reducción"/>
    <s v="1&quot;"/>
    <n v="1"/>
    <s v="Codo"/>
    <s v="1&quot;"/>
    <n v="2"/>
    <s v="Tapón"/>
    <s v="1&quot;"/>
    <n v="1"/>
    <m/>
    <m/>
    <m/>
    <m/>
    <m/>
    <m/>
    <m/>
    <m/>
    <m/>
    <m/>
    <m/>
    <m/>
    <m/>
    <m/>
    <m/>
  </r>
  <r>
    <s v="N121"/>
    <s v="N124"/>
    <n v="46.81"/>
    <x v="7"/>
    <x v="0"/>
    <s v="TPL"/>
    <s v="6&quot;"/>
    <m/>
    <m/>
    <m/>
    <m/>
    <m/>
    <m/>
    <m/>
    <m/>
    <m/>
    <m/>
    <m/>
    <m/>
    <m/>
    <m/>
    <m/>
    <m/>
    <m/>
    <m/>
    <m/>
    <m/>
    <m/>
    <m/>
  </r>
  <r>
    <s v="N124"/>
    <s v="TP87"/>
    <n v="14.4"/>
    <x v="7"/>
    <x v="0"/>
    <s v="TPL"/>
    <s v="6&quot;"/>
    <n v="1"/>
    <s v="Tapón"/>
    <s v="6&quot;"/>
    <n v="1"/>
    <m/>
    <m/>
    <m/>
    <m/>
    <m/>
    <m/>
    <m/>
    <m/>
    <m/>
    <m/>
    <m/>
    <m/>
    <m/>
    <m/>
    <m/>
    <m/>
    <m/>
    <m/>
  </r>
  <r>
    <s v="N124"/>
    <s v="N125"/>
    <n v="209.42"/>
    <x v="7"/>
    <x v="0"/>
    <s v="TPL"/>
    <s v="6&quot;"/>
    <n v="1"/>
    <s v="Codo"/>
    <s v="6&quot;"/>
    <n v="1"/>
    <m/>
    <m/>
    <m/>
    <m/>
    <m/>
    <m/>
    <m/>
    <m/>
    <m/>
    <m/>
    <m/>
    <m/>
    <m/>
    <m/>
    <m/>
    <m/>
    <m/>
    <m/>
  </r>
  <r>
    <s v="N125"/>
    <s v="TP88"/>
    <n v="281.82"/>
    <x v="1"/>
    <x v="0"/>
    <s v="TPL"/>
    <s v="6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125"/>
    <s v="N126"/>
    <n v="33.86"/>
    <x v="7"/>
    <x v="0"/>
    <s v="TPD"/>
    <s v="6&quot;"/>
    <n v="1"/>
    <m/>
    <m/>
    <m/>
    <m/>
    <m/>
    <m/>
    <m/>
    <m/>
    <m/>
    <m/>
    <m/>
    <m/>
    <m/>
    <m/>
    <m/>
    <m/>
    <m/>
    <m/>
    <m/>
    <m/>
    <m/>
  </r>
  <r>
    <s v="N126"/>
    <s v="N127"/>
    <n v="67.27"/>
    <x v="0"/>
    <x v="2"/>
    <s v="TPL"/>
    <s v="6&quot;"/>
    <n v="1"/>
    <s v="Reducción"/>
    <s v="3&quot;"/>
    <n v="1"/>
    <m/>
    <m/>
    <m/>
    <m/>
    <m/>
    <m/>
    <m/>
    <m/>
    <m/>
    <m/>
    <m/>
    <m/>
    <m/>
    <m/>
    <m/>
    <m/>
    <m/>
    <m/>
  </r>
  <r>
    <s v="N127"/>
    <s v="N128"/>
    <n v="54.97"/>
    <x v="0"/>
    <x v="2"/>
    <s v="TPL"/>
    <s v="3&quot;"/>
    <n v="1"/>
    <s v="Válvula de Corte "/>
    <s v="3&quot;"/>
    <n v="1"/>
    <m/>
    <m/>
    <m/>
    <m/>
    <m/>
    <m/>
    <m/>
    <m/>
    <m/>
    <m/>
    <m/>
    <m/>
    <m/>
    <m/>
    <m/>
    <m/>
    <m/>
    <m/>
  </r>
  <r>
    <s v="N128"/>
    <s v="TP89"/>
    <n v="94.67"/>
    <x v="0"/>
    <x v="2"/>
    <s v="TPL"/>
    <s v="3&quot;"/>
    <n v="1"/>
    <s v="Tapón"/>
    <s v="3&quot;"/>
    <n v="1"/>
    <m/>
    <m/>
    <m/>
    <m/>
    <m/>
    <m/>
    <m/>
    <m/>
    <m/>
    <m/>
    <m/>
    <m/>
    <m/>
    <m/>
    <m/>
    <m/>
    <m/>
    <m/>
  </r>
  <r>
    <s v="N128"/>
    <s v="TP90"/>
    <n v="146.37"/>
    <x v="0"/>
    <x v="2"/>
    <s v="TPD"/>
    <s v="3&quot;"/>
    <n v="1"/>
    <s v="Codo"/>
    <s v="3&quot;"/>
    <n v="1"/>
    <s v="Tapón"/>
    <s v="3&quot;"/>
    <n v="1"/>
    <m/>
    <m/>
    <m/>
    <m/>
    <m/>
    <m/>
    <m/>
    <m/>
    <m/>
    <m/>
    <m/>
    <m/>
    <m/>
    <m/>
    <m/>
  </r>
  <r>
    <s v="N127"/>
    <s v="N129"/>
    <n v="15.09"/>
    <x v="0"/>
    <x v="2"/>
    <s v="TPD"/>
    <s v="3&quot;"/>
    <n v="1"/>
    <s v="Válvula de Corte "/>
    <s v="3&quot;"/>
    <n v="1"/>
    <m/>
    <m/>
    <m/>
    <m/>
    <m/>
    <m/>
    <m/>
    <m/>
    <m/>
    <m/>
    <m/>
    <m/>
    <m/>
    <m/>
    <m/>
    <m/>
    <m/>
    <m/>
  </r>
  <r>
    <s v="N129"/>
    <s v="TP91"/>
    <n v="164.48"/>
    <x v="1"/>
    <x v="0"/>
    <s v="TPL"/>
    <s v="3&quot;"/>
    <n v="1"/>
    <s v="Reducción"/>
    <s v="2&quot;"/>
    <n v="1"/>
    <s v="Codo"/>
    <s v="2&quot;"/>
    <n v="1"/>
    <s v="Tapón"/>
    <s v="2&quot;"/>
    <n v="1"/>
    <m/>
    <m/>
    <m/>
    <m/>
    <m/>
    <m/>
    <m/>
    <m/>
    <m/>
    <m/>
    <m/>
    <m/>
  </r>
  <r>
    <s v="N129"/>
    <s v="TP92"/>
    <n v="91.22"/>
    <x v="0"/>
    <x v="2"/>
    <s v="TPD"/>
    <s v="3&quot;"/>
    <n v="1"/>
    <s v="Tapón"/>
    <s v="3&quot;"/>
    <n v="1"/>
    <m/>
    <m/>
    <m/>
    <m/>
    <m/>
    <m/>
    <m/>
    <m/>
    <m/>
    <m/>
    <m/>
    <m/>
    <m/>
    <m/>
    <m/>
    <m/>
    <m/>
    <m/>
  </r>
  <r>
    <s v="N126"/>
    <s v="N130"/>
    <n v="44.4"/>
    <x v="7"/>
    <x v="0"/>
    <s v="TPD"/>
    <s v="6&quot;"/>
    <n v="1"/>
    <m/>
    <m/>
    <m/>
    <m/>
    <m/>
    <m/>
    <m/>
    <m/>
    <m/>
    <m/>
    <m/>
    <m/>
    <m/>
    <m/>
    <m/>
    <m/>
    <m/>
    <m/>
    <m/>
    <m/>
    <m/>
  </r>
  <r>
    <s v="N130"/>
    <s v="TP93"/>
    <n v="64.83"/>
    <x v="0"/>
    <x v="2"/>
    <s v="TPL"/>
    <s v="6&quot;"/>
    <n v="1"/>
    <s v="Reducción"/>
    <s v="3&quot;"/>
    <n v="1"/>
    <s v="Tapón"/>
    <s v="3&quot;"/>
    <n v="1"/>
    <m/>
    <m/>
    <m/>
    <m/>
    <m/>
    <m/>
    <m/>
    <m/>
    <m/>
    <m/>
    <m/>
    <m/>
    <m/>
    <m/>
    <m/>
  </r>
  <r>
    <s v="N130"/>
    <s v="M131"/>
    <n v="14.23"/>
    <x v="7"/>
    <x v="0"/>
    <s v="TPD"/>
    <s v="6&quot;"/>
    <n v="1"/>
    <m/>
    <m/>
    <m/>
    <m/>
    <m/>
    <m/>
    <m/>
    <m/>
    <m/>
    <m/>
    <m/>
    <m/>
    <m/>
    <m/>
    <m/>
    <m/>
    <m/>
    <m/>
    <m/>
    <m/>
    <m/>
  </r>
  <r>
    <s v="N131"/>
    <s v="TP94"/>
    <n v="56.03"/>
    <x v="0"/>
    <x v="2"/>
    <s v="TPL"/>
    <s v="6&quot;"/>
    <n v="1"/>
    <s v="Reducción"/>
    <s v="3&quot;"/>
    <n v="1"/>
    <s v="Tapón"/>
    <s v="3&quot;"/>
    <n v="1"/>
    <m/>
    <m/>
    <m/>
    <m/>
    <m/>
    <m/>
    <m/>
    <m/>
    <m/>
    <m/>
    <m/>
    <m/>
    <m/>
    <m/>
    <m/>
  </r>
  <r>
    <s v="N131"/>
    <s v="N132"/>
    <n v="65.84"/>
    <x v="7"/>
    <x v="0"/>
    <s v="TPD"/>
    <s v="6&quot;"/>
    <n v="1"/>
    <m/>
    <m/>
    <m/>
    <m/>
    <m/>
    <m/>
    <m/>
    <m/>
    <m/>
    <m/>
    <m/>
    <m/>
    <m/>
    <m/>
    <m/>
    <m/>
    <m/>
    <m/>
    <m/>
    <m/>
    <m/>
  </r>
  <r>
    <s v="N132"/>
    <s v="TP95"/>
    <n v="59.43"/>
    <x v="0"/>
    <x v="2"/>
    <s v="TPL"/>
    <s v="6&quot;"/>
    <n v="1"/>
    <s v="Reducción"/>
    <s v="3&quot;"/>
    <n v="1"/>
    <s v="Tapón"/>
    <s v="3&quot;"/>
    <n v="1"/>
    <m/>
    <m/>
    <m/>
    <m/>
    <m/>
    <m/>
    <m/>
    <m/>
    <m/>
    <m/>
    <m/>
    <m/>
    <m/>
    <m/>
    <m/>
  </r>
  <r>
    <s v="N132"/>
    <s v="N120"/>
    <n v="54.78"/>
    <x v="7"/>
    <x v="0"/>
    <s v="TPD"/>
    <s v="6&quot;"/>
    <n v="1"/>
    <s v="Válvula de Corte "/>
    <s v="6&quot;"/>
    <n v="1"/>
    <m/>
    <m/>
    <m/>
    <m/>
    <m/>
    <m/>
    <m/>
    <m/>
    <m/>
    <m/>
    <m/>
    <m/>
    <m/>
    <m/>
    <m/>
    <m/>
    <m/>
    <m/>
  </r>
  <r>
    <s v="N120"/>
    <s v="N133"/>
    <n v="50.26"/>
    <x v="8"/>
    <x v="0"/>
    <s v="TPD"/>
    <s v="4&quot;"/>
    <n v="1"/>
    <m/>
    <m/>
    <m/>
    <m/>
    <m/>
    <m/>
    <m/>
    <m/>
    <m/>
    <m/>
    <m/>
    <m/>
    <m/>
    <m/>
    <m/>
    <m/>
    <m/>
    <m/>
    <m/>
    <m/>
    <m/>
  </r>
  <r>
    <s v="N133"/>
    <s v="TP96"/>
    <n v="63.11"/>
    <x v="1"/>
    <x v="0"/>
    <s v="TPL"/>
    <s v="4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133"/>
    <s v="N134"/>
    <n v="57"/>
    <x v="8"/>
    <x v="0"/>
    <s v="TPD"/>
    <s v="4&quot;"/>
    <n v="1"/>
    <m/>
    <m/>
    <m/>
    <m/>
    <m/>
    <m/>
    <m/>
    <m/>
    <m/>
    <m/>
    <m/>
    <m/>
    <m/>
    <m/>
    <m/>
    <m/>
    <m/>
    <m/>
    <m/>
    <m/>
    <m/>
  </r>
  <r>
    <s v="N134"/>
    <s v="N135"/>
    <n v="20.22"/>
    <x v="0"/>
    <x v="0"/>
    <s v="Reducción"/>
    <s v="3&quot;"/>
    <n v="1"/>
    <s v="Válvula de Corte "/>
    <s v="3&quot;"/>
    <n v="1"/>
    <m/>
    <m/>
    <m/>
    <m/>
    <m/>
    <m/>
    <m/>
    <m/>
    <m/>
    <m/>
    <m/>
    <m/>
    <m/>
    <m/>
    <m/>
    <m/>
    <m/>
    <m/>
  </r>
  <r>
    <s v="N76"/>
    <s v="N135"/>
    <n v="55.93"/>
    <x v="0"/>
    <x v="0"/>
    <s v="Reducción"/>
    <s v="3&quot;"/>
    <n v="1"/>
    <s v="Codo"/>
    <s v="3&quot;"/>
    <n v="2"/>
    <m/>
    <m/>
    <m/>
    <m/>
    <m/>
    <m/>
    <m/>
    <m/>
    <m/>
    <m/>
    <m/>
    <m/>
    <m/>
    <m/>
    <m/>
    <m/>
    <m/>
    <m/>
  </r>
  <r>
    <s v="N135"/>
    <s v="N136"/>
    <n v="35.200000000000003"/>
    <x v="0"/>
    <x v="0"/>
    <s v="TPL"/>
    <s v="3&quot;"/>
    <n v="1"/>
    <s v="Válvula de Corte "/>
    <s v="3&quot;"/>
    <n v="1"/>
    <m/>
    <m/>
    <m/>
    <m/>
    <m/>
    <m/>
    <m/>
    <m/>
    <m/>
    <m/>
    <m/>
    <m/>
    <m/>
    <m/>
    <m/>
    <m/>
    <m/>
    <m/>
  </r>
  <r>
    <s v="N136"/>
    <s v="TP97"/>
    <n v="34.369999999999997"/>
    <x v="0"/>
    <x v="0"/>
    <s v="TPL"/>
    <s v="3&quot;"/>
    <n v="1"/>
    <s v="Tapón"/>
    <s v="3&quot;"/>
    <n v="1"/>
    <m/>
    <m/>
    <m/>
    <m/>
    <m/>
    <m/>
    <m/>
    <m/>
    <m/>
    <m/>
    <m/>
    <m/>
    <m/>
    <m/>
    <m/>
    <m/>
    <m/>
    <m/>
  </r>
  <r>
    <s v="N136"/>
    <s v="N137"/>
    <n v="20.57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N137"/>
    <s v="N138"/>
    <n v="31.39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138"/>
    <s v="TP98"/>
    <n v="37.76"/>
    <x v="0"/>
    <x v="0"/>
    <s v="TPL"/>
    <s v="3&quot;"/>
    <n v="1"/>
    <s v="Tapón"/>
    <s v="3&quot;"/>
    <n v="1"/>
    <m/>
    <m/>
    <m/>
    <m/>
    <m/>
    <m/>
    <m/>
    <m/>
    <m/>
    <m/>
    <m/>
    <m/>
    <m/>
    <m/>
    <m/>
    <m/>
    <m/>
    <m/>
  </r>
  <r>
    <s v="N138"/>
    <s v="TP99"/>
    <n v="40.71"/>
    <x v="0"/>
    <x v="0"/>
    <s v="TPD"/>
    <s v="3&quot;"/>
    <n v="1"/>
    <s v="Tapón"/>
    <s v="3&quot;"/>
    <n v="1"/>
    <m/>
    <m/>
    <m/>
    <m/>
    <m/>
    <m/>
    <m/>
    <m/>
    <m/>
    <m/>
    <m/>
    <m/>
    <m/>
    <m/>
    <m/>
    <m/>
    <m/>
    <m/>
  </r>
  <r>
    <s v="N137"/>
    <s v="N139"/>
    <n v="58.95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N139"/>
    <s v="N140"/>
    <n v="63.85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N140"/>
    <s v="TP100"/>
    <n v="26.18"/>
    <x v="0"/>
    <x v="0"/>
    <s v="TPD"/>
    <s v="3&quot;"/>
    <n v="1"/>
    <s v="Tapón"/>
    <s v="3&quot;"/>
    <n v="1"/>
    <m/>
    <m/>
    <m/>
    <m/>
    <m/>
    <m/>
    <m/>
    <m/>
    <m/>
    <m/>
    <m/>
    <m/>
    <m/>
    <m/>
    <m/>
    <m/>
    <m/>
    <m/>
  </r>
  <r>
    <s v="N140"/>
    <s v="N141"/>
    <n v="14.23"/>
    <x v="1"/>
    <x v="0"/>
    <s v="TPL"/>
    <s v="3&quot;"/>
    <n v="1"/>
    <s v="Reducción"/>
    <s v="2&quot;"/>
    <n v="1"/>
    <s v="Válvula de Corte "/>
    <s v="2&quot;"/>
    <n v="1"/>
    <m/>
    <m/>
    <m/>
    <m/>
    <m/>
    <m/>
    <m/>
    <m/>
    <m/>
    <m/>
    <m/>
    <m/>
    <m/>
    <m/>
    <m/>
  </r>
  <r>
    <s v="N141"/>
    <s v="TP101"/>
    <n v="21.96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141"/>
    <s v="N142"/>
    <n v="28.85"/>
    <x v="1"/>
    <x v="0"/>
    <s v="TPD"/>
    <s v="2&quot;"/>
    <n v="1"/>
    <m/>
    <m/>
    <m/>
    <m/>
    <m/>
    <m/>
    <m/>
    <m/>
    <m/>
    <m/>
    <m/>
    <m/>
    <m/>
    <m/>
    <m/>
    <m/>
    <m/>
    <m/>
    <m/>
    <m/>
    <m/>
  </r>
  <r>
    <s v="N142"/>
    <s v="TP102"/>
    <n v="27.56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142"/>
    <s v="TP103"/>
    <n v="69.97"/>
    <x v="1"/>
    <x v="0"/>
    <s v="TPD"/>
    <s v="2&quot;"/>
    <n v="1"/>
    <s v="Codo"/>
    <s v="2&quot;"/>
    <n v="1"/>
    <s v="Tapón"/>
    <s v="2&quot;"/>
    <n v="1"/>
    <m/>
    <m/>
    <m/>
    <m/>
    <m/>
    <m/>
    <m/>
    <m/>
    <m/>
    <m/>
    <m/>
    <m/>
    <m/>
    <m/>
    <m/>
  </r>
  <r>
    <s v="N135"/>
    <s v="N143"/>
    <n v="51.7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143"/>
    <s v="TP104"/>
    <n v="5.33"/>
    <x v="0"/>
    <x v="0"/>
    <s v="TPL"/>
    <s v="3&quot;"/>
    <n v="1"/>
    <s v="Tapón"/>
    <s v="3&quot;"/>
    <n v="1"/>
    <m/>
    <m/>
    <m/>
    <m/>
    <m/>
    <m/>
    <m/>
    <m/>
    <m/>
    <m/>
    <m/>
    <m/>
    <m/>
    <m/>
    <m/>
    <m/>
    <m/>
    <m/>
  </r>
  <r>
    <s v="N143"/>
    <s v="N144"/>
    <n v="105.43"/>
    <x v="0"/>
    <x v="0"/>
    <s v="TPD"/>
    <s v="3&quot;"/>
    <n v="1"/>
    <s v="Codo"/>
    <s v="3&quot;"/>
    <n v="1"/>
    <m/>
    <m/>
    <m/>
    <m/>
    <m/>
    <m/>
    <m/>
    <m/>
    <m/>
    <m/>
    <m/>
    <m/>
    <m/>
    <m/>
    <m/>
    <m/>
    <m/>
    <m/>
  </r>
  <r>
    <s v="N144"/>
    <s v="N145"/>
    <n v="21.2"/>
    <x v="1"/>
    <x v="0"/>
    <s v="TPL"/>
    <s v="3&quot;"/>
    <n v="1"/>
    <s v="Reducción"/>
    <s v="2&quot;"/>
    <n v="1"/>
    <s v="Válvula de Corte "/>
    <s v="2&quot;"/>
    <n v="1"/>
    <m/>
    <m/>
    <m/>
    <m/>
    <m/>
    <m/>
    <m/>
    <m/>
    <m/>
    <m/>
    <m/>
    <m/>
    <m/>
    <m/>
    <m/>
  </r>
  <r>
    <s v="N145"/>
    <s v="TP105"/>
    <n v="80.569999999999993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145"/>
    <s v="N146"/>
    <n v="29.27"/>
    <x v="1"/>
    <x v="0"/>
    <s v="TPD"/>
    <s v="2&quot;"/>
    <n v="1"/>
    <m/>
    <m/>
    <m/>
    <m/>
    <m/>
    <m/>
    <m/>
    <m/>
    <m/>
    <m/>
    <m/>
    <m/>
    <m/>
    <m/>
    <m/>
    <m/>
    <m/>
    <m/>
    <m/>
    <m/>
    <m/>
  </r>
  <r>
    <s v="N146"/>
    <s v="TP106"/>
    <n v="63.16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146"/>
    <s v="N147"/>
    <n v="37.99"/>
    <x v="1"/>
    <x v="0"/>
    <s v="TPD"/>
    <s v="2&quot;"/>
    <n v="1"/>
    <m/>
    <m/>
    <m/>
    <m/>
    <m/>
    <m/>
    <m/>
    <m/>
    <m/>
    <m/>
    <m/>
    <m/>
    <m/>
    <m/>
    <m/>
    <m/>
    <m/>
    <m/>
    <m/>
    <m/>
    <m/>
  </r>
  <r>
    <s v="N147"/>
    <s v="TP107"/>
    <n v="65.91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147"/>
    <s v="TP108"/>
    <n v="124.41"/>
    <x v="1"/>
    <x v="0"/>
    <s v="TPD"/>
    <s v="2&quot;"/>
    <n v="1"/>
    <s v="Codo"/>
    <s v="2&quot;"/>
    <n v="1"/>
    <s v="Tapón"/>
    <s v="2&quot;"/>
    <n v="1"/>
    <m/>
    <m/>
    <m/>
    <m/>
    <m/>
    <m/>
    <m/>
    <m/>
    <m/>
    <m/>
    <m/>
    <m/>
    <m/>
    <m/>
    <m/>
  </r>
  <r>
    <s v="N144"/>
    <s v="N148"/>
    <n v="113.31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139"/>
    <s v="N148"/>
    <n v="87.88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N148"/>
    <s v="N149"/>
    <n v="18.82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149"/>
    <s v="TP109"/>
    <n v="51.18"/>
    <x v="1"/>
    <x v="0"/>
    <s v="TPL"/>
    <s v="3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149"/>
    <s v="N150"/>
    <n v="37.42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150"/>
    <s v="N151"/>
    <n v="34.89"/>
    <x v="1"/>
    <x v="0"/>
    <s v="TPL"/>
    <s v="3&quot;"/>
    <n v="1"/>
    <s v="Reducción"/>
    <s v="2&quot;"/>
    <n v="1"/>
    <m/>
    <m/>
    <m/>
    <m/>
    <m/>
    <m/>
    <m/>
    <m/>
    <m/>
    <m/>
    <m/>
    <m/>
    <m/>
    <m/>
    <m/>
    <m/>
    <m/>
    <m/>
  </r>
  <r>
    <s v="N151"/>
    <s v="TP110"/>
    <n v="23.09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151"/>
    <s v="TP111"/>
    <n v="21.51"/>
    <x v="1"/>
    <x v="0"/>
    <s v="TPD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150"/>
    <s v="N152"/>
    <n v="63.6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152"/>
    <s v="N153"/>
    <n v="90.22"/>
    <x v="8"/>
    <x v="0"/>
    <s v="TPL"/>
    <s v="3&quot;"/>
    <n v="1"/>
    <s v="Ampliación"/>
    <s v="4&quot;"/>
    <n v="1"/>
    <s v="Válvula de Corte "/>
    <s v="4&quot;"/>
    <n v="1"/>
    <m/>
    <m/>
    <m/>
    <m/>
    <m/>
    <m/>
    <m/>
    <m/>
    <m/>
    <m/>
    <m/>
    <m/>
    <m/>
    <m/>
    <m/>
  </r>
  <r>
    <s v="N153"/>
    <s v="N154"/>
    <n v="7.68"/>
    <x v="8"/>
    <x v="0"/>
    <s v="TPD"/>
    <s v="4&quot;"/>
    <n v="1"/>
    <m/>
    <m/>
    <m/>
    <m/>
    <m/>
    <m/>
    <m/>
    <m/>
    <m/>
    <m/>
    <m/>
    <m/>
    <m/>
    <m/>
    <m/>
    <m/>
    <m/>
    <m/>
    <m/>
    <m/>
    <m/>
  </r>
  <r>
    <s v="N154"/>
    <s v="N155"/>
    <n v="47.65"/>
    <x v="1"/>
    <x v="0"/>
    <s v="TPL"/>
    <s v="4&quot;"/>
    <n v="1"/>
    <s v="Reducción"/>
    <s v="2&quot;"/>
    <n v="1"/>
    <m/>
    <m/>
    <m/>
    <m/>
    <m/>
    <m/>
    <m/>
    <m/>
    <m/>
    <m/>
    <m/>
    <m/>
    <m/>
    <m/>
    <m/>
    <m/>
    <m/>
    <m/>
  </r>
  <r>
    <s v="N155"/>
    <s v="TP112"/>
    <n v="53.98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155"/>
    <s v="N156"/>
    <n v="100.34"/>
    <x v="1"/>
    <x v="0"/>
    <s v="TPD"/>
    <s v="2&quot;"/>
    <n v="1"/>
    <s v="Codo"/>
    <s v="2&quot;"/>
    <n v="1"/>
    <m/>
    <m/>
    <m/>
    <m/>
    <m/>
    <m/>
    <m/>
    <m/>
    <m/>
    <m/>
    <m/>
    <m/>
    <m/>
    <m/>
    <m/>
    <m/>
    <m/>
    <m/>
  </r>
  <r>
    <s v="N156"/>
    <s v="TP113"/>
    <n v="33.35"/>
    <x v="1"/>
    <x v="0"/>
    <s v="TPL"/>
    <s v="2&quot;"/>
    <n v="1"/>
    <m/>
    <m/>
    <m/>
    <m/>
    <m/>
    <m/>
    <m/>
    <m/>
    <m/>
    <m/>
    <m/>
    <m/>
    <m/>
    <m/>
    <m/>
    <m/>
    <m/>
    <m/>
    <m/>
    <m/>
    <m/>
  </r>
  <r>
    <s v="N156"/>
    <s v="N157"/>
    <n v="23.13"/>
    <x v="1"/>
    <x v="0"/>
    <s v="TPD"/>
    <s v="2&quot;"/>
    <n v="1"/>
    <s v="Codo"/>
    <s v="2&quot;"/>
    <n v="2"/>
    <m/>
    <m/>
    <m/>
    <m/>
    <m/>
    <m/>
    <m/>
    <m/>
    <m/>
    <m/>
    <m/>
    <m/>
    <m/>
    <m/>
    <m/>
    <m/>
    <m/>
    <m/>
  </r>
  <r>
    <s v="N157"/>
    <s v="TP114"/>
    <n v="24.04"/>
    <x v="1"/>
    <x v="0"/>
    <s v="TPD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157"/>
    <s v="TP115"/>
    <n v="27.52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153"/>
    <s v="N158"/>
    <n v="38.96"/>
    <x v="0"/>
    <x v="0"/>
    <s v="TPL"/>
    <s v="4&quot;"/>
    <n v="1"/>
    <s v="Reducción"/>
    <s v="3&quot;"/>
    <n v="1"/>
    <m/>
    <m/>
    <m/>
    <m/>
    <m/>
    <m/>
    <m/>
    <m/>
    <m/>
    <m/>
    <m/>
    <m/>
    <m/>
    <m/>
    <m/>
    <m/>
    <m/>
    <m/>
  </r>
  <r>
    <s v="N158"/>
    <s v="N159"/>
    <n v="58.72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159"/>
    <s v="TP116"/>
    <n v="34.590000000000003"/>
    <x v="1"/>
    <x v="0"/>
    <s v="TPL"/>
    <s v="3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159"/>
    <s v="N160"/>
    <n v="5.4"/>
    <x v="0"/>
    <x v="0"/>
    <s v="TPD"/>
    <s v="3&quot;"/>
    <n v="1"/>
    <s v="Codo"/>
    <s v="3&quot;"/>
    <n v="1"/>
    <m/>
    <m/>
    <m/>
    <m/>
    <m/>
    <m/>
    <m/>
    <m/>
    <m/>
    <m/>
    <m/>
    <m/>
    <m/>
    <m/>
    <m/>
    <m/>
    <m/>
    <m/>
  </r>
  <r>
    <s v="N160"/>
    <s v="TP117"/>
    <n v="65.08"/>
    <x v="1"/>
    <x v="0"/>
    <s v="TPL"/>
    <s v="3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160"/>
    <s v="N161"/>
    <n v="86.95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161"/>
    <s v="TP118"/>
    <n v="141.99"/>
    <x v="1"/>
    <x v="0"/>
    <s v="TPL"/>
    <s v="3&quot;"/>
    <n v="1"/>
    <s v="Reducción"/>
    <s v="2&quot;"/>
    <n v="1"/>
    <s v="Codo"/>
    <s v="2&quot;"/>
    <n v="1"/>
    <s v="Tapón"/>
    <s v="2&quot;"/>
    <n v="1"/>
    <m/>
    <m/>
    <m/>
    <m/>
    <m/>
    <m/>
    <m/>
    <m/>
    <m/>
    <m/>
    <m/>
    <m/>
  </r>
  <r>
    <s v="N161"/>
    <s v="N162"/>
    <n v="50.04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162"/>
    <s v="TP119"/>
    <n v="64.650000000000006"/>
    <x v="1"/>
    <x v="0"/>
    <s v="TPL"/>
    <s v="3&quot;"/>
    <n v="1"/>
    <s v="Reducción"/>
    <s v="2&quot;"/>
    <n v="1"/>
    <s v="Válvula de Corte "/>
    <s v="2&quot;"/>
    <n v="1"/>
    <s v="Tapón"/>
    <s v="2&quot;"/>
    <n v="1"/>
    <m/>
    <m/>
    <m/>
    <m/>
    <m/>
    <m/>
    <m/>
    <m/>
    <m/>
    <m/>
    <m/>
    <m/>
  </r>
  <r>
    <s v="N162"/>
    <s v="N163"/>
    <n v="92.99"/>
    <x v="1"/>
    <x v="0"/>
    <s v="TPD"/>
    <s v="3&quot;"/>
    <n v="1"/>
    <s v="Reducción"/>
    <s v="2&quot;"/>
    <n v="1"/>
    <m/>
    <m/>
    <m/>
    <m/>
    <m/>
    <m/>
    <m/>
    <m/>
    <m/>
    <m/>
    <m/>
    <m/>
    <m/>
    <m/>
    <m/>
    <m/>
    <m/>
    <m/>
  </r>
  <r>
    <s v="N163"/>
    <s v="TP120"/>
    <n v="211.78"/>
    <x v="1"/>
    <x v="0"/>
    <s v="TPD"/>
    <s v="2&quot;"/>
    <n v="1"/>
    <s v="Codo"/>
    <s v="2&quot;"/>
    <n v="2"/>
    <s v="Tapón"/>
    <s v="2&quot;"/>
    <n v="1"/>
    <m/>
    <m/>
    <m/>
    <m/>
    <m/>
    <m/>
    <m/>
    <m/>
    <m/>
    <m/>
    <m/>
    <m/>
    <m/>
    <m/>
    <m/>
  </r>
  <r>
    <s v="N163"/>
    <s v="N164"/>
    <n v="9.5"/>
    <x v="1"/>
    <x v="0"/>
    <s v="TPL"/>
    <s v="2&quot;"/>
    <n v="1"/>
    <s v="Válvula de Corte "/>
    <s v="2&quot;"/>
    <n v="1"/>
    <s v="Codo"/>
    <s v="2&quot;"/>
    <n v="1"/>
    <m/>
    <m/>
    <m/>
    <m/>
    <m/>
    <m/>
    <m/>
    <m/>
    <m/>
    <m/>
    <m/>
    <m/>
    <m/>
    <m/>
    <m/>
  </r>
  <r>
    <s v="N164"/>
    <s v="TP121"/>
    <n v="73.48"/>
    <x v="1"/>
    <x v="0"/>
    <s v="TPD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164"/>
    <s v="TP122"/>
    <n v="126.32"/>
    <x v="1"/>
    <x v="0"/>
    <s v="TPL"/>
    <s v="2&quot;"/>
    <n v="1"/>
    <s v="Codo"/>
    <s v="2&quot;"/>
    <n v="1"/>
    <s v="Codo"/>
    <s v="2&quot;"/>
    <n v="1"/>
    <m/>
    <m/>
    <m/>
    <m/>
    <m/>
    <m/>
    <m/>
    <m/>
    <m/>
    <m/>
    <m/>
    <m/>
    <m/>
    <m/>
    <m/>
  </r>
  <r>
    <s v="N158"/>
    <s v="N165"/>
    <n v="407.28"/>
    <x v="8"/>
    <x v="0"/>
    <s v="TPL"/>
    <s v="3&quot;"/>
    <n v="1"/>
    <s v="Ampliación"/>
    <s v="4&quot;"/>
    <n v="1"/>
    <s v="Codo"/>
    <s v="4&quot;"/>
    <n v="3"/>
    <s v="Válvula de Corte "/>
    <s v="4&quot;"/>
    <n v="1"/>
    <m/>
    <m/>
    <m/>
    <m/>
    <m/>
    <m/>
    <m/>
    <m/>
    <m/>
    <m/>
    <m/>
    <m/>
  </r>
  <r>
    <s v="N154"/>
    <s v="N166"/>
    <n v="75.709999999999994"/>
    <x v="1"/>
    <x v="0"/>
    <s v="TPL"/>
    <s v="2&quot;"/>
    <n v="1"/>
    <s v="Codo"/>
    <s v="2&quot;"/>
    <n v="1"/>
    <m/>
    <m/>
    <m/>
    <m/>
    <m/>
    <m/>
    <m/>
    <m/>
    <m/>
    <m/>
    <m/>
    <m/>
    <m/>
    <m/>
    <m/>
    <m/>
    <m/>
    <m/>
  </r>
  <r>
    <s v="N166"/>
    <s v="TP123"/>
    <n v="140.82"/>
    <x v="1"/>
    <x v="0"/>
    <s v="TPL"/>
    <s v="2&quot;"/>
    <n v="1"/>
    <s v="Codo"/>
    <s v="2&quot;"/>
    <n v="2"/>
    <s v="Tapón"/>
    <s v="2&quot;"/>
    <n v="1"/>
    <m/>
    <m/>
    <m/>
    <m/>
    <m/>
    <m/>
    <m/>
    <m/>
    <m/>
    <m/>
    <m/>
    <m/>
    <m/>
    <m/>
    <m/>
  </r>
  <r>
    <s v="N166"/>
    <s v="N167"/>
    <n v="177.73"/>
    <x v="1"/>
    <x v="0"/>
    <s v="TPD"/>
    <s v="2&quot;"/>
    <n v="1"/>
    <s v="Codo"/>
    <s v="2&quot;"/>
    <n v="2"/>
    <m/>
    <m/>
    <m/>
    <m/>
    <m/>
    <m/>
    <m/>
    <m/>
    <m/>
    <m/>
    <m/>
    <m/>
    <m/>
    <m/>
    <m/>
    <m/>
    <m/>
    <m/>
  </r>
  <r>
    <s v="N167"/>
    <s v="TP124"/>
    <n v="61.93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167"/>
    <s v="TP125"/>
    <n v="36.67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135"/>
    <s v="N168"/>
    <n v="83.24"/>
    <x v="1"/>
    <x v="0"/>
    <s v="TPL"/>
    <s v="3&quot;"/>
    <n v="1"/>
    <s v="Reducción"/>
    <s v="2&quot;"/>
    <n v="1"/>
    <s v="Válvula de Corte "/>
    <s v="2&quot;"/>
    <n v="1"/>
    <s v="Codo"/>
    <s v="2&quot;"/>
    <n v="2"/>
    <m/>
    <m/>
    <m/>
    <m/>
    <m/>
    <m/>
    <m/>
    <m/>
    <m/>
    <m/>
    <m/>
    <m/>
  </r>
  <r>
    <s v="N168"/>
    <s v="TP126"/>
    <n v="40.68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168"/>
    <s v="TP127"/>
    <n v="95.48"/>
    <x v="1"/>
    <x v="0"/>
    <s v="TPD"/>
    <s v="2&quot;"/>
    <n v="1"/>
    <s v="Codo"/>
    <s v="2&quot;"/>
    <n v="1"/>
    <s v="Tapón"/>
    <s v="2&quot;"/>
    <n v="1"/>
    <m/>
    <m/>
    <m/>
    <m/>
    <m/>
    <m/>
    <m/>
    <m/>
    <m/>
    <m/>
    <m/>
    <m/>
    <m/>
    <m/>
    <m/>
  </r>
  <r>
    <s v="N135"/>
    <s v="N169"/>
    <n v="3.5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T.PROGRESO2"/>
    <s v="N170"/>
    <n v="75.430000000000007"/>
    <x v="1"/>
    <x v="0"/>
    <s v="Codo"/>
    <s v="2&quot;"/>
    <n v="2"/>
    <m/>
    <m/>
    <m/>
    <m/>
    <m/>
    <m/>
    <m/>
    <m/>
    <m/>
    <m/>
    <m/>
    <m/>
    <m/>
    <m/>
    <m/>
    <m/>
    <m/>
    <m/>
    <m/>
    <m/>
    <m/>
  </r>
  <r>
    <s v="N170"/>
    <s v="TP128"/>
    <n v="36.94"/>
    <x v="1"/>
    <x v="0"/>
    <s v="TPL"/>
    <s v="2&quot;"/>
    <n v="1"/>
    <s v="Tapón"/>
    <s v="2&quot;"/>
    <m/>
    <m/>
    <m/>
    <m/>
    <m/>
    <m/>
    <m/>
    <m/>
    <m/>
    <m/>
    <m/>
    <m/>
    <m/>
    <m/>
    <m/>
    <m/>
    <m/>
    <m/>
    <m/>
  </r>
  <r>
    <s v="N170"/>
    <s v="N171"/>
    <n v="106"/>
    <x v="9"/>
    <x v="0"/>
    <s v="TPD"/>
    <s v="2&quot;"/>
    <n v="1"/>
    <s v="Reducción"/>
    <s v="1 1/2&quot;"/>
    <n v="1"/>
    <m/>
    <m/>
    <m/>
    <m/>
    <m/>
    <m/>
    <m/>
    <m/>
    <m/>
    <m/>
    <m/>
    <m/>
    <m/>
    <m/>
    <m/>
    <m/>
    <m/>
    <m/>
  </r>
  <r>
    <s v="N171"/>
    <s v="TP129"/>
    <n v="107.63"/>
    <x v="9"/>
    <x v="0"/>
    <s v="TPD"/>
    <s v="1 1/2&quot;"/>
    <n v="1"/>
    <s v="Tapón"/>
    <s v="1 1/2&quot;"/>
    <n v="1"/>
    <m/>
    <m/>
    <m/>
    <m/>
    <m/>
    <m/>
    <m/>
    <m/>
    <m/>
    <m/>
    <m/>
    <m/>
    <m/>
    <m/>
    <m/>
    <m/>
    <m/>
    <m/>
  </r>
  <r>
    <s v="N171"/>
    <s v="N172"/>
    <n v="51"/>
    <x v="9"/>
    <x v="0"/>
    <s v="TPL"/>
    <s v="1 1/2&quot;"/>
    <n v="1"/>
    <s v="Reducción"/>
    <s v="1 1/2&quot;"/>
    <n v="1"/>
    <m/>
    <m/>
    <m/>
    <m/>
    <m/>
    <m/>
    <m/>
    <m/>
    <m/>
    <m/>
    <m/>
    <m/>
    <m/>
    <m/>
    <m/>
    <m/>
    <m/>
    <m/>
  </r>
  <r>
    <s v="N172"/>
    <s v="TP130"/>
    <n v="56.01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172"/>
    <s v="N173"/>
    <n v="41.98"/>
    <x v="1"/>
    <x v="0"/>
    <s v="TPL"/>
    <s v="2&quot;"/>
    <n v="1"/>
    <m/>
    <m/>
    <m/>
    <m/>
    <m/>
    <m/>
    <m/>
    <m/>
    <m/>
    <m/>
    <m/>
    <m/>
    <m/>
    <m/>
    <m/>
    <m/>
    <m/>
    <m/>
    <m/>
    <m/>
    <m/>
  </r>
  <r>
    <s v="N173"/>
    <s v="TP131"/>
    <n v="21.55"/>
    <x v="9"/>
    <x v="0"/>
    <s v="TPD"/>
    <s v="2&quot;"/>
    <n v="1"/>
    <s v="Reducción"/>
    <s v="1 1/2&quot;"/>
    <n v="1"/>
    <s v="Tapón"/>
    <s v="1 1/2&quot;"/>
    <n v="1"/>
    <m/>
    <m/>
    <m/>
    <m/>
    <m/>
    <m/>
    <m/>
    <m/>
    <m/>
    <m/>
    <m/>
    <m/>
    <m/>
    <m/>
    <m/>
  </r>
  <r>
    <s v="N173"/>
    <s v="N174"/>
    <n v="107.25"/>
    <x v="1"/>
    <x v="0"/>
    <s v="TPL"/>
    <s v="2&quot;"/>
    <n v="1"/>
    <s v="Codo"/>
    <s v="2&quot;"/>
    <n v="1"/>
    <m/>
    <m/>
    <m/>
    <m/>
    <m/>
    <m/>
    <m/>
    <m/>
    <m/>
    <m/>
    <m/>
    <m/>
    <m/>
    <m/>
    <m/>
    <m/>
    <m/>
    <m/>
  </r>
  <r>
    <s v="N174"/>
    <s v="N175"/>
    <n v="70.02"/>
    <x v="9"/>
    <x v="0"/>
    <s v="TPD"/>
    <s v="2&quot;"/>
    <n v="1"/>
    <s v="Reducción"/>
    <s v="1 1/2&quot;"/>
    <n v="1"/>
    <m/>
    <m/>
    <m/>
    <m/>
    <m/>
    <m/>
    <m/>
    <m/>
    <m/>
    <m/>
    <m/>
    <m/>
    <m/>
    <m/>
    <m/>
    <m/>
    <m/>
    <m/>
  </r>
  <r>
    <s v="N175"/>
    <s v="TP132"/>
    <n v="56.24"/>
    <x v="9"/>
    <x v="0"/>
    <s v="TPL"/>
    <s v="1 1/2&quot;"/>
    <n v="1"/>
    <s v="Tapón"/>
    <s v="1 1/2&quot;"/>
    <n v="1"/>
    <m/>
    <m/>
    <m/>
    <m/>
    <m/>
    <m/>
    <m/>
    <m/>
    <m/>
    <m/>
    <m/>
    <m/>
    <m/>
    <m/>
    <m/>
    <m/>
    <m/>
    <m/>
  </r>
  <r>
    <s v="N175"/>
    <s v="TP133"/>
    <n v="59.23"/>
    <x v="9"/>
    <x v="0"/>
    <s v="TPD"/>
    <s v="1 1/2&quot;"/>
    <n v="1"/>
    <s v="Tapón"/>
    <s v="1 1/2&quot;"/>
    <n v="1"/>
    <m/>
    <m/>
    <m/>
    <m/>
    <m/>
    <m/>
    <m/>
    <m/>
    <m/>
    <m/>
    <m/>
    <m/>
    <m/>
    <m/>
    <m/>
    <m/>
    <m/>
    <m/>
  </r>
  <r>
    <s v="N174"/>
    <s v="N176"/>
    <n v="163.18"/>
    <x v="1"/>
    <x v="0"/>
    <s v="TPL"/>
    <s v="2&quot;"/>
    <n v="1"/>
    <m/>
    <m/>
    <m/>
    <m/>
    <m/>
    <m/>
    <m/>
    <m/>
    <m/>
    <m/>
    <m/>
    <m/>
    <m/>
    <m/>
    <m/>
    <m/>
    <m/>
    <m/>
    <m/>
    <m/>
    <m/>
  </r>
  <r>
    <s v="N176"/>
    <s v="TP134"/>
    <n v="121.98"/>
    <x v="9"/>
    <x v="0"/>
    <s v="TPD"/>
    <s v="2&quot;"/>
    <n v="1"/>
    <s v="Reducción"/>
    <s v="1 1/2&quot;"/>
    <n v="1"/>
    <s v="Codo"/>
    <s v="1 1/2&quot;"/>
    <n v="1"/>
    <s v="Tapón"/>
    <s v="1 1/2&quot;"/>
    <n v="1"/>
    <m/>
    <m/>
    <m/>
    <m/>
    <m/>
    <m/>
    <m/>
    <m/>
    <m/>
    <m/>
    <m/>
    <m/>
  </r>
  <r>
    <s v="N176"/>
    <s v="N177"/>
    <n v="125.93"/>
    <x v="9"/>
    <x v="0"/>
    <s v="TPL"/>
    <s v="2&quot;"/>
    <n v="1"/>
    <s v="Reducción"/>
    <s v="1 1/2&quot;"/>
    <n v="1"/>
    <m/>
    <m/>
    <m/>
    <m/>
    <m/>
    <m/>
    <m/>
    <m/>
    <m/>
    <m/>
    <m/>
    <m/>
    <m/>
    <m/>
    <m/>
    <m/>
    <m/>
    <m/>
  </r>
  <r>
    <s v="N177"/>
    <s v="T.PROGRESO1"/>
    <n v="3.11"/>
    <x v="9"/>
    <x v="0"/>
    <s v="TPL"/>
    <s v="1 1/2&quot;"/>
    <n v="1"/>
    <m/>
    <m/>
    <m/>
    <m/>
    <m/>
    <m/>
    <m/>
    <m/>
    <m/>
    <m/>
    <m/>
    <m/>
    <m/>
    <m/>
    <m/>
    <m/>
    <m/>
    <m/>
    <m/>
    <m/>
    <m/>
  </r>
  <r>
    <s v="N177"/>
    <s v="TP135"/>
    <n v="116.71"/>
    <x v="10"/>
    <x v="0"/>
    <s v="TPD"/>
    <s v="1 1/2&quot;"/>
    <n v="1"/>
    <s v="Reducción"/>
    <s v="1/2&quot;"/>
    <n v="1"/>
    <s v="Tapón"/>
    <s v="1/2&quot;"/>
    <n v="1"/>
    <m/>
    <m/>
    <m/>
    <m/>
    <m/>
    <m/>
    <m/>
    <m/>
    <m/>
    <m/>
    <m/>
    <m/>
    <m/>
    <m/>
    <m/>
  </r>
  <r>
    <s v="T.PROGRESO2"/>
    <s v="T.PROGRESO1"/>
    <n v="269.97000000000003"/>
    <x v="11"/>
    <x v="0"/>
    <s v="Codo"/>
    <s v="2 1/2&quot;"/>
    <n v="6"/>
    <m/>
    <m/>
    <m/>
    <m/>
    <m/>
    <m/>
    <m/>
    <m/>
    <m/>
    <m/>
    <m/>
    <m/>
    <m/>
    <m/>
    <m/>
    <m/>
    <m/>
    <m/>
    <m/>
    <m/>
    <m/>
  </r>
  <r>
    <s v="T.PROGRESO1"/>
    <s v="N178"/>
    <n v="4.13"/>
    <x v="1"/>
    <x v="0"/>
    <m/>
    <m/>
    <m/>
    <m/>
    <m/>
    <m/>
    <m/>
    <m/>
    <m/>
    <m/>
    <m/>
    <m/>
    <m/>
    <m/>
    <m/>
    <m/>
    <m/>
    <m/>
    <m/>
    <m/>
    <m/>
    <m/>
    <m/>
    <m/>
  </r>
  <r>
    <s v="N178"/>
    <s v="N179"/>
    <n v="27.75"/>
    <x v="1"/>
    <x v="0"/>
    <s v="TPD"/>
    <s v="2&quot;"/>
    <n v="1"/>
    <m/>
    <m/>
    <m/>
    <m/>
    <m/>
    <m/>
    <m/>
    <m/>
    <m/>
    <m/>
    <m/>
    <m/>
    <m/>
    <m/>
    <m/>
    <m/>
    <m/>
    <m/>
    <m/>
    <m/>
    <m/>
  </r>
  <r>
    <s v="N179"/>
    <s v="N180"/>
    <n v="71.38"/>
    <x v="1"/>
    <x v="0"/>
    <s v="TPL"/>
    <s v="2&quot;"/>
    <n v="1"/>
    <m/>
    <m/>
    <m/>
    <m/>
    <m/>
    <m/>
    <m/>
    <m/>
    <m/>
    <m/>
    <m/>
    <m/>
    <m/>
    <m/>
    <m/>
    <m/>
    <m/>
    <m/>
    <m/>
    <m/>
    <m/>
  </r>
  <r>
    <s v="N180"/>
    <s v="TP136"/>
    <n v="25.76"/>
    <x v="1"/>
    <x v="0"/>
    <s v="TPD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180"/>
    <s v="TP137"/>
    <n v="40.119999999999997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179"/>
    <s v="N181"/>
    <n v="128.84"/>
    <x v="1"/>
    <x v="0"/>
    <s v="TPL"/>
    <s v="2&quot;"/>
    <n v="1"/>
    <m/>
    <m/>
    <m/>
    <m/>
    <m/>
    <m/>
    <m/>
    <m/>
    <m/>
    <m/>
    <m/>
    <m/>
    <m/>
    <m/>
    <m/>
    <m/>
    <m/>
    <m/>
    <m/>
    <m/>
    <m/>
  </r>
  <r>
    <s v="N181"/>
    <s v="TP138"/>
    <n v="68.709999999999994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181"/>
    <s v="TP139"/>
    <n v="136.31"/>
    <x v="1"/>
    <x v="0"/>
    <s v="TPL"/>
    <s v="2&quot;"/>
    <n v="1"/>
    <s v="Codo"/>
    <s v="2&quot;"/>
    <n v="3"/>
    <s v="Tapón"/>
    <s v="2&quot;"/>
    <n v="1"/>
    <m/>
    <m/>
    <m/>
    <m/>
    <m/>
    <m/>
    <m/>
    <m/>
    <m/>
    <m/>
    <m/>
    <m/>
    <m/>
    <m/>
    <m/>
  </r>
  <r>
    <s v="N178"/>
    <s v="N182"/>
    <n v="449.12"/>
    <x v="9"/>
    <x v="0"/>
    <s v="TPL"/>
    <s v="2&quot;"/>
    <n v="1"/>
    <s v="Reducción"/>
    <s v="1 1/2&quot;"/>
    <n v="1"/>
    <s v="Codo"/>
    <s v="1 1/2&quot;"/>
    <n v="1"/>
    <m/>
    <m/>
    <m/>
    <m/>
    <m/>
    <m/>
    <m/>
    <m/>
    <m/>
    <m/>
    <m/>
    <m/>
    <m/>
    <m/>
    <m/>
  </r>
  <r>
    <s v="N182"/>
    <s v="TP140"/>
    <n v="39.049999999999997"/>
    <x v="1"/>
    <x v="0"/>
    <s v="TPL"/>
    <s v="1 1/2&quot;"/>
    <n v="1"/>
    <s v="Ampliación"/>
    <s v="2&quot;"/>
    <n v="1"/>
    <s v="Tapón"/>
    <s v="2&quot;"/>
    <n v="1"/>
    <m/>
    <m/>
    <m/>
    <m/>
    <m/>
    <m/>
    <m/>
    <m/>
    <m/>
    <m/>
    <m/>
    <m/>
    <m/>
    <m/>
    <m/>
  </r>
  <r>
    <s v="N182"/>
    <s v="TP141"/>
    <n v="199.22"/>
    <x v="9"/>
    <x v="0"/>
    <s v="TPD"/>
    <s v="1 1/2&quot;"/>
    <n v="1"/>
    <s v="Tapón"/>
    <s v="1 1/2&quot;"/>
    <n v="1"/>
    <m/>
    <m/>
    <m/>
    <m/>
    <m/>
    <m/>
    <m/>
    <m/>
    <m/>
    <m/>
    <m/>
    <m/>
    <m/>
    <m/>
    <m/>
    <m/>
    <m/>
    <m/>
  </r>
  <r>
    <s v="T.PROGRESO1"/>
    <s v="E.B.2"/>
    <n v="769.04"/>
    <x v="11"/>
    <x v="0"/>
    <s v="Codo"/>
    <s v="2 1/2&quot;"/>
    <n v="3"/>
    <m/>
    <m/>
    <m/>
    <m/>
    <m/>
    <m/>
    <m/>
    <m/>
    <m/>
    <m/>
    <m/>
    <m/>
    <m/>
    <m/>
    <m/>
    <m/>
    <m/>
    <m/>
    <m/>
    <m/>
    <m/>
  </r>
  <r>
    <s v="E.B.2"/>
    <s v="N183"/>
    <n v="16.73"/>
    <x v="0"/>
    <x v="0"/>
    <s v="Codo"/>
    <s v="3&quot;"/>
    <n v="1"/>
    <m/>
    <m/>
    <m/>
    <m/>
    <m/>
    <m/>
    <m/>
    <m/>
    <m/>
    <m/>
    <m/>
    <m/>
    <m/>
    <m/>
    <m/>
    <m/>
    <m/>
    <m/>
    <m/>
    <m/>
    <m/>
  </r>
  <r>
    <s v="N183"/>
    <s v="N184"/>
    <n v="49.15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N184"/>
    <s v="TP142"/>
    <n v="5.45"/>
    <x v="0"/>
    <x v="0"/>
    <s v="TPD"/>
    <s v="3&quot;"/>
    <n v="1"/>
    <s v="Válvula de Corte "/>
    <s v="3&quot;"/>
    <n v="1"/>
    <s v="Tapón"/>
    <s v="3&quot;"/>
    <n v="1"/>
    <m/>
    <m/>
    <m/>
    <m/>
    <m/>
    <m/>
    <m/>
    <m/>
    <m/>
    <m/>
    <m/>
    <m/>
    <m/>
    <m/>
    <m/>
  </r>
  <r>
    <s v="N184"/>
    <s v="N185"/>
    <n v="608.84"/>
    <x v="1"/>
    <x v="0"/>
    <s v="TPL"/>
    <s v="3&quot;"/>
    <n v="1"/>
    <s v="Reducción"/>
    <s v="2&quot;"/>
    <n v="1"/>
    <s v="Codo"/>
    <s v="2&quot;"/>
    <n v="1"/>
    <m/>
    <m/>
    <m/>
    <m/>
    <m/>
    <m/>
    <m/>
    <m/>
    <m/>
    <m/>
    <m/>
    <m/>
    <m/>
    <m/>
    <m/>
  </r>
  <r>
    <s v="N185"/>
    <s v="TP143"/>
    <n v="204.67"/>
    <x v="1"/>
    <x v="0"/>
    <s v="TPL"/>
    <s v="2&quot;"/>
    <n v="1"/>
    <s v="Codo"/>
    <s v="2&quot;"/>
    <n v="1"/>
    <s v="Válvula de Corte "/>
    <s v="2&quot;"/>
    <n v="1"/>
    <s v="Tapón"/>
    <s v="2&quot;"/>
    <n v="1"/>
    <m/>
    <m/>
    <m/>
    <m/>
    <m/>
    <m/>
    <m/>
    <m/>
    <m/>
    <m/>
    <m/>
    <m/>
  </r>
  <r>
    <s v="N185"/>
    <s v="TP144"/>
    <n v="70.73"/>
    <x v="1"/>
    <x v="0"/>
    <s v="TPD"/>
    <s v="2&quot;"/>
    <n v="1"/>
    <s v="Codo"/>
    <s v="2&quot;"/>
    <n v="1"/>
    <s v="Tapón"/>
    <s v="2&quot;"/>
    <n v="1"/>
    <m/>
    <m/>
    <m/>
    <m/>
    <m/>
    <m/>
    <m/>
    <m/>
    <m/>
    <m/>
    <m/>
    <m/>
    <m/>
    <m/>
    <m/>
  </r>
  <r>
    <s v="N183"/>
    <s v="N186"/>
    <n v="264.85000000000002"/>
    <x v="8"/>
    <x v="0"/>
    <s v="TPD"/>
    <s v="3&quot;"/>
    <n v="1"/>
    <s v="Ampliación"/>
    <s v="4&quot;"/>
    <n v="1"/>
    <s v="Válvula de Corte "/>
    <s v="4&quot;"/>
    <n v="1"/>
    <s v="Codo"/>
    <s v="4&quot;"/>
    <n v="1"/>
    <m/>
    <m/>
    <m/>
    <m/>
    <m/>
    <m/>
    <m/>
    <m/>
    <m/>
    <m/>
    <m/>
    <m/>
  </r>
  <r>
    <s v="N186"/>
    <s v="N187"/>
    <n v="75.06"/>
    <x v="0"/>
    <x v="0"/>
    <s v="TPD"/>
    <s v="4&quot;"/>
    <n v="1"/>
    <s v="Reducción"/>
    <s v="3&quot;"/>
    <n v="1"/>
    <s v="Válvula de Corte "/>
    <s v="3&quot;"/>
    <n v="1"/>
    <m/>
    <m/>
    <m/>
    <m/>
    <m/>
    <m/>
    <m/>
    <m/>
    <m/>
    <m/>
    <m/>
    <m/>
    <m/>
    <m/>
    <m/>
  </r>
  <r>
    <s v="N187"/>
    <s v="N188"/>
    <n v="91.35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N187"/>
    <s v="N189"/>
    <n v="165.78"/>
    <x v="0"/>
    <x v="0"/>
    <s v="TPD"/>
    <s v="3&quot;"/>
    <n v="1"/>
    <s v="Codo"/>
    <s v="3&quot;"/>
    <n v="1"/>
    <m/>
    <m/>
    <m/>
    <m/>
    <m/>
    <m/>
    <m/>
    <m/>
    <m/>
    <m/>
    <m/>
    <m/>
    <m/>
    <m/>
    <m/>
    <m/>
    <m/>
    <m/>
  </r>
  <r>
    <s v="N188"/>
    <s v="N189"/>
    <n v="68.739999999999995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N189"/>
    <s v="N169"/>
    <n v="25.06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186"/>
    <s v="N190"/>
    <n v="120.2"/>
    <x v="0"/>
    <x v="0"/>
    <s v="TPL"/>
    <s v="4&quot;"/>
    <n v="1"/>
    <s v="Reducción"/>
    <s v="3&quot;"/>
    <n v="1"/>
    <m/>
    <m/>
    <m/>
    <m/>
    <m/>
    <m/>
    <m/>
    <m/>
    <m/>
    <m/>
    <m/>
    <m/>
    <m/>
    <m/>
    <m/>
    <m/>
    <m/>
    <m/>
  </r>
  <r>
    <s v="N190"/>
    <s v="TP145"/>
    <n v="77.260000000000005"/>
    <x v="1"/>
    <x v="0"/>
    <s v="TPL"/>
    <s v="3&quot;"/>
    <n v="1"/>
    <s v="Reducción"/>
    <s v="2&quot;"/>
    <n v="1"/>
    <s v="Válvula de Corte "/>
    <s v="2&quot;"/>
    <n v="1"/>
    <s v="Codo"/>
    <s v="2&quot;"/>
    <n v="1"/>
    <s v="Tapón"/>
    <s v="2&quot;"/>
    <n v="1"/>
    <m/>
    <m/>
    <m/>
    <m/>
    <m/>
    <m/>
    <m/>
    <m/>
    <m/>
  </r>
  <r>
    <s v="N190"/>
    <s v="N191"/>
    <n v="26.03"/>
    <x v="0"/>
    <x v="0"/>
    <s v="TPD"/>
    <s v="3&quot;"/>
    <n v="1"/>
    <s v="Codo"/>
    <s v="3&quot;"/>
    <n v="2"/>
    <m/>
    <m/>
    <m/>
    <m/>
    <m/>
    <m/>
    <m/>
    <m/>
    <m/>
    <m/>
    <m/>
    <m/>
    <m/>
    <m/>
    <m/>
    <m/>
    <m/>
    <m/>
  </r>
  <r>
    <s v="N188"/>
    <s v="N191"/>
    <n v="90.85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191"/>
    <s v="N192"/>
    <n v="40.299999999999997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169"/>
    <s v="N165"/>
    <n v="35.39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165"/>
    <s v="N192"/>
    <n v="122.44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192"/>
    <s v="N193"/>
    <n v="97.56"/>
    <x v="0"/>
    <x v="0"/>
    <s v="TPD"/>
    <s v="3&quot;"/>
    <n v="1"/>
    <s v="Válvula de Corte "/>
    <s v="3&quot;"/>
    <n v="1"/>
    <m/>
    <m/>
    <m/>
    <m/>
    <m/>
    <m/>
    <m/>
    <m/>
    <m/>
    <m/>
    <m/>
    <m/>
    <m/>
    <m/>
    <m/>
    <m/>
    <m/>
    <m/>
  </r>
  <r>
    <s v="N193"/>
    <s v="N194"/>
    <n v="60.54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N194"/>
    <s v="TP146"/>
    <n v="34.83"/>
    <x v="6"/>
    <x v="4"/>
    <s v="TPL"/>
    <s v="3&quot;"/>
    <n v="1"/>
    <s v="Reducción"/>
    <s v="1&quot;"/>
    <n v="1"/>
    <s v="Tapón"/>
    <s v="1&quot;"/>
    <n v="1"/>
    <m/>
    <m/>
    <m/>
    <m/>
    <m/>
    <m/>
    <m/>
    <m/>
    <m/>
    <m/>
    <m/>
    <m/>
    <m/>
    <m/>
    <m/>
  </r>
  <r>
    <s v="N194"/>
    <s v="N195"/>
    <n v="42.28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195"/>
    <s v="TP147"/>
    <n v="40.229999999999997"/>
    <x v="6"/>
    <x v="4"/>
    <s v="TPL"/>
    <s v="3&quot;"/>
    <n v="1"/>
    <s v="Reducción"/>
    <s v="1&quot;"/>
    <n v="1"/>
    <s v="Tapón"/>
    <s v="1&quot;"/>
    <n v="1"/>
    <m/>
    <m/>
    <m/>
    <m/>
    <m/>
    <m/>
    <m/>
    <m/>
    <m/>
    <m/>
    <m/>
    <m/>
    <m/>
    <m/>
    <m/>
  </r>
  <r>
    <s v="N195"/>
    <s v="N196"/>
    <n v="136.86000000000001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196"/>
    <s v="N197"/>
    <n v="69.08"/>
    <x v="1"/>
    <x v="0"/>
    <s v="TPL"/>
    <s v="3&quot;"/>
    <n v="1"/>
    <s v="Reducción"/>
    <s v="2&quot;"/>
    <n v="1"/>
    <s v="Válvula de Corte "/>
    <s v="2&quot;"/>
    <n v="1"/>
    <m/>
    <m/>
    <m/>
    <m/>
    <m/>
    <m/>
    <m/>
    <m/>
    <m/>
    <m/>
    <m/>
    <m/>
    <m/>
    <m/>
    <m/>
  </r>
  <r>
    <s v="N197"/>
    <s v="TP148"/>
    <n v="12.85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197"/>
    <s v="TP149"/>
    <n v="13.19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196"/>
    <s v="N198"/>
    <n v="159.36000000000001"/>
    <x v="0"/>
    <x v="0"/>
    <s v="TPD"/>
    <s v="3&quot;"/>
    <n v="1"/>
    <s v="Codo"/>
    <s v="3&quot;"/>
    <n v="1"/>
    <s v="Válvula de Corte "/>
    <s v="3&quot;"/>
    <n v="1"/>
    <m/>
    <m/>
    <m/>
    <m/>
    <m/>
    <m/>
    <m/>
    <m/>
    <m/>
    <m/>
    <m/>
    <m/>
    <m/>
    <m/>
    <m/>
  </r>
  <r>
    <s v="N198"/>
    <s v="TP150"/>
    <n v="80.23"/>
    <x v="1"/>
    <x v="0"/>
    <s v="TPL"/>
    <s v="3&quot;"/>
    <n v="1"/>
    <s v="Reducción"/>
    <s v="2&quot;"/>
    <n v="1"/>
    <s v="Válvula de Corte "/>
    <s v="2&quot;"/>
    <n v="1"/>
    <s v="Tapón"/>
    <s v="2&quot;"/>
    <n v="1"/>
    <m/>
    <m/>
    <m/>
    <m/>
    <m/>
    <m/>
    <m/>
    <m/>
    <m/>
    <m/>
    <m/>
    <m/>
  </r>
  <r>
    <s v="N198"/>
    <s v="N199"/>
    <n v="163.66999999999999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152"/>
    <s v="N200"/>
    <n v="44.75"/>
    <x v="0"/>
    <x v="0"/>
    <s v="TPD"/>
    <s v="3&quot;"/>
    <n v="1"/>
    <s v="Válvula de Corte "/>
    <s v="3&quot;"/>
    <n v="1"/>
    <m/>
    <m/>
    <m/>
    <m/>
    <m/>
    <m/>
    <m/>
    <m/>
    <m/>
    <m/>
    <m/>
    <m/>
    <m/>
    <m/>
    <m/>
    <m/>
    <m/>
    <m/>
  </r>
  <r>
    <s v="N200"/>
    <s v="TP151"/>
    <n v="36.86"/>
    <x v="1"/>
    <x v="0"/>
    <s v="TPL"/>
    <s v="3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200"/>
    <s v="N201"/>
    <n v="122.85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201"/>
    <s v="N202"/>
    <n v="56.09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N202"/>
    <s v="TP152"/>
    <n v="71.86"/>
    <x v="1"/>
    <x v="0"/>
    <s v="TPL"/>
    <s v="3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202"/>
    <s v="N203"/>
    <n v="44.44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203"/>
    <s v="TP153"/>
    <n v="64.63"/>
    <x v="1"/>
    <x v="0"/>
    <s v="TPL"/>
    <s v="3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203"/>
    <s v="N204"/>
    <n v="20.96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204"/>
    <s v="TP154"/>
    <n v="20.28"/>
    <x v="1"/>
    <x v="0"/>
    <s v="TPL"/>
    <s v="3&quot;"/>
    <n v="1"/>
    <s v="Reducción"/>
    <s v="2&quot;"/>
    <n v="1"/>
    <s v="Válvula de Corte "/>
    <s v="2&quot;"/>
    <n v="1"/>
    <s v="Tapón"/>
    <s v="2&quot;"/>
    <n v="1"/>
    <m/>
    <m/>
    <m/>
    <m/>
    <m/>
    <m/>
    <m/>
    <m/>
    <m/>
    <m/>
    <m/>
    <m/>
  </r>
  <r>
    <s v="N204"/>
    <s v="N205"/>
    <n v="26.62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205"/>
    <s v="TP155"/>
    <n v="61.35"/>
    <x v="9"/>
    <x v="0"/>
    <s v="TPL"/>
    <s v="3&quot;"/>
    <n v="1"/>
    <s v="Reducción"/>
    <s v="1 1/2&quot;"/>
    <n v="1"/>
    <s v="Tapón"/>
    <s v="1 1/2&quot;"/>
    <n v="1"/>
    <m/>
    <m/>
    <m/>
    <m/>
    <m/>
    <m/>
    <m/>
    <m/>
    <m/>
    <m/>
    <m/>
    <m/>
    <m/>
    <m/>
    <m/>
  </r>
  <r>
    <s v="N205"/>
    <s v="N206"/>
    <n v="11.88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206"/>
    <s v="N207"/>
    <n v="21"/>
    <x v="1"/>
    <x v="0"/>
    <s v="TPL"/>
    <s v="3&quot;"/>
    <n v="1"/>
    <s v="Reducción"/>
    <s v="2&quot;"/>
    <n v="1"/>
    <s v="Galápago"/>
    <s v="2&quot;"/>
    <n v="1"/>
    <m/>
    <m/>
    <m/>
    <m/>
    <m/>
    <m/>
    <m/>
    <m/>
    <m/>
    <m/>
    <m/>
    <m/>
    <m/>
    <m/>
    <m/>
  </r>
  <r>
    <s v="N206"/>
    <s v="N208"/>
    <n v="32.17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208"/>
    <s v="TP156"/>
    <n v="54.67"/>
    <x v="1"/>
    <x v="0"/>
    <s v="TPL"/>
    <s v="3&quot;"/>
    <n v="1"/>
    <s v="Reducción"/>
    <s v="2&quot;"/>
    <n v="1"/>
    <s v="Válvula de Corte "/>
    <s v="2&quot;"/>
    <n v="1"/>
    <s v="Tapón"/>
    <s v="2&quot;"/>
    <n v="1"/>
    <m/>
    <m/>
    <m/>
    <m/>
    <m/>
    <m/>
    <m/>
    <m/>
    <m/>
    <m/>
    <m/>
    <m/>
  </r>
  <r>
    <s v="N208"/>
    <s v="N209"/>
    <n v="100.62"/>
    <x v="0"/>
    <x v="0"/>
    <s v="TPD"/>
    <s v="3&quot;"/>
    <n v="1"/>
    <s v="Válvula de Corte "/>
    <s v="3&quot;"/>
    <n v="2"/>
    <s v="Reducción"/>
    <s v="3&quot;"/>
    <n v="1"/>
    <m/>
    <m/>
    <m/>
    <m/>
    <m/>
    <m/>
    <m/>
    <m/>
    <m/>
    <m/>
    <m/>
    <m/>
    <m/>
    <m/>
    <m/>
  </r>
  <r>
    <s v="N201"/>
    <s v="N210"/>
    <n v="54.97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210"/>
    <s v="N211"/>
    <n v="245.47"/>
    <x v="1"/>
    <x v="0"/>
    <s v="TPL"/>
    <s v="3&quot;"/>
    <n v="1"/>
    <s v="Reducción"/>
    <s v="2&quot;"/>
    <n v="2"/>
    <m/>
    <m/>
    <m/>
    <m/>
    <m/>
    <m/>
    <m/>
    <m/>
    <m/>
    <m/>
    <m/>
    <m/>
    <m/>
    <m/>
    <m/>
    <m/>
    <m/>
    <m/>
  </r>
  <r>
    <s v="N211"/>
    <s v="N212"/>
    <n v="160.86000000000001"/>
    <x v="0"/>
    <x v="1"/>
    <s v="TPL"/>
    <s v="3&quot;"/>
    <n v="1"/>
    <s v="Válvula de Corte "/>
    <s v="3&quot;"/>
    <n v="1"/>
    <m/>
    <m/>
    <m/>
    <m/>
    <m/>
    <m/>
    <m/>
    <m/>
    <m/>
    <m/>
    <m/>
    <m/>
    <m/>
    <m/>
    <m/>
    <m/>
    <m/>
    <m/>
  </r>
  <r>
    <s v="N212"/>
    <s v="N213"/>
    <n v="47.04"/>
    <x v="0"/>
    <x v="0"/>
    <m/>
    <m/>
    <m/>
    <m/>
    <m/>
    <m/>
    <m/>
    <m/>
    <m/>
    <m/>
    <m/>
    <m/>
    <m/>
    <m/>
    <m/>
    <m/>
    <m/>
    <m/>
    <m/>
    <m/>
    <m/>
    <m/>
    <m/>
    <m/>
  </r>
  <r>
    <s v="N213"/>
    <s v="TP157"/>
    <n v="122.38"/>
    <x v="1"/>
    <x v="0"/>
    <s v="TPL"/>
    <s v="3&quot;"/>
    <n v="1"/>
    <s v="Reducción"/>
    <s v="2&quot;"/>
    <n v="1"/>
    <s v="Codo"/>
    <s v="2&quot;"/>
    <n v="2"/>
    <s v="Tapón"/>
    <s v="2&quot;"/>
    <n v="1"/>
    <m/>
    <m/>
    <m/>
    <m/>
    <m/>
    <m/>
    <m/>
    <m/>
    <m/>
    <m/>
    <m/>
    <m/>
  </r>
  <r>
    <s v="N213"/>
    <s v="N214"/>
    <n v="46.62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214"/>
    <s v="TP158"/>
    <n v="22.03"/>
    <x v="0"/>
    <x v="0"/>
    <s v="TPD"/>
    <s v="3&quot;"/>
    <n v="1"/>
    <s v="Tapón"/>
    <s v="3&quot;"/>
    <n v="1"/>
    <m/>
    <m/>
    <m/>
    <m/>
    <m/>
    <m/>
    <m/>
    <m/>
    <m/>
    <m/>
    <m/>
    <m/>
    <m/>
    <m/>
    <m/>
    <m/>
    <m/>
    <m/>
  </r>
  <r>
    <s v="N214"/>
    <s v="N215"/>
    <n v="45.51"/>
    <x v="0"/>
    <x v="0"/>
    <s v="TPL"/>
    <s v="3&quot;"/>
    <n v="1"/>
    <s v="Válvula de Corte "/>
    <s v="3&quot;"/>
    <n v="1"/>
    <m/>
    <m/>
    <m/>
    <m/>
    <m/>
    <m/>
    <m/>
    <m/>
    <m/>
    <m/>
    <m/>
    <m/>
    <m/>
    <m/>
    <m/>
    <m/>
    <m/>
    <m/>
  </r>
  <r>
    <s v="N215"/>
    <s v="TP159"/>
    <n v="35.869999999999997"/>
    <x v="0"/>
    <x v="0"/>
    <s v="TPL"/>
    <s v="3&quot;"/>
    <n v="1"/>
    <s v="Tapón"/>
    <s v="3&quot;"/>
    <n v="1"/>
    <m/>
    <m/>
    <m/>
    <m/>
    <m/>
    <m/>
    <m/>
    <m/>
    <m/>
    <m/>
    <m/>
    <m/>
    <m/>
    <m/>
    <m/>
    <m/>
    <m/>
    <m/>
  </r>
  <r>
    <s v="N215"/>
    <s v="N216"/>
    <n v="17.89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216"/>
    <s v="TP160"/>
    <n v="22.04"/>
    <x v="0"/>
    <x v="0"/>
    <s v="TPL"/>
    <s v="3&quot;"/>
    <n v="1"/>
    <s v="Tapón"/>
    <s v="3&quot;"/>
    <n v="1"/>
    <m/>
    <m/>
    <m/>
    <m/>
    <m/>
    <m/>
    <m/>
    <m/>
    <m/>
    <m/>
    <m/>
    <m/>
    <m/>
    <m/>
    <m/>
    <m/>
    <m/>
    <m/>
  </r>
  <r>
    <s v="N216"/>
    <s v="TP161"/>
    <n v="68.55"/>
    <x v="0"/>
    <x v="0"/>
    <s v="TPL"/>
    <s v="3&quot;"/>
    <n v="1"/>
    <s v="Tapón"/>
    <s v="3&quot;"/>
    <n v="1"/>
    <m/>
    <m/>
    <m/>
    <m/>
    <m/>
    <m/>
    <m/>
    <m/>
    <m/>
    <m/>
    <m/>
    <m/>
    <m/>
    <m/>
    <m/>
    <m/>
    <m/>
    <m/>
  </r>
  <r>
    <s v="N210"/>
    <s v="N217"/>
    <n v="51.29"/>
    <x v="0"/>
    <x v="0"/>
    <s v="TPD"/>
    <s v="3&quot;"/>
    <n v="1"/>
    <s v="Válvula de Corte "/>
    <s v="3&quot;"/>
    <n v="1"/>
    <m/>
    <m/>
    <m/>
    <m/>
    <m/>
    <m/>
    <m/>
    <m/>
    <m/>
    <m/>
    <m/>
    <m/>
    <m/>
    <m/>
    <m/>
    <m/>
    <m/>
    <m/>
  </r>
  <r>
    <s v="N193"/>
    <s v="N218"/>
    <n v="116.04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218"/>
    <s v="N219"/>
    <n v="47.34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N219"/>
    <s v="N220"/>
    <n v="83.29"/>
    <x v="0"/>
    <x v="1"/>
    <m/>
    <m/>
    <m/>
    <m/>
    <m/>
    <m/>
    <m/>
    <m/>
    <m/>
    <m/>
    <m/>
    <m/>
    <m/>
    <m/>
    <m/>
    <m/>
    <m/>
    <m/>
    <m/>
    <m/>
    <m/>
    <m/>
    <m/>
    <m/>
  </r>
  <r>
    <s v="N220"/>
    <s v="TP162"/>
    <n v="77.27"/>
    <x v="1"/>
    <x v="0"/>
    <s v="TPL"/>
    <s v="3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220"/>
    <s v="N221"/>
    <n v="20.100000000000001"/>
    <x v="0"/>
    <x v="1"/>
    <s v="TPD"/>
    <s v="3&quot;"/>
    <n v="1"/>
    <m/>
    <m/>
    <m/>
    <m/>
    <m/>
    <m/>
    <m/>
    <m/>
    <m/>
    <m/>
    <m/>
    <m/>
    <m/>
    <m/>
    <m/>
    <m/>
    <m/>
    <m/>
    <m/>
    <m/>
    <m/>
  </r>
  <r>
    <s v="N221"/>
    <s v="TP163"/>
    <n v="128.91999999999999"/>
    <x v="1"/>
    <x v="0"/>
    <s v="TPL"/>
    <s v="3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221"/>
    <s v="N199"/>
    <n v="76.05"/>
    <x v="0"/>
    <x v="1"/>
    <s v="TPD"/>
    <s v="3&quot;"/>
    <n v="1"/>
    <m/>
    <m/>
    <m/>
    <m/>
    <m/>
    <m/>
    <m/>
    <m/>
    <m/>
    <m/>
    <m/>
    <m/>
    <m/>
    <m/>
    <m/>
    <m/>
    <m/>
    <m/>
    <m/>
    <m/>
    <m/>
  </r>
  <r>
    <s v="N199"/>
    <s v="N222"/>
    <n v="34.69"/>
    <x v="0"/>
    <x v="1"/>
    <s v="TPD"/>
    <s v="3&quot;"/>
    <n v="1"/>
    <m/>
    <m/>
    <m/>
    <m/>
    <m/>
    <m/>
    <m/>
    <m/>
    <m/>
    <m/>
    <m/>
    <m/>
    <m/>
    <m/>
    <m/>
    <m/>
    <m/>
    <m/>
    <m/>
    <m/>
    <m/>
  </r>
  <r>
    <s v="N222"/>
    <s v="N223"/>
    <n v="89.76"/>
    <x v="0"/>
    <x v="1"/>
    <s v="TPL"/>
    <s v="3&quot;"/>
    <n v="1"/>
    <m/>
    <m/>
    <m/>
    <m/>
    <m/>
    <m/>
    <m/>
    <m/>
    <m/>
    <m/>
    <m/>
    <m/>
    <m/>
    <m/>
    <m/>
    <m/>
    <m/>
    <m/>
    <m/>
    <m/>
    <m/>
  </r>
  <r>
    <s v="N223"/>
    <s v="TP164"/>
    <n v="71.09"/>
    <x v="1"/>
    <x v="0"/>
    <s v="TPL"/>
    <s v="3&quot;"/>
    <n v="1"/>
    <s v="Reducción"/>
    <s v="2&quot;"/>
    <n v="1"/>
    <s v="Válvula de Corte "/>
    <s v="2&quot;"/>
    <n v="1"/>
    <s v="Tapón"/>
    <s v="2&quot;"/>
    <n v="1"/>
    <m/>
    <m/>
    <m/>
    <m/>
    <m/>
    <m/>
    <m/>
    <m/>
    <m/>
    <m/>
    <m/>
    <m/>
  </r>
  <r>
    <s v="N223"/>
    <s v="N224"/>
    <n v="110.84"/>
    <x v="0"/>
    <x v="1"/>
    <s v="TPD"/>
    <s v="3&quot;"/>
    <n v="1"/>
    <s v="Válvula de Corte "/>
    <s v="3&quot;"/>
    <n v="1"/>
    <m/>
    <m/>
    <m/>
    <m/>
    <m/>
    <m/>
    <m/>
    <m/>
    <m/>
    <m/>
    <m/>
    <m/>
    <m/>
    <m/>
    <m/>
    <m/>
    <m/>
    <m/>
  </r>
  <r>
    <s v="N224"/>
    <s v="TP165"/>
    <n v="64.95"/>
    <x v="1"/>
    <x v="0"/>
    <s v="TPL"/>
    <s v="3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224"/>
    <s v="N225"/>
    <n v="6.47"/>
    <x v="0"/>
    <x v="1"/>
    <s v="TPD"/>
    <s v="3&quot;"/>
    <n v="1"/>
    <m/>
    <m/>
    <m/>
    <m/>
    <m/>
    <m/>
    <m/>
    <m/>
    <m/>
    <m/>
    <m/>
    <m/>
    <m/>
    <m/>
    <m/>
    <m/>
    <m/>
    <m/>
    <m/>
    <m/>
    <m/>
  </r>
  <r>
    <s v="N218"/>
    <s v="N217"/>
    <n v="8.15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217"/>
    <s v="N226"/>
    <n v="104.42"/>
    <x v="0"/>
    <x v="0"/>
    <s v="TPD"/>
    <s v="3&quot;"/>
    <n v="1"/>
    <s v="Hidrantes de Piso"/>
    <m/>
    <n v="1"/>
    <m/>
    <m/>
    <m/>
    <m/>
    <m/>
    <m/>
    <m/>
    <m/>
    <m/>
    <m/>
    <m/>
    <m/>
    <m/>
    <m/>
    <m/>
    <m/>
    <m/>
    <m/>
  </r>
  <r>
    <s v="N226"/>
    <s v="TP166"/>
    <n v="31.39"/>
    <x v="1"/>
    <x v="0"/>
    <s v="TPL"/>
    <s v="3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226"/>
    <s v="N227"/>
    <n v="96.07"/>
    <x v="0"/>
    <x v="0"/>
    <s v="TPD"/>
    <s v="3&quot;"/>
    <n v="1"/>
    <s v="Válvula de Corte "/>
    <s v="3&quot;"/>
    <n v="1"/>
    <s v="Reducción"/>
    <s v="3&quot;"/>
    <n v="1"/>
    <m/>
    <m/>
    <m/>
    <m/>
    <m/>
    <m/>
    <m/>
    <m/>
    <m/>
    <m/>
    <m/>
    <m/>
    <m/>
    <m/>
    <m/>
  </r>
  <r>
    <s v="N211"/>
    <s v="N228"/>
    <n v="80.599999999999994"/>
    <x v="0"/>
    <x v="1"/>
    <s v="TPD"/>
    <s v="3&quot;"/>
    <n v="1"/>
    <s v="Reducción"/>
    <s v="3&quot;"/>
    <n v="1"/>
    <m/>
    <m/>
    <m/>
    <m/>
    <m/>
    <m/>
    <m/>
    <m/>
    <m/>
    <m/>
    <m/>
    <m/>
    <m/>
    <m/>
    <m/>
    <m/>
    <m/>
    <m/>
  </r>
  <r>
    <s v="N228"/>
    <s v="N229"/>
    <n v="19.38"/>
    <x v="8"/>
    <x v="1"/>
    <s v="TPD"/>
    <s v="4&quot;"/>
    <n v="1"/>
    <m/>
    <m/>
    <m/>
    <m/>
    <m/>
    <m/>
    <m/>
    <m/>
    <m/>
    <m/>
    <m/>
    <m/>
    <m/>
    <m/>
    <m/>
    <m/>
    <m/>
    <m/>
    <m/>
    <m/>
    <m/>
  </r>
  <r>
    <s v="N229"/>
    <s v="N227"/>
    <n v="11.02"/>
    <x v="8"/>
    <x v="1"/>
    <s v="TPD"/>
    <s v="4&quot;"/>
    <n v="1"/>
    <m/>
    <m/>
    <m/>
    <m/>
    <m/>
    <m/>
    <m/>
    <m/>
    <m/>
    <m/>
    <m/>
    <m/>
    <m/>
    <m/>
    <m/>
    <m/>
    <m/>
    <m/>
    <m/>
    <m/>
    <m/>
  </r>
  <r>
    <s v="N228"/>
    <s v="N230"/>
    <n v="46.86"/>
    <x v="8"/>
    <x v="1"/>
    <s v="TPD"/>
    <s v="4&quot;"/>
    <n v="1"/>
    <m/>
    <m/>
    <m/>
    <m/>
    <m/>
    <m/>
    <m/>
    <m/>
    <m/>
    <m/>
    <m/>
    <m/>
    <m/>
    <m/>
    <m/>
    <m/>
    <m/>
    <m/>
    <m/>
    <m/>
    <m/>
  </r>
  <r>
    <s v="N229"/>
    <s v="N231"/>
    <n v="123.43"/>
    <x v="0"/>
    <x v="1"/>
    <s v="TPL"/>
    <s v="4&quot;"/>
    <n v="1"/>
    <s v="Reducción"/>
    <s v="3&quot;"/>
    <n v="1"/>
    <s v="Válvula de Corte "/>
    <s v="3&quot;"/>
    <n v="1"/>
    <m/>
    <m/>
    <m/>
    <m/>
    <m/>
    <m/>
    <m/>
    <m/>
    <m/>
    <m/>
    <m/>
    <m/>
    <m/>
    <m/>
    <m/>
  </r>
  <r>
    <s v="N231"/>
    <s v="N232"/>
    <n v="156.4"/>
    <x v="1"/>
    <x v="0"/>
    <s v="TPL"/>
    <s v="3&quot;"/>
    <n v="1"/>
    <s v="Reducción"/>
    <s v="2&quot;"/>
    <n v="1"/>
    <s v="Válvula de Corte "/>
    <s v="2&quot;"/>
    <n v="1"/>
    <s v="Codo"/>
    <s v="2&quot;"/>
    <n v="1"/>
    <m/>
    <m/>
    <m/>
    <m/>
    <m/>
    <m/>
    <m/>
    <m/>
    <m/>
    <m/>
    <m/>
    <m/>
  </r>
  <r>
    <s v="N232"/>
    <s v="TP167"/>
    <n v="42.11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232"/>
    <s v="TP168"/>
    <n v="22.91"/>
    <x v="1"/>
    <x v="0"/>
    <s v="TPD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231"/>
    <s v="N233"/>
    <n v="163.1"/>
    <x v="0"/>
    <x v="1"/>
    <s v="TPD"/>
    <s v="3&quot;"/>
    <n v="1"/>
    <m/>
    <m/>
    <m/>
    <m/>
    <m/>
    <m/>
    <m/>
    <m/>
    <m/>
    <m/>
    <m/>
    <m/>
    <m/>
    <m/>
    <m/>
    <m/>
    <m/>
    <m/>
    <m/>
    <m/>
    <m/>
  </r>
  <r>
    <s v="N222"/>
    <s v="TP169"/>
    <n v="147.19999999999999"/>
    <x v="0"/>
    <x v="1"/>
    <s v="TPD"/>
    <s v="3&quot;"/>
    <n v="1"/>
    <m/>
    <m/>
    <m/>
    <m/>
    <m/>
    <m/>
    <m/>
    <m/>
    <m/>
    <m/>
    <m/>
    <m/>
    <m/>
    <m/>
    <m/>
    <m/>
    <m/>
    <m/>
    <m/>
    <m/>
    <m/>
  </r>
  <r>
    <s v="N233"/>
    <s v="TP170"/>
    <n v="38.04"/>
    <x v="1"/>
    <x v="0"/>
    <s v="TPL"/>
    <s v="3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233"/>
    <s v="N234"/>
    <n v="131.88"/>
    <x v="0"/>
    <x v="1"/>
    <s v="TPD"/>
    <s v="3&quot;"/>
    <n v="1"/>
    <s v="Reducción"/>
    <s v="3&quot;"/>
    <n v="1"/>
    <m/>
    <m/>
    <m/>
    <m/>
    <m/>
    <m/>
    <m/>
    <m/>
    <m/>
    <m/>
    <m/>
    <m/>
    <m/>
    <m/>
    <m/>
    <m/>
    <m/>
    <m/>
  </r>
  <r>
    <s v="N225"/>
    <s v="N235"/>
    <n v="243.06"/>
    <x v="0"/>
    <x v="1"/>
    <s v="TPD"/>
    <s v="3&quot;"/>
    <n v="1"/>
    <m/>
    <m/>
    <m/>
    <m/>
    <m/>
    <m/>
    <m/>
    <m/>
    <m/>
    <m/>
    <m/>
    <m/>
    <m/>
    <m/>
    <m/>
    <m/>
    <m/>
    <m/>
    <m/>
    <m/>
    <m/>
  </r>
  <r>
    <s v="N235"/>
    <s v="N236"/>
    <n v="93.28"/>
    <x v="1"/>
    <x v="0"/>
    <s v="Reducción"/>
    <s v="2&quot;"/>
    <n v="1"/>
    <m/>
    <m/>
    <m/>
    <m/>
    <m/>
    <m/>
    <m/>
    <m/>
    <m/>
    <m/>
    <m/>
    <m/>
    <m/>
    <m/>
    <m/>
    <m/>
    <m/>
    <m/>
    <m/>
    <m/>
    <m/>
  </r>
  <r>
    <s v="N236"/>
    <s v="TP171"/>
    <n v="41.33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236"/>
    <s v="TP172"/>
    <n v="62.24"/>
    <x v="1"/>
    <x v="0"/>
    <s v="TPD"/>
    <s v="2&quot;"/>
    <n v="1"/>
    <s v="Codo"/>
    <s v="2&quot;"/>
    <n v="1"/>
    <s v="Tapón"/>
    <s v="2&quot;"/>
    <n v="1"/>
    <m/>
    <m/>
    <m/>
    <m/>
    <m/>
    <m/>
    <m/>
    <m/>
    <m/>
    <m/>
    <m/>
    <m/>
    <m/>
    <m/>
    <m/>
  </r>
  <r>
    <s v="N225"/>
    <s v="N234"/>
    <n v="15.31"/>
    <x v="0"/>
    <x v="1"/>
    <s v="TPL"/>
    <s v="3&quot;"/>
    <n v="1"/>
    <s v="Válvula de Corte "/>
    <s v="3&quot;"/>
    <n v="1"/>
    <s v="Reducción"/>
    <s v="3&quot;"/>
    <n v="1"/>
    <m/>
    <m/>
    <m/>
    <m/>
    <m/>
    <m/>
    <m/>
    <m/>
    <m/>
    <m/>
    <m/>
    <m/>
    <m/>
    <m/>
    <m/>
  </r>
  <r>
    <s v="N234"/>
    <s v="N237"/>
    <n v="26.13"/>
    <x v="7"/>
    <x v="1"/>
    <s v="TPL"/>
    <s v="6&quot;"/>
    <n v="1"/>
    <m/>
    <m/>
    <m/>
    <m/>
    <m/>
    <m/>
    <m/>
    <m/>
    <m/>
    <m/>
    <m/>
    <m/>
    <m/>
    <m/>
    <m/>
    <m/>
    <m/>
    <m/>
    <m/>
    <m/>
    <m/>
  </r>
  <r>
    <s v="N48"/>
    <s v="N238"/>
    <n v="26.81"/>
    <x v="6"/>
    <x v="4"/>
    <s v="Galápago"/>
    <s v="12&quot; A 1&quot;"/>
    <n v="1"/>
    <m/>
    <m/>
    <m/>
    <m/>
    <m/>
    <m/>
    <m/>
    <m/>
    <m/>
    <m/>
    <m/>
    <m/>
    <m/>
    <m/>
    <m/>
    <m/>
    <m/>
    <m/>
    <m/>
    <m/>
    <m/>
  </r>
  <r>
    <s v="N238"/>
    <s v="TP173"/>
    <n v="71.02"/>
    <x v="6"/>
    <x v="0"/>
    <s v="Codo"/>
    <s v="1&quot;"/>
    <n v="1"/>
    <s v="Tapón"/>
    <s v="1&quot;"/>
    <n v="1"/>
    <m/>
    <m/>
    <m/>
    <m/>
    <m/>
    <m/>
    <m/>
    <m/>
    <m/>
    <m/>
    <m/>
    <m/>
    <m/>
    <m/>
    <m/>
    <m/>
    <m/>
    <m/>
  </r>
  <r>
    <s v="N48"/>
    <s v="N239"/>
    <n v="65.75"/>
    <x v="4"/>
    <x v="1"/>
    <m/>
    <m/>
    <m/>
    <m/>
    <m/>
    <m/>
    <m/>
    <m/>
    <m/>
    <m/>
    <m/>
    <m/>
    <m/>
    <m/>
    <m/>
    <m/>
    <m/>
    <m/>
    <m/>
    <m/>
    <m/>
    <m/>
    <m/>
    <m/>
  </r>
  <r>
    <s v="N239"/>
    <s v="TP174"/>
    <n v="69.599999999999994"/>
    <x v="1"/>
    <x v="0"/>
    <s v="Galápago"/>
    <s v="12&quot; A 2&quot;"/>
    <n v="1"/>
    <s v="Tapón"/>
    <s v="2&quot;"/>
    <n v="1"/>
    <m/>
    <m/>
    <m/>
    <m/>
    <m/>
    <m/>
    <m/>
    <m/>
    <m/>
    <m/>
    <m/>
    <m/>
    <m/>
    <m/>
    <m/>
    <m/>
    <m/>
    <m/>
  </r>
  <r>
    <s v="N239"/>
    <s v="N209"/>
    <n v="135.72999999999999"/>
    <x v="4"/>
    <x v="1"/>
    <s v="Hidrantes de Columna "/>
    <m/>
    <n v="1"/>
    <m/>
    <m/>
    <m/>
    <m/>
    <m/>
    <m/>
    <m/>
    <m/>
    <m/>
    <m/>
    <m/>
    <m/>
    <m/>
    <m/>
    <m/>
    <m/>
    <m/>
    <m/>
    <m/>
    <m/>
    <m/>
  </r>
  <r>
    <s v="N209"/>
    <s v="N240"/>
    <n v="63.37"/>
    <x v="4"/>
    <x v="1"/>
    <s v="TPD"/>
    <s v="12&quot;"/>
    <n v="1"/>
    <m/>
    <m/>
    <m/>
    <m/>
    <m/>
    <m/>
    <m/>
    <m/>
    <m/>
    <m/>
    <m/>
    <m/>
    <m/>
    <m/>
    <m/>
    <m/>
    <m/>
    <m/>
    <m/>
    <m/>
    <m/>
  </r>
  <r>
    <s v="N240"/>
    <s v="N241"/>
    <n v="112.91"/>
    <x v="4"/>
    <x v="1"/>
    <s v="TPD"/>
    <s v="12&quot;"/>
    <n v="1"/>
    <m/>
    <m/>
    <m/>
    <m/>
    <m/>
    <m/>
    <m/>
    <m/>
    <m/>
    <m/>
    <m/>
    <m/>
    <m/>
    <m/>
    <m/>
    <m/>
    <m/>
    <m/>
    <m/>
    <m/>
    <m/>
  </r>
  <r>
    <s v="N240"/>
    <s v="N242"/>
    <n v="9.2200000000000006"/>
    <x v="0"/>
    <x v="4"/>
    <s v="TPL"/>
    <s v="12&quot;"/>
    <n v="1"/>
    <s v="Reducción"/>
    <s v="3&quot;"/>
    <n v="1"/>
    <m/>
    <m/>
    <m/>
    <m/>
    <m/>
    <m/>
    <m/>
    <m/>
    <m/>
    <m/>
    <m/>
    <m/>
    <m/>
    <m/>
    <m/>
    <m/>
    <m/>
    <m/>
  </r>
  <r>
    <s v="N242"/>
    <s v="N243"/>
    <n v="100.34"/>
    <x v="0"/>
    <x v="0"/>
    <s v="Válvula de Corte "/>
    <s v="3&quot;"/>
    <n v="1"/>
    <m/>
    <m/>
    <m/>
    <m/>
    <m/>
    <m/>
    <m/>
    <m/>
    <m/>
    <m/>
    <m/>
    <m/>
    <m/>
    <m/>
    <m/>
    <m/>
    <m/>
    <m/>
    <m/>
    <m/>
    <m/>
  </r>
  <r>
    <s v="N243"/>
    <s v="TP175"/>
    <n v="38.29"/>
    <x v="1"/>
    <x v="0"/>
    <s v="TPL"/>
    <s v="3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243"/>
    <s v="N285"/>
    <n v="448.76"/>
    <x v="1"/>
    <x v="0"/>
    <s v="TPD"/>
    <s v="3&quot;"/>
    <n v="1"/>
    <s v="Reducción"/>
    <s v="2&quot;"/>
    <n v="1"/>
    <s v="Codo"/>
    <s v="2&quot;"/>
    <n v="2"/>
    <s v="Válvula de Corte "/>
    <s v="2&quot;"/>
    <n v="1"/>
    <m/>
    <m/>
    <m/>
    <m/>
    <m/>
    <m/>
    <m/>
    <m/>
    <m/>
    <m/>
    <m/>
    <m/>
  </r>
  <r>
    <s v="N75"/>
    <s v="N286"/>
    <n v="75.67"/>
    <x v="2"/>
    <x v="2"/>
    <s v="TPL"/>
    <s v="8&quot;"/>
    <n v="1"/>
    <s v="Válvula de Corte "/>
    <s v="8&quot;"/>
    <n v="1"/>
    <m/>
    <m/>
    <m/>
    <m/>
    <m/>
    <m/>
    <m/>
    <m/>
    <m/>
    <m/>
    <m/>
    <m/>
    <m/>
    <m/>
    <m/>
    <m/>
    <m/>
    <m/>
  </r>
  <r>
    <s v="N286"/>
    <s v="N287"/>
    <n v="711.2"/>
    <x v="2"/>
    <x v="0"/>
    <s v="Codo"/>
    <s v="8&quot;"/>
    <n v="1"/>
    <s v="Ventosas "/>
    <s v="8&quot;"/>
    <n v="1"/>
    <m/>
    <m/>
    <m/>
    <m/>
    <m/>
    <m/>
    <m/>
    <m/>
    <m/>
    <m/>
    <m/>
    <m/>
    <m/>
    <m/>
    <m/>
    <m/>
    <m/>
    <m/>
  </r>
  <r>
    <s v="N287"/>
    <s v="T.PROVINCIAL"/>
    <n v="13.87"/>
    <x v="2"/>
    <x v="2"/>
    <s v="TPL"/>
    <s v="8&quot;"/>
    <n v="1"/>
    <s v="Válvula de Corte "/>
    <s v="8&quot;"/>
    <n v="1"/>
    <m/>
    <m/>
    <m/>
    <m/>
    <m/>
    <m/>
    <m/>
    <m/>
    <m/>
    <m/>
    <m/>
    <m/>
    <m/>
    <m/>
    <m/>
    <m/>
    <m/>
    <m/>
  </r>
  <r>
    <s v="N287"/>
    <s v="N244"/>
    <n v="107.35"/>
    <x v="2"/>
    <x v="0"/>
    <s v="TPD"/>
    <s v="8&quot;"/>
    <n v="1"/>
    <m/>
    <m/>
    <m/>
    <m/>
    <m/>
    <m/>
    <m/>
    <m/>
    <m/>
    <m/>
    <m/>
    <m/>
    <m/>
    <m/>
    <m/>
    <m/>
    <m/>
    <m/>
    <m/>
    <m/>
    <m/>
  </r>
  <r>
    <s v="N244"/>
    <s v="N245"/>
    <n v="48.08"/>
    <x v="2"/>
    <x v="2"/>
    <m/>
    <m/>
    <m/>
    <m/>
    <m/>
    <m/>
    <m/>
    <m/>
    <m/>
    <m/>
    <m/>
    <m/>
    <m/>
    <m/>
    <m/>
    <m/>
    <m/>
    <m/>
    <m/>
    <m/>
    <m/>
    <m/>
    <m/>
    <m/>
  </r>
  <r>
    <s v="N245"/>
    <s v="TP176"/>
    <n v="187.11"/>
    <x v="1"/>
    <x v="0"/>
    <s v="TPL"/>
    <s v="8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245"/>
    <s v="N246"/>
    <n v="343.5"/>
    <x v="2"/>
    <x v="2"/>
    <s v="TPL"/>
    <s v="8&quot;"/>
    <n v="1"/>
    <s v="Ventosas "/>
    <s v="8&quot;"/>
    <n v="1"/>
    <s v="Codo"/>
    <s v="8&quot;"/>
    <n v="1"/>
    <s v="Válvula de Corte "/>
    <s v="8&quot;"/>
    <n v="1"/>
    <m/>
    <m/>
    <m/>
    <m/>
    <m/>
    <m/>
    <m/>
    <m/>
    <m/>
    <m/>
    <m/>
    <m/>
  </r>
  <r>
    <s v="T. PROVINCIAL"/>
    <s v="N247"/>
    <n v="367.22"/>
    <x v="2"/>
    <x v="2"/>
    <s v="Válvula de Corte "/>
    <s v="8&quot;"/>
    <n v="1"/>
    <s v="Codo"/>
    <s v="8&quot;"/>
    <n v="1"/>
    <m/>
    <m/>
    <m/>
    <m/>
    <m/>
    <m/>
    <m/>
    <m/>
    <m/>
    <m/>
    <m/>
    <m/>
    <m/>
    <m/>
    <m/>
    <m/>
    <m/>
    <m/>
  </r>
  <r>
    <s v="N247"/>
    <s v="TP177"/>
    <n v="94.09"/>
    <x v="1"/>
    <x v="0"/>
    <s v="TPL"/>
    <s v="8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247"/>
    <s v="N248"/>
    <n v="131.79"/>
    <x v="2"/>
    <x v="2"/>
    <s v="TPD"/>
    <s v="8&quot;"/>
    <n v="1"/>
    <s v="Codo"/>
    <s v="8&quot;"/>
    <n v="1"/>
    <m/>
    <m/>
    <m/>
    <m/>
    <m/>
    <m/>
    <m/>
    <m/>
    <m/>
    <m/>
    <m/>
    <m/>
    <m/>
    <m/>
    <m/>
    <m/>
    <m/>
    <m/>
  </r>
  <r>
    <s v="N46"/>
    <s v="N249"/>
    <n v="822.78"/>
    <x v="2"/>
    <x v="0"/>
    <s v="Ventosas "/>
    <s v="8&quot;"/>
    <n v="1"/>
    <m/>
    <m/>
    <m/>
    <m/>
    <m/>
    <m/>
    <m/>
    <m/>
    <m/>
    <m/>
    <m/>
    <m/>
    <m/>
    <m/>
    <m/>
    <m/>
    <m/>
    <m/>
    <m/>
    <m/>
    <m/>
  </r>
  <r>
    <s v="T. JURADO 3"/>
    <s v="T. JURADO 2"/>
    <n v="75.92"/>
    <x v="6"/>
    <x v="0"/>
    <s v="Codo"/>
    <s v="1&quot;"/>
    <n v="2"/>
    <m/>
    <m/>
    <m/>
    <m/>
    <m/>
    <m/>
    <m/>
    <m/>
    <m/>
    <m/>
    <m/>
    <m/>
    <m/>
    <m/>
    <m/>
    <m/>
    <m/>
    <m/>
    <m/>
    <m/>
    <m/>
  </r>
  <r>
    <s v="T. JURADO 3"/>
    <s v="N250"/>
    <n v="73.67"/>
    <x v="1"/>
    <x v="0"/>
    <m/>
    <m/>
    <m/>
    <m/>
    <m/>
    <m/>
    <m/>
    <m/>
    <m/>
    <m/>
    <m/>
    <m/>
    <m/>
    <m/>
    <m/>
    <m/>
    <m/>
    <m/>
    <m/>
    <m/>
    <m/>
    <m/>
    <m/>
    <m/>
  </r>
  <r>
    <s v="T. JURADO 2 "/>
    <s v="N250"/>
    <n v="17.59"/>
    <x v="6"/>
    <x v="0"/>
    <s v="Válvula de Corte "/>
    <s v="1&quot;"/>
    <n v="1"/>
    <s v="Reducción"/>
    <s v="1&quot;"/>
    <n v="1"/>
    <m/>
    <m/>
    <m/>
    <m/>
    <m/>
    <m/>
    <m/>
    <m/>
    <m/>
    <m/>
    <m/>
    <m/>
    <m/>
    <m/>
    <m/>
    <m/>
    <m/>
    <m/>
  </r>
  <r>
    <s v="T. JURADO 3"/>
    <s v="N251"/>
    <n v="77.22"/>
    <x v="1"/>
    <x v="0"/>
    <s v="Codo"/>
    <s v="2&quot;"/>
    <n v="1"/>
    <m/>
    <m/>
    <m/>
    <m/>
    <m/>
    <m/>
    <m/>
    <m/>
    <m/>
    <m/>
    <m/>
    <m/>
    <m/>
    <m/>
    <m/>
    <m/>
    <m/>
    <m/>
    <m/>
    <m/>
    <m/>
  </r>
  <r>
    <s v="T. JURADO 2 "/>
    <s v="N251"/>
    <n v="17.77"/>
    <x v="6"/>
    <x v="0"/>
    <m/>
    <m/>
    <m/>
    <s v="Reducción"/>
    <s v="1&quot;"/>
    <n v="1"/>
    <m/>
    <m/>
    <m/>
    <m/>
    <m/>
    <m/>
    <m/>
    <m/>
    <m/>
    <m/>
    <m/>
    <m/>
    <m/>
    <m/>
    <m/>
    <m/>
    <m/>
    <m/>
  </r>
  <r>
    <s v="N250"/>
    <s v="N252"/>
    <n v="190.05"/>
    <x v="1"/>
    <x v="0"/>
    <s v="TPD"/>
    <s v="2&quot;"/>
    <n v="1"/>
    <s v="Codo"/>
    <s v="2&quot;"/>
    <n v="1"/>
    <m/>
    <m/>
    <m/>
    <m/>
    <m/>
    <m/>
    <m/>
    <m/>
    <m/>
    <m/>
    <m/>
    <m/>
    <m/>
    <m/>
    <m/>
    <m/>
    <m/>
    <m/>
  </r>
  <r>
    <s v="N252"/>
    <s v="E.B.3"/>
    <n v="6.46"/>
    <x v="1"/>
    <x v="0"/>
    <s v="TPL"/>
    <s v="2&quot;"/>
    <n v="1"/>
    <m/>
    <m/>
    <m/>
    <m/>
    <m/>
    <m/>
    <m/>
    <m/>
    <m/>
    <m/>
    <m/>
    <m/>
    <m/>
    <m/>
    <m/>
    <m/>
    <m/>
    <m/>
    <m/>
    <m/>
    <m/>
  </r>
  <r>
    <s v="N251"/>
    <s v="E.B.3"/>
    <n v="194.7"/>
    <x v="1"/>
    <x v="0"/>
    <s v="Codo"/>
    <s v="2&quot;"/>
    <n v="1"/>
    <m/>
    <m/>
    <m/>
    <m/>
    <m/>
    <m/>
    <m/>
    <m/>
    <m/>
    <m/>
    <m/>
    <m/>
    <m/>
    <m/>
    <m/>
    <m/>
    <m/>
    <m/>
    <m/>
    <m/>
    <m/>
  </r>
  <r>
    <s v="N252"/>
    <s v="TP178"/>
    <n v="325.75"/>
    <x v="1"/>
    <x v="0"/>
    <s v="TPD"/>
    <s v="2&quot;"/>
    <n v="1"/>
    <s v="Purgas"/>
    <s v="2&quot;"/>
    <n v="1"/>
    <s v="Tapón"/>
    <s v="2&quot;"/>
    <n v="1"/>
    <m/>
    <m/>
    <m/>
    <m/>
    <m/>
    <m/>
    <m/>
    <m/>
    <m/>
    <m/>
    <m/>
    <m/>
    <m/>
    <m/>
    <m/>
  </r>
  <r>
    <s v="N249"/>
    <s v="N253"/>
    <n v="21.23"/>
    <x v="2"/>
    <x v="0"/>
    <s v="TPD"/>
    <s v="8&quot;"/>
    <n v="1"/>
    <s v="Codo"/>
    <s v="8&quot;"/>
    <n v="1"/>
    <m/>
    <m/>
    <m/>
    <m/>
    <m/>
    <m/>
    <m/>
    <m/>
    <m/>
    <m/>
    <m/>
    <m/>
    <m/>
    <m/>
    <m/>
    <m/>
    <m/>
    <m/>
  </r>
  <r>
    <s v="N249"/>
    <s v="E.B.3"/>
    <n v="4.17"/>
    <x v="2"/>
    <x v="0"/>
    <s v="TPL"/>
    <s v="8&quot;"/>
    <n v="1"/>
    <m/>
    <m/>
    <m/>
    <m/>
    <m/>
    <m/>
    <m/>
    <m/>
    <m/>
    <m/>
    <m/>
    <m/>
    <m/>
    <m/>
    <m/>
    <m/>
    <m/>
    <m/>
    <m/>
    <m/>
    <m/>
  </r>
  <r>
    <s v="E.B.3"/>
    <s v="N253"/>
    <n v="8.75"/>
    <x v="2"/>
    <x v="0"/>
    <s v="TPL"/>
    <s v="8&quot;"/>
    <n v="1"/>
    <m/>
    <m/>
    <m/>
    <m/>
    <m/>
    <m/>
    <m/>
    <m/>
    <m/>
    <m/>
    <m/>
    <m/>
    <m/>
    <m/>
    <m/>
    <m/>
    <m/>
    <m/>
    <m/>
    <m/>
    <m/>
  </r>
  <r>
    <s v="N253"/>
    <s v="N254"/>
    <n v="97.64"/>
    <x v="2"/>
    <x v="0"/>
    <s v="TPD"/>
    <s v="8&quot;"/>
    <n v="1"/>
    <m/>
    <m/>
    <m/>
    <m/>
    <m/>
    <m/>
    <m/>
    <m/>
    <m/>
    <m/>
    <m/>
    <m/>
    <m/>
    <m/>
    <m/>
    <m/>
    <m/>
    <m/>
    <m/>
    <m/>
    <m/>
  </r>
  <r>
    <s v="N254"/>
    <s v="N255"/>
    <n v="7.13"/>
    <x v="0"/>
    <x v="2"/>
    <s v="TPL"/>
    <s v="8&quot;"/>
    <n v="1"/>
    <s v="Reducción"/>
    <s v="3&quot;"/>
    <n v="1"/>
    <s v="Válvula de Corte "/>
    <s v="3&quot;"/>
    <n v="1"/>
    <m/>
    <m/>
    <m/>
    <m/>
    <m/>
    <m/>
    <m/>
    <m/>
    <m/>
    <m/>
    <m/>
    <m/>
    <m/>
    <m/>
    <m/>
  </r>
  <r>
    <s v="N255"/>
    <s v="N256"/>
    <n v="80.61"/>
    <x v="0"/>
    <x v="0"/>
    <s v="TPL"/>
    <s v="3&quot;"/>
    <m/>
    <m/>
    <m/>
    <m/>
    <m/>
    <m/>
    <m/>
    <m/>
    <m/>
    <m/>
    <m/>
    <m/>
    <m/>
    <m/>
    <m/>
    <m/>
    <m/>
    <m/>
    <m/>
    <m/>
    <m/>
    <m/>
  </r>
  <r>
    <s v="N256"/>
    <s v="TP179"/>
    <n v="175.11"/>
    <x v="0"/>
    <x v="2"/>
    <s v="TPD"/>
    <s v="3&quot;"/>
    <n v="1"/>
    <s v="Tapón"/>
    <s v="3&quot;"/>
    <n v="1"/>
    <m/>
    <m/>
    <m/>
    <m/>
    <m/>
    <m/>
    <m/>
    <m/>
    <m/>
    <m/>
    <m/>
    <m/>
    <m/>
    <m/>
    <m/>
    <m/>
    <m/>
    <m/>
  </r>
  <r>
    <s v="N256"/>
    <s v="N257"/>
    <n v="92.56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N257"/>
    <s v="TP180"/>
    <n v="4.4400000000000004"/>
    <x v="0"/>
    <x v="0"/>
    <s v="TPD"/>
    <s v="3&quot;"/>
    <n v="1"/>
    <s v="Tapón"/>
    <s v="3&quot;"/>
    <n v="1"/>
    <m/>
    <m/>
    <m/>
    <m/>
    <m/>
    <m/>
    <m/>
    <m/>
    <m/>
    <m/>
    <m/>
    <m/>
    <m/>
    <m/>
    <m/>
    <m/>
    <m/>
    <m/>
  </r>
  <r>
    <s v="N257"/>
    <s v="TP181"/>
    <n v="44.7"/>
    <x v="6"/>
    <x v="0"/>
    <s v="TPL"/>
    <s v="3&quot;"/>
    <n v="1"/>
    <s v="Reducción"/>
    <s v="1&quot;"/>
    <n v="1"/>
    <s v="Tapón"/>
    <s v="1&quot;"/>
    <n v="1"/>
    <m/>
    <m/>
    <m/>
    <m/>
    <m/>
    <m/>
    <m/>
    <m/>
    <m/>
    <m/>
    <m/>
    <m/>
    <m/>
    <m/>
    <m/>
  </r>
  <r>
    <s v="N254"/>
    <s v="T. SANTA MARTA"/>
    <n v="888.73"/>
    <x v="2"/>
    <x v="0"/>
    <s v="TPD"/>
    <s v="8&quot;"/>
    <n v="1"/>
    <s v="Codo"/>
    <s v="8&quot;"/>
    <n v="6"/>
    <m/>
    <m/>
    <m/>
    <m/>
    <m/>
    <m/>
    <m/>
    <m/>
    <m/>
    <m/>
    <m/>
    <m/>
    <m/>
    <m/>
    <m/>
    <m/>
    <m/>
    <m/>
  </r>
  <r>
    <s v="N255"/>
    <s v="N258"/>
    <n v="167.43"/>
    <x v="0"/>
    <x v="2"/>
    <s v="TPD"/>
    <s v="3&quot;"/>
    <n v="1"/>
    <m/>
    <m/>
    <m/>
    <m/>
    <m/>
    <m/>
    <m/>
    <m/>
    <m/>
    <m/>
    <m/>
    <m/>
    <m/>
    <m/>
    <m/>
    <m/>
    <m/>
    <m/>
    <m/>
    <m/>
    <m/>
  </r>
  <r>
    <s v="N258"/>
    <s v="TP182"/>
    <n v="193.79"/>
    <x v="1"/>
    <x v="0"/>
    <s v="Reducción"/>
    <s v="2&quot;"/>
    <n v="1"/>
    <s v="Válvula de Corte "/>
    <s v="2&quot;"/>
    <n v="1"/>
    <s v="Codo"/>
    <s v="2&quot;"/>
    <n v="1"/>
    <s v="Tapón"/>
    <s v="2&quot;"/>
    <n v="1"/>
    <m/>
    <m/>
    <m/>
    <m/>
    <m/>
    <m/>
    <m/>
    <m/>
    <m/>
    <m/>
    <m/>
    <m/>
  </r>
  <r>
    <s v="N241"/>
    <s v="N259"/>
    <n v="50.61"/>
    <x v="3"/>
    <x v="1"/>
    <s v="TPL"/>
    <s v="12&quot;"/>
    <n v="1"/>
    <s v="Reducción"/>
    <s v="10&quot;"/>
    <n v="1"/>
    <s v="Válvula de Corte "/>
    <s v="10&quot;"/>
    <n v="1"/>
    <s v="Codo"/>
    <s v="10&quot;"/>
    <n v="1"/>
    <m/>
    <m/>
    <m/>
    <m/>
    <m/>
    <m/>
    <m/>
    <m/>
    <m/>
    <m/>
    <m/>
    <m/>
  </r>
  <r>
    <s v="N259"/>
    <s v="N260"/>
    <n v="19.100000000000001"/>
    <x v="0"/>
    <x v="0"/>
    <s v="TPL"/>
    <s v="10&quot;"/>
    <n v="1"/>
    <s v="Reducción"/>
    <s v="3&quot;"/>
    <n v="1"/>
    <s v="Válvula de Corte "/>
    <s v="3&quot;"/>
    <n v="1"/>
    <m/>
    <m/>
    <m/>
    <m/>
    <m/>
    <m/>
    <m/>
    <m/>
    <m/>
    <m/>
    <m/>
    <m/>
    <m/>
    <m/>
    <m/>
  </r>
  <r>
    <s v="N260"/>
    <s v="TP183"/>
    <n v="15.94"/>
    <x v="0"/>
    <x v="0"/>
    <s v="TPL"/>
    <s v="3&quot;"/>
    <n v="1"/>
    <s v="Tapón"/>
    <s v="3&quot;"/>
    <n v="1"/>
    <m/>
    <m/>
    <m/>
    <m/>
    <m/>
    <m/>
    <m/>
    <m/>
    <m/>
    <m/>
    <m/>
    <m/>
    <m/>
    <m/>
    <m/>
    <m/>
    <m/>
    <m/>
  </r>
  <r>
    <s v="N260"/>
    <s v="N261"/>
    <n v="25.91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261"/>
    <s v="TP184"/>
    <n v="18.12"/>
    <x v="0"/>
    <x v="0"/>
    <s v="TPL"/>
    <s v="3&quot;"/>
    <n v="1"/>
    <s v="Tapón"/>
    <s v="3&quot;"/>
    <n v="1"/>
    <m/>
    <m/>
    <m/>
    <m/>
    <m/>
    <m/>
    <m/>
    <m/>
    <m/>
    <m/>
    <m/>
    <m/>
    <m/>
    <m/>
    <m/>
    <m/>
    <m/>
    <m/>
  </r>
  <r>
    <s v="N261"/>
    <s v="N262"/>
    <n v="35"/>
    <x v="1"/>
    <x v="0"/>
    <s v="TPD"/>
    <s v="3&quot;"/>
    <n v="1"/>
    <s v="Reducción"/>
    <s v="2&quot;"/>
    <n v="1"/>
    <s v="Válvula de Corte "/>
    <s v="2&quot;"/>
    <n v="1"/>
    <s v="Codo"/>
    <s v="2&quot;"/>
    <n v="1"/>
    <m/>
    <m/>
    <m/>
    <m/>
    <m/>
    <m/>
    <m/>
    <m/>
    <m/>
    <m/>
    <m/>
    <m/>
  </r>
  <r>
    <s v="N262"/>
    <s v="TP185"/>
    <n v="29.08"/>
    <x v="1"/>
    <x v="0"/>
    <s v="TPD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262"/>
    <s v="N263"/>
    <n v="19.71"/>
    <x v="1"/>
    <x v="0"/>
    <s v="TPL"/>
    <s v="2&quot;"/>
    <n v="1"/>
    <m/>
    <m/>
    <m/>
    <m/>
    <m/>
    <m/>
    <m/>
    <m/>
    <m/>
    <m/>
    <m/>
    <m/>
    <m/>
    <m/>
    <m/>
    <m/>
    <m/>
    <m/>
    <m/>
    <m/>
    <m/>
  </r>
  <r>
    <s v="N263"/>
    <s v="TP186"/>
    <n v="22.82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263"/>
    <s v="TP187"/>
    <n v="40.369999999999997"/>
    <x v="1"/>
    <x v="0"/>
    <s v="TPD"/>
    <s v="2&quot;"/>
    <n v="1"/>
    <s v="Codo"/>
    <s v="2&quot;"/>
    <n v="1"/>
    <s v="Tapón"/>
    <s v="2&quot;"/>
    <n v="1"/>
    <m/>
    <m/>
    <m/>
    <m/>
    <m/>
    <m/>
    <m/>
    <m/>
    <m/>
    <m/>
    <m/>
    <m/>
    <m/>
    <m/>
    <m/>
  </r>
  <r>
    <s v="N259"/>
    <s v="N288"/>
    <n v="123.77"/>
    <x v="3"/>
    <x v="1"/>
    <s v="TPD"/>
    <s v="10&quot;"/>
    <n v="1"/>
    <s v="Hidrantes de Piso"/>
    <m/>
    <n v="1"/>
    <m/>
    <m/>
    <m/>
    <m/>
    <m/>
    <m/>
    <m/>
    <m/>
    <m/>
    <m/>
    <m/>
    <m/>
    <m/>
    <m/>
    <m/>
    <m/>
    <m/>
    <m/>
  </r>
  <r>
    <s v="N288"/>
    <s v="TP198"/>
    <n v="96.19"/>
    <x v="0"/>
    <x v="1"/>
    <s v="Cruz"/>
    <s v="10&quot;"/>
    <n v="1"/>
    <s v="Reducción"/>
    <s v="3&quot;"/>
    <n v="1"/>
    <s v="Válvula de Corte "/>
    <s v="3&quot;"/>
    <n v="1"/>
    <s v="Tapón"/>
    <s v="3&quot;"/>
    <n v="1"/>
    <m/>
    <m/>
    <m/>
    <m/>
    <m/>
    <m/>
    <m/>
    <m/>
    <m/>
    <m/>
    <m/>
    <m/>
  </r>
  <r>
    <s v="N288"/>
    <s v="N289"/>
    <n v="139.22999999999999"/>
    <x v="3"/>
    <x v="1"/>
    <s v="Cruz"/>
    <s v="10&quot;"/>
    <n v="1"/>
    <s v="Válvula de Corte "/>
    <s v="10&quot;"/>
    <n v="1"/>
    <m/>
    <m/>
    <m/>
    <m/>
    <m/>
    <m/>
    <m/>
    <m/>
    <m/>
    <m/>
    <m/>
    <m/>
    <m/>
    <m/>
    <m/>
    <m/>
    <m/>
    <m/>
  </r>
  <r>
    <s v="N289"/>
    <s v="N264"/>
    <n v="57.41"/>
    <x v="3"/>
    <x v="1"/>
    <s v="Cruz"/>
    <s v="10&quot;"/>
    <n v="1"/>
    <m/>
    <m/>
    <m/>
    <m/>
    <m/>
    <m/>
    <m/>
    <m/>
    <m/>
    <m/>
    <m/>
    <m/>
    <m/>
    <m/>
    <m/>
    <m/>
    <m/>
    <m/>
    <m/>
    <m/>
    <m/>
  </r>
  <r>
    <s v="N264"/>
    <s v="N265"/>
    <n v="11.02"/>
    <x v="1"/>
    <x v="1"/>
    <s v="TPL"/>
    <s v="10&quot;"/>
    <n v="1"/>
    <s v="Reducción"/>
    <s v="2&quot;"/>
    <n v="1"/>
    <m/>
    <m/>
    <m/>
    <m/>
    <m/>
    <m/>
    <m/>
    <m/>
    <m/>
    <m/>
    <m/>
    <m/>
    <m/>
    <m/>
    <m/>
    <m/>
    <m/>
    <m/>
  </r>
  <r>
    <s v="N265"/>
    <s v="N266"/>
    <n v="54.87"/>
    <x v="1"/>
    <x v="0"/>
    <s v="Válvula de Corte "/>
    <s v="2&quot;"/>
    <n v="1"/>
    <m/>
    <m/>
    <m/>
    <m/>
    <m/>
    <m/>
    <m/>
    <m/>
    <m/>
    <m/>
    <m/>
    <m/>
    <m/>
    <m/>
    <m/>
    <m/>
    <m/>
    <m/>
    <m/>
    <m/>
    <m/>
  </r>
  <r>
    <s v="N266"/>
    <s v="TP188"/>
    <n v="45.13"/>
    <x v="6"/>
    <x v="0"/>
    <s v="TPL"/>
    <s v="2&quot;"/>
    <n v="1"/>
    <s v="Reducción"/>
    <s v="1&quot;"/>
    <n v="1"/>
    <s v="Tapón"/>
    <s v="1&quot;"/>
    <n v="1"/>
    <m/>
    <m/>
    <m/>
    <m/>
    <m/>
    <m/>
    <m/>
    <m/>
    <m/>
    <m/>
    <m/>
    <m/>
    <m/>
    <m/>
    <m/>
  </r>
  <r>
    <s v="N266"/>
    <s v="N267"/>
    <n v="30.08"/>
    <x v="1"/>
    <x v="0"/>
    <s v="TPD"/>
    <s v="2&quot;"/>
    <n v="1"/>
    <m/>
    <m/>
    <m/>
    <m/>
    <m/>
    <m/>
    <m/>
    <m/>
    <m/>
    <m/>
    <m/>
    <m/>
    <m/>
    <m/>
    <m/>
    <m/>
    <m/>
    <m/>
    <m/>
    <m/>
    <m/>
  </r>
  <r>
    <s v="N267"/>
    <s v="TP189"/>
    <n v="16.84"/>
    <x v="1"/>
    <x v="0"/>
    <s v="TPD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267"/>
    <s v="TP190"/>
    <n v="77.66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264"/>
    <s v="N268"/>
    <n v="16.170000000000002"/>
    <x v="3"/>
    <x v="1"/>
    <s v="TPD"/>
    <s v="10&quot;"/>
    <n v="1"/>
    <m/>
    <m/>
    <m/>
    <m/>
    <m/>
    <m/>
    <m/>
    <m/>
    <m/>
    <m/>
    <m/>
    <m/>
    <m/>
    <m/>
    <m/>
    <m/>
    <m/>
    <m/>
    <m/>
    <m/>
    <m/>
  </r>
  <r>
    <s v="N268"/>
    <s v="N269"/>
    <n v="61.39"/>
    <x v="0"/>
    <x v="0"/>
    <s v="TPL"/>
    <s v="10&quot;"/>
    <n v="1"/>
    <s v="Reducción"/>
    <s v="3&quot;"/>
    <n v="1"/>
    <s v="Hidrantes de Columna "/>
    <m/>
    <n v="1"/>
    <m/>
    <m/>
    <m/>
    <m/>
    <m/>
    <m/>
    <m/>
    <m/>
    <m/>
    <m/>
    <m/>
    <m/>
    <m/>
    <m/>
    <m/>
  </r>
  <r>
    <s v="N268"/>
    <s v="N270"/>
    <n v="56.34"/>
    <x v="3"/>
    <x v="1"/>
    <s v="TPD"/>
    <s v="10&quot;"/>
    <n v="1"/>
    <s v="Hidrantes de Columna "/>
    <m/>
    <n v="1"/>
    <s v="Válvula de Corte "/>
    <s v="10&quot;"/>
    <n v="1"/>
    <m/>
    <m/>
    <m/>
    <m/>
    <m/>
    <m/>
    <m/>
    <m/>
    <m/>
    <m/>
    <m/>
    <m/>
    <m/>
    <m/>
    <m/>
  </r>
  <r>
    <s v="N246"/>
    <s v="N271"/>
    <n v="70.150000000000006"/>
    <x v="8"/>
    <x v="1"/>
    <s v="TPL"/>
    <s v="8&quot;"/>
    <n v="1"/>
    <s v="Reducción"/>
    <s v="4&quot;"/>
    <n v="1"/>
    <m/>
    <m/>
    <m/>
    <m/>
    <m/>
    <m/>
    <m/>
    <m/>
    <m/>
    <m/>
    <m/>
    <m/>
    <m/>
    <m/>
    <m/>
    <m/>
    <m/>
    <m/>
  </r>
  <r>
    <s v="N271"/>
    <s v="TP191"/>
    <n v="84.19"/>
    <x v="6"/>
    <x v="0"/>
    <s v="TPL"/>
    <s v="4&quot;"/>
    <n v="1"/>
    <s v="Reducción"/>
    <s v="1&quot;"/>
    <n v="1"/>
    <s v="Válvula de Corte "/>
    <s v="1&quot;"/>
    <n v="1"/>
    <s v="Tapón"/>
    <s v="1&quot;"/>
    <n v="1"/>
    <m/>
    <m/>
    <m/>
    <m/>
    <m/>
    <m/>
    <m/>
    <m/>
    <m/>
    <m/>
    <m/>
    <m/>
  </r>
  <r>
    <s v="N271"/>
    <s v="N272"/>
    <n v="53.11"/>
    <x v="8"/>
    <x v="1"/>
    <s v="TPD"/>
    <s v="4&quot;"/>
    <n v="1"/>
    <s v="Hidrantes de Piso"/>
    <m/>
    <n v="1"/>
    <m/>
    <m/>
    <m/>
    <m/>
    <m/>
    <m/>
    <m/>
    <m/>
    <m/>
    <m/>
    <m/>
    <m/>
    <m/>
    <m/>
    <m/>
    <m/>
    <m/>
    <m/>
  </r>
  <r>
    <s v="N272"/>
    <s v="TP192"/>
    <n v="139.27000000000001"/>
    <x v="1"/>
    <x v="0"/>
    <s v="Cruz"/>
    <s v="8&quot;"/>
    <n v="1"/>
    <s v="Reducción"/>
    <s v="2&quot;"/>
    <n v="1"/>
    <s v="Válvula de Corte "/>
    <s v="2&quot;"/>
    <n v="1"/>
    <s v="Tapón"/>
    <s v="2&quot;"/>
    <n v="1"/>
    <m/>
    <m/>
    <m/>
    <m/>
    <m/>
    <m/>
    <m/>
    <m/>
    <m/>
    <m/>
    <m/>
    <m/>
  </r>
  <r>
    <s v="N272"/>
    <s v="N273"/>
    <n v="8.5299999999999994"/>
    <x v="8"/>
    <x v="1"/>
    <s v="Cruz"/>
    <s v="8&quot;"/>
    <n v="1"/>
    <s v="Reducción"/>
    <s v="4&quot;"/>
    <n v="1"/>
    <m/>
    <m/>
    <m/>
    <m/>
    <m/>
    <m/>
    <m/>
    <m/>
    <m/>
    <m/>
    <m/>
    <m/>
    <m/>
    <m/>
    <m/>
    <m/>
    <m/>
    <m/>
  </r>
  <r>
    <s v="N273"/>
    <s v="N274"/>
    <n v="115.68"/>
    <x v="8"/>
    <x v="0"/>
    <s v="Válvula de Corte "/>
    <s v="4&quot;"/>
    <n v="1"/>
    <s v="Reducción"/>
    <s v="4&quot;"/>
    <m/>
    <m/>
    <m/>
    <m/>
    <m/>
    <m/>
    <m/>
    <m/>
    <m/>
    <m/>
    <m/>
    <m/>
    <m/>
    <m/>
    <m/>
    <m/>
    <m/>
    <m/>
    <m/>
  </r>
  <r>
    <s v="N274"/>
    <s v="N275"/>
    <n v="15.53"/>
    <x v="7"/>
    <x v="0"/>
    <s v="Válvula de Corte "/>
    <s v="6&quot;"/>
    <n v="1"/>
    <m/>
    <m/>
    <m/>
    <m/>
    <m/>
    <m/>
    <m/>
    <m/>
    <m/>
    <m/>
    <m/>
    <m/>
    <m/>
    <m/>
    <m/>
    <m/>
    <m/>
    <m/>
    <m/>
    <m/>
    <m/>
  </r>
  <r>
    <s v="N275"/>
    <s v="N276"/>
    <n v="88.01"/>
    <x v="7"/>
    <x v="0"/>
    <s v="TPL"/>
    <s v="6&quot;"/>
    <n v="1"/>
    <m/>
    <m/>
    <m/>
    <m/>
    <m/>
    <m/>
    <m/>
    <m/>
    <m/>
    <m/>
    <m/>
    <m/>
    <m/>
    <m/>
    <m/>
    <m/>
    <m/>
    <m/>
    <m/>
    <m/>
    <m/>
  </r>
  <r>
    <s v="N276"/>
    <s v="TP193"/>
    <n v="102.28"/>
    <x v="0"/>
    <x v="0"/>
    <s v="Reducción"/>
    <s v="3&quot;"/>
    <n v="1"/>
    <s v="Codo"/>
    <s v="3&quot;"/>
    <n v="1"/>
    <s v="Tapón"/>
    <s v="3&quot;"/>
    <n v="1"/>
    <m/>
    <m/>
    <m/>
    <m/>
    <m/>
    <m/>
    <m/>
    <m/>
    <m/>
    <m/>
    <m/>
    <m/>
    <m/>
    <m/>
    <m/>
  </r>
  <r>
    <s v="N275"/>
    <s v="N277"/>
    <n v="160.09"/>
    <x v="7"/>
    <x v="0"/>
    <s v="TPL"/>
    <s v="6&quot;"/>
    <n v="1"/>
    <m/>
    <m/>
    <m/>
    <m/>
    <m/>
    <m/>
    <m/>
    <m/>
    <m/>
    <m/>
    <m/>
    <m/>
    <m/>
    <m/>
    <m/>
    <m/>
    <m/>
    <m/>
    <m/>
    <m/>
    <m/>
  </r>
  <r>
    <s v="N277"/>
    <s v="N278"/>
    <n v="9.17"/>
    <x v="7"/>
    <x v="0"/>
    <s v="TPL"/>
    <s v="6&quot;"/>
    <n v="1"/>
    <s v="Válvula de Corte "/>
    <s v="6&quot;"/>
    <n v="1"/>
    <m/>
    <m/>
    <m/>
    <m/>
    <m/>
    <m/>
    <m/>
    <m/>
    <m/>
    <m/>
    <m/>
    <m/>
    <m/>
    <m/>
    <m/>
    <m/>
    <m/>
    <m/>
  </r>
  <r>
    <s v="N278"/>
    <s v="N279"/>
    <n v="77.569999999999993"/>
    <x v="0"/>
    <x v="1"/>
    <s v="Reducción"/>
    <s v="3&quot;"/>
    <n v="1"/>
    <m/>
    <m/>
    <m/>
    <m/>
    <m/>
    <m/>
    <m/>
    <m/>
    <m/>
    <m/>
    <m/>
    <m/>
    <m/>
    <m/>
    <m/>
    <m/>
    <m/>
    <m/>
    <m/>
    <m/>
    <m/>
  </r>
  <r>
    <s v="N279"/>
    <s v="N280"/>
    <n v="52.2"/>
    <x v="1"/>
    <x v="0"/>
    <s v="TPL"/>
    <s v="3&quot;"/>
    <n v="1"/>
    <s v="Reducción"/>
    <s v="2&quot;"/>
    <n v="1"/>
    <s v="Válvula de Corte "/>
    <s v="2&quot;"/>
    <n v="1"/>
    <m/>
    <m/>
    <m/>
    <m/>
    <m/>
    <m/>
    <m/>
    <m/>
    <m/>
    <m/>
    <m/>
    <m/>
    <m/>
    <m/>
    <m/>
  </r>
  <r>
    <s v="N280"/>
    <s v="TP194"/>
    <n v="34.03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280"/>
    <s v="N281"/>
    <n v="114.73"/>
    <x v="1"/>
    <x v="0"/>
    <s v="TPD"/>
    <s v="2&quot;"/>
    <n v="1"/>
    <s v="Codo"/>
    <s v="2&quot;"/>
    <n v="1"/>
    <m/>
    <m/>
    <m/>
    <m/>
    <m/>
    <m/>
    <m/>
    <m/>
    <m/>
    <m/>
    <m/>
    <m/>
    <m/>
    <m/>
    <m/>
    <m/>
    <m/>
    <m/>
  </r>
  <r>
    <s v="N281"/>
    <s v="TP195"/>
    <n v="67.91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281"/>
    <s v="TP196"/>
    <n v="16.04"/>
    <x v="1"/>
    <x v="0"/>
    <s v="TPD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279"/>
    <s v="N282"/>
    <n v="57.23"/>
    <x v="0"/>
    <x v="1"/>
    <s v="TPD"/>
    <s v="3&quot;"/>
    <n v="1"/>
    <s v="Válvula de Corte "/>
    <s v="3&quot;"/>
    <n v="1"/>
    <s v="Reducción"/>
    <s v="3&quot;"/>
    <n v="1"/>
    <m/>
    <m/>
    <m/>
    <m/>
    <m/>
    <m/>
    <m/>
    <m/>
    <m/>
    <m/>
    <m/>
    <m/>
    <m/>
    <m/>
    <m/>
  </r>
  <r>
    <s v="N272"/>
    <s v="N283"/>
    <n v="60.7"/>
    <x v="2"/>
    <x v="1"/>
    <s v="Cruz"/>
    <s v="8&quot;"/>
    <n v="1"/>
    <s v="Válvula de Corte "/>
    <s v="8&quot;"/>
    <n v="1"/>
    <m/>
    <m/>
    <m/>
    <m/>
    <m/>
    <m/>
    <m/>
    <m/>
    <m/>
    <m/>
    <m/>
    <m/>
    <m/>
    <m/>
    <m/>
    <m/>
    <m/>
    <m/>
  </r>
  <r>
    <s v="N283"/>
    <s v="TP197"/>
    <n v="104.64"/>
    <x v="1"/>
    <x v="0"/>
    <s v="Galápago"/>
    <s v="8&quot; A 2&quot;"/>
    <n v="1"/>
    <s v="Codo"/>
    <s v="2&quot;"/>
    <n v="2"/>
    <s v="Tapón"/>
    <s v="2&quot;"/>
    <n v="1"/>
    <m/>
    <m/>
    <m/>
    <m/>
    <m/>
    <m/>
    <m/>
    <m/>
    <m/>
    <m/>
    <m/>
    <m/>
    <m/>
    <m/>
    <m/>
  </r>
  <r>
    <s v="N283"/>
    <s v="N282"/>
    <n v="78.09"/>
    <x v="2"/>
    <x v="1"/>
    <m/>
    <m/>
    <m/>
    <m/>
    <m/>
    <m/>
    <m/>
    <m/>
    <m/>
    <m/>
    <m/>
    <m/>
    <m/>
    <m/>
    <m/>
    <m/>
    <m/>
    <m/>
    <m/>
    <m/>
    <m/>
    <m/>
    <m/>
    <m/>
  </r>
  <r>
    <s v="N282"/>
    <s v="N284"/>
    <n v="129"/>
    <x v="0"/>
    <x v="1"/>
    <s v="Cruz"/>
    <s v="8&quot;"/>
    <n v="1"/>
    <s v="Reducción"/>
    <s v="3&quot;"/>
    <n v="1"/>
    <s v="Válvula de Corte "/>
    <s v="3&quot;"/>
    <n v="1"/>
    <m/>
    <m/>
    <m/>
    <m/>
    <m/>
    <m/>
    <m/>
    <m/>
    <m/>
    <m/>
    <m/>
    <m/>
    <m/>
    <m/>
    <m/>
  </r>
  <r>
    <s v="N246"/>
    <s v="N284"/>
    <n v="8.2200000000000006"/>
    <x v="8"/>
    <x v="1"/>
    <s v="TPL"/>
    <s v="8&quot;"/>
    <n v="1"/>
    <s v="Reducción"/>
    <s v="4&quot;"/>
    <n v="2"/>
    <s v="Válvula de Corte "/>
    <s v="4&quot;"/>
    <n v="1"/>
    <m/>
    <m/>
    <m/>
    <m/>
    <m/>
    <m/>
    <m/>
    <m/>
    <m/>
    <m/>
    <m/>
    <m/>
    <m/>
    <m/>
    <m/>
  </r>
  <r>
    <s v="N248"/>
    <s v="N284"/>
    <n v="3.08"/>
    <x v="3"/>
    <x v="1"/>
    <s v="TPL"/>
    <s v="10&quot;"/>
    <n v="1"/>
    <m/>
    <m/>
    <m/>
    <m/>
    <m/>
    <m/>
    <m/>
    <m/>
    <m/>
    <m/>
    <m/>
    <m/>
    <m/>
    <m/>
    <m/>
    <m/>
    <m/>
    <m/>
    <m/>
    <m/>
    <m/>
  </r>
  <r>
    <s v="N284"/>
    <s v="N283"/>
    <n v="183.9"/>
    <x v="0"/>
    <x v="1"/>
    <s v="TPL"/>
    <s v="10&quot;"/>
    <n v="1"/>
    <s v="Reducción"/>
    <s v="3&quot;"/>
    <n v="1"/>
    <s v="Válvula de Corte "/>
    <s v="3&quot;"/>
    <n v="1"/>
    <s v="Hidrantes de Piso"/>
    <m/>
    <n v="1"/>
    <m/>
    <m/>
    <m/>
    <m/>
    <m/>
    <m/>
    <m/>
    <m/>
    <m/>
    <m/>
    <m/>
    <m/>
  </r>
  <r>
    <s v="N283"/>
    <s v="N290"/>
    <n v="130.71"/>
    <x v="0"/>
    <x v="1"/>
    <s v="Cruz"/>
    <s v="3&quot;"/>
    <n v="1"/>
    <m/>
    <m/>
    <m/>
    <m/>
    <m/>
    <m/>
    <m/>
    <m/>
    <m/>
    <m/>
    <m/>
    <m/>
    <m/>
    <m/>
    <m/>
    <m/>
    <m/>
    <m/>
    <m/>
    <m/>
    <m/>
  </r>
  <r>
    <s v="N248"/>
    <s v="N285"/>
    <n v="134.53"/>
    <x v="3"/>
    <x v="1"/>
    <s v="TPL"/>
    <s v="10&quot;"/>
    <n v="1"/>
    <s v="Válvula de Corte "/>
    <s v="10&quot;"/>
    <n v="1"/>
    <m/>
    <m/>
    <m/>
    <m/>
    <m/>
    <m/>
    <m/>
    <m/>
    <m/>
    <m/>
    <m/>
    <m/>
    <m/>
    <m/>
    <m/>
    <m/>
    <m/>
    <m/>
  </r>
  <r>
    <s v="N285"/>
    <s v="N290"/>
    <n v="134.56"/>
    <x v="0"/>
    <x v="0"/>
    <s v="Cruz"/>
    <s v="10&quot;"/>
    <n v="1"/>
    <s v="Reducción"/>
    <s v="3&quot;"/>
    <n v="1"/>
    <s v="Válvula de Corte "/>
    <s v="3&quot;"/>
    <n v="1"/>
    <m/>
    <m/>
    <m/>
    <m/>
    <m/>
    <m/>
    <m/>
    <m/>
    <m/>
    <m/>
    <m/>
    <m/>
    <m/>
    <m/>
    <m/>
  </r>
  <r>
    <s v="N290"/>
    <s v="N291"/>
    <n v="125.03"/>
    <x v="0"/>
    <x v="1"/>
    <s v="Cruz"/>
    <s v="3&quot;"/>
    <n v="1"/>
    <m/>
    <m/>
    <m/>
    <m/>
    <m/>
    <m/>
    <m/>
    <m/>
    <m/>
    <m/>
    <m/>
    <m/>
    <m/>
    <m/>
    <m/>
    <m/>
    <m/>
    <m/>
    <m/>
    <m/>
    <m/>
  </r>
  <r>
    <s v="N291"/>
    <s v="N292"/>
    <n v="10.55"/>
    <x v="0"/>
    <x v="0"/>
    <s v="Válvula de Corte "/>
    <s v="3&quot;"/>
    <n v="1"/>
    <m/>
    <m/>
    <m/>
    <m/>
    <m/>
    <m/>
    <m/>
    <m/>
    <m/>
    <m/>
    <m/>
    <m/>
    <m/>
    <m/>
    <m/>
    <m/>
    <m/>
    <m/>
    <m/>
    <m/>
    <m/>
  </r>
  <r>
    <s v="N285"/>
    <s v="N289"/>
    <n v="133.04"/>
    <x v="3"/>
    <x v="1"/>
    <s v="Cruz"/>
    <s v="10&quot;"/>
    <n v="1"/>
    <s v="Hidrantes de Piso"/>
    <m/>
    <n v="1"/>
    <m/>
    <m/>
    <m/>
    <m/>
    <m/>
    <m/>
    <m/>
    <m/>
    <m/>
    <m/>
    <m/>
    <m/>
    <m/>
    <m/>
    <m/>
    <m/>
    <m/>
    <m/>
  </r>
  <r>
    <s v="N270"/>
    <s v="N292"/>
    <n v="8.25"/>
    <x v="2"/>
    <x v="0"/>
    <s v="Reducción"/>
    <s v="8&quot;"/>
    <n v="1"/>
    <m/>
    <m/>
    <m/>
    <m/>
    <m/>
    <m/>
    <m/>
    <m/>
    <m/>
    <m/>
    <m/>
    <m/>
    <m/>
    <m/>
    <m/>
    <m/>
    <m/>
    <m/>
    <m/>
    <m/>
    <m/>
  </r>
  <r>
    <s v="N241"/>
    <s v="N293"/>
    <n v="32.520000000000003"/>
    <x v="1"/>
    <x v="1"/>
    <s v="TPL"/>
    <s v="12&quot;"/>
    <n v="1"/>
    <s v="Reducción"/>
    <s v="2&quot;"/>
    <n v="1"/>
    <s v="Válvula de Corte "/>
    <s v="2&quot;"/>
    <n v="1"/>
    <m/>
    <m/>
    <m/>
    <m/>
    <m/>
    <m/>
    <m/>
    <m/>
    <m/>
    <m/>
    <m/>
    <m/>
    <m/>
    <m/>
    <m/>
  </r>
  <r>
    <s v="N293"/>
    <s v="N294"/>
    <n v="31.4"/>
    <x v="8"/>
    <x v="1"/>
    <s v="Ampliación"/>
    <s v="4&quot;"/>
    <n v="1"/>
    <m/>
    <m/>
    <m/>
    <m/>
    <m/>
    <m/>
    <m/>
    <m/>
    <m/>
    <m/>
    <m/>
    <m/>
    <m/>
    <m/>
    <m/>
    <m/>
    <m/>
    <m/>
    <m/>
    <m/>
    <m/>
  </r>
  <r>
    <s v="N294"/>
    <s v="N295"/>
    <n v="16.55"/>
    <x v="1"/>
    <x v="0"/>
    <s v="TPL"/>
    <s v="4&quot;"/>
    <n v="1"/>
    <s v="Reducción"/>
    <s v="2&quot;"/>
    <n v="1"/>
    <s v="Válvula de Corte "/>
    <s v="2&quot;"/>
    <n v="1"/>
    <m/>
    <m/>
    <m/>
    <m/>
    <m/>
    <m/>
    <m/>
    <m/>
    <m/>
    <m/>
    <m/>
    <m/>
    <m/>
    <m/>
    <m/>
  </r>
  <r>
    <s v="N294"/>
    <s v="N296"/>
    <n v="36.78"/>
    <x v="8"/>
    <x v="1"/>
    <s v="TPD"/>
    <s v="4&quot;"/>
    <n v="1"/>
    <m/>
    <m/>
    <m/>
    <m/>
    <m/>
    <m/>
    <m/>
    <m/>
    <m/>
    <m/>
    <m/>
    <m/>
    <m/>
    <m/>
    <m/>
    <m/>
    <m/>
    <m/>
    <m/>
    <m/>
    <m/>
  </r>
  <r>
    <s v="N230"/>
    <s v="N296"/>
    <n v="13"/>
    <x v="0"/>
    <x v="0"/>
    <s v="Reducción"/>
    <s v="3&quot;"/>
    <n v="2"/>
    <s v="Válvula de Corte "/>
    <s v="3&quot;"/>
    <n v="1"/>
    <m/>
    <m/>
    <m/>
    <m/>
    <m/>
    <m/>
    <m/>
    <m/>
    <m/>
    <m/>
    <m/>
    <m/>
    <m/>
    <m/>
    <m/>
    <m/>
    <m/>
    <m/>
  </r>
  <r>
    <s v="N296"/>
    <s v="N297"/>
    <n v="87.15"/>
    <x v="0"/>
    <x v="0"/>
    <s v="TPL"/>
    <s v="4&quot;"/>
    <n v="1"/>
    <s v="Reducción"/>
    <s v="3&quot;"/>
    <n v="1"/>
    <s v="Hidrantes de Columna "/>
    <m/>
    <n v="1"/>
    <m/>
    <m/>
    <m/>
    <m/>
    <m/>
    <m/>
    <m/>
    <m/>
    <m/>
    <m/>
    <m/>
    <m/>
    <m/>
    <m/>
    <m/>
  </r>
  <r>
    <s v="N297"/>
    <s v="TP199"/>
    <n v="130.76"/>
    <x v="0"/>
    <x v="1"/>
    <s v="TPL"/>
    <s v="3&quot;"/>
    <n v="1"/>
    <s v="Tapón"/>
    <s v="3&quot;"/>
    <n v="1"/>
    <m/>
    <m/>
    <m/>
    <m/>
    <m/>
    <m/>
    <m/>
    <m/>
    <m/>
    <m/>
    <m/>
    <m/>
    <m/>
    <m/>
    <m/>
    <m/>
    <m/>
    <m/>
  </r>
  <r>
    <s v="N297"/>
    <s v="N298"/>
    <n v="44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288"/>
    <s v="N298"/>
    <n v="139.22"/>
    <x v="8"/>
    <x v="1"/>
    <s v="Cruz"/>
    <s v="10&quot;"/>
    <n v="1"/>
    <s v="Reducción"/>
    <s v="4&quot;"/>
    <n v="1"/>
    <s v="Válvula de Corte "/>
    <s v="4&quot;"/>
    <n v="1"/>
    <m/>
    <m/>
    <m/>
    <m/>
    <m/>
    <m/>
    <m/>
    <m/>
    <m/>
    <m/>
    <m/>
    <m/>
    <m/>
    <m/>
    <m/>
  </r>
  <r>
    <s v="N298"/>
    <s v="N299"/>
    <n v="139.46"/>
    <x v="0"/>
    <x v="0"/>
    <s v="Cruz"/>
    <s v="4&quot;"/>
    <n v="1"/>
    <s v="Reducción"/>
    <s v="3&quot;"/>
    <n v="2"/>
    <m/>
    <m/>
    <m/>
    <m/>
    <m/>
    <m/>
    <m/>
    <m/>
    <m/>
    <m/>
    <m/>
    <m/>
    <m/>
    <m/>
    <m/>
    <m/>
    <m/>
    <m/>
  </r>
  <r>
    <s v="N289"/>
    <s v="N299"/>
    <n v="139.31"/>
    <x v="3"/>
    <x v="1"/>
    <s v="Cruz"/>
    <s v="10&quot;"/>
    <n v="1"/>
    <s v="Válvula de Corte "/>
    <s v="10&quot;"/>
    <n v="1"/>
    <m/>
    <m/>
    <m/>
    <m/>
    <m/>
    <m/>
    <m/>
    <m/>
    <m/>
    <m/>
    <m/>
    <m/>
    <m/>
    <m/>
    <m/>
    <m/>
    <m/>
    <m/>
  </r>
  <r>
    <s v="N299"/>
    <s v="N300"/>
    <n v="62.61"/>
    <x v="0"/>
    <x v="0"/>
    <s v="Cruz"/>
    <s v="10&quot;"/>
    <n v="1"/>
    <s v="Reducción"/>
    <s v="3&quot;"/>
    <n v="1"/>
    <m/>
    <m/>
    <m/>
    <m/>
    <m/>
    <m/>
    <m/>
    <m/>
    <m/>
    <m/>
    <m/>
    <m/>
    <m/>
    <m/>
    <m/>
    <m/>
    <m/>
    <m/>
  </r>
  <r>
    <s v="N300"/>
    <s v="TP200"/>
    <n v="63.71"/>
    <x v="1"/>
    <x v="0"/>
    <s v="TPL"/>
    <s v="3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300"/>
    <s v="N301"/>
    <n v="55.32"/>
    <x v="0"/>
    <x v="0"/>
    <s v="TPD"/>
    <s v="3&quot;"/>
    <n v="1"/>
    <s v="Reducción"/>
    <s v="3&quot;"/>
    <n v="1"/>
    <m/>
    <m/>
    <m/>
    <m/>
    <m/>
    <m/>
    <m/>
    <m/>
    <m/>
    <m/>
    <m/>
    <m/>
    <m/>
    <m/>
    <m/>
    <m/>
    <m/>
    <m/>
  </r>
  <r>
    <s v="N301"/>
    <s v="N302"/>
    <n v="20.53"/>
    <x v="8"/>
    <x v="1"/>
    <s v="Válvula de Corte "/>
    <s v="4&quot;"/>
    <n v="1"/>
    <m/>
    <m/>
    <m/>
    <m/>
    <m/>
    <m/>
    <m/>
    <m/>
    <m/>
    <m/>
    <m/>
    <m/>
    <m/>
    <m/>
    <m/>
    <m/>
    <m/>
    <m/>
    <m/>
    <m/>
    <m/>
  </r>
  <r>
    <s v="N292"/>
    <s v="N303"/>
    <n v="128.66999999999999"/>
    <x v="0"/>
    <x v="0"/>
    <s v="Cruz"/>
    <s v="8&quot;"/>
    <n v="1"/>
    <s v="Reducción"/>
    <s v="3&quot;"/>
    <n v="1"/>
    <s v="Válvula de Corte "/>
    <s v="3&quot;"/>
    <n v="1"/>
    <m/>
    <m/>
    <m/>
    <m/>
    <m/>
    <m/>
    <m/>
    <m/>
    <m/>
    <m/>
    <m/>
    <m/>
    <m/>
    <m/>
    <m/>
  </r>
  <r>
    <s v="N303"/>
    <s v="N302"/>
    <n v="11.5"/>
    <x v="0"/>
    <x v="1"/>
    <s v="Reducción"/>
    <s v="3&quot;"/>
    <n v="1"/>
    <m/>
    <m/>
    <m/>
    <m/>
    <m/>
    <m/>
    <m/>
    <m/>
    <m/>
    <m/>
    <m/>
    <m/>
    <m/>
    <m/>
    <m/>
    <m/>
    <m/>
    <m/>
    <m/>
    <m/>
    <m/>
  </r>
  <r>
    <s v="N298"/>
    <s v="N304"/>
    <n v="94.4"/>
    <x v="8"/>
    <x v="1"/>
    <s v="Cruz"/>
    <s v="4&quot;"/>
    <n v="1"/>
    <m/>
    <m/>
    <m/>
    <m/>
    <m/>
    <m/>
    <m/>
    <m/>
    <m/>
    <m/>
    <m/>
    <m/>
    <m/>
    <m/>
    <m/>
    <m/>
    <m/>
    <m/>
    <m/>
    <m/>
    <m/>
  </r>
  <r>
    <s v="N304"/>
    <s v="N305"/>
    <n v="10.54"/>
    <x v="0"/>
    <x v="1"/>
    <s v="Reducción"/>
    <s v="3&quot;"/>
    <n v="1"/>
    <s v="Válvula de Corte "/>
    <s v="3&quot;"/>
    <n v="1"/>
    <m/>
    <m/>
    <m/>
    <m/>
    <m/>
    <m/>
    <m/>
    <m/>
    <m/>
    <m/>
    <m/>
    <m/>
    <m/>
    <m/>
    <m/>
    <m/>
    <m/>
    <m/>
  </r>
  <r>
    <s v="N305"/>
    <s v="TP201"/>
    <n v="7.8"/>
    <x v="0"/>
    <x v="1"/>
    <s v="TPD"/>
    <s v="3&quot;"/>
    <n v="1"/>
    <s v="Tapón"/>
    <s v="3&quot;"/>
    <n v="1"/>
    <m/>
    <m/>
    <m/>
    <m/>
    <m/>
    <m/>
    <m/>
    <m/>
    <m/>
    <m/>
    <m/>
    <m/>
    <m/>
    <m/>
    <m/>
    <m/>
    <m/>
    <m/>
  </r>
  <r>
    <s v="N305"/>
    <s v="N306"/>
    <n v="148.37"/>
    <x v="0"/>
    <x v="1"/>
    <s v="TPL"/>
    <s v="3&quot;"/>
    <n v="1"/>
    <s v="Hidrantes de Piso"/>
    <m/>
    <n v="1"/>
    <m/>
    <m/>
    <m/>
    <m/>
    <m/>
    <m/>
    <m/>
    <m/>
    <m/>
    <m/>
    <m/>
    <m/>
    <m/>
    <m/>
    <m/>
    <m/>
    <m/>
    <m/>
  </r>
  <r>
    <s v="N299"/>
    <s v="N307"/>
    <n v="62.1"/>
    <x v="7"/>
    <x v="1"/>
    <s v="Cruz"/>
    <s v="10&quot;"/>
    <n v="1"/>
    <s v="Reducción"/>
    <s v="6&quot;"/>
    <n v="1"/>
    <s v="Hidrantes de Columna "/>
    <m/>
    <n v="1"/>
    <m/>
    <m/>
    <m/>
    <m/>
    <m/>
    <m/>
    <m/>
    <m/>
    <m/>
    <m/>
    <m/>
    <m/>
    <m/>
    <m/>
    <m/>
  </r>
  <r>
    <s v="N307"/>
    <s v="TP202"/>
    <n v="44.99"/>
    <x v="1"/>
    <x v="0"/>
    <s v="TPL"/>
    <s v="6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307"/>
    <s v="N306"/>
    <n v="83.74"/>
    <x v="7"/>
    <x v="1"/>
    <s v="TPD"/>
    <s v="6&quot;"/>
    <n v="1"/>
    <s v="Válvula de Corte "/>
    <s v="6&quot;"/>
    <n v="1"/>
    <m/>
    <m/>
    <m/>
    <m/>
    <m/>
    <m/>
    <m/>
    <m/>
    <m/>
    <m/>
    <m/>
    <m/>
    <m/>
    <m/>
    <m/>
    <m/>
    <m/>
    <m/>
  </r>
  <r>
    <s v="N306"/>
    <s v="N308"/>
    <n v="50.45"/>
    <x v="0"/>
    <x v="1"/>
    <s v="Cruz"/>
    <s v="6&quot;"/>
    <n v="1"/>
    <s v="Reducción"/>
    <s v="3&quot;"/>
    <n v="1"/>
    <m/>
    <m/>
    <m/>
    <m/>
    <m/>
    <m/>
    <m/>
    <m/>
    <m/>
    <m/>
    <m/>
    <m/>
    <m/>
    <m/>
    <m/>
    <m/>
    <m/>
    <m/>
  </r>
  <r>
    <s v="N308"/>
    <s v="TP203"/>
    <n v="99.84"/>
    <x v="1"/>
    <x v="0"/>
    <s v="TPL"/>
    <s v="3&quot;"/>
    <n v="1"/>
    <s v="Reducción"/>
    <s v="2&quot;"/>
    <n v="1"/>
    <s v="Válvula de Corte "/>
    <s v="2&quot;"/>
    <n v="1"/>
    <s v="Codo"/>
    <s v="2&quot;"/>
    <n v="1"/>
    <s v="Tapón"/>
    <s v="2&quot;"/>
    <n v="1"/>
    <m/>
    <m/>
    <m/>
    <m/>
    <m/>
    <m/>
    <m/>
    <m/>
    <m/>
  </r>
  <r>
    <s v="N308"/>
    <s v="N309"/>
    <n v="89.23"/>
    <x v="0"/>
    <x v="1"/>
    <s v="TPD"/>
    <s v="3&quot;"/>
    <n v="1"/>
    <s v="Hidrantes de Columna "/>
    <m/>
    <n v="1"/>
    <s v="Reducción"/>
    <s v="3&quot;"/>
    <n v="1"/>
    <m/>
    <m/>
    <m/>
    <m/>
    <m/>
    <m/>
    <m/>
    <m/>
    <m/>
    <m/>
    <m/>
    <m/>
    <m/>
    <m/>
    <m/>
  </r>
  <r>
    <s v="N302"/>
    <s v="N309"/>
    <n v="145.32"/>
    <x v="0"/>
    <x v="1"/>
    <s v="Cruz"/>
    <s v="4&quot;"/>
    <n v="1"/>
    <s v="Reducción"/>
    <s v="3&quot;"/>
    <n v="2"/>
    <s v="Válvula de Corte "/>
    <s v="3&quot;"/>
    <m/>
    <m/>
    <m/>
    <m/>
    <m/>
    <m/>
    <m/>
    <m/>
    <m/>
    <m/>
    <m/>
    <m/>
    <m/>
    <m/>
    <m/>
    <m/>
  </r>
  <r>
    <s v="N306"/>
    <s v="N237"/>
    <n v="139.82"/>
    <x v="7"/>
    <x v="1"/>
    <s v="Cruz"/>
    <s v="6&quot;"/>
    <n v="1"/>
    <s v="Válvula de Corte "/>
    <s v="6&quot;"/>
    <n v="1"/>
    <m/>
    <m/>
    <m/>
    <m/>
    <m/>
    <m/>
    <m/>
    <m/>
    <m/>
    <m/>
    <m/>
    <m/>
    <m/>
    <m/>
    <m/>
    <m/>
    <m/>
    <m/>
  </r>
  <r>
    <s v="N237"/>
    <s v="N310"/>
    <n v="122.96"/>
    <x v="7"/>
    <x v="1"/>
    <s v="TPL"/>
    <s v="6&quot;"/>
    <n v="1"/>
    <m/>
    <m/>
    <m/>
    <m/>
    <m/>
    <m/>
    <m/>
    <m/>
    <m/>
    <m/>
    <m/>
    <m/>
    <m/>
    <m/>
    <m/>
    <m/>
    <m/>
    <m/>
    <m/>
    <m/>
    <m/>
  </r>
  <r>
    <s v="N309"/>
    <s v="N310"/>
    <n v="136.38"/>
    <x v="7"/>
    <x v="1"/>
    <s v="Cruz"/>
    <s v="6&quot;"/>
    <n v="1"/>
    <s v="Válvula de Corte "/>
    <s v="6&quot;"/>
    <n v="1"/>
    <m/>
    <m/>
    <m/>
    <m/>
    <m/>
    <m/>
    <m/>
    <m/>
    <m/>
    <m/>
    <m/>
    <m/>
    <m/>
    <m/>
    <m/>
    <m/>
    <m/>
    <m/>
  </r>
  <r>
    <s v="N310"/>
    <s v="N311"/>
    <n v="60.3"/>
    <x v="7"/>
    <x v="1"/>
    <s v="Cruz"/>
    <s v="6&quot;"/>
    <n v="1"/>
    <m/>
    <m/>
    <m/>
    <m/>
    <m/>
    <m/>
    <m/>
    <m/>
    <m/>
    <m/>
    <m/>
    <m/>
    <m/>
    <m/>
    <m/>
    <m/>
    <m/>
    <m/>
    <m/>
    <m/>
    <m/>
  </r>
  <r>
    <s v="N311"/>
    <s v="N312"/>
    <n v="18"/>
    <x v="0"/>
    <x v="1"/>
    <s v="Reducción"/>
    <s v="3&quot;"/>
    <n v="1"/>
    <s v="Válvula de Corte "/>
    <s v="3&quot;"/>
    <n v="1"/>
    <m/>
    <m/>
    <m/>
    <m/>
    <m/>
    <m/>
    <m/>
    <m/>
    <m/>
    <m/>
    <m/>
    <m/>
    <m/>
    <m/>
    <m/>
    <m/>
    <m/>
    <m/>
  </r>
  <r>
    <s v="N312"/>
    <s v="N313"/>
    <n v="50.77"/>
    <x v="0"/>
    <x v="1"/>
    <s v="TPD"/>
    <s v="3&quot;"/>
    <n v="1"/>
    <s v="Hidrantes de Columna "/>
    <m/>
    <n v="1"/>
    <m/>
    <m/>
    <m/>
    <m/>
    <m/>
    <m/>
    <m/>
    <m/>
    <m/>
    <m/>
    <m/>
    <m/>
    <m/>
    <m/>
    <m/>
    <m/>
    <m/>
    <m/>
  </r>
  <r>
    <s v="N313"/>
    <s v="TP204"/>
    <n v="55.38"/>
    <x v="1"/>
    <x v="0"/>
    <s v="TPL"/>
    <s v="3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313"/>
    <s v="TP205"/>
    <n v="156.28"/>
    <x v="1"/>
    <x v="0"/>
    <s v="TPL"/>
    <s v="3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312"/>
    <s v="N314"/>
    <n v="160.62"/>
    <x v="0"/>
    <x v="1"/>
    <s v="TPL"/>
    <s v="3&quot;"/>
    <n v="1"/>
    <s v="Válvula de Corte "/>
    <s v="3&quot;"/>
    <n v="1"/>
    <m/>
    <m/>
    <m/>
    <m/>
    <m/>
    <m/>
    <m/>
    <m/>
    <m/>
    <m/>
    <m/>
    <m/>
    <m/>
    <m/>
    <m/>
    <m/>
    <m/>
    <m/>
  </r>
  <r>
    <s v="N314"/>
    <s v="N315"/>
    <n v="9.08"/>
    <x v="0"/>
    <x v="1"/>
    <s v="TPL"/>
    <s v="3&quot;"/>
    <n v="1"/>
    <m/>
    <m/>
    <m/>
    <m/>
    <m/>
    <m/>
    <m/>
    <m/>
    <m/>
    <m/>
    <m/>
    <m/>
    <m/>
    <m/>
    <m/>
    <m/>
    <m/>
    <m/>
    <m/>
    <m/>
    <m/>
  </r>
  <r>
    <s v="N315"/>
    <s v="TP206"/>
    <n v="35.58"/>
    <x v="0"/>
    <x v="4"/>
    <s v="TPD"/>
    <s v="3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314"/>
    <s v="N316"/>
    <n v="166.52"/>
    <x v="0"/>
    <x v="1"/>
    <s v="TPL"/>
    <s v="3&quot;"/>
    <n v="1"/>
    <s v="Reducción"/>
    <s v="3&quot;"/>
    <n v="1"/>
    <m/>
    <m/>
    <m/>
    <m/>
    <m/>
    <m/>
    <m/>
    <m/>
    <m/>
    <m/>
    <m/>
    <m/>
    <m/>
    <m/>
    <m/>
    <m/>
    <m/>
    <m/>
  </r>
  <r>
    <s v="N310"/>
    <s v="N316"/>
    <n v="134.69999999999999"/>
    <x v="7"/>
    <x v="1"/>
    <s v="Cruz"/>
    <s v="6&quot;"/>
    <n v="1"/>
    <s v="Válvula de Corte "/>
    <s v="6&quot;"/>
    <n v="1"/>
    <m/>
    <m/>
    <m/>
    <m/>
    <m/>
    <m/>
    <m/>
    <m/>
    <m/>
    <m/>
    <m/>
    <m/>
    <m/>
    <m/>
    <m/>
    <m/>
    <m/>
    <m/>
  </r>
  <r>
    <s v="N316"/>
    <s v="N317"/>
    <n v="137.05000000000001"/>
    <x v="0"/>
    <x v="1"/>
    <s v="Cruz"/>
    <s v="6&quot;"/>
    <n v="1"/>
    <s v="Reducción"/>
    <s v="3&quot;"/>
    <n v="1"/>
    <s v="Válvula de Corte "/>
    <s v="3&quot;"/>
    <n v="1"/>
    <m/>
    <m/>
    <m/>
    <m/>
    <m/>
    <m/>
    <m/>
    <m/>
    <m/>
    <m/>
    <m/>
    <m/>
    <m/>
    <m/>
    <m/>
  </r>
  <r>
    <s v="N309"/>
    <s v="N317"/>
    <n v="135.47"/>
    <x v="0"/>
    <x v="0"/>
    <s v="Cruz"/>
    <s v="6&quot;"/>
    <n v="1"/>
    <s v="Reducción"/>
    <s v="3&quot;"/>
    <n v="1"/>
    <s v="Válvula de Corte "/>
    <s v="3&quot;"/>
    <n v="1"/>
    <m/>
    <m/>
    <m/>
    <m/>
    <m/>
    <m/>
    <m/>
    <m/>
    <m/>
    <m/>
    <m/>
    <m/>
    <m/>
    <m/>
    <m/>
  </r>
  <r>
    <s v="N317"/>
    <s v="N318"/>
    <n v="95.07"/>
    <x v="0"/>
    <x v="1"/>
    <s v="Cruz"/>
    <s v="3&quot;"/>
    <n v="1"/>
    <s v="Válvula de Corte "/>
    <s v="3&quot;"/>
    <n v="1"/>
    <m/>
    <m/>
    <m/>
    <m/>
    <m/>
    <m/>
    <m/>
    <m/>
    <m/>
    <m/>
    <m/>
    <m/>
    <m/>
    <m/>
    <m/>
    <m/>
    <m/>
    <m/>
  </r>
  <r>
    <s v="N318"/>
    <s v="TP 207"/>
    <n v="71.959999999999994"/>
    <x v="8"/>
    <x v="1"/>
    <s v="TPL"/>
    <s v="3&quot;"/>
    <n v="1"/>
    <s v="Ampliación"/>
    <s v="4&quot;"/>
    <n v="1"/>
    <s v="Tapón"/>
    <s v="4&quot;"/>
    <n v="1"/>
    <m/>
    <m/>
    <m/>
    <m/>
    <m/>
    <m/>
    <m/>
    <m/>
    <m/>
    <m/>
    <m/>
    <m/>
    <m/>
    <m/>
    <m/>
  </r>
  <r>
    <s v="N318"/>
    <s v="N319"/>
    <n v="45.91"/>
    <x v="0"/>
    <x v="1"/>
    <s v="TPD"/>
    <s v="3&quot;"/>
    <n v="1"/>
    <s v="Hidrantes de Columna "/>
    <m/>
    <n v="1"/>
    <s v="Reducción"/>
    <s v="3&quot;"/>
    <n v="1"/>
    <m/>
    <m/>
    <m/>
    <m/>
    <m/>
    <m/>
    <m/>
    <m/>
    <m/>
    <m/>
    <m/>
    <m/>
    <m/>
    <m/>
    <m/>
  </r>
  <r>
    <s v="N302"/>
    <s v="N319"/>
    <n v="133.57"/>
    <x v="8"/>
    <x v="1"/>
    <s v="Cruz"/>
    <s v="4&quot;"/>
    <n v="1"/>
    <s v="Ventosas "/>
    <s v="4&quot;"/>
    <n v="1"/>
    <s v="Válvula de Corte "/>
    <s v="4&quot;"/>
    <n v="1"/>
    <m/>
    <m/>
    <m/>
    <m/>
    <m/>
    <m/>
    <m/>
    <m/>
    <m/>
    <m/>
    <m/>
    <m/>
    <m/>
    <m/>
    <m/>
  </r>
  <r>
    <s v="N319"/>
    <s v="N320"/>
    <n v="9.73"/>
    <x v="0"/>
    <x v="1"/>
    <s v="Cruz"/>
    <s v="4&quot;"/>
    <n v="1"/>
    <s v="Reducción"/>
    <s v="3&quot;"/>
    <n v="1"/>
    <m/>
    <m/>
    <m/>
    <m/>
    <m/>
    <m/>
    <m/>
    <m/>
    <m/>
    <m/>
    <m/>
    <m/>
    <m/>
    <m/>
    <m/>
    <m/>
    <m/>
    <m/>
  </r>
  <r>
    <s v="N320"/>
    <s v="N321"/>
    <n v="134.91999999999999"/>
    <x v="0"/>
    <x v="0"/>
    <s v="Válvula de Corte "/>
    <s v="3&quot;"/>
    <n v="1"/>
    <s v="Reducción"/>
    <s v="3&quot;"/>
    <m/>
    <m/>
    <m/>
    <m/>
    <m/>
    <m/>
    <m/>
    <m/>
    <m/>
    <m/>
    <m/>
    <m/>
    <m/>
    <m/>
    <m/>
    <m/>
    <m/>
    <m/>
    <m/>
  </r>
  <r>
    <s v="N292"/>
    <s v="N321"/>
    <n v="135.16"/>
    <x v="2"/>
    <x v="0"/>
    <s v="Cruz"/>
    <s v="8&quot;"/>
    <n v="1"/>
    <m/>
    <m/>
    <m/>
    <m/>
    <m/>
    <m/>
    <m/>
    <m/>
    <m/>
    <m/>
    <m/>
    <m/>
    <m/>
    <m/>
    <m/>
    <m/>
    <m/>
    <m/>
    <m/>
    <m/>
    <m/>
  </r>
  <r>
    <s v="N321"/>
    <s v="N322"/>
    <n v="72.75"/>
    <x v="0"/>
    <x v="1"/>
    <s v="Cruz"/>
    <s v="8&quot;"/>
    <n v="1"/>
    <s v="Reducción"/>
    <s v="3&quot;"/>
    <n v="1"/>
    <s v="Válvula de Corte "/>
    <s v="3&quot;"/>
    <n v="1"/>
    <m/>
    <m/>
    <m/>
    <m/>
    <m/>
    <m/>
    <m/>
    <m/>
    <m/>
    <m/>
    <m/>
    <m/>
    <m/>
    <m/>
    <m/>
  </r>
  <r>
    <s v="N322"/>
    <s v="TP208"/>
    <n v="38.049999999999997"/>
    <x v="1"/>
    <x v="0"/>
    <s v="TPL"/>
    <s v="3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322"/>
    <s v="N323"/>
    <n v="78.930000000000007"/>
    <x v="0"/>
    <x v="1"/>
    <s v="TPD"/>
    <s v="3&quot;"/>
    <n v="1"/>
    <s v="Hidrantes de Piso"/>
    <m/>
    <n v="1"/>
    <m/>
    <m/>
    <m/>
    <m/>
    <m/>
    <m/>
    <m/>
    <m/>
    <m/>
    <m/>
    <m/>
    <m/>
    <m/>
    <m/>
    <m/>
    <m/>
    <m/>
    <m/>
  </r>
  <r>
    <s v="N290"/>
    <s v="N323"/>
    <n v="138.30000000000001"/>
    <x v="0"/>
    <x v="0"/>
    <s v="Cruz"/>
    <s v="3&quot;"/>
    <n v="1"/>
    <s v="Válvula de Corte "/>
    <s v="3&quot;"/>
    <n v="1"/>
    <m/>
    <m/>
    <m/>
    <m/>
    <m/>
    <m/>
    <m/>
    <m/>
    <m/>
    <m/>
    <m/>
    <m/>
    <m/>
    <m/>
    <m/>
    <m/>
    <m/>
    <m/>
  </r>
  <r>
    <s v="N323"/>
    <s v="N324"/>
    <n v="67.86"/>
    <x v="0"/>
    <x v="1"/>
    <s v="Cruz"/>
    <s v="3&quot;"/>
    <n v="1"/>
    <s v="Válvula de Corte "/>
    <s v="3&quot;"/>
    <n v="1"/>
    <m/>
    <m/>
    <m/>
    <m/>
    <m/>
    <m/>
    <m/>
    <m/>
    <m/>
    <m/>
    <m/>
    <m/>
    <m/>
    <m/>
    <m/>
    <m/>
    <m/>
    <m/>
  </r>
  <r>
    <s v="N324"/>
    <s v="TP209"/>
    <n v="37.19"/>
    <x v="0"/>
    <x v="0"/>
    <s v="TPL"/>
    <s v="3&quot;"/>
    <n v="1"/>
    <s v="Válvula de Corte "/>
    <s v="3&quot;"/>
    <n v="1"/>
    <s v="Tapón"/>
    <s v="3&quot;"/>
    <n v="1"/>
    <m/>
    <m/>
    <m/>
    <m/>
    <m/>
    <m/>
    <m/>
    <m/>
    <m/>
    <m/>
    <m/>
    <m/>
    <m/>
    <m/>
    <m/>
  </r>
  <r>
    <s v="N324"/>
    <s v="N325"/>
    <n v="66.37"/>
    <x v="0"/>
    <x v="1"/>
    <s v="TPD"/>
    <s v="3&quot;"/>
    <n v="1"/>
    <m/>
    <m/>
    <m/>
    <m/>
    <m/>
    <m/>
    <m/>
    <m/>
    <m/>
    <m/>
    <m/>
    <m/>
    <m/>
    <m/>
    <m/>
    <m/>
    <m/>
    <m/>
    <m/>
    <m/>
    <m/>
  </r>
  <r>
    <s v="N283"/>
    <s v="N325"/>
    <n v="139.46"/>
    <x v="0"/>
    <x v="1"/>
    <s v="Cruz"/>
    <s v="3&quot;"/>
    <n v="1"/>
    <s v="Válvula de Corte "/>
    <s v="3&quot;"/>
    <n v="1"/>
    <m/>
    <m/>
    <m/>
    <m/>
    <m/>
    <m/>
    <m/>
    <m/>
    <m/>
    <m/>
    <m/>
    <m/>
    <m/>
    <m/>
    <m/>
    <m/>
    <m/>
    <m/>
  </r>
  <r>
    <s v="N325"/>
    <s v="N326"/>
    <n v="127.05"/>
    <x v="8"/>
    <x v="1"/>
    <s v="Cruz"/>
    <s v="3&quot;"/>
    <n v="1"/>
    <s v="Ampliación"/>
    <s v="4&quot;"/>
    <n v="1"/>
    <s v="Válvula de Corte "/>
    <s v="4&quot;"/>
    <n v="1"/>
    <s v="Hidrantes de Piso"/>
    <m/>
    <n v="1"/>
    <s v="Reducción"/>
    <s v="4&quot;"/>
    <n v="1"/>
    <m/>
    <m/>
    <m/>
    <m/>
    <m/>
    <m/>
    <m/>
    <m/>
    <m/>
  </r>
  <r>
    <s v="N282"/>
    <s v="N326"/>
    <n v="139.16999999999999"/>
    <x v="2"/>
    <x v="1"/>
    <s v="Cruz"/>
    <s v="8&quot;"/>
    <n v="1"/>
    <s v="Válvula de Corte "/>
    <s v="8&quot;"/>
    <n v="1"/>
    <m/>
    <m/>
    <m/>
    <m/>
    <m/>
    <m/>
    <m/>
    <m/>
    <m/>
    <m/>
    <m/>
    <m/>
    <m/>
    <m/>
    <m/>
    <m/>
    <m/>
    <m/>
  </r>
  <r>
    <s v="N326"/>
    <s v="N327"/>
    <n v="70.12"/>
    <x v="8"/>
    <x v="1"/>
    <s v="Cruz"/>
    <s v="8&quot;"/>
    <n v="1"/>
    <s v="Reducción"/>
    <s v="4&quot;"/>
    <n v="1"/>
    <s v="Válvula de Corte "/>
    <s v="4&quot;"/>
    <n v="1"/>
    <m/>
    <m/>
    <m/>
    <m/>
    <m/>
    <m/>
    <m/>
    <m/>
    <m/>
    <m/>
    <m/>
    <m/>
    <m/>
    <m/>
    <m/>
  </r>
  <r>
    <s v="N327"/>
    <s v="TP210"/>
    <n v="71.87"/>
    <x v="8"/>
    <x v="0"/>
    <s v="TPL"/>
    <s v="4&quot;"/>
    <n v="1"/>
    <s v="Tapón"/>
    <s v="4&quot;"/>
    <n v="1"/>
    <m/>
    <m/>
    <m/>
    <m/>
    <m/>
    <m/>
    <m/>
    <m/>
    <m/>
    <m/>
    <m/>
    <m/>
    <m/>
    <m/>
    <m/>
    <m/>
    <m/>
    <m/>
  </r>
  <r>
    <s v="N327"/>
    <s v="N328"/>
    <n v="31.03"/>
    <x v="8"/>
    <x v="1"/>
    <s v="TPD"/>
    <s v="4&quot;"/>
    <n v="1"/>
    <m/>
    <m/>
    <m/>
    <m/>
    <m/>
    <m/>
    <m/>
    <m/>
    <m/>
    <m/>
    <m/>
    <m/>
    <m/>
    <m/>
    <m/>
    <m/>
    <m/>
    <m/>
    <m/>
    <m/>
    <m/>
  </r>
  <r>
    <s v="N328"/>
    <s v="TP211"/>
    <n v="16.5"/>
    <x v="9"/>
    <x v="0"/>
    <s v="TPL"/>
    <s v="4&quot;"/>
    <n v="1"/>
    <s v="Reducción"/>
    <s v="1 1/2&quot;"/>
    <n v="1"/>
    <s v="Tapón"/>
    <s v="1 1/2&quot;"/>
    <n v="1"/>
    <m/>
    <m/>
    <m/>
    <m/>
    <m/>
    <m/>
    <m/>
    <m/>
    <m/>
    <m/>
    <m/>
    <m/>
    <m/>
    <m/>
    <m/>
  </r>
  <r>
    <s v="N328"/>
    <s v="N329"/>
    <n v="12.28"/>
    <x v="8"/>
    <x v="1"/>
    <s v="TPD"/>
    <s v="4&quot;"/>
    <n v="1"/>
    <m/>
    <m/>
    <m/>
    <m/>
    <m/>
    <m/>
    <m/>
    <m/>
    <m/>
    <m/>
    <m/>
    <m/>
    <m/>
    <m/>
    <m/>
    <m/>
    <m/>
    <m/>
    <m/>
    <m/>
    <m/>
  </r>
  <r>
    <s v="N277"/>
    <s v="N330"/>
    <n v="8.2200000000000006"/>
    <x v="7"/>
    <x v="0"/>
    <s v="TPD"/>
    <s v="6&quot;"/>
    <n v="1"/>
    <m/>
    <m/>
    <m/>
    <m/>
    <m/>
    <m/>
    <m/>
    <m/>
    <m/>
    <m/>
    <m/>
    <m/>
    <m/>
    <m/>
    <m/>
    <m/>
    <m/>
    <m/>
    <m/>
    <m/>
    <m/>
  </r>
  <r>
    <s v="N330"/>
    <s v="N331"/>
    <n v="83.79"/>
    <x v="0"/>
    <x v="1"/>
    <s v="Reducción"/>
    <s v="3&quot;"/>
    <n v="1"/>
    <s v="Codo"/>
    <s v="3&quot;"/>
    <n v="1"/>
    <m/>
    <m/>
    <m/>
    <m/>
    <m/>
    <m/>
    <m/>
    <m/>
    <m/>
    <m/>
    <m/>
    <m/>
    <m/>
    <m/>
    <m/>
    <m/>
    <m/>
    <m/>
  </r>
  <r>
    <s v="N331"/>
    <s v="N329"/>
    <n v="33.5"/>
    <x v="8"/>
    <x v="1"/>
    <s v="TPD"/>
    <s v="4&quot;"/>
    <n v="1"/>
    <m/>
    <m/>
    <m/>
    <m/>
    <m/>
    <m/>
    <m/>
    <m/>
    <m/>
    <m/>
    <m/>
    <m/>
    <m/>
    <m/>
    <m/>
    <m/>
    <m/>
    <m/>
    <m/>
    <m/>
    <m/>
  </r>
  <r>
    <s v="N329"/>
    <s v="TP212"/>
    <n v="56"/>
    <x v="6"/>
    <x v="4"/>
    <s v="Galápago"/>
    <s v="4&quot; A 1&quot;"/>
    <n v="1"/>
    <s v="Tapón"/>
    <s v="1&quot;"/>
    <n v="1"/>
    <m/>
    <m/>
    <m/>
    <m/>
    <m/>
    <m/>
    <m/>
    <m/>
    <m/>
    <m/>
    <m/>
    <m/>
    <m/>
    <m/>
    <m/>
    <m/>
    <m/>
    <m/>
  </r>
  <r>
    <s v="N331"/>
    <s v="N332"/>
    <n v="59"/>
    <x v="0"/>
    <x v="2"/>
    <s v="TPL"/>
    <s v="4&quot;"/>
    <n v="1"/>
    <s v="Reducción"/>
    <s v="3&quot;"/>
    <n v="1"/>
    <s v="Válvula de Corte "/>
    <s v="3&quot;"/>
    <n v="1"/>
    <m/>
    <m/>
    <m/>
    <m/>
    <m/>
    <m/>
    <m/>
    <m/>
    <m/>
    <m/>
    <m/>
    <m/>
    <m/>
    <m/>
    <m/>
  </r>
  <r>
    <s v="N332"/>
    <s v="N333"/>
    <n v="55.97"/>
    <x v="0"/>
    <x v="2"/>
    <s v="TPL"/>
    <s v="3&quot;"/>
    <n v="1"/>
    <m/>
    <m/>
    <m/>
    <m/>
    <m/>
    <m/>
    <m/>
    <m/>
    <m/>
    <m/>
    <m/>
    <m/>
    <m/>
    <m/>
    <m/>
    <m/>
    <m/>
    <m/>
    <m/>
    <m/>
    <m/>
  </r>
  <r>
    <s v="N333"/>
    <s v="N334"/>
    <n v="54.6"/>
    <x v="0"/>
    <x v="0"/>
    <m/>
    <m/>
    <m/>
    <m/>
    <m/>
    <m/>
    <m/>
    <m/>
    <m/>
    <m/>
    <m/>
    <m/>
    <m/>
    <m/>
    <m/>
    <m/>
    <m/>
    <m/>
    <m/>
    <m/>
    <m/>
    <m/>
    <m/>
    <m/>
  </r>
  <r>
    <s v="N334"/>
    <s v="N213"/>
    <n v="45.13"/>
    <x v="6"/>
    <x v="0"/>
    <s v="TPL"/>
    <s v="3&quot;"/>
    <n v="1"/>
    <s v="Reducción"/>
    <s v="1&quot;"/>
    <n v="1"/>
    <s v="Tapón"/>
    <s v="1&quot;"/>
    <n v="1"/>
    <m/>
    <m/>
    <m/>
    <m/>
    <m/>
    <m/>
    <m/>
    <m/>
    <m/>
    <m/>
    <m/>
    <m/>
    <m/>
    <m/>
    <m/>
  </r>
  <r>
    <s v="N334"/>
    <s v="N335"/>
    <n v="60.19"/>
    <x v="1"/>
    <x v="0"/>
    <s v="TPD"/>
    <s v="3&quot;"/>
    <n v="1"/>
    <s v="Reducción"/>
    <s v="2&quot;"/>
    <n v="1"/>
    <m/>
    <m/>
    <m/>
    <m/>
    <m/>
    <m/>
    <m/>
    <m/>
    <m/>
    <m/>
    <m/>
    <m/>
    <m/>
    <m/>
    <m/>
    <m/>
    <m/>
    <m/>
  </r>
  <r>
    <s v="N335"/>
    <s v="TP214"/>
    <n v="41.29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335"/>
    <s v="TP215"/>
    <n v="46.52"/>
    <x v="1"/>
    <x v="0"/>
    <s v="TPD"/>
    <s v="2&quot;"/>
    <n v="1"/>
    <s v="Codo"/>
    <s v="2&quot;"/>
    <n v="1"/>
    <s v="Tapón"/>
    <s v="2&quot;"/>
    <n v="1"/>
    <m/>
    <m/>
    <m/>
    <m/>
    <m/>
    <m/>
    <m/>
    <m/>
    <m/>
    <m/>
    <m/>
    <m/>
    <m/>
    <m/>
    <m/>
  </r>
  <r>
    <s v="N332"/>
    <s v="N336"/>
    <n v="50.35"/>
    <x v="0"/>
    <x v="2"/>
    <s v="TPD"/>
    <s v="3&quot;"/>
    <n v="1"/>
    <m/>
    <m/>
    <m/>
    <m/>
    <m/>
    <m/>
    <m/>
    <m/>
    <m/>
    <m/>
    <m/>
    <m/>
    <m/>
    <m/>
    <m/>
    <m/>
    <m/>
    <m/>
    <m/>
    <m/>
    <m/>
  </r>
  <r>
    <s v="N336"/>
    <s v="TP216"/>
    <n v="203.38"/>
    <x v="1"/>
    <x v="0"/>
    <s v="TPL"/>
    <s v="3&quot;"/>
    <n v="1"/>
    <s v="Reducción"/>
    <s v="2&quot;"/>
    <n v="1"/>
    <s v="Codo"/>
    <s v="2&quot;"/>
    <n v="1"/>
    <s v="Tapón"/>
    <s v="2&quot;"/>
    <n v="1"/>
    <m/>
    <m/>
    <m/>
    <m/>
    <m/>
    <m/>
    <m/>
    <m/>
    <m/>
    <m/>
    <m/>
    <m/>
  </r>
  <r>
    <s v="N336"/>
    <s v="N337"/>
    <n v="52.11"/>
    <x v="0"/>
    <x v="2"/>
    <s v="TPD"/>
    <s v="3&quot;"/>
    <n v="1"/>
    <m/>
    <m/>
    <m/>
    <m/>
    <m/>
    <m/>
    <m/>
    <m/>
    <m/>
    <m/>
    <m/>
    <m/>
    <m/>
    <m/>
    <m/>
    <m/>
    <m/>
    <m/>
    <m/>
    <m/>
    <m/>
  </r>
  <r>
    <s v="N337"/>
    <s v="TP217"/>
    <n v="42.53"/>
    <x v="9"/>
    <x v="0"/>
    <s v="TPL"/>
    <s v="3&quot;"/>
    <n v="1"/>
    <s v="Reducción"/>
    <s v="1 1/2&quot;"/>
    <n v="1"/>
    <s v="Tapón"/>
    <s v="1 1/2&quot;"/>
    <n v="1"/>
    <m/>
    <m/>
    <m/>
    <m/>
    <m/>
    <m/>
    <m/>
    <m/>
    <m/>
    <m/>
    <m/>
    <m/>
    <m/>
    <m/>
    <m/>
  </r>
  <r>
    <s v="N337"/>
    <s v="N338"/>
    <n v="7.65"/>
    <x v="0"/>
    <x v="2"/>
    <s v="TPD"/>
    <s v="3&quot;"/>
    <n v="1"/>
    <m/>
    <m/>
    <m/>
    <m/>
    <m/>
    <m/>
    <m/>
    <m/>
    <m/>
    <m/>
    <m/>
    <m/>
    <m/>
    <m/>
    <m/>
    <m/>
    <m/>
    <m/>
    <m/>
    <m/>
    <m/>
  </r>
  <r>
    <s v="N338"/>
    <s v="N339"/>
    <n v="85.96"/>
    <x v="0"/>
    <x v="0"/>
    <s v="TPL"/>
    <s v="3&quot;"/>
    <n v="1"/>
    <s v="Válvula de Corte "/>
    <s v="3&quot;"/>
    <n v="1"/>
    <m/>
    <m/>
    <m/>
    <m/>
    <m/>
    <m/>
    <m/>
    <m/>
    <m/>
    <m/>
    <m/>
    <m/>
    <m/>
    <m/>
    <m/>
    <m/>
    <m/>
    <m/>
  </r>
  <r>
    <s v="N339"/>
    <s v="TP218"/>
    <n v="57.96"/>
    <x v="0"/>
    <x v="0"/>
    <s v="TPL"/>
    <s v="3&quot;"/>
    <n v="1"/>
    <s v="Tapón"/>
    <s v="3&quot;"/>
    <n v="1"/>
    <m/>
    <m/>
    <m/>
    <m/>
    <m/>
    <m/>
    <m/>
    <m/>
    <m/>
    <m/>
    <m/>
    <m/>
    <m/>
    <m/>
    <m/>
    <m/>
    <m/>
    <m/>
  </r>
  <r>
    <s v="N339"/>
    <s v="N340"/>
    <n v="25.45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N340"/>
    <s v="TP219"/>
    <n v="31.67"/>
    <x v="6"/>
    <x v="0"/>
    <s v="Reducción"/>
    <s v="1&quot;"/>
    <n v="1"/>
    <s v="Tapón"/>
    <s v="1&quot;"/>
    <n v="1"/>
    <m/>
    <m/>
    <m/>
    <m/>
    <m/>
    <m/>
    <m/>
    <m/>
    <m/>
    <m/>
    <m/>
    <m/>
    <m/>
    <m/>
    <m/>
    <m/>
    <m/>
    <m/>
  </r>
  <r>
    <s v="N338"/>
    <s v="N341"/>
    <n v="38.549999999999997"/>
    <x v="0"/>
    <x v="2"/>
    <s v="TPD"/>
    <s v="3&quot;"/>
    <n v="1"/>
    <s v="Codo"/>
    <s v="3&quot;"/>
    <n v="1"/>
    <s v="Reducción"/>
    <s v="3&quot;"/>
    <n v="1"/>
    <m/>
    <m/>
    <m/>
    <m/>
    <m/>
    <m/>
    <m/>
    <m/>
    <m/>
    <m/>
    <m/>
    <m/>
    <m/>
    <m/>
    <m/>
  </r>
  <r>
    <s v="N341"/>
    <s v="TP220"/>
    <n v="21.21"/>
    <x v="0"/>
    <x v="0"/>
    <s v="TPL"/>
    <s v="6&quot;"/>
    <n v="1"/>
    <s v="Reducción"/>
    <s v="3&quot;"/>
    <n v="1"/>
    <s v="Tapón"/>
    <s v="3&quot;"/>
    <n v="1"/>
    <m/>
    <m/>
    <m/>
    <m/>
    <m/>
    <m/>
    <m/>
    <m/>
    <m/>
    <m/>
    <m/>
    <m/>
    <m/>
    <m/>
    <m/>
  </r>
  <r>
    <s v="N341"/>
    <s v="N342"/>
    <n v="59.47"/>
    <x v="7"/>
    <x v="2"/>
    <s v="TPD"/>
    <s v="6&quot;"/>
    <n v="1"/>
    <s v="Válvula de Corte "/>
    <s v="6&quot;"/>
    <n v="1"/>
    <m/>
    <m/>
    <m/>
    <m/>
    <m/>
    <m/>
    <m/>
    <m/>
    <m/>
    <m/>
    <m/>
    <m/>
    <m/>
    <m/>
    <m/>
    <m/>
    <m/>
    <m/>
  </r>
  <r>
    <s v="N342"/>
    <s v="T. SANTA MARTA"/>
    <n v="11.44"/>
    <x v="7"/>
    <x v="2"/>
    <s v="TPL"/>
    <s v="6&quot;"/>
    <n v="1"/>
    <s v="Válvula de Corte "/>
    <s v="6&quot;"/>
    <n v="1"/>
    <m/>
    <m/>
    <m/>
    <m/>
    <m/>
    <m/>
    <m/>
    <m/>
    <m/>
    <m/>
    <m/>
    <m/>
    <m/>
    <m/>
    <m/>
    <m/>
    <m/>
    <m/>
  </r>
  <r>
    <s v="N326"/>
    <s v="N343"/>
    <n v="82.77"/>
    <x v="2"/>
    <x v="1"/>
    <s v="Cruz"/>
    <s v="8&quot;"/>
    <n v="1"/>
    <m/>
    <m/>
    <m/>
    <m/>
    <m/>
    <m/>
    <m/>
    <m/>
    <m/>
    <m/>
    <m/>
    <m/>
    <m/>
    <m/>
    <m/>
    <m/>
    <m/>
    <m/>
    <m/>
    <m/>
    <m/>
  </r>
  <r>
    <s v="N343"/>
    <s v="TP221"/>
    <n v="65.489999999999995"/>
    <x v="1"/>
    <x v="0"/>
    <s v="TPL"/>
    <s v="8&quot;"/>
    <n v="1"/>
    <s v="Reducción"/>
    <s v="2&quot;"/>
    <n v="1"/>
    <s v="Válvula de Corte "/>
    <s v="2&quot;"/>
    <n v="1"/>
    <s v="Tapón"/>
    <s v="2&quot;"/>
    <n v="1"/>
    <m/>
    <m/>
    <m/>
    <m/>
    <m/>
    <m/>
    <m/>
    <m/>
    <m/>
    <m/>
    <m/>
    <m/>
  </r>
  <r>
    <s v="N343"/>
    <s v="N344"/>
    <n v="52.09"/>
    <x v="2"/>
    <x v="1"/>
    <s v="TPD"/>
    <s v="8&quot;"/>
    <n v="1"/>
    <m/>
    <m/>
    <m/>
    <m/>
    <m/>
    <m/>
    <m/>
    <m/>
    <m/>
    <m/>
    <m/>
    <m/>
    <m/>
    <m/>
    <m/>
    <m/>
    <m/>
    <m/>
    <m/>
    <m/>
    <m/>
  </r>
  <r>
    <s v="N344"/>
    <s v="N345"/>
    <n v="60.24"/>
    <x v="0"/>
    <x v="1"/>
    <s v="TPL"/>
    <s v="8&quot;"/>
    <n v="1"/>
    <s v="Reducción"/>
    <s v="3&quot;"/>
    <n v="1"/>
    <s v="Válvula de Corte "/>
    <s v="3&quot;"/>
    <n v="1"/>
    <m/>
    <m/>
    <m/>
    <m/>
    <m/>
    <m/>
    <m/>
    <m/>
    <m/>
    <m/>
    <m/>
    <m/>
    <m/>
    <m/>
    <m/>
  </r>
  <r>
    <s v="N345"/>
    <s v="TP222"/>
    <n v="61.93"/>
    <x v="1"/>
    <x v="0"/>
    <s v="TPL"/>
    <s v="3&quot;"/>
    <n v="1"/>
    <s v="Reducción"/>
    <s v="2&quot;"/>
    <n v="1"/>
    <s v="Válvula de Corte "/>
    <s v="2&quot;"/>
    <n v="1"/>
    <s v="Tapón"/>
    <s v="2&quot;"/>
    <n v="1"/>
    <m/>
    <m/>
    <m/>
    <m/>
    <m/>
    <m/>
    <m/>
    <m/>
    <m/>
    <m/>
    <m/>
    <m/>
  </r>
  <r>
    <s v="N345"/>
    <s v="N346"/>
    <n v="66.040000000000006"/>
    <x v="0"/>
    <x v="1"/>
    <s v="TPD"/>
    <s v="3&quot;"/>
    <n v="1"/>
    <m/>
    <m/>
    <m/>
    <m/>
    <m/>
    <m/>
    <m/>
    <m/>
    <m/>
    <m/>
    <m/>
    <m/>
    <m/>
    <m/>
    <m/>
    <m/>
    <m/>
    <m/>
    <m/>
    <m/>
    <m/>
  </r>
  <r>
    <s v="N325"/>
    <s v="N346"/>
    <n v="134.13"/>
    <x v="0"/>
    <x v="1"/>
    <s v="Cruz"/>
    <s v="3&quot;"/>
    <n v="1"/>
    <m/>
    <m/>
    <m/>
    <m/>
    <m/>
    <m/>
    <m/>
    <m/>
    <m/>
    <m/>
    <m/>
    <m/>
    <m/>
    <m/>
    <m/>
    <m/>
    <m/>
    <m/>
    <m/>
    <m/>
    <m/>
  </r>
  <r>
    <s v="N346"/>
    <s v="N347"/>
    <n v="137.28"/>
    <x v="0"/>
    <x v="1"/>
    <s v="Cruz"/>
    <s v="3&quot;"/>
    <n v="1"/>
    <m/>
    <m/>
    <m/>
    <m/>
    <m/>
    <m/>
    <m/>
    <m/>
    <m/>
    <m/>
    <m/>
    <m/>
    <m/>
    <m/>
    <m/>
    <m/>
    <m/>
    <m/>
    <m/>
    <m/>
    <m/>
  </r>
  <r>
    <s v="N323"/>
    <s v="N347"/>
    <n v="132.24"/>
    <x v="0"/>
    <x v="1"/>
    <s v="Cruz"/>
    <s v="3&quot;"/>
    <n v="1"/>
    <m/>
    <m/>
    <m/>
    <m/>
    <m/>
    <m/>
    <m/>
    <m/>
    <m/>
    <m/>
    <m/>
    <m/>
    <m/>
    <m/>
    <m/>
    <m/>
    <m/>
    <m/>
    <m/>
    <m/>
    <m/>
  </r>
  <r>
    <s v="N347"/>
    <s v="TP223"/>
    <n v="4.9400000000000004"/>
    <x v="0"/>
    <x v="1"/>
    <s v="Cruz"/>
    <s v="3&quot;"/>
    <n v="1"/>
    <s v="Tapón"/>
    <s v="3&quot;"/>
    <n v="1"/>
    <m/>
    <m/>
    <m/>
    <m/>
    <m/>
    <m/>
    <m/>
    <m/>
    <m/>
    <m/>
    <m/>
    <m/>
    <m/>
    <m/>
    <m/>
    <m/>
    <m/>
    <m/>
  </r>
  <r>
    <s v="N321"/>
    <s v="N348"/>
    <n v="130.66"/>
    <x v="2"/>
    <x v="0"/>
    <s v="Cruz"/>
    <s v="8&quot;"/>
    <n v="1"/>
    <s v="Hidrantes de Piso"/>
    <m/>
    <n v="1"/>
    <m/>
    <m/>
    <m/>
    <m/>
    <m/>
    <m/>
    <m/>
    <m/>
    <m/>
    <m/>
    <m/>
    <m/>
    <m/>
    <m/>
    <m/>
    <m/>
    <m/>
    <m/>
  </r>
  <r>
    <s v="N348"/>
    <s v="N349"/>
    <n v="73.36"/>
    <x v="7"/>
    <x v="2"/>
    <s v="Cruz"/>
    <s v="8&quot;"/>
    <n v="1"/>
    <s v="Reducción"/>
    <s v="6&quot;"/>
    <n v="1"/>
    <m/>
    <m/>
    <m/>
    <m/>
    <m/>
    <m/>
    <m/>
    <m/>
    <m/>
    <m/>
    <m/>
    <m/>
    <m/>
    <m/>
    <m/>
    <m/>
    <m/>
    <m/>
  </r>
  <r>
    <s v="N349"/>
    <s v="TP224"/>
    <n v="52.36"/>
    <x v="1"/>
    <x v="0"/>
    <s v="TPL"/>
    <s v="6&quot;"/>
    <n v="1"/>
    <s v="Reducción"/>
    <s v="2&quot;"/>
    <n v="1"/>
    <s v="Válvula de Corte "/>
    <s v="2&quot;"/>
    <n v="1"/>
    <s v="Tapón"/>
    <s v="2&quot;"/>
    <n v="1"/>
    <m/>
    <m/>
    <m/>
    <m/>
    <m/>
    <m/>
    <m/>
    <m/>
    <m/>
    <m/>
    <m/>
    <m/>
  </r>
  <r>
    <s v="N349"/>
    <s v="TP225"/>
    <n v="49.43"/>
    <x v="7"/>
    <x v="2"/>
    <s v="TPD"/>
    <s v="6&quot;"/>
    <n v="1"/>
    <s v="Tapón"/>
    <s v="6&quot;"/>
    <n v="1"/>
    <m/>
    <m/>
    <m/>
    <m/>
    <m/>
    <m/>
    <m/>
    <m/>
    <m/>
    <m/>
    <m/>
    <m/>
    <m/>
    <m/>
    <m/>
    <m/>
    <m/>
    <m/>
  </r>
  <r>
    <s v="N348"/>
    <s v="N350"/>
    <n v="284.89"/>
    <x v="8"/>
    <x v="0"/>
    <s v="Cruz"/>
    <s v="8&quot;"/>
    <n v="1"/>
    <s v="Reducción"/>
    <s v="4&quot;"/>
    <n v="1"/>
    <s v="Válvula de Corte "/>
    <s v="4&quot;"/>
    <n v="2"/>
    <m/>
    <m/>
    <m/>
    <m/>
    <m/>
    <m/>
    <m/>
    <m/>
    <m/>
    <m/>
    <m/>
    <m/>
    <m/>
    <m/>
    <m/>
  </r>
  <r>
    <s v="N319"/>
    <s v="N351"/>
    <n v="143.97"/>
    <x v="8"/>
    <x v="1"/>
    <s v="Cruz"/>
    <s v="4&quot;"/>
    <n v="1"/>
    <s v="Válvula de Corte "/>
    <s v="4&quot;"/>
    <n v="1"/>
    <m/>
    <m/>
    <m/>
    <m/>
    <m/>
    <m/>
    <m/>
    <m/>
    <m/>
    <m/>
    <m/>
    <m/>
    <m/>
    <m/>
    <m/>
    <m/>
    <m/>
    <m/>
  </r>
  <r>
    <s v="N351"/>
    <s v="N352"/>
    <n v="66.58"/>
    <x v="8"/>
    <x v="0"/>
    <m/>
    <m/>
    <m/>
    <m/>
    <m/>
    <m/>
    <m/>
    <m/>
    <m/>
    <m/>
    <m/>
    <m/>
    <m/>
    <m/>
    <m/>
    <m/>
    <m/>
    <m/>
    <m/>
    <m/>
    <m/>
    <m/>
    <m/>
    <m/>
  </r>
  <r>
    <s v="N352"/>
    <s v="TP226"/>
    <n v="70.41"/>
    <x v="1"/>
    <x v="0"/>
    <s v="TPL"/>
    <s v="4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352"/>
    <s v="TP227"/>
    <n v="51.53"/>
    <x v="8"/>
    <x v="0"/>
    <s v="TPD"/>
    <s v="4&quot;"/>
    <n v="1"/>
    <s v="Tapón"/>
    <s v="4&quot;"/>
    <n v="1"/>
    <m/>
    <m/>
    <m/>
    <m/>
    <m/>
    <m/>
    <m/>
    <m/>
    <m/>
    <m/>
    <m/>
    <m/>
    <m/>
    <m/>
    <m/>
    <m/>
    <m/>
    <m/>
  </r>
  <r>
    <s v="N317"/>
    <s v="N350"/>
    <n v="132.15"/>
    <x v="0"/>
    <x v="1"/>
    <s v="Cruz"/>
    <s v="3&quot;"/>
    <n v="1"/>
    <s v="Hidrantes de Piso"/>
    <m/>
    <n v="1"/>
    <s v="Reducción"/>
    <s v="3&quot;"/>
    <n v="1"/>
    <m/>
    <m/>
    <m/>
    <m/>
    <m/>
    <m/>
    <m/>
    <m/>
    <m/>
    <m/>
    <m/>
    <m/>
    <m/>
    <m/>
    <m/>
  </r>
  <r>
    <s v="N350"/>
    <s v="N353"/>
    <n v="72.73"/>
    <x v="8"/>
    <x v="0"/>
    <s v="Cruz"/>
    <s v="4&quot;"/>
    <n v="1"/>
    <m/>
    <m/>
    <m/>
    <m/>
    <m/>
    <m/>
    <m/>
    <m/>
    <m/>
    <m/>
    <m/>
    <m/>
    <m/>
    <m/>
    <m/>
    <m/>
    <m/>
    <m/>
    <m/>
    <m/>
    <m/>
  </r>
  <r>
    <s v="N353"/>
    <s v="TP228"/>
    <n v="46.68"/>
    <x v="1"/>
    <x v="0"/>
    <s v="TPL"/>
    <s v="4&quot;"/>
    <n v="1"/>
    <s v="Reducción"/>
    <s v="2&quot;"/>
    <n v="1"/>
    <s v="Válvula de Corte "/>
    <s v="2&quot;"/>
    <n v="1"/>
    <s v="Tapón"/>
    <s v="2&quot;"/>
    <n v="1"/>
    <m/>
    <m/>
    <m/>
    <m/>
    <m/>
    <m/>
    <m/>
    <m/>
    <m/>
    <m/>
    <m/>
    <m/>
  </r>
  <r>
    <s v="N353"/>
    <s v="N354"/>
    <n v="67.81"/>
    <x v="8"/>
    <x v="0"/>
    <s v="TPD"/>
    <s v="4&quot;"/>
    <n v="1"/>
    <m/>
    <m/>
    <m/>
    <m/>
    <m/>
    <m/>
    <m/>
    <m/>
    <m/>
    <m/>
    <m/>
    <m/>
    <m/>
    <m/>
    <m/>
    <m/>
    <m/>
    <m/>
    <m/>
    <m/>
    <m/>
  </r>
  <r>
    <s v="N316"/>
    <s v="N354"/>
    <n v="130.05000000000001"/>
    <x v="7"/>
    <x v="1"/>
    <s v="Cruz"/>
    <s v="6&quot;"/>
    <n v="1"/>
    <s v="Hidrantes de Columna "/>
    <m/>
    <n v="1"/>
    <m/>
    <m/>
    <m/>
    <m/>
    <m/>
    <m/>
    <m/>
    <m/>
    <m/>
    <m/>
    <m/>
    <m/>
    <m/>
    <m/>
    <m/>
    <m/>
    <m/>
    <m/>
  </r>
  <r>
    <s v="N354"/>
    <s v="N355"/>
    <n v="83.13"/>
    <x v="0"/>
    <x v="0"/>
    <s v="Cruz"/>
    <s v="6&quot;"/>
    <n v="1"/>
    <s v="Reducción"/>
    <s v="3&quot;"/>
    <n v="1"/>
    <m/>
    <m/>
    <m/>
    <m/>
    <m/>
    <m/>
    <m/>
    <m/>
    <m/>
    <m/>
    <m/>
    <m/>
    <m/>
    <m/>
    <m/>
    <m/>
    <m/>
    <m/>
  </r>
  <r>
    <s v="N355"/>
    <s v="N356"/>
    <n v="41"/>
    <x v="1"/>
    <x v="0"/>
    <s v="TPL"/>
    <s v="3&quot;"/>
    <n v="1"/>
    <s v="Reducción"/>
    <s v="2&quot;"/>
    <n v="1"/>
    <m/>
    <m/>
    <m/>
    <m/>
    <m/>
    <m/>
    <m/>
    <m/>
    <m/>
    <m/>
    <m/>
    <m/>
    <m/>
    <m/>
    <m/>
    <m/>
    <m/>
    <m/>
  </r>
  <r>
    <s v="N356"/>
    <s v="TP229"/>
    <n v="60.17"/>
    <x v="1"/>
    <x v="0"/>
    <s v="TPL"/>
    <s v="2&quot;"/>
    <n v="1"/>
    <s v="Válvula de Corte "/>
    <s v="2&quot;"/>
    <n v="1"/>
    <s v="Codo"/>
    <s v="2&quot;"/>
    <n v="1"/>
    <s v="Tapón"/>
    <s v="2&quot;"/>
    <n v="1"/>
    <m/>
    <m/>
    <m/>
    <m/>
    <m/>
    <m/>
    <m/>
    <m/>
    <m/>
    <m/>
    <m/>
    <m/>
  </r>
  <r>
    <s v="N356"/>
    <s v="N357"/>
    <n v="30.95"/>
    <x v="1"/>
    <x v="0"/>
    <s v="TPD"/>
    <s v="2&quot;"/>
    <n v="1"/>
    <m/>
    <m/>
    <m/>
    <m/>
    <m/>
    <m/>
    <m/>
    <m/>
    <m/>
    <m/>
    <m/>
    <m/>
    <m/>
    <m/>
    <m/>
    <m/>
    <m/>
    <m/>
    <m/>
    <m/>
    <m/>
  </r>
  <r>
    <s v="N357"/>
    <s v="TP230"/>
    <n v="77.7"/>
    <x v="1"/>
    <x v="0"/>
    <s v="TPL"/>
    <s v="2&quot;"/>
    <n v="1"/>
    <s v="Válvula de Corte "/>
    <s v="2&quot;"/>
    <n v="1"/>
    <s v="Tapón"/>
    <s v="2&quot;"/>
    <n v="1"/>
    <m/>
    <m/>
    <m/>
    <m/>
    <m/>
    <m/>
    <m/>
    <m/>
    <m/>
    <m/>
    <m/>
    <m/>
    <m/>
    <m/>
    <m/>
  </r>
  <r>
    <s v="N357"/>
    <s v="TP231"/>
    <n v="52.29"/>
    <x v="1"/>
    <x v="0"/>
    <s v="TPD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355"/>
    <s v="N358"/>
    <n v="24.18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358"/>
    <s v="TP232"/>
    <n v="40.119999999999997"/>
    <x v="1"/>
    <x v="2"/>
    <s v="TPL"/>
    <s v="3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358"/>
    <s v="N359"/>
    <n v="81.99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359"/>
    <s v="TP233"/>
    <n v="58.26"/>
    <x v="1"/>
    <x v="0"/>
    <s v="TPL"/>
    <s v="3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359"/>
    <s v="N360"/>
    <n v="62.35"/>
    <x v="0"/>
    <x v="0"/>
    <s v="TPD"/>
    <s v="3&quot;"/>
    <n v="1"/>
    <s v="Hidrantes de Columna "/>
    <m/>
    <n v="1"/>
    <m/>
    <m/>
    <m/>
    <m/>
    <m/>
    <m/>
    <m/>
    <m/>
    <m/>
    <m/>
    <m/>
    <m/>
    <m/>
    <m/>
    <m/>
    <m/>
    <m/>
    <m/>
  </r>
  <r>
    <s v="N315"/>
    <s v="N361"/>
    <n v="38.630000000000003"/>
    <x v="0"/>
    <x v="1"/>
    <s v="TPL"/>
    <s v="3&quot;"/>
    <n v="1"/>
    <m/>
    <m/>
    <m/>
    <m/>
    <m/>
    <m/>
    <m/>
    <m/>
    <m/>
    <m/>
    <m/>
    <m/>
    <m/>
    <m/>
    <m/>
    <m/>
    <m/>
    <m/>
    <m/>
    <m/>
    <m/>
  </r>
  <r>
    <s v="N361"/>
    <s v="TP234"/>
    <n v="59.24"/>
    <x v="6"/>
    <x v="0"/>
    <s v="TPL"/>
    <s v="3&quot;"/>
    <n v="1"/>
    <s v="Reducción"/>
    <s v="1&quot;"/>
    <n v="1"/>
    <s v="Codo"/>
    <s v="1&quot;"/>
    <n v="1"/>
    <s v="Tapón"/>
    <s v="1&quot;"/>
    <n v="1"/>
    <m/>
    <m/>
    <m/>
    <m/>
    <m/>
    <m/>
    <m/>
    <m/>
    <m/>
    <m/>
    <m/>
    <m/>
  </r>
  <r>
    <s v="N361"/>
    <s v="N360"/>
    <n v="109.71"/>
    <x v="0"/>
    <x v="1"/>
    <s v="TPD"/>
    <s v="3&quot;"/>
    <n v="1"/>
    <m/>
    <m/>
    <m/>
    <m/>
    <m/>
    <m/>
    <m/>
    <m/>
    <m/>
    <m/>
    <m/>
    <m/>
    <m/>
    <m/>
    <m/>
    <m/>
    <m/>
    <m/>
    <m/>
    <m/>
    <m/>
  </r>
  <r>
    <s v="N360"/>
    <s v="N362"/>
    <n v="161.38"/>
    <x v="1"/>
    <x v="0"/>
    <s v="TPD"/>
    <s v="3&quot;"/>
    <n v="1"/>
    <s v="Reducción"/>
    <s v="2&quot;"/>
    <n v="1"/>
    <m/>
    <m/>
    <m/>
    <m/>
    <m/>
    <m/>
    <m/>
    <m/>
    <m/>
    <m/>
    <m/>
    <m/>
    <m/>
    <m/>
    <m/>
    <m/>
    <m/>
    <m/>
  </r>
  <r>
    <s v="N362"/>
    <s v="N363"/>
    <n v="54.15"/>
    <x v="1"/>
    <x v="0"/>
    <s v="TPL"/>
    <s v="2&quot;"/>
    <n v="1"/>
    <m/>
    <m/>
    <m/>
    <m/>
    <m/>
    <m/>
    <m/>
    <m/>
    <m/>
    <m/>
    <m/>
    <m/>
    <m/>
    <m/>
    <m/>
    <m/>
    <m/>
    <m/>
    <m/>
    <m/>
    <m/>
  </r>
  <r>
    <s v="N363"/>
    <s v="TP235"/>
    <n v="42.38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363"/>
    <s v="N364"/>
    <n v="10.17"/>
    <x v="1"/>
    <x v="0"/>
    <s v="TPL"/>
    <s v="2&quot;"/>
    <n v="1"/>
    <m/>
    <m/>
    <m/>
    <m/>
    <m/>
    <m/>
    <m/>
    <m/>
    <m/>
    <m/>
    <m/>
    <m/>
    <m/>
    <m/>
    <m/>
    <m/>
    <m/>
    <m/>
    <m/>
    <m/>
    <m/>
  </r>
  <r>
    <s v="N364"/>
    <s v="TP236"/>
    <n v="23.33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364"/>
    <s v="TP237"/>
    <n v="36.33"/>
    <x v="1"/>
    <x v="0"/>
    <s v="TPD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362"/>
    <s v="N365"/>
    <n v="53.57"/>
    <x v="1"/>
    <x v="0"/>
    <s v="TPD"/>
    <s v="2&quot;"/>
    <n v="1"/>
    <m/>
    <m/>
    <m/>
    <m/>
    <m/>
    <m/>
    <m/>
    <m/>
    <m/>
    <m/>
    <m/>
    <m/>
    <m/>
    <m/>
    <m/>
    <m/>
    <m/>
    <m/>
    <m/>
    <m/>
    <m/>
  </r>
  <r>
    <s v="N365"/>
    <s v="N366"/>
    <n v="277.45999999999998"/>
    <x v="1"/>
    <x v="0"/>
    <s v="TPD"/>
    <s v="2&quot;"/>
    <n v="1"/>
    <s v="Codo"/>
    <s v="2&quot;"/>
    <n v="3"/>
    <s v="Válvula de Corte "/>
    <s v="2&quot;"/>
    <n v="1"/>
    <m/>
    <m/>
    <m/>
    <m/>
    <m/>
    <m/>
    <m/>
    <m/>
    <m/>
    <m/>
    <m/>
    <m/>
    <m/>
    <m/>
    <m/>
  </r>
  <r>
    <s v="N366"/>
    <s v="TP238"/>
    <n v="23.8"/>
    <x v="1"/>
    <x v="0"/>
    <s v="TPD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366"/>
    <s v="TP239"/>
    <n v="372.95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365"/>
    <s v="N367"/>
    <n v="99.45"/>
    <x v="1"/>
    <x v="0"/>
    <s v="TPL"/>
    <s v="2&quot;"/>
    <n v="1"/>
    <s v="Codo"/>
    <s v="2&quot;"/>
    <n v="1"/>
    <s v="Válvula de Corte "/>
    <s v="2&quot;"/>
    <n v="1"/>
    <s v="Reducción"/>
    <s v="2&quot;"/>
    <n v="1"/>
    <m/>
    <m/>
    <m/>
    <m/>
    <m/>
    <m/>
    <m/>
    <m/>
    <m/>
    <m/>
    <m/>
    <m/>
  </r>
  <r>
    <s v="N367"/>
    <s v="N368"/>
    <n v="14.29"/>
    <x v="0"/>
    <x v="0"/>
    <s v="TPD"/>
    <s v="2&quot;"/>
    <n v="1"/>
    <m/>
    <m/>
    <m/>
    <m/>
    <m/>
    <m/>
    <m/>
    <m/>
    <m/>
    <m/>
    <m/>
    <m/>
    <m/>
    <m/>
    <m/>
    <m/>
    <m/>
    <m/>
    <m/>
    <m/>
    <m/>
  </r>
  <r>
    <s v="N368"/>
    <s v="TP240"/>
    <n v="26.79"/>
    <x v="6"/>
    <x v="0"/>
    <s v="TPL"/>
    <s v="3&quot;"/>
    <n v="1"/>
    <s v="Reducción"/>
    <s v="1&quot;"/>
    <n v="1"/>
    <s v="Tapón"/>
    <s v="1&quot;"/>
    <n v="1"/>
    <m/>
    <m/>
    <m/>
    <m/>
    <m/>
    <m/>
    <m/>
    <m/>
    <m/>
    <m/>
    <m/>
    <m/>
    <m/>
    <m/>
    <m/>
  </r>
  <r>
    <s v="N368"/>
    <s v="N369"/>
    <n v="40.33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369"/>
    <s v="TP241"/>
    <n v="41.24"/>
    <x v="1"/>
    <x v="0"/>
    <s v="TPL"/>
    <s v="3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369"/>
    <s v="N370"/>
    <n v="42.26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370"/>
    <s v="TP242"/>
    <n v="52.6"/>
    <x v="1"/>
    <x v="0"/>
    <s v="TPL"/>
    <s v="3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370"/>
    <s v="N371"/>
    <n v="44.16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371"/>
    <s v="TP243"/>
    <n v="76.239999999999995"/>
    <x v="1"/>
    <x v="0"/>
    <s v="TPL"/>
    <s v="3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371"/>
    <s v="N372"/>
    <n v="52.63"/>
    <x v="0"/>
    <x v="0"/>
    <s v="TPD"/>
    <s v="3&quot;"/>
    <m/>
    <m/>
    <m/>
    <m/>
    <m/>
    <m/>
    <m/>
    <m/>
    <m/>
    <m/>
    <m/>
    <m/>
    <m/>
    <m/>
    <m/>
    <m/>
    <m/>
    <m/>
    <m/>
    <m/>
    <m/>
    <m/>
  </r>
  <r>
    <s v="N372"/>
    <s v="TP244"/>
    <n v="81.27"/>
    <x v="1"/>
    <x v="0"/>
    <s v="TPL"/>
    <s v="3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372"/>
    <s v="N373"/>
    <n v="56.13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373"/>
    <s v="N374"/>
    <n v="9.33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N374"/>
    <s v="TP245"/>
    <n v="110.49"/>
    <x v="1"/>
    <x v="0"/>
    <s v="Reducción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373"/>
    <s v="N375"/>
    <n v="21.76"/>
    <x v="1"/>
    <x v="0"/>
    <s v="TPD"/>
    <s v="3&quot;"/>
    <n v="1"/>
    <s v="Reducción"/>
    <s v="2&quot;"/>
    <n v="1"/>
    <m/>
    <m/>
    <m/>
    <m/>
    <m/>
    <m/>
    <m/>
    <m/>
    <m/>
    <m/>
    <m/>
    <m/>
    <m/>
    <m/>
    <m/>
    <m/>
    <m/>
    <m/>
  </r>
  <r>
    <s v="N375"/>
    <s v="N376"/>
    <n v="77.8"/>
    <x v="1"/>
    <x v="0"/>
    <s v="TPL"/>
    <s v="2&quot;"/>
    <n v="1"/>
    <m/>
    <m/>
    <m/>
    <m/>
    <m/>
    <m/>
    <m/>
    <m/>
    <m/>
    <m/>
    <m/>
    <m/>
    <m/>
    <m/>
    <m/>
    <m/>
    <m/>
    <m/>
    <m/>
    <m/>
    <m/>
  </r>
  <r>
    <s v="N376"/>
    <s v="TP246"/>
    <n v="7.08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376"/>
    <s v="N377"/>
    <n v="34.32"/>
    <x v="1"/>
    <x v="0"/>
    <s v="TPL"/>
    <s v="2&quot;"/>
    <n v="1"/>
    <s v="Codo"/>
    <s v="2&quot;"/>
    <n v="2"/>
    <m/>
    <m/>
    <m/>
    <m/>
    <m/>
    <m/>
    <m/>
    <m/>
    <m/>
    <m/>
    <m/>
    <m/>
    <m/>
    <m/>
    <m/>
    <m/>
    <m/>
    <m/>
  </r>
  <r>
    <s v="N377"/>
    <s v="TP247"/>
    <n v="62.36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377"/>
    <s v="TP248"/>
    <n v="24.8"/>
    <x v="1"/>
    <x v="0"/>
    <s v="TPD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375"/>
    <s v="N378"/>
    <n v="35.06"/>
    <x v="1"/>
    <x v="0"/>
    <s v="TPD"/>
    <s v="2&quot;"/>
    <n v="1"/>
    <s v="Reducción"/>
    <s v="2&quot;"/>
    <n v="1"/>
    <m/>
    <m/>
    <m/>
    <m/>
    <m/>
    <m/>
    <m/>
    <m/>
    <m/>
    <m/>
    <m/>
    <m/>
    <m/>
    <m/>
    <m/>
    <m/>
    <m/>
    <m/>
  </r>
  <r>
    <s v="N378"/>
    <s v="TP249"/>
    <n v="37"/>
    <x v="6"/>
    <x v="0"/>
    <s v="Galápago"/>
    <s v="3&quot; A 1&quot;"/>
    <n v="1"/>
    <s v="Tapón"/>
    <s v="1&quot;"/>
    <n v="1"/>
    <m/>
    <m/>
    <m/>
    <m/>
    <m/>
    <m/>
    <m/>
    <m/>
    <m/>
    <m/>
    <m/>
    <m/>
    <m/>
    <m/>
    <m/>
    <m/>
    <m/>
    <m/>
  </r>
  <r>
    <s v="N378"/>
    <s v="N379"/>
    <n v="46.66"/>
    <x v="0"/>
    <x v="0"/>
    <s v="Válvula de Corte "/>
    <s v="3&quot;"/>
    <n v="1"/>
    <m/>
    <m/>
    <m/>
    <m/>
    <m/>
    <m/>
    <m/>
    <m/>
    <m/>
    <m/>
    <m/>
    <m/>
    <m/>
    <m/>
    <m/>
    <m/>
    <m/>
    <m/>
    <m/>
    <m/>
    <m/>
  </r>
  <r>
    <s v="N354"/>
    <s v="N380"/>
    <n v="139.59"/>
    <x v="7"/>
    <x v="1"/>
    <s v="Cruz"/>
    <s v="6&quot;"/>
    <n v="1"/>
    <s v="Hidrantes de Columna "/>
    <m/>
    <n v="1"/>
    <m/>
    <m/>
    <m/>
    <m/>
    <m/>
    <m/>
    <m/>
    <m/>
    <m/>
    <m/>
    <m/>
    <m/>
    <m/>
    <m/>
    <m/>
    <m/>
    <m/>
    <m/>
  </r>
  <r>
    <s v="N380"/>
    <s v="N379"/>
    <n v="1.75"/>
    <x v="0"/>
    <x v="0"/>
    <s v="Reducción"/>
    <s v="3&quot;"/>
    <n v="1"/>
    <m/>
    <m/>
    <m/>
    <m/>
    <m/>
    <m/>
    <m/>
    <m/>
    <m/>
    <m/>
    <m/>
    <m/>
    <m/>
    <m/>
    <m/>
    <m/>
    <m/>
    <m/>
    <m/>
    <m/>
    <m/>
  </r>
  <r>
    <s v="N379"/>
    <s v="N381"/>
    <n v="4.9400000000000004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381"/>
    <s v="N382"/>
    <n v="147.78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N382"/>
    <s v="N383"/>
    <n v="2.2400000000000002"/>
    <x v="0"/>
    <x v="1"/>
    <s v="TPL"/>
    <s v="3&quot;"/>
    <n v="1"/>
    <m/>
    <m/>
    <m/>
    <m/>
    <m/>
    <m/>
    <m/>
    <m/>
    <m/>
    <m/>
    <m/>
    <m/>
    <m/>
    <m/>
    <m/>
    <m/>
    <m/>
    <m/>
    <m/>
    <m/>
    <m/>
  </r>
  <r>
    <s v="N383"/>
    <s v="N384"/>
    <n v="12.35"/>
    <x v="0"/>
    <x v="1"/>
    <s v="TPD"/>
    <s v="3&quot;"/>
    <n v="1"/>
    <s v="Reducción"/>
    <s v="3&quot;"/>
    <n v="1"/>
    <m/>
    <m/>
    <m/>
    <m/>
    <m/>
    <m/>
    <m/>
    <m/>
    <m/>
    <m/>
    <m/>
    <m/>
    <m/>
    <m/>
    <m/>
    <m/>
    <m/>
    <m/>
  </r>
  <r>
    <s v="N350"/>
    <s v="N385"/>
    <n v="79.680000000000007"/>
    <x v="0"/>
    <x v="0"/>
    <s v="Cruz"/>
    <s v="4&quot;"/>
    <n v="1"/>
    <s v="Reducción"/>
    <s v="3&quot;"/>
    <n v="1"/>
    <m/>
    <m/>
    <m/>
    <m/>
    <m/>
    <m/>
    <m/>
    <m/>
    <m/>
    <m/>
    <m/>
    <m/>
    <m/>
    <m/>
    <m/>
    <m/>
    <m/>
    <m/>
  </r>
  <r>
    <s v="N385"/>
    <s v="TP250"/>
    <n v="51.02"/>
    <x v="1"/>
    <x v="0"/>
    <s v="TPL"/>
    <s v="3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385"/>
    <s v="N386"/>
    <n v="41.88"/>
    <x v="0"/>
    <x v="0"/>
    <s v="TPD"/>
    <s v="3&quot;"/>
    <n v="1"/>
    <s v="Válvula de Corte "/>
    <s v="3&quot;"/>
    <n v="1"/>
    <m/>
    <m/>
    <m/>
    <m/>
    <m/>
    <m/>
    <m/>
    <m/>
    <m/>
    <m/>
    <m/>
    <m/>
    <m/>
    <m/>
    <m/>
    <m/>
    <m/>
    <m/>
  </r>
  <r>
    <s v="N386"/>
    <s v="N384"/>
    <n v="7.66"/>
    <x v="0"/>
    <x v="1"/>
    <s v="Reducción"/>
    <s v="3&quot;"/>
    <n v="1"/>
    <m/>
    <m/>
    <m/>
    <m/>
    <m/>
    <m/>
    <m/>
    <m/>
    <m/>
    <m/>
    <m/>
    <m/>
    <m/>
    <m/>
    <m/>
    <m/>
    <m/>
    <m/>
    <m/>
    <m/>
    <m/>
  </r>
  <r>
    <s v="N384"/>
    <s v="TP251"/>
    <n v="124.82"/>
    <x v="0"/>
    <x v="0"/>
    <s v="Cruz"/>
    <s v="6&quot;"/>
    <n v="1"/>
    <s v="Reducción"/>
    <s v="3&quot;"/>
    <n v="1"/>
    <s v="Tapón"/>
    <s v="3&quot;"/>
    <n v="1"/>
    <m/>
    <m/>
    <m/>
    <m/>
    <m/>
    <m/>
    <m/>
    <m/>
    <m/>
    <m/>
    <m/>
    <m/>
    <m/>
    <m/>
    <m/>
  </r>
  <r>
    <s v="N384"/>
    <s v="N387"/>
    <n v="128.04"/>
    <x v="7"/>
    <x v="0"/>
    <s v="Cruz"/>
    <s v="6&quot;"/>
    <n v="1"/>
    <s v="Válvula de Corte "/>
    <s v="6&quot;"/>
    <n v="1"/>
    <s v="Hidrantes de Piso"/>
    <m/>
    <n v="1"/>
    <m/>
    <m/>
    <m/>
    <m/>
    <m/>
    <m/>
    <m/>
    <m/>
    <m/>
    <m/>
    <m/>
    <m/>
    <m/>
    <m/>
    <m/>
  </r>
  <r>
    <s v="N387"/>
    <s v="N388"/>
    <n v="147.22999999999999"/>
    <x v="7"/>
    <x v="0"/>
    <s v="TPD"/>
    <s v="6&quot;"/>
    <n v="1"/>
    <s v="Reducción"/>
    <s v="6&quot;"/>
    <n v="1"/>
    <m/>
    <m/>
    <m/>
    <m/>
    <m/>
    <m/>
    <m/>
    <m/>
    <m/>
    <m/>
    <m/>
    <m/>
    <m/>
    <m/>
    <m/>
    <m/>
    <m/>
    <m/>
  </r>
  <r>
    <s v="N348"/>
    <s v="N388"/>
    <n v="133.6"/>
    <x v="2"/>
    <x v="0"/>
    <s v="Cruz"/>
    <s v="8&quot;"/>
    <n v="1"/>
    <s v="Válvula de Corte "/>
    <s v="8&quot;"/>
    <n v="1"/>
    <m/>
    <m/>
    <m/>
    <m/>
    <m/>
    <m/>
    <m/>
    <m/>
    <m/>
    <m/>
    <m/>
    <m/>
    <m/>
    <m/>
    <m/>
    <m/>
    <m/>
    <m/>
  </r>
  <r>
    <s v="N388"/>
    <s v="N389"/>
    <n v="198.34"/>
    <x v="7"/>
    <x v="0"/>
    <s v="Cruz"/>
    <s v="8&quot;"/>
    <n v="1"/>
    <s v="Reducción"/>
    <s v="6&quot;"/>
    <n v="1"/>
    <m/>
    <m/>
    <m/>
    <m/>
    <m/>
    <m/>
    <m/>
    <m/>
    <m/>
    <m/>
    <m/>
    <m/>
    <m/>
    <m/>
    <m/>
    <m/>
    <m/>
    <m/>
  </r>
  <r>
    <s v="N389"/>
    <s v="TP252"/>
    <n v="64.66"/>
    <x v="1"/>
    <x v="0"/>
    <s v="TPL"/>
    <s v="6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389"/>
    <s v="TP253"/>
    <n v="70.959999999999994"/>
    <x v="7"/>
    <x v="0"/>
    <s v="TPD"/>
    <s v="6&quot;"/>
    <n v="1"/>
    <s v="Tapón"/>
    <s v="6&quot;"/>
    <n v="1"/>
    <m/>
    <m/>
    <m/>
    <m/>
    <m/>
    <m/>
    <m/>
    <m/>
    <m/>
    <m/>
    <m/>
    <m/>
    <m/>
    <m/>
    <m/>
    <m/>
    <m/>
    <m/>
  </r>
  <r>
    <s v="N347"/>
    <s v="N390"/>
    <n v="151.47"/>
    <x v="0"/>
    <x v="0"/>
    <s v="Cruz"/>
    <s v="3&quot;"/>
    <n v="1"/>
    <s v="Reducción"/>
    <s v="3&quot;"/>
    <n v="1"/>
    <s v="Válvula de Corte "/>
    <s v="3&quot;"/>
    <m/>
    <m/>
    <m/>
    <m/>
    <m/>
    <m/>
    <m/>
    <m/>
    <m/>
    <m/>
    <m/>
    <m/>
    <m/>
    <m/>
    <m/>
    <m/>
  </r>
  <r>
    <s v="N346"/>
    <s v="N391"/>
    <n v="129.88"/>
    <x v="0"/>
    <x v="2"/>
    <s v="Cruz"/>
    <s v="3&quot;"/>
    <n v="1"/>
    <s v="Válvula de Corte "/>
    <s v="3&quot;"/>
    <n v="1"/>
    <m/>
    <m/>
    <m/>
    <m/>
    <m/>
    <m/>
    <m/>
    <m/>
    <m/>
    <m/>
    <m/>
    <m/>
    <m/>
    <m/>
    <m/>
    <m/>
    <m/>
    <m/>
  </r>
  <r>
    <s v="N391"/>
    <s v="N392"/>
    <n v="3.96"/>
    <x v="1"/>
    <x v="4"/>
    <s v="Reducción"/>
    <s v="2&quot;"/>
    <n v="1"/>
    <m/>
    <m/>
    <m/>
    <m/>
    <m/>
    <m/>
    <m/>
    <m/>
    <m/>
    <m/>
    <m/>
    <m/>
    <m/>
    <m/>
    <m/>
    <m/>
    <m/>
    <m/>
    <m/>
    <m/>
    <m/>
  </r>
  <r>
    <s v="N392"/>
    <s v="TP253"/>
    <n v="3.46"/>
    <x v="0"/>
    <x v="0"/>
    <s v="Cruz"/>
    <s v="3&quot;"/>
    <n v="1"/>
    <s v="Tapón"/>
    <s v="3&quot;"/>
    <n v="1"/>
    <m/>
    <m/>
    <m/>
    <m/>
    <m/>
    <m/>
    <m/>
    <m/>
    <m/>
    <m/>
    <m/>
    <m/>
    <m/>
    <m/>
    <m/>
    <m/>
    <m/>
    <m/>
  </r>
  <r>
    <s v="N392"/>
    <s v="N393"/>
    <n v="25.9"/>
    <x v="0"/>
    <x v="0"/>
    <s v="Cruz"/>
    <s v="3&quot;"/>
    <n v="1"/>
    <m/>
    <m/>
    <m/>
    <m/>
    <m/>
    <m/>
    <m/>
    <m/>
    <m/>
    <m/>
    <m/>
    <m/>
    <m/>
    <m/>
    <m/>
    <m/>
    <m/>
    <m/>
    <m/>
    <m/>
    <m/>
  </r>
  <r>
    <s v="N393"/>
    <s v="TP254"/>
    <n v="71.81"/>
    <x v="1"/>
    <x v="0"/>
    <s v="TPL"/>
    <s v="3&quot;"/>
    <n v="1"/>
    <s v="Reducción"/>
    <s v="2&quot;"/>
    <n v="1"/>
    <s v="Válvula de Corte "/>
    <s v="2&quot;"/>
    <n v="1"/>
    <s v="Tapón"/>
    <s v="2&quot;"/>
    <n v="1"/>
    <m/>
    <m/>
    <m/>
    <m/>
    <m/>
    <m/>
    <m/>
    <m/>
    <m/>
    <m/>
    <m/>
    <m/>
  </r>
  <r>
    <s v="N393"/>
    <s v="N394"/>
    <n v="50.44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394"/>
    <s v="N395"/>
    <n v="34.67"/>
    <x v="1"/>
    <x v="0"/>
    <s v="TPL"/>
    <s v="3&quot;"/>
    <n v="1"/>
    <s v="Reducción"/>
    <s v="2&quot;"/>
    <n v="1"/>
    <m/>
    <m/>
    <m/>
    <m/>
    <m/>
    <m/>
    <m/>
    <m/>
    <m/>
    <m/>
    <m/>
    <m/>
    <m/>
    <m/>
    <m/>
    <m/>
    <m/>
    <m/>
  </r>
  <r>
    <s v="N395"/>
    <s v="TP255"/>
    <n v="42.9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395"/>
    <s v="TP256"/>
    <n v="81"/>
    <x v="1"/>
    <x v="0"/>
    <s v="TPD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394"/>
    <s v="N396"/>
    <n v="49.18"/>
    <x v="0"/>
    <x v="0"/>
    <s v="TPD"/>
    <s v="3&quot;"/>
    <n v="1"/>
    <s v="Válvula de Corte "/>
    <s v="3&quot;"/>
    <n v="1"/>
    <m/>
    <m/>
    <m/>
    <m/>
    <m/>
    <m/>
    <m/>
    <m/>
    <m/>
    <m/>
    <m/>
    <m/>
    <m/>
    <m/>
    <m/>
    <m/>
    <m/>
    <m/>
  </r>
  <r>
    <s v="N344"/>
    <s v="N397"/>
    <n v="68.349999999999994"/>
    <x v="2"/>
    <x v="1"/>
    <s v="TPD"/>
    <s v="8&quot;"/>
    <n v="1"/>
    <s v="Válvula de Corte "/>
    <s v="8&quot;"/>
    <n v="1"/>
    <m/>
    <m/>
    <m/>
    <m/>
    <m/>
    <m/>
    <m/>
    <m/>
    <m/>
    <m/>
    <m/>
    <m/>
    <m/>
    <m/>
    <m/>
    <m/>
    <m/>
    <m/>
  </r>
  <r>
    <s v="N397"/>
    <s v="N398"/>
    <n v="28.64"/>
    <x v="1"/>
    <x v="0"/>
    <s v="TPL"/>
    <s v="8&quot;"/>
    <n v="1"/>
    <s v="Reducción"/>
    <s v="2&quot;"/>
    <n v="1"/>
    <m/>
    <m/>
    <m/>
    <m/>
    <m/>
    <m/>
    <m/>
    <m/>
    <m/>
    <m/>
    <m/>
    <m/>
    <m/>
    <m/>
    <m/>
    <m/>
    <m/>
    <m/>
  </r>
  <r>
    <s v="N398"/>
    <s v="TP257"/>
    <n v="22.6"/>
    <x v="6"/>
    <x v="0"/>
    <s v="TPL"/>
    <s v="2&quot;"/>
    <n v="1"/>
    <s v="Reducción"/>
    <s v="1&quot;"/>
    <n v="1"/>
    <s v="Tapón"/>
    <s v="1&quot;"/>
    <n v="1"/>
    <m/>
    <m/>
    <m/>
    <m/>
    <m/>
    <m/>
    <m/>
    <m/>
    <m/>
    <m/>
    <m/>
    <m/>
    <m/>
    <m/>
    <m/>
  </r>
  <r>
    <s v="N398"/>
    <s v="TP258"/>
    <n v="38.93"/>
    <x v="1"/>
    <x v="0"/>
    <s v="TPD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397"/>
    <s v="N396"/>
    <n v="64.650000000000006"/>
    <x v="2"/>
    <x v="1"/>
    <s v="TPD"/>
    <s v="8&quot;"/>
    <n v="1"/>
    <m/>
    <m/>
    <m/>
    <m/>
    <m/>
    <m/>
    <m/>
    <m/>
    <m/>
    <m/>
    <m/>
    <m/>
    <m/>
    <m/>
    <m/>
    <m/>
    <m/>
    <m/>
    <m/>
    <m/>
    <m/>
  </r>
  <r>
    <s v="N45"/>
    <s v="T. PICAPIEDRA"/>
    <n v="1306.5"/>
    <x v="7"/>
    <x v="0"/>
    <s v="TPD"/>
    <s v="6&quot;"/>
    <n v="1"/>
    <s v="Codo"/>
    <s v="6&quot;"/>
    <n v="1"/>
    <m/>
    <m/>
    <m/>
    <m/>
    <m/>
    <m/>
    <m/>
    <m/>
    <m/>
    <m/>
    <m/>
    <m/>
    <m/>
    <m/>
    <m/>
    <m/>
    <m/>
    <m/>
  </r>
  <r>
    <s v="T. PICAPIEDRA"/>
    <s v="T. ANIMES"/>
    <n v="216.8"/>
    <x v="2"/>
    <x v="0"/>
    <s v="Codo"/>
    <s v="8&quot;"/>
    <n v="2"/>
    <m/>
    <m/>
    <m/>
    <m/>
    <m/>
    <m/>
    <m/>
    <m/>
    <m/>
    <m/>
    <m/>
    <m/>
    <m/>
    <m/>
    <m/>
    <m/>
    <m/>
    <m/>
    <m/>
    <m/>
    <m/>
  </r>
  <r>
    <s v="T. ANIMES"/>
    <s v="T. SANTA MARTA"/>
    <n v="506.71"/>
    <x v="3"/>
    <x v="0"/>
    <s v="Codo"/>
    <s v="10&quot;"/>
    <n v="3"/>
    <m/>
    <m/>
    <m/>
    <m/>
    <m/>
    <m/>
    <m/>
    <m/>
    <m/>
    <m/>
    <m/>
    <m/>
    <m/>
    <m/>
    <m/>
    <m/>
    <m/>
    <m/>
    <m/>
    <m/>
    <m/>
  </r>
  <r>
    <s v="T. ANIMES"/>
    <s v="N399"/>
    <n v="66.67"/>
    <x v="7"/>
    <x v="0"/>
    <s v="Codo"/>
    <s v="6&quot;"/>
    <n v="1"/>
    <s v="Válvula de Corte "/>
    <s v="6&quot;"/>
    <n v="1"/>
    <m/>
    <m/>
    <m/>
    <m/>
    <m/>
    <m/>
    <m/>
    <m/>
    <m/>
    <m/>
    <m/>
    <m/>
    <m/>
    <m/>
    <m/>
    <m/>
    <m/>
    <m/>
  </r>
  <r>
    <s v="N399"/>
    <s v="N400"/>
    <n v="194.37"/>
    <x v="8"/>
    <x v="0"/>
    <s v="TPL"/>
    <s v="6&quot;"/>
    <n v="1"/>
    <s v="Reducción"/>
    <s v="4&quot;"/>
    <n v="1"/>
    <s v="Válvula de Corte "/>
    <s v="4&quot;"/>
    <n v="1"/>
    <m/>
    <m/>
    <m/>
    <m/>
    <m/>
    <m/>
    <m/>
    <m/>
    <m/>
    <m/>
    <m/>
    <m/>
    <m/>
    <m/>
    <m/>
  </r>
  <r>
    <s v="N400"/>
    <s v="TP259"/>
    <n v="16.41"/>
    <x v="8"/>
    <x v="0"/>
    <s v="TPD"/>
    <s v="4&quot;"/>
    <n v="1"/>
    <s v="Tapón"/>
    <s v="4&quot;"/>
    <n v="1"/>
    <m/>
    <m/>
    <m/>
    <m/>
    <m/>
    <m/>
    <m/>
    <m/>
    <m/>
    <m/>
    <m/>
    <m/>
    <m/>
    <m/>
    <m/>
    <m/>
    <m/>
    <m/>
  </r>
  <r>
    <s v="N400"/>
    <s v="TP260"/>
    <n v="185.07"/>
    <x v="1"/>
    <x v="0"/>
    <s v="TPL"/>
    <s v="4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399"/>
    <s v="N401"/>
    <n v="3.87"/>
    <x v="7"/>
    <x v="0"/>
    <s v="TPD"/>
    <s v="6&quot;"/>
    <n v="1"/>
    <m/>
    <m/>
    <m/>
    <m/>
    <m/>
    <m/>
    <m/>
    <m/>
    <m/>
    <m/>
    <m/>
    <m/>
    <m/>
    <m/>
    <m/>
    <m/>
    <m/>
    <m/>
    <m/>
    <m/>
    <m/>
  </r>
  <r>
    <s v="N401"/>
    <s v="N402"/>
    <n v="182.22"/>
    <x v="8"/>
    <x v="0"/>
    <s v="TPL"/>
    <s v="6&quot;"/>
    <n v="1"/>
    <s v="Reducción"/>
    <s v="4&quot;"/>
    <n v="1"/>
    <m/>
    <m/>
    <m/>
    <m/>
    <m/>
    <m/>
    <m/>
    <m/>
    <m/>
    <m/>
    <m/>
    <m/>
    <m/>
    <m/>
    <m/>
    <m/>
    <m/>
    <m/>
  </r>
  <r>
    <s v="N402"/>
    <s v="N403"/>
    <n v="329.73"/>
    <x v="0"/>
    <x v="0"/>
    <s v="TPL"/>
    <s v="4&quot;"/>
    <n v="1"/>
    <s v="Reducción"/>
    <s v="3&quot;"/>
    <n v="1"/>
    <m/>
    <m/>
    <m/>
    <m/>
    <m/>
    <m/>
    <m/>
    <m/>
    <m/>
    <m/>
    <m/>
    <m/>
    <m/>
    <m/>
    <m/>
    <m/>
    <m/>
    <m/>
  </r>
  <r>
    <s v="N403"/>
    <s v="N404"/>
    <n v="55.27"/>
    <x v="1"/>
    <x v="0"/>
    <s v="TPL"/>
    <s v="3&quot;"/>
    <n v="1"/>
    <s v="Reducción"/>
    <s v="2&quot;"/>
    <n v="1"/>
    <m/>
    <m/>
    <m/>
    <m/>
    <m/>
    <m/>
    <m/>
    <m/>
    <m/>
    <m/>
    <m/>
    <m/>
    <m/>
    <m/>
    <m/>
    <m/>
    <m/>
    <m/>
  </r>
  <r>
    <s v="N404"/>
    <s v="TP261"/>
    <n v="34.46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404"/>
    <s v="TP262"/>
    <n v="29.61"/>
    <x v="1"/>
    <x v="0"/>
    <s v="TPD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403"/>
    <s v="N405"/>
    <n v="18.71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405"/>
    <s v="N406"/>
    <n v="63.6"/>
    <x v="1"/>
    <x v="0"/>
    <s v="Reducción"/>
    <s v="2&quot;"/>
    <n v="1"/>
    <m/>
    <m/>
    <m/>
    <m/>
    <m/>
    <m/>
    <m/>
    <m/>
    <m/>
    <m/>
    <m/>
    <m/>
    <m/>
    <m/>
    <m/>
    <m/>
    <m/>
    <m/>
    <m/>
    <m/>
    <m/>
  </r>
  <r>
    <s v="N406"/>
    <s v="TP263"/>
    <n v="48.45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406"/>
    <s v="TP264"/>
    <n v="17.11"/>
    <x v="1"/>
    <x v="0"/>
    <s v="TPD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402"/>
    <s v="CQ5"/>
    <n v="43.17"/>
    <x v="8"/>
    <x v="0"/>
    <s v="TPD"/>
    <s v="4&quot;"/>
    <n v="1"/>
    <s v="Codo"/>
    <s v="4&quot;"/>
    <n v="1"/>
    <m/>
    <m/>
    <m/>
    <m/>
    <m/>
    <m/>
    <m/>
    <m/>
    <m/>
    <m/>
    <m/>
    <m/>
    <m/>
    <m/>
    <m/>
    <m/>
    <m/>
    <m/>
  </r>
  <r>
    <s v="CQ5"/>
    <s v="N407"/>
    <n v="147.97"/>
    <x v="0"/>
    <x v="0"/>
    <s v="Codo"/>
    <s v="3&quot;"/>
    <n v="1"/>
    <m/>
    <m/>
    <m/>
    <m/>
    <m/>
    <m/>
    <m/>
    <m/>
    <m/>
    <m/>
    <m/>
    <m/>
    <m/>
    <m/>
    <m/>
    <m/>
    <m/>
    <m/>
    <m/>
    <m/>
    <m/>
  </r>
  <r>
    <s v="N407"/>
    <s v="N408"/>
    <n v="131.71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N407"/>
    <s v="N409"/>
    <n v="53.86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409"/>
    <s v="N410"/>
    <n v="191.93"/>
    <x v="0"/>
    <x v="0"/>
    <s v="TPL"/>
    <s v="3&quot;"/>
    <n v="1"/>
    <s v="Codo"/>
    <s v="3&quot;"/>
    <n v="1"/>
    <m/>
    <m/>
    <m/>
    <m/>
    <m/>
    <m/>
    <m/>
    <m/>
    <m/>
    <m/>
    <m/>
    <m/>
    <m/>
    <m/>
    <m/>
    <m/>
    <m/>
    <m/>
  </r>
  <r>
    <s v="N410"/>
    <s v="TP265"/>
    <n v="39.61"/>
    <x v="6"/>
    <x v="0"/>
    <s v="TPL"/>
    <s v="3&quot;"/>
    <n v="1"/>
    <s v="Reducción"/>
    <s v="1&quot;"/>
    <n v="1"/>
    <s v="Tapón"/>
    <s v="1&quot;"/>
    <n v="1"/>
    <m/>
    <m/>
    <m/>
    <m/>
    <m/>
    <m/>
    <m/>
    <m/>
    <m/>
    <m/>
    <m/>
    <m/>
    <m/>
    <m/>
    <m/>
  </r>
  <r>
    <s v="N410"/>
    <s v="N411"/>
    <n v="140.85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411"/>
    <s v="TP266"/>
    <n v="28.99"/>
    <x v="6"/>
    <x v="0"/>
    <s v="TPL"/>
    <s v="3&quot;"/>
    <n v="1"/>
    <s v="Reducción"/>
    <s v="1&quot;"/>
    <n v="1"/>
    <s v="Tapón"/>
    <s v="1&quot;"/>
    <n v="1"/>
    <m/>
    <m/>
    <m/>
    <m/>
    <m/>
    <m/>
    <m/>
    <m/>
    <m/>
    <m/>
    <m/>
    <m/>
    <m/>
    <m/>
    <m/>
  </r>
  <r>
    <s v="N411"/>
    <s v="N412"/>
    <n v="93.35"/>
    <x v="0"/>
    <x v="0"/>
    <s v="TPD"/>
    <s v="3&quot;"/>
    <n v="1"/>
    <s v="Codo"/>
    <s v="3&quot;"/>
    <n v="1"/>
    <m/>
    <m/>
    <m/>
    <m/>
    <m/>
    <m/>
    <m/>
    <m/>
    <m/>
    <m/>
    <m/>
    <m/>
    <m/>
    <m/>
    <m/>
    <m/>
    <m/>
    <m/>
  </r>
  <r>
    <s v="N412"/>
    <s v="TP267"/>
    <n v="26.29"/>
    <x v="1"/>
    <x v="0"/>
    <s v="TPL"/>
    <s v="3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412"/>
    <s v="N413"/>
    <n v="162.81"/>
    <x v="0"/>
    <x v="0"/>
    <s v="TPD"/>
    <s v="3&quot;"/>
    <n v="1"/>
    <s v="Codo"/>
    <s v="3&quot;"/>
    <n v="1"/>
    <m/>
    <m/>
    <m/>
    <m/>
    <m/>
    <m/>
    <m/>
    <m/>
    <m/>
    <m/>
    <m/>
    <m/>
    <m/>
    <m/>
    <m/>
    <m/>
    <m/>
    <m/>
  </r>
  <r>
    <s v="N413"/>
    <s v="TP268"/>
    <n v="177.76"/>
    <x v="1"/>
    <x v="0"/>
    <s v="TPL"/>
    <s v="3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413"/>
    <s v="N414"/>
    <n v="65.31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414"/>
    <s v="TP269"/>
    <n v="24.58"/>
    <x v="6"/>
    <x v="0"/>
    <s v="TPL"/>
    <s v="3&quot;"/>
    <n v="1"/>
    <s v="Reducción"/>
    <s v="1&quot;"/>
    <n v="1"/>
    <s v="Tapón"/>
    <s v="1&quot;"/>
    <n v="1"/>
    <m/>
    <m/>
    <m/>
    <m/>
    <m/>
    <m/>
    <m/>
    <m/>
    <m/>
    <m/>
    <m/>
    <m/>
    <m/>
    <m/>
    <m/>
  </r>
  <r>
    <s v="N414"/>
    <s v="N415"/>
    <n v="44.95"/>
    <x v="0"/>
    <x v="0"/>
    <s v="TPD"/>
    <s v="3&quot;"/>
    <n v="1"/>
    <s v="Válvula de Corte "/>
    <s v="3&quot;"/>
    <n v="1"/>
    <m/>
    <m/>
    <m/>
    <m/>
    <m/>
    <m/>
    <m/>
    <m/>
    <m/>
    <m/>
    <m/>
    <m/>
    <m/>
    <m/>
    <m/>
    <m/>
    <m/>
    <m/>
  </r>
  <r>
    <s v="N409"/>
    <s v="N416"/>
    <n v="2.4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416"/>
    <s v="N408"/>
    <n v="102.42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N416"/>
    <s v="N417"/>
    <n v="58.18"/>
    <x v="0"/>
    <x v="0"/>
    <s v="TPD"/>
    <s v="3&quot;"/>
    <n v="1"/>
    <s v="Válvula de Corte "/>
    <s v="3&quot;"/>
    <n v="1"/>
    <m/>
    <m/>
    <m/>
    <m/>
    <m/>
    <m/>
    <m/>
    <m/>
    <m/>
    <m/>
    <m/>
    <m/>
    <m/>
    <m/>
    <m/>
    <m/>
    <m/>
    <m/>
  </r>
  <r>
    <s v="N417"/>
    <s v="N418"/>
    <n v="128.81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N418"/>
    <s v="N419"/>
    <n v="73.81"/>
    <x v="1"/>
    <x v="0"/>
    <s v="TPL"/>
    <s v="3&quot;"/>
    <n v="1"/>
    <s v="Reducción"/>
    <s v="2&quot;"/>
    <n v="1"/>
    <m/>
    <m/>
    <m/>
    <m/>
    <m/>
    <m/>
    <m/>
    <m/>
    <m/>
    <m/>
    <m/>
    <m/>
    <m/>
    <m/>
    <m/>
    <m/>
    <m/>
    <m/>
  </r>
  <r>
    <s v="N419"/>
    <s v="TP270"/>
    <n v="5.54"/>
    <x v="1"/>
    <x v="0"/>
    <s v="TPD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419"/>
    <s v="TP271"/>
    <n v="86.11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418"/>
    <s v="N420"/>
    <n v="158.13999999999999"/>
    <x v="0"/>
    <x v="0"/>
    <s v="TPD"/>
    <s v="3&quot;"/>
    <n v="1"/>
    <s v="Hidrantes de Piso"/>
    <m/>
    <n v="1"/>
    <m/>
    <m/>
    <m/>
    <m/>
    <m/>
    <m/>
    <m/>
    <m/>
    <m/>
    <m/>
    <m/>
    <m/>
    <m/>
    <m/>
    <m/>
    <m/>
    <m/>
    <m/>
  </r>
  <r>
    <s v="N420"/>
    <s v="N421"/>
    <n v="132.43"/>
    <x v="1"/>
    <x v="0"/>
    <s v="Reducción"/>
    <s v="2&quot;"/>
    <n v="1"/>
    <m/>
    <m/>
    <m/>
    <m/>
    <m/>
    <m/>
    <m/>
    <m/>
    <m/>
    <m/>
    <m/>
    <m/>
    <m/>
    <m/>
    <m/>
    <m/>
    <m/>
    <m/>
    <m/>
    <m/>
    <m/>
  </r>
  <r>
    <s v="N421"/>
    <s v="N415"/>
    <n v="43.97"/>
    <x v="1"/>
    <x v="0"/>
    <s v="TPL"/>
    <s v="2&quot;"/>
    <n v="1"/>
    <s v="Reducción"/>
    <s v="2&quot;"/>
    <n v="1"/>
    <m/>
    <m/>
    <m/>
    <m/>
    <m/>
    <m/>
    <m/>
    <m/>
    <m/>
    <m/>
    <m/>
    <m/>
    <m/>
    <m/>
    <m/>
    <m/>
    <m/>
    <m/>
  </r>
  <r>
    <s v="N421"/>
    <s v="N422"/>
    <n v="6.15"/>
    <x v="1"/>
    <x v="0"/>
    <s v="TPD"/>
    <s v="2&quot;"/>
    <n v="1"/>
    <m/>
    <m/>
    <m/>
    <m/>
    <m/>
    <m/>
    <m/>
    <m/>
    <m/>
    <m/>
    <m/>
    <m/>
    <m/>
    <m/>
    <m/>
    <m/>
    <m/>
    <m/>
    <m/>
    <m/>
    <m/>
  </r>
  <r>
    <s v="N422"/>
    <s v="TP272"/>
    <n v="31.26"/>
    <x v="1"/>
    <x v="0"/>
    <s v="Galápago"/>
    <s v="2&quot; A 2&quot;"/>
    <n v="1"/>
    <s v="Tapón"/>
    <s v="2&quot;"/>
    <n v="1"/>
    <m/>
    <m/>
    <m/>
    <m/>
    <m/>
    <m/>
    <m/>
    <m/>
    <m/>
    <m/>
    <m/>
    <m/>
    <m/>
    <m/>
    <m/>
    <m/>
    <m/>
    <m/>
  </r>
  <r>
    <s v="N422"/>
    <s v="N423"/>
    <n v="43.16"/>
    <x v="1"/>
    <x v="0"/>
    <m/>
    <m/>
    <m/>
    <m/>
    <m/>
    <m/>
    <m/>
    <m/>
    <m/>
    <m/>
    <m/>
    <m/>
    <m/>
    <m/>
    <m/>
    <m/>
    <m/>
    <m/>
    <m/>
    <m/>
    <m/>
    <m/>
    <m/>
    <m/>
  </r>
  <r>
    <s v="N423"/>
    <s v="TP273"/>
    <n v="28.77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423"/>
    <s v="N424"/>
    <n v="1.66"/>
    <x v="1"/>
    <x v="0"/>
    <s v="TPD"/>
    <s v="2&quot;"/>
    <n v="1"/>
    <m/>
    <m/>
    <m/>
    <m/>
    <m/>
    <m/>
    <m/>
    <m/>
    <m/>
    <m/>
    <m/>
    <m/>
    <m/>
    <m/>
    <m/>
    <m/>
    <m/>
    <m/>
    <m/>
    <m/>
    <m/>
  </r>
  <r>
    <s v="N424"/>
    <s v="N425"/>
    <n v="133.32"/>
    <x v="8"/>
    <x v="1"/>
    <s v="TPL"/>
    <s v="2&quot;"/>
    <n v="1"/>
    <s v="Ampliación"/>
    <s v="4&quot;"/>
    <n v="1"/>
    <m/>
    <m/>
    <m/>
    <m/>
    <m/>
    <m/>
    <m/>
    <m/>
    <m/>
    <m/>
    <m/>
    <m/>
    <m/>
    <m/>
    <m/>
    <m/>
    <m/>
    <m/>
  </r>
  <r>
    <s v="N425"/>
    <s v="TP274"/>
    <n v="46.65"/>
    <x v="6"/>
    <x v="0"/>
    <s v="TPL"/>
    <s v="4&quot;"/>
    <n v="1"/>
    <s v="Reducción"/>
    <s v="1&quot;"/>
    <n v="1"/>
    <s v="Tapón"/>
    <s v="1&quot;"/>
    <n v="1"/>
    <m/>
    <m/>
    <m/>
    <m/>
    <m/>
    <m/>
    <m/>
    <m/>
    <m/>
    <m/>
    <m/>
    <m/>
    <m/>
    <m/>
    <m/>
  </r>
  <r>
    <s v="N425"/>
    <s v="TP275"/>
    <n v="31.51"/>
    <x v="6"/>
    <x v="0"/>
    <s v="TPL"/>
    <s v="4&quot;"/>
    <n v="1"/>
    <s v="Reducción"/>
    <s v="1&quot;"/>
    <n v="1"/>
    <s v="Tapón"/>
    <s v="1&quot;"/>
    <n v="1"/>
    <m/>
    <m/>
    <m/>
    <m/>
    <m/>
    <m/>
    <m/>
    <m/>
    <m/>
    <m/>
    <m/>
    <m/>
    <m/>
    <m/>
    <m/>
  </r>
  <r>
    <s v="N424"/>
    <s v="N426"/>
    <n v="40.869999999999997"/>
    <x v="1"/>
    <x v="0"/>
    <s v="TPD"/>
    <s v="2&quot;"/>
    <n v="1"/>
    <m/>
    <m/>
    <m/>
    <m/>
    <m/>
    <m/>
    <m/>
    <m/>
    <m/>
    <m/>
    <m/>
    <m/>
    <m/>
    <m/>
    <m/>
    <m/>
    <m/>
    <m/>
    <m/>
    <m/>
    <m/>
  </r>
  <r>
    <s v="N426"/>
    <s v="TP276"/>
    <n v="54.42"/>
    <x v="8"/>
    <x v="0"/>
    <s v="TPL"/>
    <s v="2&quot;"/>
    <n v="1"/>
    <s v="Ampliación"/>
    <s v="4&quot;"/>
    <n v="1"/>
    <s v="Tapón"/>
    <s v="4&quot;"/>
    <n v="1"/>
    <m/>
    <m/>
    <m/>
    <m/>
    <m/>
    <m/>
    <m/>
    <m/>
    <m/>
    <m/>
    <m/>
    <m/>
    <m/>
    <m/>
    <m/>
  </r>
  <r>
    <s v="N426"/>
    <s v="TP277"/>
    <n v="788.75"/>
    <x v="1"/>
    <x v="0"/>
    <s v="TPD"/>
    <s v="2&quot;"/>
    <n v="1"/>
    <s v="Codo"/>
    <s v="2&quot;"/>
    <n v="1"/>
    <s v="Tapón"/>
    <s v="2&quot;"/>
    <n v="1"/>
    <m/>
    <m/>
    <m/>
    <m/>
    <m/>
    <m/>
    <m/>
    <m/>
    <m/>
    <m/>
    <m/>
    <m/>
    <m/>
    <m/>
    <m/>
  </r>
  <r>
    <s v="N417"/>
    <s v="N427"/>
    <n v="22.33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N427"/>
    <s v="N428"/>
    <n v="63.54"/>
    <x v="1"/>
    <x v="0"/>
    <s v="TPL"/>
    <s v="3&quot;"/>
    <n v="1"/>
    <s v="Reducción"/>
    <s v="2&quot;"/>
    <n v="1"/>
    <m/>
    <m/>
    <m/>
    <m/>
    <m/>
    <m/>
    <m/>
    <m/>
    <m/>
    <m/>
    <m/>
    <m/>
    <m/>
    <m/>
    <m/>
    <m/>
    <m/>
    <m/>
  </r>
  <r>
    <s v="N428"/>
    <s v="TP278"/>
    <n v="14.03"/>
    <x v="1"/>
    <x v="0"/>
    <s v="TPD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428"/>
    <s v="TP279"/>
    <n v="83.56"/>
    <x v="1"/>
    <x v="0"/>
    <s v="TPL"/>
    <s v="2&quot;"/>
    <n v="1"/>
    <s v="Codo"/>
    <s v="2&quot;"/>
    <n v="1"/>
    <s v="Tapón"/>
    <s v="2&quot;"/>
    <n v="1"/>
    <m/>
    <m/>
    <m/>
    <m/>
    <m/>
    <m/>
    <m/>
    <m/>
    <m/>
    <m/>
    <m/>
    <m/>
    <m/>
    <m/>
    <m/>
  </r>
  <r>
    <s v="N427"/>
    <s v="N429"/>
    <n v="34.729999999999997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429"/>
    <s v="N430"/>
    <n v="54.8"/>
    <x v="1"/>
    <x v="0"/>
    <s v="TPL"/>
    <s v="3&quot;"/>
    <n v="1"/>
    <s v="Reducción"/>
    <s v="2&quot;"/>
    <n v="1"/>
    <m/>
    <m/>
    <m/>
    <m/>
    <m/>
    <m/>
    <m/>
    <m/>
    <m/>
    <m/>
    <m/>
    <m/>
    <m/>
    <m/>
    <m/>
    <m/>
    <m/>
    <m/>
  </r>
  <r>
    <s v="N430"/>
    <s v="TP280"/>
    <n v="32.159999999999997"/>
    <x v="1"/>
    <x v="0"/>
    <s v="TPD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208"/>
    <s v="N431"/>
    <n v="63.49"/>
    <x v="0"/>
    <x v="0"/>
    <s v="TPD"/>
    <s v="3&quot;"/>
    <n v="1"/>
    <s v="Válvula de Corte "/>
    <s v="3&quot;"/>
    <n v="1"/>
    <m/>
    <m/>
    <m/>
    <m/>
    <m/>
    <m/>
    <m/>
    <m/>
    <m/>
    <m/>
    <m/>
    <m/>
    <m/>
    <m/>
    <m/>
    <m/>
    <m/>
    <m/>
  </r>
  <r>
    <s v="N429"/>
    <s v="N431"/>
    <n v="62.43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431"/>
    <s v="N432"/>
    <n v="40.39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430"/>
    <s v="N432"/>
    <n v="76.489999999999995"/>
    <x v="1"/>
    <x v="0"/>
    <s v="TPL"/>
    <s v="2&quot;"/>
    <n v="1"/>
    <m/>
    <m/>
    <m/>
    <m/>
    <m/>
    <m/>
    <m/>
    <m/>
    <m/>
    <m/>
    <m/>
    <m/>
    <m/>
    <m/>
    <m/>
    <m/>
    <m/>
    <m/>
    <m/>
    <m/>
    <m/>
  </r>
  <r>
    <s v="N432"/>
    <s v="TP281"/>
    <n v="21.01"/>
    <x v="0"/>
    <x v="0"/>
    <s v="TPD"/>
    <s v="3&quot;"/>
    <n v="1"/>
    <s v="Tapón"/>
    <s v="3&quot;"/>
    <n v="1"/>
    <m/>
    <m/>
    <m/>
    <m/>
    <m/>
    <m/>
    <m/>
    <m/>
    <m/>
    <m/>
    <m/>
    <m/>
    <m/>
    <m/>
    <m/>
    <m/>
    <m/>
    <m/>
  </r>
  <r>
    <s v="N342"/>
    <s v="N433"/>
    <n v="301.77"/>
    <x v="7"/>
    <x v="0"/>
    <s v="TPL"/>
    <s v="6&quot;"/>
    <n v="1"/>
    <s v="Codo"/>
    <s v="6&quot;"/>
    <n v="3"/>
    <m/>
    <m/>
    <m/>
    <m/>
    <m/>
    <m/>
    <m/>
    <m/>
    <m/>
    <m/>
    <m/>
    <m/>
    <m/>
    <m/>
    <m/>
    <m/>
    <m/>
    <m/>
  </r>
  <r>
    <s v="N433"/>
    <s v="N434"/>
    <n v="7.7"/>
    <x v="1"/>
    <x v="0"/>
    <s v="TPL"/>
    <s v="6&quot;"/>
    <n v="1"/>
    <s v="Reducción"/>
    <s v="2&quot;"/>
    <n v="1"/>
    <m/>
    <m/>
    <m/>
    <m/>
    <m/>
    <m/>
    <m/>
    <m/>
    <m/>
    <m/>
    <m/>
    <m/>
    <m/>
    <m/>
    <m/>
    <m/>
    <m/>
    <m/>
  </r>
  <r>
    <s v="N434"/>
    <s v="N435"/>
    <n v="124.89"/>
    <x v="1"/>
    <x v="0"/>
    <s v="TPL"/>
    <s v="2&quot;"/>
    <n v="1"/>
    <s v="Válvula de Corte "/>
    <s v="2&quot;"/>
    <n v="1"/>
    <s v="Codo"/>
    <s v="2&quot;"/>
    <n v="1"/>
    <m/>
    <m/>
    <m/>
    <m/>
    <m/>
    <m/>
    <m/>
    <m/>
    <m/>
    <m/>
    <m/>
    <m/>
    <m/>
    <m/>
    <m/>
  </r>
  <r>
    <s v="N435"/>
    <s v="TP282"/>
    <n v="22.06"/>
    <x v="6"/>
    <x v="0"/>
    <s v="TPD"/>
    <s v="2&quot;"/>
    <n v="1"/>
    <s v="Reducción"/>
    <s v="1&quot;"/>
    <n v="1"/>
    <s v="Tapón"/>
    <s v="1&quot;"/>
    <n v="1"/>
    <m/>
    <m/>
    <m/>
    <m/>
    <m/>
    <m/>
    <m/>
    <m/>
    <m/>
    <m/>
    <m/>
    <m/>
    <m/>
    <m/>
    <m/>
  </r>
  <r>
    <s v="N435"/>
    <s v="TP283"/>
    <n v="69.19"/>
    <x v="12"/>
    <x v="0"/>
    <s v="TPL"/>
    <s v="2&quot;"/>
    <n v="1"/>
    <s v="Reducción"/>
    <s v="3/4&quot;"/>
    <n v="1"/>
    <s v="Codo"/>
    <s v="3/4&quot;"/>
    <n v="1"/>
    <s v="Tapón"/>
    <s v="3/4&quot;"/>
    <n v="1"/>
    <m/>
    <m/>
    <m/>
    <m/>
    <m/>
    <m/>
    <m/>
    <m/>
    <m/>
    <m/>
    <m/>
    <m/>
  </r>
  <r>
    <s v="N434"/>
    <s v="N436"/>
    <n v="14.16"/>
    <x v="1"/>
    <x v="0"/>
    <s v="TPD"/>
    <s v="2&quot;"/>
    <n v="1"/>
    <m/>
    <m/>
    <m/>
    <m/>
    <m/>
    <m/>
    <m/>
    <m/>
    <m/>
    <m/>
    <m/>
    <m/>
    <m/>
    <m/>
    <m/>
    <m/>
    <m/>
    <m/>
    <m/>
    <m/>
    <m/>
  </r>
  <r>
    <s v="N436"/>
    <s v="N437"/>
    <n v="40.08"/>
    <x v="1"/>
    <x v="4"/>
    <m/>
    <m/>
    <m/>
    <m/>
    <m/>
    <m/>
    <m/>
    <m/>
    <m/>
    <m/>
    <m/>
    <m/>
    <m/>
    <m/>
    <m/>
    <m/>
    <m/>
    <m/>
    <m/>
    <m/>
    <m/>
    <m/>
    <m/>
    <m/>
  </r>
  <r>
    <s v="N437"/>
    <s v="TP284"/>
    <n v="36.86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437"/>
    <s v="N438"/>
    <n v="72.44"/>
    <x v="1"/>
    <x v="4"/>
    <s v="TPD"/>
    <s v="2&quot;"/>
    <n v="1"/>
    <m/>
    <m/>
    <m/>
    <m/>
    <m/>
    <m/>
    <m/>
    <m/>
    <m/>
    <m/>
    <m/>
    <m/>
    <m/>
    <m/>
    <m/>
    <m/>
    <m/>
    <m/>
    <m/>
    <m/>
    <m/>
  </r>
  <r>
    <s v="N438"/>
    <s v="N439"/>
    <n v="20.329999999999998"/>
    <x v="1"/>
    <x v="4"/>
    <s v="TPL"/>
    <s v="2&quot;"/>
    <n v="1"/>
    <m/>
    <m/>
    <m/>
    <m/>
    <m/>
    <m/>
    <m/>
    <m/>
    <m/>
    <m/>
    <m/>
    <m/>
    <m/>
    <m/>
    <m/>
    <m/>
    <m/>
    <m/>
    <m/>
    <m/>
    <m/>
  </r>
  <r>
    <s v="N439"/>
    <s v="TP285"/>
    <n v="29.1"/>
    <x v="1"/>
    <x v="0"/>
    <s v="Tapón"/>
    <s v="2&quot;"/>
    <n v="1"/>
    <m/>
    <m/>
    <m/>
    <m/>
    <m/>
    <m/>
    <m/>
    <m/>
    <m/>
    <m/>
    <m/>
    <m/>
    <m/>
    <m/>
    <m/>
    <m/>
    <m/>
    <m/>
    <m/>
    <m/>
    <m/>
  </r>
  <r>
    <s v="N438"/>
    <s v="TP286"/>
    <n v="57.63"/>
    <x v="1"/>
    <x v="4"/>
    <s v="TPD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433"/>
    <s v="N440"/>
    <n v="24.31"/>
    <x v="7"/>
    <x v="0"/>
    <s v="TPD"/>
    <s v="6&quot;"/>
    <n v="1"/>
    <s v="Válvula de Corte "/>
    <s v="6&quot;"/>
    <n v="2"/>
    <m/>
    <m/>
    <m/>
    <m/>
    <m/>
    <m/>
    <m/>
    <m/>
    <m/>
    <m/>
    <m/>
    <m/>
    <m/>
    <m/>
    <m/>
    <m/>
    <m/>
    <m/>
  </r>
  <r>
    <s v="N440"/>
    <s v="N441"/>
    <n v="80.73"/>
    <x v="7"/>
    <x v="0"/>
    <s v="TPL"/>
    <s v="6&quot;"/>
    <n v="1"/>
    <m/>
    <m/>
    <m/>
    <m/>
    <m/>
    <m/>
    <m/>
    <m/>
    <m/>
    <m/>
    <m/>
    <m/>
    <m/>
    <m/>
    <m/>
    <m/>
    <m/>
    <m/>
    <m/>
    <m/>
    <m/>
  </r>
  <r>
    <s v="N441"/>
    <s v="TP287"/>
    <n v="21.5"/>
    <x v="6"/>
    <x v="0"/>
    <s v="Galápago"/>
    <s v="6&quot; A 1&quot;"/>
    <n v="1"/>
    <s v="Tapón"/>
    <s v="1&quot;"/>
    <n v="1"/>
    <m/>
    <m/>
    <m/>
    <m/>
    <m/>
    <m/>
    <m/>
    <m/>
    <m/>
    <m/>
    <m/>
    <m/>
    <m/>
    <m/>
    <m/>
    <m/>
    <m/>
    <m/>
  </r>
  <r>
    <s v="N441"/>
    <s v="N396"/>
    <n v="64.08"/>
    <x v="7"/>
    <x v="0"/>
    <s v="Codo"/>
    <s v="6&quot;"/>
    <n v="1"/>
    <m/>
    <m/>
    <m/>
    <m/>
    <m/>
    <m/>
    <m/>
    <m/>
    <m/>
    <m/>
    <m/>
    <m/>
    <m/>
    <m/>
    <m/>
    <m/>
    <m/>
    <m/>
    <m/>
    <m/>
    <m/>
  </r>
  <r>
    <s v="N440"/>
    <s v="N442"/>
    <n v="39.39"/>
    <x v="7"/>
    <x v="0"/>
    <s v="TPD"/>
    <s v="6&quot;"/>
    <n v="1"/>
    <m/>
    <m/>
    <m/>
    <m/>
    <m/>
    <m/>
    <m/>
    <m/>
    <m/>
    <m/>
    <m/>
    <m/>
    <m/>
    <m/>
    <m/>
    <m/>
    <m/>
    <m/>
    <m/>
    <m/>
    <m/>
  </r>
  <r>
    <s v="N442"/>
    <s v="TP288"/>
    <n v="29.42"/>
    <x v="6"/>
    <x v="0"/>
    <s v="Galápago"/>
    <s v="6&quot; A 1&quot;"/>
    <n v="1"/>
    <s v="Tapón"/>
    <s v="1&quot;"/>
    <n v="1"/>
    <m/>
    <m/>
    <m/>
    <m/>
    <m/>
    <m/>
    <m/>
    <m/>
    <m/>
    <m/>
    <m/>
    <m/>
    <m/>
    <m/>
    <m/>
    <m/>
    <m/>
    <m/>
  </r>
  <r>
    <s v="N442"/>
    <s v="N443"/>
    <n v="42.15"/>
    <x v="7"/>
    <x v="0"/>
    <m/>
    <m/>
    <m/>
    <m/>
    <m/>
    <m/>
    <m/>
    <m/>
    <m/>
    <m/>
    <m/>
    <m/>
    <m/>
    <m/>
    <m/>
    <m/>
    <m/>
    <m/>
    <m/>
    <m/>
    <m/>
    <m/>
    <m/>
    <m/>
  </r>
  <r>
    <s v="N443"/>
    <s v="TP289"/>
    <n v="122.58"/>
    <x v="0"/>
    <x v="0"/>
    <s v="TPL"/>
    <s v="6&quot;"/>
    <n v="1"/>
    <s v="Reducción"/>
    <s v="3&quot;"/>
    <n v="1"/>
    <s v="Válvula de Corte "/>
    <s v="3&quot;"/>
    <n v="1"/>
    <s v="Tapón"/>
    <s v="3&quot;"/>
    <n v="1"/>
    <m/>
    <m/>
    <m/>
    <m/>
    <m/>
    <m/>
    <m/>
    <m/>
    <m/>
    <m/>
    <m/>
    <m/>
  </r>
  <r>
    <s v="N443"/>
    <s v="N444"/>
    <n v="77.239999999999995"/>
    <x v="7"/>
    <x v="0"/>
    <s v="TPD"/>
    <s v="6&quot;"/>
    <n v="1"/>
    <m/>
    <m/>
    <m/>
    <m/>
    <m/>
    <m/>
    <m/>
    <m/>
    <m/>
    <m/>
    <m/>
    <m/>
    <m/>
    <m/>
    <m/>
    <m/>
    <m/>
    <m/>
    <m/>
    <m/>
    <m/>
  </r>
  <r>
    <s v="N444"/>
    <s v="TP290"/>
    <n v="135.13999999999999"/>
    <x v="8"/>
    <x v="0"/>
    <s v="TPL"/>
    <s v="6&quot;"/>
    <n v="1"/>
    <s v="Reducción"/>
    <s v="4&quot;"/>
    <n v="1"/>
    <s v="Codo"/>
    <s v="4&quot;"/>
    <n v="1"/>
    <s v="Tapón"/>
    <s v="4&quot;"/>
    <n v="1"/>
    <m/>
    <m/>
    <m/>
    <m/>
    <m/>
    <m/>
    <m/>
    <m/>
    <m/>
    <m/>
    <m/>
    <m/>
  </r>
  <r>
    <s v="N444"/>
    <s v="N445"/>
    <n v="81.92"/>
    <x v="7"/>
    <x v="2"/>
    <s v="TPD"/>
    <s v="6&quot;"/>
    <n v="1"/>
    <s v="Válvula de Corte "/>
    <s v="6&quot;"/>
    <n v="1"/>
    <s v="Codo"/>
    <s v="6&quot;"/>
    <n v="2"/>
    <m/>
    <m/>
    <m/>
    <m/>
    <m/>
    <m/>
    <m/>
    <m/>
    <m/>
    <m/>
    <m/>
    <m/>
    <m/>
    <m/>
    <m/>
  </r>
  <r>
    <s v="N445"/>
    <s v="TP291"/>
    <n v="123.27"/>
    <x v="6"/>
    <x v="0"/>
    <s v="Galápago"/>
    <s v="6&quot; A 1&quot;"/>
    <n v="1"/>
    <s v="Tapón"/>
    <s v="1&quot;"/>
    <n v="1"/>
    <m/>
    <m/>
    <m/>
    <m/>
    <m/>
    <m/>
    <m/>
    <m/>
    <m/>
    <m/>
    <m/>
    <m/>
    <m/>
    <m/>
    <m/>
    <m/>
    <m/>
    <m/>
  </r>
  <r>
    <s v="N445"/>
    <s v="N446"/>
    <n v="117.41"/>
    <x v="7"/>
    <x v="2"/>
    <s v="Codo"/>
    <s v="6&quot;"/>
    <n v="5"/>
    <m/>
    <m/>
    <m/>
    <m/>
    <m/>
    <m/>
    <m/>
    <m/>
    <m/>
    <m/>
    <m/>
    <m/>
    <m/>
    <m/>
    <m/>
    <m/>
    <m/>
    <m/>
    <m/>
    <m/>
    <m/>
  </r>
  <r>
    <s v="N446"/>
    <s v="TP292"/>
    <n v="92.49"/>
    <x v="8"/>
    <x v="0"/>
    <s v="Cruz"/>
    <s v="6&quot;"/>
    <n v="1"/>
    <s v="Reducción"/>
    <s v="4&quot;"/>
    <n v="1"/>
    <s v="Codo"/>
    <s v="4&quot;"/>
    <n v="2"/>
    <s v="Tapón"/>
    <s v="4&quot;"/>
    <n v="1"/>
    <m/>
    <m/>
    <m/>
    <m/>
    <m/>
    <m/>
    <m/>
    <m/>
    <m/>
    <m/>
    <m/>
    <m/>
  </r>
  <r>
    <s v="N446"/>
    <s v="N447"/>
    <n v="52.56"/>
    <x v="6"/>
    <x v="0"/>
    <s v="Cruz"/>
    <s v="6&quot;"/>
    <n v="1"/>
    <s v="Reducción"/>
    <s v="1&quot;"/>
    <n v="1"/>
    <s v="Codo"/>
    <s v="1&quot;"/>
    <n v="1"/>
    <m/>
    <m/>
    <m/>
    <m/>
    <m/>
    <m/>
    <m/>
    <m/>
    <m/>
    <m/>
    <m/>
    <m/>
    <m/>
    <m/>
    <m/>
  </r>
  <r>
    <s v="N447"/>
    <s v="TP293"/>
    <n v="35.01"/>
    <x v="6"/>
    <x v="0"/>
    <s v="TPD"/>
    <s v="1&quot;"/>
    <n v="1"/>
    <s v="Tapón"/>
    <s v="1&quot;"/>
    <n v="1"/>
    <m/>
    <m/>
    <m/>
    <m/>
    <m/>
    <m/>
    <m/>
    <m/>
    <m/>
    <m/>
    <m/>
    <m/>
    <m/>
    <m/>
    <m/>
    <m/>
    <m/>
    <m/>
  </r>
  <r>
    <s v="N447"/>
    <s v="TP294"/>
    <n v="53.71"/>
    <x v="6"/>
    <x v="0"/>
    <s v="TPL"/>
    <s v="1&quot;"/>
    <n v="1"/>
    <s v="Codo"/>
    <s v="1&quot;"/>
    <n v="1"/>
    <s v="Tapón"/>
    <s v="1&quot;"/>
    <n v="1"/>
    <m/>
    <m/>
    <m/>
    <m/>
    <m/>
    <m/>
    <m/>
    <m/>
    <m/>
    <m/>
    <m/>
    <m/>
    <m/>
    <m/>
    <m/>
  </r>
  <r>
    <s v="N392"/>
    <s v="N448"/>
    <n v="16.059999999999999"/>
    <x v="1"/>
    <x v="4"/>
    <s v="Cruz"/>
    <s v="3&quot;"/>
    <n v="1"/>
    <s v="Reducción"/>
    <s v="2&quot;"/>
    <n v="1"/>
    <m/>
    <m/>
    <m/>
    <m/>
    <m/>
    <m/>
    <m/>
    <m/>
    <m/>
    <m/>
    <m/>
    <m/>
    <m/>
    <m/>
    <m/>
    <m/>
    <m/>
    <m/>
  </r>
  <r>
    <s v="N448"/>
    <s v="N449"/>
    <n v="294.63"/>
    <x v="1"/>
    <x v="4"/>
    <s v="TPL"/>
    <s v="2&quot;"/>
    <n v="1"/>
    <m/>
    <m/>
    <m/>
    <m/>
    <m/>
    <m/>
    <m/>
    <m/>
    <m/>
    <m/>
    <m/>
    <m/>
    <m/>
    <m/>
    <m/>
    <m/>
    <m/>
    <m/>
    <m/>
    <m/>
    <m/>
  </r>
  <r>
    <s v="N449"/>
    <s v="TP295"/>
    <n v="56.7"/>
    <x v="10"/>
    <x v="4"/>
    <s v="Reducción"/>
    <s v="1/2&quot;"/>
    <n v="1"/>
    <s v="Tapón"/>
    <s v="1/2&quot;"/>
    <n v="1"/>
    <m/>
    <m/>
    <m/>
    <m/>
    <m/>
    <m/>
    <m/>
    <m/>
    <m/>
    <m/>
    <m/>
    <m/>
    <m/>
    <m/>
    <m/>
    <m/>
    <m/>
    <m/>
  </r>
  <r>
    <s v="N448"/>
    <s v="TP296"/>
    <n v="249.69"/>
    <x v="1"/>
    <x v="0"/>
    <s v="TPD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T. PICAPIEDRA"/>
    <s v="N450"/>
    <n v="155.16999999999999"/>
    <x v="7"/>
    <x v="0"/>
    <s v="Codo"/>
    <s v="6&quot;"/>
    <n v="2"/>
    <s v="Ventosas "/>
    <s v="6&quot;"/>
    <n v="1"/>
    <m/>
    <m/>
    <m/>
    <m/>
    <m/>
    <m/>
    <m/>
    <m/>
    <m/>
    <m/>
    <m/>
    <m/>
    <m/>
    <m/>
    <m/>
    <m/>
    <m/>
    <m/>
  </r>
  <r>
    <s v="N450"/>
    <s v="N451"/>
    <n v="9.01"/>
    <x v="12"/>
    <x v="0"/>
    <s v="TPL"/>
    <s v="6&quot;"/>
    <n v="1"/>
    <s v="Reducción"/>
    <s v="3/4&quot;"/>
    <n v="1"/>
    <m/>
    <m/>
    <m/>
    <m/>
    <m/>
    <m/>
    <m/>
    <m/>
    <m/>
    <m/>
    <m/>
    <m/>
    <m/>
    <m/>
    <m/>
    <m/>
    <m/>
    <m/>
  </r>
  <r>
    <s v="N451"/>
    <s v="TP296"/>
    <n v="16.63"/>
    <x v="12"/>
    <x v="0"/>
    <s v="TPL"/>
    <s v="3/4&quot;"/>
    <n v="1"/>
    <s v="Codo"/>
    <s v="3/4&quot;"/>
    <n v="1"/>
    <s v="Tapón"/>
    <s v="3/4&quot;"/>
    <m/>
    <m/>
    <m/>
    <m/>
    <m/>
    <m/>
    <m/>
    <m/>
    <m/>
    <m/>
    <m/>
    <m/>
    <m/>
    <m/>
    <m/>
    <m/>
  </r>
  <r>
    <s v="N451"/>
    <s v="TP297"/>
    <n v="61.65"/>
    <x v="12"/>
    <x v="0"/>
    <s v="TPL"/>
    <s v="3/4&quot;"/>
    <n v="1"/>
    <s v="Tapón"/>
    <s v="3/4&quot;"/>
    <n v="1"/>
    <m/>
    <m/>
    <m/>
    <m/>
    <m/>
    <m/>
    <m/>
    <m/>
    <m/>
    <m/>
    <m/>
    <m/>
    <m/>
    <m/>
    <m/>
    <m/>
    <m/>
    <m/>
  </r>
  <r>
    <s v="N450"/>
    <s v="N452"/>
    <n v="25.65"/>
    <x v="7"/>
    <x v="0"/>
    <s v="TPD"/>
    <s v="6&quot;"/>
    <n v="1"/>
    <m/>
    <m/>
    <m/>
    <m/>
    <m/>
    <m/>
    <m/>
    <m/>
    <m/>
    <m/>
    <m/>
    <m/>
    <m/>
    <m/>
    <m/>
    <m/>
    <m/>
    <m/>
    <m/>
    <m/>
    <m/>
  </r>
  <r>
    <s v="N452"/>
    <s v="TP298"/>
    <n v="10.31"/>
    <x v="7"/>
    <x v="0"/>
    <s v="TPL"/>
    <s v="6&quot;"/>
    <n v="1"/>
    <s v="Tapón"/>
    <s v="6&quot;"/>
    <n v="1"/>
    <m/>
    <m/>
    <m/>
    <m/>
    <m/>
    <m/>
    <m/>
    <m/>
    <m/>
    <m/>
    <m/>
    <m/>
    <m/>
    <m/>
    <m/>
    <m/>
    <m/>
    <m/>
  </r>
  <r>
    <s v="N452"/>
    <s v="N453"/>
    <n v="648.57000000000005"/>
    <x v="7"/>
    <x v="0"/>
    <s v="TPD"/>
    <s v="6&quot;"/>
    <n v="1"/>
    <s v="Ventosas "/>
    <s v="6&quot;"/>
    <n v="3"/>
    <s v="Purgas"/>
    <s v="6&quot;"/>
    <n v="1"/>
    <m/>
    <m/>
    <m/>
    <m/>
    <m/>
    <m/>
    <m/>
    <m/>
    <m/>
    <m/>
    <m/>
    <m/>
    <m/>
    <m/>
    <m/>
  </r>
  <r>
    <s v="N453"/>
    <s v="TP299"/>
    <n v="137.94"/>
    <x v="7"/>
    <x v="0"/>
    <s v="TPL"/>
    <s v="6&quot;"/>
    <n v="1"/>
    <s v="Codo"/>
    <s v="6&quot;"/>
    <n v="4"/>
    <s v="Tapón"/>
    <s v="6&quot;"/>
    <n v="1"/>
    <m/>
    <m/>
    <m/>
    <m/>
    <m/>
    <m/>
    <m/>
    <m/>
    <m/>
    <m/>
    <m/>
    <m/>
    <m/>
    <m/>
    <m/>
  </r>
  <r>
    <s v="N453"/>
    <s v="N454"/>
    <n v="17.97"/>
    <x v="7"/>
    <x v="0"/>
    <s v="TPD"/>
    <s v="6&quot;"/>
    <n v="1"/>
    <m/>
    <m/>
    <m/>
    <m/>
    <m/>
    <m/>
    <m/>
    <m/>
    <m/>
    <m/>
    <m/>
    <m/>
    <m/>
    <m/>
    <m/>
    <m/>
    <m/>
    <m/>
    <m/>
    <m/>
    <m/>
  </r>
  <r>
    <s v="N454"/>
    <s v="TP300"/>
    <n v="45.42"/>
    <x v="0"/>
    <x v="0"/>
    <s v="TPL"/>
    <s v="6&quot;"/>
    <n v="1"/>
    <s v="Reducción"/>
    <s v="3&quot;"/>
    <n v="1"/>
    <s v="Tapón"/>
    <s v="3&quot;"/>
    <n v="1"/>
    <m/>
    <m/>
    <m/>
    <m/>
    <m/>
    <m/>
    <m/>
    <m/>
    <m/>
    <m/>
    <m/>
    <m/>
    <m/>
    <m/>
    <m/>
  </r>
  <r>
    <s v="N454"/>
    <s v="N455"/>
    <n v="16.78"/>
    <x v="7"/>
    <x v="0"/>
    <s v="TPD"/>
    <s v="6&quot;"/>
    <n v="1"/>
    <s v="Purgas"/>
    <s v="6&quot;"/>
    <n v="1"/>
    <m/>
    <m/>
    <m/>
    <m/>
    <m/>
    <m/>
    <m/>
    <m/>
    <m/>
    <m/>
    <m/>
    <m/>
    <m/>
    <m/>
    <m/>
    <m/>
    <m/>
    <m/>
  </r>
  <r>
    <s v="N455"/>
    <s v="TP301"/>
    <n v="55.66"/>
    <x v="6"/>
    <x v="0"/>
    <s v="TPL"/>
    <s v="6&quot;"/>
    <n v="1"/>
    <s v="Reducción"/>
    <s v="1&quot;"/>
    <n v="1"/>
    <s v="Tapón"/>
    <s v="1&quot;"/>
    <n v="1"/>
    <m/>
    <m/>
    <m/>
    <m/>
    <m/>
    <m/>
    <m/>
    <m/>
    <m/>
    <m/>
    <m/>
    <m/>
    <m/>
    <m/>
    <m/>
  </r>
  <r>
    <s v="N455"/>
    <s v="N456"/>
    <n v="122.32"/>
    <x v="7"/>
    <x v="0"/>
    <s v="TPD"/>
    <s v="6&quot;"/>
    <n v="1"/>
    <m/>
    <m/>
    <m/>
    <m/>
    <m/>
    <m/>
    <m/>
    <m/>
    <m/>
    <m/>
    <m/>
    <m/>
    <m/>
    <m/>
    <m/>
    <m/>
    <m/>
    <m/>
    <m/>
    <m/>
    <m/>
  </r>
  <r>
    <s v="N456"/>
    <s v="TP302"/>
    <n v="20.86"/>
    <x v="1"/>
    <x v="0"/>
    <s v="TPL"/>
    <s v="6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456"/>
    <s v="N457"/>
    <n v="424.61"/>
    <x v="7"/>
    <x v="0"/>
    <s v="TPD"/>
    <s v="6&quot;"/>
    <n v="1"/>
    <s v="Purgas"/>
    <s v="6&quot;"/>
    <n v="1"/>
    <s v="Ventosas "/>
    <s v="6&quot;"/>
    <n v="1"/>
    <m/>
    <m/>
    <m/>
    <m/>
    <m/>
    <m/>
    <m/>
    <m/>
    <m/>
    <m/>
    <m/>
    <m/>
    <m/>
    <m/>
    <m/>
  </r>
  <r>
    <s v="N457"/>
    <s v="TP303"/>
    <n v="50.15"/>
    <x v="1"/>
    <x v="0"/>
    <s v="TPL"/>
    <s v="6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457"/>
    <s v="N458"/>
    <n v="223.17"/>
    <x v="7"/>
    <x v="0"/>
    <s v="TPD"/>
    <s v="6&quot;"/>
    <n v="1"/>
    <s v="Purgas"/>
    <s v="6&quot;"/>
    <n v="1"/>
    <m/>
    <m/>
    <m/>
    <m/>
    <m/>
    <m/>
    <m/>
    <m/>
    <m/>
    <m/>
    <m/>
    <m/>
    <m/>
    <m/>
    <m/>
    <m/>
    <m/>
    <m/>
  </r>
  <r>
    <s v="N458"/>
    <s v="TP304"/>
    <n v="242.61"/>
    <x v="1"/>
    <x v="0"/>
    <s v="TPL"/>
    <s v="6&quot;"/>
    <n v="1"/>
    <s v="Reducción"/>
    <s v="2&quot;"/>
    <n v="1"/>
    <s v="Válvula de Corte "/>
    <s v="2&quot;"/>
    <n v="1"/>
    <s v="Codo"/>
    <s v="2&quot;"/>
    <n v="1"/>
    <s v="Tapón"/>
    <s v="2&quot;"/>
    <n v="1"/>
    <m/>
    <m/>
    <m/>
    <m/>
    <m/>
    <m/>
    <m/>
    <m/>
    <m/>
  </r>
  <r>
    <s v="N458"/>
    <s v="N459"/>
    <n v="400.18"/>
    <x v="7"/>
    <x v="0"/>
    <s v="TPD"/>
    <s v="6&quot;"/>
    <n v="1"/>
    <m/>
    <m/>
    <m/>
    <m/>
    <m/>
    <m/>
    <m/>
    <m/>
    <m/>
    <m/>
    <m/>
    <m/>
    <m/>
    <m/>
    <m/>
    <m/>
    <m/>
    <m/>
    <m/>
    <m/>
    <m/>
  </r>
  <r>
    <s v="N459"/>
    <s v="CQ6"/>
    <n v="8.44"/>
    <x v="7"/>
    <x v="0"/>
    <s v="TPL"/>
    <s v="6&quot;"/>
    <n v="1"/>
    <m/>
    <m/>
    <m/>
    <m/>
    <m/>
    <m/>
    <m/>
    <m/>
    <m/>
    <m/>
    <m/>
    <m/>
    <m/>
    <m/>
    <m/>
    <m/>
    <m/>
    <m/>
    <m/>
    <m/>
    <m/>
  </r>
  <r>
    <s v="CQ6"/>
    <s v="N460"/>
    <n v="195.08"/>
    <x v="0"/>
    <x v="0"/>
    <s v="Codo"/>
    <s v="3&quot;"/>
    <n v="2"/>
    <m/>
    <m/>
    <m/>
    <m/>
    <m/>
    <m/>
    <m/>
    <m/>
    <m/>
    <m/>
    <m/>
    <m/>
    <m/>
    <m/>
    <m/>
    <m/>
    <m/>
    <m/>
    <m/>
    <m/>
    <m/>
  </r>
  <r>
    <s v="N460"/>
    <s v="N461"/>
    <n v="79.77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N461"/>
    <s v="TP305"/>
    <n v="75.23"/>
    <x v="1"/>
    <x v="0"/>
    <s v="TPL"/>
    <s v="3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461"/>
    <s v="N462"/>
    <n v="18.14"/>
    <x v="0"/>
    <x v="0"/>
    <s v="TPD"/>
    <s v="3&quot;"/>
    <n v="1"/>
    <s v="Codo"/>
    <s v="3&quot;"/>
    <n v="1"/>
    <m/>
    <m/>
    <m/>
    <m/>
    <m/>
    <m/>
    <m/>
    <m/>
    <m/>
    <m/>
    <m/>
    <m/>
    <m/>
    <m/>
    <m/>
    <m/>
    <m/>
    <m/>
  </r>
  <r>
    <s v="N462"/>
    <s v="N463"/>
    <n v="115.78"/>
    <x v="1"/>
    <x v="0"/>
    <s v="TPL"/>
    <s v="3&quot;"/>
    <n v="1"/>
    <s v="Reducción"/>
    <s v="2&quot;"/>
    <n v="1"/>
    <s v="Válvula de Corte "/>
    <s v="2&quot;"/>
    <n v="1"/>
    <s v="Codo"/>
    <s v="2&quot;"/>
    <n v="1"/>
    <m/>
    <m/>
    <m/>
    <m/>
    <m/>
    <m/>
    <m/>
    <m/>
    <m/>
    <m/>
    <m/>
    <m/>
  </r>
  <r>
    <s v="N463"/>
    <s v="TP306"/>
    <n v="49.18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463"/>
    <s v="N464"/>
    <n v="87.68"/>
    <x v="1"/>
    <x v="0"/>
    <s v="TPD"/>
    <s v="2&quot;"/>
    <n v="1"/>
    <m/>
    <m/>
    <m/>
    <m/>
    <m/>
    <m/>
    <m/>
    <m/>
    <m/>
    <m/>
    <m/>
    <m/>
    <m/>
    <m/>
    <m/>
    <m/>
    <m/>
    <m/>
    <m/>
    <m/>
    <m/>
  </r>
  <r>
    <s v="N464"/>
    <s v="TP307"/>
    <n v="57.33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464"/>
    <s v="TP308"/>
    <n v="90.19"/>
    <x v="1"/>
    <x v="0"/>
    <s v="TPL"/>
    <s v="2&quot;"/>
    <n v="1"/>
    <s v="Codo"/>
    <s v="2&quot;"/>
    <n v="2"/>
    <s v="Tapón"/>
    <s v="2&quot;"/>
    <n v="1"/>
    <m/>
    <m/>
    <m/>
    <m/>
    <m/>
    <m/>
    <m/>
    <m/>
    <m/>
    <m/>
    <m/>
    <m/>
    <m/>
    <m/>
    <m/>
  </r>
  <r>
    <s v="N462"/>
    <s v="N465"/>
    <n v="58.43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465"/>
    <s v="N466"/>
    <n v="65.36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466"/>
    <s v="TP309"/>
    <n v="27.72"/>
    <x v="1"/>
    <x v="0"/>
    <s v="TPL"/>
    <s v="3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466"/>
    <s v="N467"/>
    <n v="47.07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467"/>
    <s v="N468"/>
    <n v="187.57"/>
    <x v="11"/>
    <x v="0"/>
    <s v="TPL"/>
    <s v="3&quot;"/>
    <n v="1"/>
    <s v="Reducción"/>
    <s v="2 1/2&quot;"/>
    <n v="2"/>
    <s v="Codo"/>
    <s v="2 1/2&quot;"/>
    <n v="2"/>
    <m/>
    <m/>
    <m/>
    <m/>
    <m/>
    <m/>
    <m/>
    <m/>
    <m/>
    <m/>
    <m/>
    <m/>
    <m/>
    <m/>
    <m/>
  </r>
  <r>
    <s v="N468"/>
    <s v="TP310"/>
    <n v="362.9"/>
    <x v="0"/>
    <x v="0"/>
    <s v="Codo"/>
    <s v="3&quot;"/>
    <n v="1"/>
    <s v="Tapón"/>
    <s v="3&quot;"/>
    <n v="1"/>
    <m/>
    <m/>
    <m/>
    <m/>
    <m/>
    <m/>
    <m/>
    <m/>
    <m/>
    <m/>
    <m/>
    <m/>
    <m/>
    <m/>
    <m/>
    <m/>
    <m/>
    <m/>
  </r>
  <r>
    <s v="N467"/>
    <s v="N469"/>
    <n v="12.33"/>
    <x v="0"/>
    <x v="0"/>
    <s v="TPD"/>
    <s v="3&quot;"/>
    <n v="1"/>
    <s v="Válvula de Corte "/>
    <s v="3&quot;"/>
    <n v="1"/>
    <m/>
    <m/>
    <m/>
    <m/>
    <m/>
    <m/>
    <m/>
    <m/>
    <m/>
    <m/>
    <m/>
    <m/>
    <m/>
    <m/>
    <m/>
    <m/>
    <m/>
    <m/>
  </r>
  <r>
    <s v="N469"/>
    <s v="TP311"/>
    <n v="54.23"/>
    <x v="6"/>
    <x v="0"/>
    <s v="Galápago"/>
    <s v="3&quot; A 1&quot;"/>
    <n v="1"/>
    <s v="Tapón"/>
    <s v="1&quot;"/>
    <n v="1"/>
    <m/>
    <m/>
    <m/>
    <m/>
    <m/>
    <m/>
    <m/>
    <m/>
    <m/>
    <m/>
    <m/>
    <m/>
    <m/>
    <m/>
    <m/>
    <m/>
    <m/>
    <m/>
  </r>
  <r>
    <s v="N469"/>
    <s v="N470"/>
    <n v="52.14"/>
    <x v="0"/>
    <x v="0"/>
    <s v="Codo"/>
    <s v="3&quot;"/>
    <n v="1"/>
    <m/>
    <m/>
    <m/>
    <m/>
    <m/>
    <m/>
    <m/>
    <m/>
    <m/>
    <m/>
    <m/>
    <m/>
    <m/>
    <m/>
    <m/>
    <m/>
    <m/>
    <m/>
    <m/>
    <m/>
    <m/>
  </r>
  <r>
    <s v="N470"/>
    <s v="N471"/>
    <n v="167.43"/>
    <x v="0"/>
    <x v="2"/>
    <s v="Válvula de Corte "/>
    <s v="3&quot;"/>
    <n v="1"/>
    <s v="Reducción"/>
    <s v="3&quot;"/>
    <n v="1"/>
    <m/>
    <m/>
    <m/>
    <m/>
    <m/>
    <m/>
    <m/>
    <m/>
    <m/>
    <m/>
    <m/>
    <m/>
    <m/>
    <m/>
    <m/>
    <m/>
    <m/>
    <m/>
  </r>
  <r>
    <s v="N471"/>
    <s v="N472"/>
    <n v="4.4000000000000004"/>
    <x v="7"/>
    <x v="2"/>
    <s v="TPL"/>
    <s v="6&quot;"/>
    <n v="1"/>
    <m/>
    <m/>
    <m/>
    <m/>
    <m/>
    <m/>
    <m/>
    <m/>
    <m/>
    <m/>
    <m/>
    <m/>
    <m/>
    <m/>
    <m/>
    <m/>
    <m/>
    <m/>
    <m/>
    <m/>
    <m/>
  </r>
  <r>
    <s v="N472"/>
    <s v="N473"/>
    <n v="37.479999999999997"/>
    <x v="7"/>
    <x v="2"/>
    <s v="TPD"/>
    <s v="6&quot;"/>
    <n v="1"/>
    <m/>
    <m/>
    <m/>
    <m/>
    <m/>
    <m/>
    <m/>
    <m/>
    <m/>
    <m/>
    <m/>
    <m/>
    <m/>
    <m/>
    <m/>
    <m/>
    <m/>
    <m/>
    <m/>
    <m/>
    <m/>
  </r>
  <r>
    <s v="N473"/>
    <s v="N474"/>
    <n v="18.420000000000002"/>
    <x v="1"/>
    <x v="4"/>
    <s v="TPL"/>
    <s v="6&quot;"/>
    <n v="1"/>
    <s v="Reducción"/>
    <s v="2&quot;"/>
    <n v="1"/>
    <s v="Válvula de Corte "/>
    <s v="2&quot;"/>
    <n v="1"/>
    <m/>
    <m/>
    <m/>
    <m/>
    <m/>
    <m/>
    <m/>
    <m/>
    <m/>
    <m/>
    <m/>
    <m/>
    <m/>
    <m/>
    <m/>
  </r>
  <r>
    <s v="N474"/>
    <s v="N475"/>
    <n v="41.86"/>
    <x v="1"/>
    <x v="0"/>
    <m/>
    <m/>
    <m/>
    <m/>
    <m/>
    <m/>
    <m/>
    <m/>
    <m/>
    <m/>
    <m/>
    <m/>
    <m/>
    <m/>
    <m/>
    <m/>
    <m/>
    <m/>
    <m/>
    <m/>
    <m/>
    <m/>
    <m/>
    <m/>
  </r>
  <r>
    <s v="N475"/>
    <s v="TP312"/>
    <n v="97.83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475"/>
    <s v="N476"/>
    <n v="99.31"/>
    <x v="1"/>
    <x v="0"/>
    <s v="TPD"/>
    <s v="2&quot;"/>
    <n v="1"/>
    <m/>
    <m/>
    <m/>
    <m/>
    <m/>
    <m/>
    <m/>
    <m/>
    <m/>
    <m/>
    <m/>
    <m/>
    <m/>
    <m/>
    <m/>
    <m/>
    <m/>
    <m/>
    <m/>
    <m/>
    <m/>
  </r>
  <r>
    <s v="N476"/>
    <s v="TP313"/>
    <n v="123.64"/>
    <x v="1"/>
    <x v="0"/>
    <s v="TPL"/>
    <s v="2&quot;"/>
    <n v="1"/>
    <s v="Válvula de Corte "/>
    <s v="2&quot;"/>
    <n v="1"/>
    <s v="Codo"/>
    <s v="2&quot;"/>
    <n v="2"/>
    <s v="Tapón"/>
    <s v="2&quot;"/>
    <n v="1"/>
    <m/>
    <m/>
    <m/>
    <m/>
    <m/>
    <m/>
    <m/>
    <m/>
    <m/>
    <m/>
    <m/>
    <m/>
  </r>
  <r>
    <s v="N476"/>
    <s v="TP314"/>
    <n v="147.08000000000001"/>
    <x v="1"/>
    <x v="0"/>
    <s v="TPD"/>
    <s v="2&quot;"/>
    <n v="1"/>
    <s v="Codo"/>
    <s v="2&quot;"/>
    <n v="1"/>
    <s v="Tapón"/>
    <s v="2&quot;"/>
    <n v="1"/>
    <m/>
    <m/>
    <m/>
    <m/>
    <m/>
    <m/>
    <m/>
    <m/>
    <m/>
    <m/>
    <m/>
    <m/>
    <m/>
    <m/>
    <m/>
  </r>
  <r>
    <s v="N473"/>
    <s v="N477"/>
    <n v="126.51"/>
    <x v="7"/>
    <x v="2"/>
    <s v="TPD"/>
    <s v="6&quot;"/>
    <n v="1"/>
    <m/>
    <m/>
    <m/>
    <m/>
    <m/>
    <m/>
    <m/>
    <m/>
    <m/>
    <m/>
    <m/>
    <m/>
    <m/>
    <m/>
    <m/>
    <m/>
    <m/>
    <m/>
    <m/>
    <m/>
    <m/>
  </r>
  <r>
    <s v="N477"/>
    <s v="N478"/>
    <n v="7.08"/>
    <x v="1"/>
    <x v="2"/>
    <s v="TPL"/>
    <s v="6&quot;"/>
    <n v="1"/>
    <s v="Reducción"/>
    <s v="2&quot;"/>
    <n v="1"/>
    <m/>
    <m/>
    <m/>
    <m/>
    <m/>
    <m/>
    <m/>
    <m/>
    <m/>
    <m/>
    <m/>
    <m/>
    <m/>
    <m/>
    <m/>
    <m/>
    <m/>
    <m/>
  </r>
  <r>
    <s v="N478"/>
    <s v="N479"/>
    <n v="25.3"/>
    <x v="6"/>
    <x v="0"/>
    <s v="Galápago"/>
    <s v="2&quot; A 1&quot;"/>
    <n v="1"/>
    <m/>
    <m/>
    <m/>
    <m/>
    <m/>
    <m/>
    <m/>
    <m/>
    <m/>
    <m/>
    <m/>
    <m/>
    <m/>
    <m/>
    <m/>
    <m/>
    <m/>
    <m/>
    <m/>
    <m/>
    <m/>
  </r>
  <r>
    <s v="N479"/>
    <s v="TP315"/>
    <n v="28.04"/>
    <x v="6"/>
    <x v="0"/>
    <s v="TPL"/>
    <s v="1&quot;"/>
    <n v="1"/>
    <s v="Tapón"/>
    <s v="1&quot;"/>
    <n v="1"/>
    <m/>
    <m/>
    <m/>
    <m/>
    <m/>
    <m/>
    <m/>
    <m/>
    <m/>
    <m/>
    <m/>
    <m/>
    <m/>
    <m/>
    <m/>
    <m/>
    <m/>
    <m/>
  </r>
  <r>
    <s v="N479"/>
    <s v="TP316"/>
    <n v="29.83"/>
    <x v="6"/>
    <x v="0"/>
    <s v="TPD"/>
    <s v="1&quot;"/>
    <n v="1"/>
    <s v="Tapón"/>
    <s v="1&quot;"/>
    <n v="1"/>
    <m/>
    <m/>
    <m/>
    <m/>
    <m/>
    <m/>
    <m/>
    <m/>
    <m/>
    <m/>
    <m/>
    <m/>
    <m/>
    <m/>
    <m/>
    <m/>
    <m/>
    <m/>
  </r>
  <r>
    <s v="N478"/>
    <s v="N480"/>
    <n v="80.44"/>
    <x v="1"/>
    <x v="0"/>
    <m/>
    <m/>
    <m/>
    <m/>
    <m/>
    <m/>
    <m/>
    <m/>
    <m/>
    <m/>
    <m/>
    <m/>
    <m/>
    <m/>
    <m/>
    <m/>
    <m/>
    <m/>
    <m/>
    <m/>
    <m/>
    <m/>
    <m/>
    <m/>
  </r>
  <r>
    <s v="N480"/>
    <s v="TP317"/>
    <n v="47.9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480"/>
    <s v="TP318"/>
    <n v="100.97"/>
    <x v="1"/>
    <x v="0"/>
    <s v="TPD"/>
    <s v="2&quot;"/>
    <n v="1"/>
    <s v="Codo"/>
    <s v="2&quot;"/>
    <n v="1"/>
    <s v="Tapón"/>
    <s v="2&quot;"/>
    <n v="1"/>
    <m/>
    <m/>
    <m/>
    <m/>
    <m/>
    <m/>
    <m/>
    <m/>
    <m/>
    <m/>
    <m/>
    <m/>
    <m/>
    <m/>
    <m/>
  </r>
  <r>
    <s v="N477"/>
    <s v="N481"/>
    <n v="29.78"/>
    <x v="7"/>
    <x v="2"/>
    <s v="TPD"/>
    <s v="6&quot;"/>
    <n v="1"/>
    <m/>
    <m/>
    <m/>
    <m/>
    <m/>
    <m/>
    <m/>
    <m/>
    <m/>
    <m/>
    <m/>
    <m/>
    <m/>
    <m/>
    <m/>
    <m/>
    <m/>
    <m/>
    <m/>
    <m/>
    <m/>
  </r>
  <r>
    <s v="N481"/>
    <s v="N446"/>
    <n v="74.150000000000006"/>
    <x v="7"/>
    <x v="2"/>
    <s v="TPD"/>
    <s v="6&quot;"/>
    <n v="1"/>
    <s v="Codo"/>
    <s v="6&quot;"/>
    <n v="3"/>
    <m/>
    <m/>
    <m/>
    <m/>
    <m/>
    <m/>
    <m/>
    <m/>
    <m/>
    <m/>
    <m/>
    <m/>
    <m/>
    <m/>
    <m/>
    <m/>
    <m/>
    <m/>
  </r>
  <r>
    <s v="N481"/>
    <s v="N482"/>
    <n v="83.9"/>
    <x v="0"/>
    <x v="0"/>
    <s v="TPL"/>
    <s v="6&quot;"/>
    <n v="1"/>
    <s v="Reducción"/>
    <s v="3&quot;"/>
    <n v="1"/>
    <s v="Válvula de Corte "/>
    <s v="3&quot;"/>
    <n v="1"/>
    <m/>
    <m/>
    <m/>
    <m/>
    <m/>
    <m/>
    <m/>
    <m/>
    <m/>
    <m/>
    <m/>
    <m/>
    <m/>
    <m/>
    <m/>
  </r>
  <r>
    <s v="N482"/>
    <s v="N483"/>
    <n v="52.02"/>
    <x v="1"/>
    <x v="0"/>
    <s v="TPL"/>
    <s v="3&quot;"/>
    <n v="1"/>
    <s v="Reducción"/>
    <s v="2&quot;"/>
    <n v="1"/>
    <m/>
    <m/>
    <m/>
    <m/>
    <m/>
    <m/>
    <m/>
    <m/>
    <m/>
    <m/>
    <m/>
    <m/>
    <m/>
    <m/>
    <m/>
    <m/>
    <m/>
    <m/>
  </r>
  <r>
    <s v="N483"/>
    <s v="TP319"/>
    <n v="36.049999999999997"/>
    <x v="1"/>
    <x v="0"/>
    <s v="TPD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483"/>
    <s v="N484"/>
    <n v="43.91"/>
    <x v="1"/>
    <x v="0"/>
    <s v="TPL"/>
    <s v="2&quot;"/>
    <n v="1"/>
    <m/>
    <m/>
    <m/>
    <m/>
    <m/>
    <m/>
    <m/>
    <m/>
    <m/>
    <m/>
    <m/>
    <m/>
    <m/>
    <m/>
    <m/>
    <m/>
    <m/>
    <m/>
    <m/>
    <m/>
    <m/>
  </r>
  <r>
    <s v="N482"/>
    <s v="N485"/>
    <n v="47.24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485"/>
    <s v="N484"/>
    <n v="53.01"/>
    <x v="1"/>
    <x v="0"/>
    <s v="TPD"/>
    <s v="3&quot;"/>
    <n v="1"/>
    <s v="Reducción"/>
    <s v="2&quot;"/>
    <n v="1"/>
    <m/>
    <m/>
    <m/>
    <m/>
    <m/>
    <m/>
    <m/>
    <m/>
    <m/>
    <m/>
    <m/>
    <m/>
    <m/>
    <m/>
    <m/>
    <m/>
    <m/>
    <m/>
  </r>
  <r>
    <s v="N484"/>
    <s v="TP320"/>
    <n v="22.05"/>
    <x v="1"/>
    <x v="0"/>
    <s v="TPD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485"/>
    <s v="TP321"/>
    <n v="118.98"/>
    <x v="0"/>
    <x v="0"/>
    <s v="TPD"/>
    <s v="3&quot;"/>
    <n v="1"/>
    <s v="Codo"/>
    <s v="3&quot;"/>
    <n v="1"/>
    <s v="Tapón"/>
    <s v="3&quot;"/>
    <n v="1"/>
    <m/>
    <m/>
    <m/>
    <m/>
    <m/>
    <m/>
    <m/>
    <m/>
    <m/>
    <m/>
    <m/>
    <m/>
    <m/>
    <m/>
    <m/>
  </r>
  <r>
    <s v="N472"/>
    <s v="N486"/>
    <n v="38.21"/>
    <x v="7"/>
    <x v="0"/>
    <s v="TPL"/>
    <s v="6&quot;"/>
    <n v="1"/>
    <m/>
    <m/>
    <m/>
    <m/>
    <m/>
    <m/>
    <m/>
    <m/>
    <m/>
    <m/>
    <m/>
    <m/>
    <m/>
    <m/>
    <m/>
    <m/>
    <m/>
    <m/>
    <m/>
    <m/>
    <m/>
  </r>
  <r>
    <s v="N486"/>
    <s v="TP322"/>
    <n v="42.8"/>
    <x v="1"/>
    <x v="0"/>
    <s v="Galápago"/>
    <s v="6&quot; A 2&quot;"/>
    <n v="1"/>
    <s v="Tapón"/>
    <s v="2&quot;"/>
    <n v="1"/>
    <m/>
    <m/>
    <m/>
    <m/>
    <m/>
    <m/>
    <m/>
    <m/>
    <m/>
    <m/>
    <m/>
    <m/>
    <m/>
    <m/>
    <m/>
    <m/>
    <m/>
    <m/>
  </r>
  <r>
    <s v="N486"/>
    <s v="N487"/>
    <n v="130.61000000000001"/>
    <x v="7"/>
    <x v="2"/>
    <s v="Válvula de Corte "/>
    <s v="6&quot;"/>
    <n v="1"/>
    <m/>
    <m/>
    <m/>
    <m/>
    <m/>
    <m/>
    <m/>
    <m/>
    <m/>
    <m/>
    <m/>
    <m/>
    <m/>
    <m/>
    <m/>
    <m/>
    <m/>
    <m/>
    <m/>
    <m/>
    <m/>
  </r>
  <r>
    <s v="N471"/>
    <s v="N488"/>
    <n v="18.559999999999999"/>
    <x v="1"/>
    <x v="0"/>
    <s v="TPL"/>
    <s v="6&quot;"/>
    <n v="1"/>
    <s v="Reducción"/>
    <s v="2&quot;"/>
    <n v="1"/>
    <m/>
    <m/>
    <m/>
    <m/>
    <m/>
    <m/>
    <m/>
    <m/>
    <m/>
    <m/>
    <m/>
    <m/>
    <m/>
    <m/>
    <m/>
    <m/>
    <m/>
    <m/>
  </r>
  <r>
    <s v="N488"/>
    <s v="TP323"/>
    <n v="110.43"/>
    <x v="1"/>
    <x v="0"/>
    <s v="TPL"/>
    <s v="2&quot;"/>
    <n v="1"/>
    <s v="Codo"/>
    <s v="2&quot;"/>
    <n v="1"/>
    <s v="Tapón"/>
    <s v="2&quot;"/>
    <n v="1"/>
    <m/>
    <m/>
    <m/>
    <m/>
    <m/>
    <m/>
    <m/>
    <m/>
    <m/>
    <m/>
    <m/>
    <m/>
    <m/>
    <m/>
    <m/>
  </r>
  <r>
    <s v="N488"/>
    <s v="TP324"/>
    <n v="73.650000000000006"/>
    <x v="1"/>
    <x v="0"/>
    <s v="TPD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460"/>
    <s v="N489"/>
    <n v="2.63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489"/>
    <s v="N490"/>
    <n v="69.92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465"/>
    <s v="N490"/>
    <n v="91.35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N489"/>
    <s v="N491"/>
    <n v="46.05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N491"/>
    <s v="N492"/>
    <n v="91.78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N491"/>
    <s v="N493"/>
    <n v="300.26"/>
    <x v="0"/>
    <x v="0"/>
    <s v="TPD"/>
    <s v="3&quot;"/>
    <n v="1"/>
    <s v="Codo"/>
    <s v="3&quot;"/>
    <n v="1"/>
    <m/>
    <m/>
    <m/>
    <m/>
    <m/>
    <m/>
    <m/>
    <m/>
    <m/>
    <m/>
    <m/>
    <m/>
    <m/>
    <m/>
    <m/>
    <m/>
    <m/>
    <m/>
  </r>
  <r>
    <s v="N493"/>
    <s v="TP325"/>
    <n v="58.34"/>
    <x v="1"/>
    <x v="0"/>
    <s v="Reducción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492"/>
    <s v="N494"/>
    <n v="11.63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490"/>
    <s v="N494"/>
    <n v="127.29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N494"/>
    <s v="N495"/>
    <n v="26.09"/>
    <x v="0"/>
    <x v="0"/>
    <s v="TPD"/>
    <s v="3&quot;"/>
    <n v="1"/>
    <s v="Válvula de Corte "/>
    <s v="3&quot;"/>
    <n v="2"/>
    <s v="Codo"/>
    <s v="3&quot;"/>
    <n v="1"/>
    <m/>
    <m/>
    <m/>
    <m/>
    <m/>
    <m/>
    <m/>
    <m/>
    <m/>
    <m/>
    <m/>
    <m/>
    <m/>
    <m/>
    <m/>
  </r>
  <r>
    <s v="N495"/>
    <s v="N496"/>
    <n v="38.450000000000003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496"/>
    <s v="TP326"/>
    <n v="58.88"/>
    <x v="0"/>
    <x v="0"/>
    <s v="TPD"/>
    <s v="3&quot;"/>
    <n v="1"/>
    <s v="Tapón"/>
    <s v="3&quot;"/>
    <n v="1"/>
    <m/>
    <m/>
    <m/>
    <m/>
    <m/>
    <m/>
    <m/>
    <m/>
    <m/>
    <m/>
    <m/>
    <m/>
    <m/>
    <m/>
    <m/>
    <m/>
    <m/>
    <m/>
  </r>
  <r>
    <s v="N496"/>
    <s v="N497"/>
    <n v="137.43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N497"/>
    <s v="TP327"/>
    <n v="70"/>
    <x v="1"/>
    <x v="0"/>
    <s v="Reducción"/>
    <s v="2&quot;"/>
    <n v="1"/>
    <s v="Codo"/>
    <s v="2&quot;"/>
    <n v="1"/>
    <s v="Tapón"/>
    <s v="2&quot;"/>
    <n v="1"/>
    <m/>
    <m/>
    <m/>
    <m/>
    <m/>
    <m/>
    <m/>
    <m/>
    <m/>
    <m/>
    <m/>
    <m/>
    <m/>
    <m/>
    <m/>
  </r>
  <r>
    <s v="N495"/>
    <s v="N498"/>
    <n v="233.2"/>
    <x v="0"/>
    <x v="0"/>
    <s v="TPL"/>
    <s v="3&quot;"/>
    <n v="1"/>
    <s v="Válvula de Corte "/>
    <s v="3&quot;"/>
    <n v="1"/>
    <s v="Codo"/>
    <s v="3&quot;"/>
    <n v="1"/>
    <m/>
    <m/>
    <m/>
    <m/>
    <m/>
    <m/>
    <m/>
    <m/>
    <m/>
    <m/>
    <m/>
    <m/>
    <m/>
    <m/>
    <m/>
  </r>
  <r>
    <s v="N498"/>
    <s v="TP328"/>
    <n v="294.70999999999998"/>
    <x v="1"/>
    <x v="0"/>
    <s v="TPL"/>
    <s v="3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498"/>
    <s v="N499"/>
    <n v="211.48"/>
    <x v="0"/>
    <x v="0"/>
    <s v="TPL"/>
    <s v="3&quot;"/>
    <n v="1"/>
    <s v="Codo"/>
    <s v="3&quot;"/>
    <n v="2"/>
    <s v="Hidrantes de Columna "/>
    <m/>
    <n v="1"/>
    <m/>
    <m/>
    <m/>
    <m/>
    <m/>
    <m/>
    <m/>
    <m/>
    <m/>
    <m/>
    <m/>
    <m/>
    <m/>
    <m/>
    <m/>
  </r>
  <r>
    <s v="N499"/>
    <s v="N500"/>
    <n v="10.5"/>
    <x v="1"/>
    <x v="0"/>
    <s v="TPL"/>
    <s v="3&quot;"/>
    <n v="1"/>
    <s v="Reducción"/>
    <s v="2&quot;"/>
    <n v="1"/>
    <m/>
    <m/>
    <m/>
    <m/>
    <m/>
    <m/>
    <m/>
    <m/>
    <m/>
    <m/>
    <m/>
    <m/>
    <m/>
    <m/>
    <m/>
    <m/>
    <m/>
    <m/>
  </r>
  <r>
    <s v="N500"/>
    <s v=" TP329"/>
    <n v="19.32"/>
    <x v="10"/>
    <x v="0"/>
    <s v="TPL"/>
    <s v="2&quot;"/>
    <n v="1"/>
    <s v="Reducción"/>
    <s v="1/2&quot;"/>
    <n v="1"/>
    <s v="Tapón"/>
    <s v="1/2&quot;"/>
    <n v="1"/>
    <m/>
    <m/>
    <m/>
    <m/>
    <m/>
    <m/>
    <m/>
    <m/>
    <m/>
    <m/>
    <m/>
    <m/>
    <m/>
    <m/>
    <m/>
  </r>
  <r>
    <s v="N500"/>
    <s v="N501"/>
    <n v="35.06"/>
    <x v="1"/>
    <x v="0"/>
    <s v="TPD"/>
    <s v="2&quot;"/>
    <n v="1"/>
    <m/>
    <m/>
    <m/>
    <m/>
    <m/>
    <m/>
    <m/>
    <m/>
    <m/>
    <m/>
    <m/>
    <m/>
    <m/>
    <m/>
    <m/>
    <m/>
    <m/>
    <m/>
    <m/>
    <m/>
    <m/>
  </r>
  <r>
    <s v="N501"/>
    <s v="TP330"/>
    <n v="64.44"/>
    <x v="12"/>
    <x v="0"/>
    <s v="TPL"/>
    <s v="2&quot;"/>
    <n v="1"/>
    <s v="Reducción"/>
    <s v="3/4&quot;"/>
    <n v="1"/>
    <s v="Tapón"/>
    <s v="3/4&quot;"/>
    <n v="1"/>
    <m/>
    <m/>
    <m/>
    <m/>
    <m/>
    <m/>
    <m/>
    <m/>
    <m/>
    <m/>
    <m/>
    <m/>
    <m/>
    <m/>
    <m/>
  </r>
  <r>
    <s v="N501"/>
    <s v="N502"/>
    <n v="51"/>
    <x v="1"/>
    <x v="0"/>
    <s v="TPL"/>
    <s v="2&quot;"/>
    <n v="1"/>
    <m/>
    <m/>
    <m/>
    <m/>
    <m/>
    <m/>
    <m/>
    <m/>
    <m/>
    <m/>
    <m/>
    <m/>
    <m/>
    <m/>
    <m/>
    <m/>
    <m/>
    <m/>
    <m/>
    <m/>
    <m/>
  </r>
  <r>
    <s v="N502"/>
    <s v="TP331"/>
    <n v="93.92"/>
    <x v="12"/>
    <x v="0"/>
    <s v="TPD"/>
    <s v="2&quot;"/>
    <n v="1"/>
    <s v="Reducción"/>
    <s v="3/4&quot;"/>
    <n v="1"/>
    <s v="Tapón"/>
    <s v="3/4&quot;"/>
    <n v="1"/>
    <m/>
    <m/>
    <m/>
    <m/>
    <m/>
    <m/>
    <m/>
    <m/>
    <m/>
    <m/>
    <m/>
    <m/>
    <m/>
    <m/>
    <m/>
  </r>
  <r>
    <s v="N502"/>
    <s v="N503"/>
    <n v="8.24"/>
    <x v="1"/>
    <x v="0"/>
    <s v="TPL"/>
    <s v="2&quot;"/>
    <n v="1"/>
    <m/>
    <m/>
    <m/>
    <m/>
    <m/>
    <m/>
    <m/>
    <m/>
    <m/>
    <m/>
    <m/>
    <m/>
    <m/>
    <m/>
    <m/>
    <m/>
    <m/>
    <m/>
    <m/>
    <m/>
    <m/>
  </r>
  <r>
    <s v="N503"/>
    <s v="TP332"/>
    <n v="29.13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503"/>
    <s v="TP333"/>
    <n v="140.93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499"/>
    <s v="N504"/>
    <n v="12.66"/>
    <x v="10"/>
    <x v="0"/>
    <s v="TPD"/>
    <s v="3&quot;"/>
    <n v="1"/>
    <s v="Reducción"/>
    <s v="1/2&quot;"/>
    <n v="2"/>
    <m/>
    <m/>
    <m/>
    <m/>
    <m/>
    <m/>
    <m/>
    <m/>
    <m/>
    <m/>
    <m/>
    <m/>
    <m/>
    <m/>
    <m/>
    <m/>
    <m/>
    <m/>
  </r>
  <r>
    <s v="N504"/>
    <s v="TP334"/>
    <n v="26.43"/>
    <x v="10"/>
    <x v="0"/>
    <s v="TPD"/>
    <s v="3&quot;"/>
    <n v="1"/>
    <s v="Reducción"/>
    <s v="1/2&quot;"/>
    <n v="1"/>
    <s v="Tapón"/>
    <s v="1/2&quot;"/>
    <n v="1"/>
    <m/>
    <m/>
    <m/>
    <m/>
    <m/>
    <m/>
    <m/>
    <m/>
    <m/>
    <m/>
    <m/>
    <m/>
    <m/>
    <m/>
    <m/>
  </r>
  <r>
    <s v="N504"/>
    <s v="N487"/>
    <n v="50.7"/>
    <x v="0"/>
    <x v="0"/>
    <s v="TPL"/>
    <s v="3&quot;"/>
    <n v="1"/>
    <s v="Reducción"/>
    <s v="3&quot;"/>
    <n v="1"/>
    <m/>
    <m/>
    <m/>
    <m/>
    <m/>
    <m/>
    <m/>
    <m/>
    <m/>
    <m/>
    <m/>
    <m/>
    <m/>
    <m/>
    <m/>
    <m/>
    <m/>
    <m/>
  </r>
  <r>
    <s v="N487"/>
    <s v="N505"/>
    <n v="30.56"/>
    <x v="8"/>
    <x v="0"/>
    <s v="TPD"/>
    <s v="6&quot;"/>
    <n v="1"/>
    <s v="Reducción"/>
    <s v="4&quot;"/>
    <n v="1"/>
    <s v="Codo"/>
    <s v="4&quot;"/>
    <n v="1"/>
    <m/>
    <m/>
    <m/>
    <m/>
    <m/>
    <m/>
    <m/>
    <m/>
    <m/>
    <m/>
    <m/>
    <m/>
    <m/>
    <m/>
    <m/>
  </r>
  <r>
    <s v="N506"/>
    <s v="N506"/>
    <n v="49.62"/>
    <x v="8"/>
    <x v="0"/>
    <s v="TPL"/>
    <s v="4&quot;"/>
    <n v="1"/>
    <s v="Válvula de Corte "/>
    <s v="4&quot;"/>
    <n v="1"/>
    <s v="Codo"/>
    <s v="4&quot;"/>
    <n v="2"/>
    <m/>
    <m/>
    <m/>
    <m/>
    <m/>
    <m/>
    <m/>
    <m/>
    <m/>
    <m/>
    <m/>
    <m/>
    <m/>
    <m/>
    <m/>
  </r>
  <r>
    <s v="N506"/>
    <s v="N507"/>
    <n v="70.19"/>
    <x v="0"/>
    <x v="0"/>
    <s v="TPL"/>
    <s v="4&quot;"/>
    <n v="1"/>
    <s v="Reducción"/>
    <s v="3&quot;"/>
    <n v="1"/>
    <s v="Válvula de Corte "/>
    <s v="3&quot;"/>
    <n v="1"/>
    <m/>
    <m/>
    <m/>
    <m/>
    <m/>
    <m/>
    <m/>
    <m/>
    <m/>
    <m/>
    <m/>
    <m/>
    <m/>
    <m/>
    <m/>
  </r>
  <r>
    <s v="N507"/>
    <s v="TP335"/>
    <n v="7.96"/>
    <x v="1"/>
    <x v="0"/>
    <s v="TPL"/>
    <s v="3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507"/>
    <s v="N508"/>
    <n v="33.4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508"/>
    <s v="N509"/>
    <n v="28.32"/>
    <x v="0"/>
    <x v="0"/>
    <s v="TPD"/>
    <s v="3&quot;"/>
    <n v="1"/>
    <s v="Reducción"/>
    <s v="3&quot;"/>
    <n v="1"/>
    <s v="Válvula de Corte "/>
    <s v="3&quot;"/>
    <n v="1"/>
    <m/>
    <m/>
    <m/>
    <m/>
    <m/>
    <m/>
    <m/>
    <m/>
    <m/>
    <m/>
    <m/>
    <m/>
    <m/>
    <m/>
    <m/>
  </r>
  <r>
    <s v="N509"/>
    <s v="TP336"/>
    <n v="6.68"/>
    <x v="8"/>
    <x v="0"/>
    <s v="TPL"/>
    <s v="4&quot;"/>
    <n v="1"/>
    <s v="Tapón"/>
    <s v="4&quot;"/>
    <n v="1"/>
    <m/>
    <m/>
    <m/>
    <m/>
    <m/>
    <m/>
    <m/>
    <m/>
    <m/>
    <m/>
    <m/>
    <m/>
    <m/>
    <m/>
    <m/>
    <m/>
    <m/>
    <m/>
  </r>
  <r>
    <s v="N509"/>
    <s v="N510"/>
    <n v="95.16"/>
    <x v="8"/>
    <x v="0"/>
    <s v="TPL"/>
    <s v="4&quot;"/>
    <n v="1"/>
    <m/>
    <m/>
    <m/>
    <m/>
    <m/>
    <m/>
    <m/>
    <m/>
    <m/>
    <m/>
    <m/>
    <m/>
    <m/>
    <m/>
    <m/>
    <m/>
    <m/>
    <m/>
    <m/>
    <m/>
    <m/>
  </r>
  <r>
    <s v="N510"/>
    <s v="TP337"/>
    <n v="86.48"/>
    <x v="12"/>
    <x v="0"/>
    <s v="TPL"/>
    <s v="4&quot;"/>
    <n v="1"/>
    <s v="Reducción"/>
    <s v="3/4&quot;"/>
    <n v="1"/>
    <s v="Tapón"/>
    <s v="3/4&quot;"/>
    <n v="1"/>
    <m/>
    <m/>
    <m/>
    <m/>
    <m/>
    <m/>
    <m/>
    <m/>
    <m/>
    <m/>
    <m/>
    <m/>
    <m/>
    <m/>
    <m/>
  </r>
  <r>
    <s v="N510"/>
    <s v="N511"/>
    <n v="35.46"/>
    <x v="8"/>
    <x v="1"/>
    <s v="TPD"/>
    <s v="4&quot;"/>
    <n v="1"/>
    <m/>
    <m/>
    <m/>
    <m/>
    <m/>
    <m/>
    <m/>
    <m/>
    <m/>
    <m/>
    <m/>
    <m/>
    <m/>
    <m/>
    <m/>
    <m/>
    <m/>
    <m/>
    <m/>
    <m/>
    <m/>
  </r>
  <r>
    <s v="N511"/>
    <s v="N512"/>
    <n v="26.72"/>
    <x v="8"/>
    <x v="1"/>
    <s v="TPD"/>
    <s v="4&quot;"/>
    <n v="1"/>
    <m/>
    <m/>
    <m/>
    <m/>
    <m/>
    <m/>
    <m/>
    <m/>
    <m/>
    <m/>
    <m/>
    <m/>
    <m/>
    <m/>
    <m/>
    <m/>
    <m/>
    <m/>
    <m/>
    <m/>
    <m/>
  </r>
  <r>
    <s v="N512"/>
    <s v="N513"/>
    <n v="38.22"/>
    <x v="8"/>
    <x v="0"/>
    <m/>
    <m/>
    <m/>
    <m/>
    <m/>
    <m/>
    <m/>
    <m/>
    <m/>
    <m/>
    <m/>
    <m/>
    <m/>
    <m/>
    <m/>
    <m/>
    <m/>
    <m/>
    <m/>
    <m/>
    <m/>
    <m/>
    <m/>
    <m/>
  </r>
  <r>
    <s v="N513"/>
    <s v="TP338"/>
    <n v="81.400000000000006"/>
    <x v="1"/>
    <x v="0"/>
    <s v="TPL"/>
    <s v="4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513"/>
    <s v="N390"/>
    <n v="56.86"/>
    <x v="8"/>
    <x v="0"/>
    <s v="TPD"/>
    <s v="4&quot;"/>
    <n v="1"/>
    <s v="Hidrantes de Piso"/>
    <m/>
    <m/>
    <m/>
    <m/>
    <m/>
    <m/>
    <m/>
    <m/>
    <m/>
    <m/>
    <m/>
    <m/>
    <m/>
    <m/>
    <m/>
    <m/>
    <m/>
    <m/>
    <m/>
    <m/>
  </r>
  <r>
    <s v="N506"/>
    <s v="N514"/>
    <n v="34.24"/>
    <x v="8"/>
    <x v="0"/>
    <s v="TPD"/>
    <s v="4&quot;"/>
    <n v="1"/>
    <s v="Válvula de Corte "/>
    <s v="4&quot;"/>
    <n v="1"/>
    <m/>
    <m/>
    <m/>
    <m/>
    <m/>
    <m/>
    <m/>
    <m/>
    <m/>
    <m/>
    <m/>
    <m/>
    <m/>
    <m/>
    <m/>
    <m/>
    <m/>
    <m/>
  </r>
  <r>
    <s v="N514"/>
    <s v="TP339"/>
    <n v="78.02"/>
    <x v="1"/>
    <x v="0"/>
    <s v="TPL"/>
    <s v="4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514"/>
    <s v="N515"/>
    <n v="52.77"/>
    <x v="8"/>
    <x v="0"/>
    <s v="TPD"/>
    <s v="4&quot;"/>
    <n v="1"/>
    <m/>
    <m/>
    <m/>
    <m/>
    <m/>
    <m/>
    <m/>
    <m/>
    <m/>
    <m/>
    <m/>
    <m/>
    <m/>
    <m/>
    <m/>
    <m/>
    <m/>
    <m/>
    <m/>
    <m/>
    <m/>
  </r>
  <r>
    <s v="N515"/>
    <s v="TP340"/>
    <n v="73.510000000000005"/>
    <x v="1"/>
    <x v="0"/>
    <s v="TPL"/>
    <s v="4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515"/>
    <s v="N516"/>
    <n v="24.56"/>
    <x v="8"/>
    <x v="0"/>
    <s v="TPD"/>
    <s v="4&quot;"/>
    <n v="1"/>
    <m/>
    <m/>
    <m/>
    <m/>
    <m/>
    <m/>
    <m/>
    <m/>
    <m/>
    <m/>
    <m/>
    <m/>
    <m/>
    <m/>
    <m/>
    <m/>
    <m/>
    <m/>
    <m/>
    <m/>
    <m/>
  </r>
  <r>
    <s v="N516"/>
    <s v="TP341"/>
    <n v="73.66"/>
    <x v="1"/>
    <x v="0"/>
    <s v="TPL"/>
    <s v="4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516"/>
    <s v="N517"/>
    <n v="16.62"/>
    <x v="8"/>
    <x v="0"/>
    <s v="TPD"/>
    <s v="4&quot;"/>
    <n v="1"/>
    <s v="Hidrantes de Columna "/>
    <m/>
    <n v="1"/>
    <m/>
    <m/>
    <m/>
    <m/>
    <m/>
    <m/>
    <m/>
    <m/>
    <m/>
    <m/>
    <m/>
    <m/>
    <m/>
    <m/>
    <m/>
    <m/>
    <m/>
    <m/>
  </r>
  <r>
    <s v="N517"/>
    <s v="N518"/>
    <n v="50.7"/>
    <x v="0"/>
    <x v="0"/>
    <s v="TPL"/>
    <s v="4&quot;"/>
    <n v="1"/>
    <s v="Reducción"/>
    <s v="3&quot;"/>
    <n v="1"/>
    <m/>
    <m/>
    <m/>
    <m/>
    <m/>
    <m/>
    <m/>
    <m/>
    <m/>
    <m/>
    <m/>
    <m/>
    <m/>
    <m/>
    <m/>
    <m/>
    <m/>
    <m/>
  </r>
  <r>
    <s v="N508"/>
    <s v="N518"/>
    <n v="178.8"/>
    <x v="1"/>
    <x v="0"/>
    <s v="TPL"/>
    <s v="3&quot;"/>
    <n v="1"/>
    <s v="Reducción"/>
    <s v="2&quot;"/>
    <n v="2"/>
    <m/>
    <m/>
    <m/>
    <m/>
    <m/>
    <m/>
    <m/>
    <m/>
    <m/>
    <m/>
    <m/>
    <m/>
    <m/>
    <m/>
    <m/>
    <m/>
    <m/>
    <m/>
  </r>
  <r>
    <s v="N518"/>
    <s v="N511"/>
    <n v="88.91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517"/>
    <s v="N519"/>
    <n v="7.37"/>
    <x v="8"/>
    <x v="0"/>
    <s v="TPD"/>
    <s v="4&quot;"/>
    <n v="1"/>
    <m/>
    <m/>
    <m/>
    <m/>
    <m/>
    <m/>
    <m/>
    <m/>
    <m/>
    <m/>
    <m/>
    <m/>
    <m/>
    <m/>
    <m/>
    <m/>
    <m/>
    <m/>
    <m/>
    <m/>
    <m/>
  </r>
  <r>
    <s v="N519"/>
    <s v="TP342"/>
    <n v="139.38999999999999"/>
    <x v="1"/>
    <x v="0"/>
    <s v="TPL"/>
    <s v="4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388"/>
    <s v="N520"/>
    <n v="13.14"/>
    <x v="2"/>
    <x v="0"/>
    <s v="Cruz"/>
    <s v="8&quot;"/>
    <n v="1"/>
    <m/>
    <m/>
    <m/>
    <m/>
    <m/>
    <m/>
    <m/>
    <m/>
    <m/>
    <m/>
    <m/>
    <m/>
    <m/>
    <m/>
    <m/>
    <m/>
    <m/>
    <m/>
    <m/>
    <m/>
    <m/>
  </r>
  <r>
    <s v="N520"/>
    <s v="N521"/>
    <n v="93.84"/>
    <x v="8"/>
    <x v="1"/>
    <s v="Reducción"/>
    <s v="4&quot;"/>
    <n v="1"/>
    <m/>
    <m/>
    <m/>
    <m/>
    <m/>
    <m/>
    <m/>
    <m/>
    <m/>
    <m/>
    <m/>
    <m/>
    <m/>
    <m/>
    <m/>
    <m/>
    <m/>
    <m/>
    <m/>
    <m/>
    <m/>
  </r>
  <r>
    <s v="N521"/>
    <s v="TP343"/>
    <n v="113.35"/>
    <x v="1"/>
    <x v="0"/>
    <s v="TPL"/>
    <s v="4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387"/>
    <s v="N522"/>
    <n v="83.15"/>
    <x v="0"/>
    <x v="0"/>
    <s v="TPL"/>
    <s v="6&quot;"/>
    <n v="1"/>
    <s v="Reducción"/>
    <s v="3&quot;"/>
    <n v="1"/>
    <s v="Válvula de Corte "/>
    <s v="3&quot;"/>
    <n v="1"/>
    <m/>
    <m/>
    <m/>
    <m/>
    <m/>
    <m/>
    <m/>
    <m/>
    <m/>
    <m/>
    <m/>
    <m/>
    <m/>
    <m/>
    <m/>
  </r>
  <r>
    <s v="N522"/>
    <s v="TP344"/>
    <n v="107.94"/>
    <x v="1"/>
    <x v="0"/>
    <s v="TPL"/>
    <s v="3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522"/>
    <s v="N523"/>
    <n v="21.31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383"/>
    <s v="TP345"/>
    <n v="112.94"/>
    <x v="1"/>
    <x v="0"/>
    <s v="TPL"/>
    <s v="3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382"/>
    <s v="N524"/>
    <n v="60.99"/>
    <x v="0"/>
    <x v="1"/>
    <s v="TPD"/>
    <s v="3&quot;"/>
    <n v="1"/>
    <s v="Válvula de Corte "/>
    <s v="3&quot;"/>
    <n v="1"/>
    <m/>
    <m/>
    <m/>
    <m/>
    <m/>
    <m/>
    <m/>
    <m/>
    <m/>
    <m/>
    <m/>
    <m/>
    <m/>
    <m/>
    <m/>
    <m/>
    <m/>
    <m/>
  </r>
  <r>
    <s v="N524"/>
    <s v="N523"/>
    <n v="137.31"/>
    <x v="0"/>
    <x v="1"/>
    <s v="TPD"/>
    <s v="3&quot;"/>
    <n v="1"/>
    <s v="Codo"/>
    <s v="3&quot;"/>
    <n v="1"/>
    <m/>
    <m/>
    <m/>
    <m/>
    <m/>
    <m/>
    <m/>
    <m/>
    <m/>
    <m/>
    <m/>
    <m/>
    <m/>
    <m/>
    <m/>
    <m/>
    <m/>
    <m/>
  </r>
  <r>
    <s v="N523"/>
    <s v="N525"/>
    <n v="12.82"/>
    <x v="0"/>
    <x v="0"/>
    <s v="TPD"/>
    <s v="3&quot;"/>
    <n v="1"/>
    <s v="Válvula de Corte "/>
    <s v="3&quot;"/>
    <n v="1"/>
    <m/>
    <m/>
    <m/>
    <m/>
    <m/>
    <m/>
    <m/>
    <m/>
    <m/>
    <m/>
    <m/>
    <m/>
    <m/>
    <m/>
    <m/>
    <m/>
    <m/>
    <m/>
  </r>
  <r>
    <s v="N519"/>
    <s v="N525"/>
    <n v="156.88"/>
    <x v="0"/>
    <x v="0"/>
    <s v="TPL"/>
    <s v="4&quot;"/>
    <n v="1"/>
    <s v="Reducción"/>
    <s v="3&quot;"/>
    <n v="1"/>
    <m/>
    <m/>
    <m/>
    <m/>
    <m/>
    <m/>
    <m/>
    <m/>
    <m/>
    <m/>
    <m/>
    <m/>
    <m/>
    <m/>
    <m/>
    <m/>
    <m/>
    <m/>
  </r>
  <r>
    <s v="N525"/>
    <s v="N526"/>
    <n v="70.41"/>
    <x v="8"/>
    <x v="0"/>
    <s v="TPD"/>
    <s v="3&quot;"/>
    <n v="1"/>
    <s v="Ampliación"/>
    <s v="4&quot;"/>
    <n v="1"/>
    <s v="Válvula de Corte "/>
    <s v="4&quot;"/>
    <n v="1"/>
    <m/>
    <m/>
    <m/>
    <m/>
    <m/>
    <m/>
    <m/>
    <m/>
    <m/>
    <m/>
    <m/>
    <m/>
    <m/>
    <m/>
    <m/>
  </r>
  <r>
    <s v="N526"/>
    <s v="TP346"/>
    <n v="107.71"/>
    <x v="6"/>
    <x v="0"/>
    <s v="TPL"/>
    <s v="4&quot;"/>
    <n v="1"/>
    <s v="Reducción"/>
    <s v="1&quot;"/>
    <n v="1"/>
    <s v="Tapón"/>
    <s v="1&quot;"/>
    <n v="1"/>
    <m/>
    <m/>
    <m/>
    <m/>
    <m/>
    <m/>
    <m/>
    <m/>
    <m/>
    <m/>
    <m/>
    <m/>
    <m/>
    <m/>
    <m/>
  </r>
  <r>
    <s v="N526"/>
    <s v="TP347"/>
    <n v="14.25"/>
    <x v="8"/>
    <x v="0"/>
    <s v="TPD"/>
    <s v="4&quot;"/>
    <n v="1"/>
    <s v="Tapón"/>
    <s v="4&quot;"/>
    <n v="1"/>
    <m/>
    <m/>
    <m/>
    <m/>
    <m/>
    <m/>
    <m/>
    <m/>
    <m/>
    <m/>
    <m/>
    <m/>
    <m/>
    <m/>
    <m/>
    <m/>
    <m/>
    <m/>
  </r>
  <r>
    <s v="N492"/>
    <s v="N527"/>
    <n v="38.15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N527"/>
    <s v="N528"/>
    <n v="215.8"/>
    <x v="0"/>
    <x v="2"/>
    <m/>
    <m/>
    <m/>
    <m/>
    <m/>
    <m/>
    <m/>
    <m/>
    <m/>
    <m/>
    <m/>
    <m/>
    <m/>
    <m/>
    <m/>
    <m/>
    <m/>
    <m/>
    <m/>
    <m/>
    <m/>
    <m/>
    <m/>
    <m/>
  </r>
  <r>
    <s v="N528"/>
    <s v="N529"/>
    <n v="111.58"/>
    <x v="1"/>
    <x v="0"/>
    <s v="Reducción"/>
    <s v="2&quot;"/>
    <n v="1"/>
    <m/>
    <m/>
    <m/>
    <m/>
    <m/>
    <m/>
    <m/>
    <m/>
    <m/>
    <m/>
    <m/>
    <m/>
    <m/>
    <m/>
    <m/>
    <m/>
    <m/>
    <m/>
    <m/>
    <m/>
    <m/>
  </r>
  <r>
    <s v="N529"/>
    <s v="TP348"/>
    <n v="68"/>
    <x v="1"/>
    <x v="0"/>
    <s v="TPD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529"/>
    <s v="N530"/>
    <n v="210.26"/>
    <x v="1"/>
    <x v="0"/>
    <s v="TPL"/>
    <s v="2&quot;"/>
    <n v="1"/>
    <s v="Codo"/>
    <s v="2&quot;"/>
    <n v="1"/>
    <m/>
    <m/>
    <m/>
    <m/>
    <m/>
    <m/>
    <m/>
    <m/>
    <m/>
    <m/>
    <m/>
    <m/>
    <m/>
    <m/>
    <m/>
    <m/>
    <m/>
    <m/>
  </r>
  <r>
    <s v="N530"/>
    <s v="TP349"/>
    <n v="47.22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530"/>
    <s v="N531"/>
    <n v="178.16"/>
    <x v="1"/>
    <x v="0"/>
    <s v="TPL"/>
    <s v="2&quot;"/>
    <n v="1"/>
    <m/>
    <m/>
    <m/>
    <m/>
    <m/>
    <m/>
    <m/>
    <m/>
    <m/>
    <m/>
    <m/>
    <m/>
    <m/>
    <m/>
    <m/>
    <m/>
    <m/>
    <m/>
    <m/>
    <m/>
    <m/>
  </r>
  <r>
    <s v="N531"/>
    <s v="TP350"/>
    <n v="87.03"/>
    <x v="6"/>
    <x v="0"/>
    <s v="TPL"/>
    <s v="2&quot;"/>
    <n v="1"/>
    <s v="Reducción"/>
    <s v="1&quot;"/>
    <n v="1"/>
    <s v="Tapón"/>
    <s v="1&quot;"/>
    <n v="1"/>
    <m/>
    <m/>
    <m/>
    <m/>
    <m/>
    <m/>
    <m/>
    <m/>
    <m/>
    <m/>
    <m/>
    <m/>
    <m/>
    <m/>
    <m/>
  </r>
  <r>
    <s v="N531"/>
    <s v="N532"/>
    <n v="39.93"/>
    <x v="1"/>
    <x v="0"/>
    <s v="TPD"/>
    <s v="2&quot;"/>
    <n v="1"/>
    <m/>
    <m/>
    <m/>
    <m/>
    <m/>
    <m/>
    <m/>
    <m/>
    <m/>
    <m/>
    <m/>
    <m/>
    <m/>
    <m/>
    <m/>
    <m/>
    <m/>
    <m/>
    <m/>
    <m/>
    <m/>
  </r>
  <r>
    <s v="N532"/>
    <s v="N533"/>
    <n v="56.55"/>
    <x v="1"/>
    <x v="0"/>
    <s v="TPL"/>
    <s v="2&quot;"/>
    <n v="1"/>
    <m/>
    <m/>
    <m/>
    <m/>
    <m/>
    <m/>
    <m/>
    <m/>
    <m/>
    <m/>
    <m/>
    <m/>
    <m/>
    <m/>
    <m/>
    <m/>
    <m/>
    <m/>
    <m/>
    <m/>
    <m/>
  </r>
  <r>
    <s v="N533"/>
    <s v="TP351"/>
    <n v="74.849999999999994"/>
    <x v="1"/>
    <x v="0"/>
    <s v="TPD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533"/>
    <s v="TP352"/>
    <n v="57.68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532"/>
    <s v="N534"/>
    <n v="9.11"/>
    <x v="12"/>
    <x v="0"/>
    <s v="TPL"/>
    <s v="2&quot;"/>
    <n v="1"/>
    <s v="Reducción"/>
    <s v="3/4&quot;"/>
    <n v="2"/>
    <m/>
    <m/>
    <m/>
    <m/>
    <m/>
    <m/>
    <m/>
    <m/>
    <m/>
    <m/>
    <m/>
    <m/>
    <m/>
    <m/>
    <m/>
    <m/>
    <m/>
    <m/>
  </r>
  <r>
    <s v="N534"/>
    <s v="TP353"/>
    <n v="50.51"/>
    <x v="12"/>
    <x v="0"/>
    <s v="TPD"/>
    <s v="2&quot;"/>
    <n v="1"/>
    <s v="Reducción"/>
    <s v="3/4&quot;"/>
    <n v="1"/>
    <s v="Tapón"/>
    <s v="3/4&quot;"/>
    <n v="1"/>
    <m/>
    <m/>
    <m/>
    <m/>
    <m/>
    <m/>
    <m/>
    <m/>
    <m/>
    <m/>
    <m/>
    <m/>
    <m/>
    <m/>
    <m/>
  </r>
  <r>
    <s v="N534"/>
    <s v="N535"/>
    <n v="62.85"/>
    <x v="1"/>
    <x v="0"/>
    <s v="TPL"/>
    <s v="2&quot;"/>
    <n v="1"/>
    <s v="Tapón"/>
    <s v="2&quot;"/>
    <n v="1"/>
    <s v="Válvula de Corte "/>
    <s v="2&quot;"/>
    <n v="1"/>
    <m/>
    <m/>
    <m/>
    <m/>
    <m/>
    <m/>
    <m/>
    <m/>
    <m/>
    <m/>
    <m/>
    <m/>
    <m/>
    <m/>
    <m/>
  </r>
  <r>
    <s v="N535"/>
    <s v="TP354"/>
    <n v="3.8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535"/>
    <s v="N536"/>
    <n v="31.75"/>
    <x v="1"/>
    <x v="0"/>
    <s v="TPL"/>
    <s v="2&quot;"/>
    <n v="1"/>
    <m/>
    <m/>
    <m/>
    <m/>
    <m/>
    <m/>
    <m/>
    <m/>
    <m/>
    <m/>
    <m/>
    <m/>
    <m/>
    <m/>
    <m/>
    <m/>
    <m/>
    <m/>
    <m/>
    <m/>
    <m/>
  </r>
  <r>
    <s v="N536"/>
    <s v="TP355"/>
    <n v="39.049999999999997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536"/>
    <s v="TP356"/>
    <n v="178.58"/>
    <x v="1"/>
    <x v="0"/>
    <s v="TPD"/>
    <s v="2&quot;"/>
    <n v="1"/>
    <s v="Codo"/>
    <s v="2&quot;"/>
    <n v="1"/>
    <s v="Tapón"/>
    <s v="2&quot;"/>
    <n v="1"/>
    <m/>
    <m/>
    <m/>
    <m/>
    <m/>
    <m/>
    <m/>
    <m/>
    <m/>
    <m/>
    <m/>
    <m/>
    <m/>
    <m/>
    <m/>
  </r>
  <r>
    <s v="N505"/>
    <s v="N537"/>
    <n v="16.77"/>
    <x v="8"/>
    <x v="0"/>
    <s v="TPD"/>
    <s v="4&quot;"/>
    <n v="1"/>
    <m/>
    <m/>
    <m/>
    <m/>
    <m/>
    <m/>
    <m/>
    <m/>
    <m/>
    <m/>
    <m/>
    <m/>
    <m/>
    <m/>
    <m/>
    <m/>
    <m/>
    <m/>
    <m/>
    <m/>
    <m/>
  </r>
  <r>
    <s v="N537"/>
    <s v="TP357"/>
    <n v="62.5"/>
    <x v="1"/>
    <x v="0"/>
    <s v="TPL"/>
    <s v="4&quot;"/>
    <n v="1"/>
    <s v="Reducción"/>
    <s v="2&quot;"/>
    <n v="1"/>
    <s v="Válvula de Corte "/>
    <s v="2&quot;"/>
    <n v="1"/>
    <s v="Tapón"/>
    <s v="2&quot;"/>
    <n v="1"/>
    <m/>
    <m/>
    <m/>
    <m/>
    <m/>
    <m/>
    <m/>
    <m/>
    <m/>
    <m/>
    <m/>
    <m/>
  </r>
  <r>
    <s v="N537"/>
    <s v="N538"/>
    <n v="45.63"/>
    <x v="8"/>
    <x v="0"/>
    <s v="TPD"/>
    <s v="4&quot;"/>
    <n v="1"/>
    <m/>
    <m/>
    <m/>
    <m/>
    <m/>
    <m/>
    <m/>
    <m/>
    <m/>
    <m/>
    <m/>
    <m/>
    <m/>
    <m/>
    <m/>
    <m/>
    <m/>
    <m/>
    <m/>
    <m/>
    <m/>
  </r>
  <r>
    <s v="N538"/>
    <s v="TP358"/>
    <n v="41.43"/>
    <x v="1"/>
    <x v="0"/>
    <s v="TPL"/>
    <s v="4&quot;"/>
    <n v="1"/>
    <s v="Reducción"/>
    <s v="2&quot;"/>
    <n v="1"/>
    <s v="Válvula de Corte "/>
    <s v="2&quot;"/>
    <n v="1"/>
    <s v="Tapón"/>
    <s v="2&quot;"/>
    <n v="1"/>
    <m/>
    <m/>
    <m/>
    <m/>
    <m/>
    <m/>
    <m/>
    <m/>
    <m/>
    <m/>
    <m/>
    <m/>
  </r>
  <r>
    <s v="N538"/>
    <s v="N539"/>
    <n v="39.090000000000003"/>
    <x v="8"/>
    <x v="0"/>
    <s v="TPD"/>
    <s v="4&quot;"/>
    <n v="1"/>
    <m/>
    <m/>
    <m/>
    <m/>
    <m/>
    <m/>
    <m/>
    <m/>
    <m/>
    <m/>
    <m/>
    <m/>
    <m/>
    <m/>
    <m/>
    <m/>
    <m/>
    <m/>
    <m/>
    <m/>
    <m/>
  </r>
  <r>
    <s v="N539"/>
    <s v="TP359"/>
    <n v="27.27"/>
    <x v="1"/>
    <x v="0"/>
    <s v="TPL"/>
    <s v="4&quot;"/>
    <n v="1"/>
    <s v="Reducción"/>
    <s v="2&quot;"/>
    <n v="1"/>
    <s v="Válvula de Corte "/>
    <s v="2&quot;"/>
    <n v="1"/>
    <s v="Tapón"/>
    <s v="2&quot;"/>
    <n v="1"/>
    <m/>
    <m/>
    <m/>
    <m/>
    <m/>
    <m/>
    <m/>
    <m/>
    <m/>
    <m/>
    <m/>
    <m/>
  </r>
  <r>
    <s v="N539"/>
    <s v="N540"/>
    <n v="52.56"/>
    <x v="8"/>
    <x v="0"/>
    <s v="TPD"/>
    <s v="4&quot;"/>
    <n v="1"/>
    <m/>
    <m/>
    <m/>
    <m/>
    <m/>
    <m/>
    <m/>
    <m/>
    <m/>
    <m/>
    <m/>
    <m/>
    <m/>
    <m/>
    <m/>
    <m/>
    <m/>
    <m/>
    <m/>
    <m/>
    <m/>
  </r>
  <r>
    <s v="N540"/>
    <s v="N541"/>
    <n v="10.88"/>
    <x v="8"/>
    <x v="1"/>
    <s v="TPL"/>
    <s v="4&quot;"/>
    <n v="1"/>
    <s v="Válvula de Corte "/>
    <s v="4&quot;"/>
    <n v="1"/>
    <m/>
    <m/>
    <m/>
    <m/>
    <m/>
    <m/>
    <m/>
    <m/>
    <m/>
    <m/>
    <m/>
    <m/>
    <m/>
    <m/>
    <m/>
    <m/>
    <m/>
    <m/>
  </r>
  <r>
    <s v="N541"/>
    <s v="N542"/>
    <n v="27.76"/>
    <x v="8"/>
    <x v="0"/>
    <m/>
    <m/>
    <m/>
    <m/>
    <m/>
    <m/>
    <m/>
    <m/>
    <m/>
    <m/>
    <m/>
    <m/>
    <m/>
    <m/>
    <m/>
    <m/>
    <m/>
    <m/>
    <m/>
    <m/>
    <m/>
    <m/>
    <m/>
    <m/>
  </r>
  <r>
    <s v="N542"/>
    <s v="TP360"/>
    <n v="65.819999999999993"/>
    <x v="6"/>
    <x v="0"/>
    <s v="TPL"/>
    <s v="4&quot;"/>
    <n v="1"/>
    <s v="Reducción"/>
    <s v="1&quot;"/>
    <n v="1"/>
    <s v="Tapón"/>
    <s v="1&quot;"/>
    <n v="1"/>
    <m/>
    <m/>
    <m/>
    <m/>
    <m/>
    <m/>
    <m/>
    <m/>
    <m/>
    <m/>
    <m/>
    <m/>
    <m/>
    <m/>
    <m/>
  </r>
  <r>
    <s v="N542"/>
    <s v="TP361"/>
    <n v="8.34"/>
    <x v="8"/>
    <x v="0"/>
    <s v="TPD"/>
    <s v="4&quot;"/>
    <n v="1"/>
    <s v="Tapón"/>
    <s v="4&quot;"/>
    <n v="1"/>
    <m/>
    <m/>
    <m/>
    <m/>
    <m/>
    <m/>
    <m/>
    <m/>
    <m/>
    <m/>
    <m/>
    <m/>
    <m/>
    <m/>
    <m/>
    <m/>
    <m/>
    <m/>
  </r>
  <r>
    <s v="N540"/>
    <s v="N543"/>
    <n v="13.2"/>
    <x v="8"/>
    <x v="0"/>
    <s v="TPD"/>
    <s v="4&quot;"/>
    <n v="1"/>
    <m/>
    <m/>
    <m/>
    <m/>
    <m/>
    <m/>
    <m/>
    <m/>
    <m/>
    <m/>
    <m/>
    <m/>
    <m/>
    <m/>
    <m/>
    <m/>
    <m/>
    <m/>
    <m/>
    <m/>
    <m/>
  </r>
  <r>
    <s v="N543"/>
    <s v="N544"/>
    <n v="67.66"/>
    <x v="0"/>
    <x v="0"/>
    <s v="TPL"/>
    <s v="4&quot;"/>
    <n v="1"/>
    <s v="Reducción"/>
    <s v="3&quot;"/>
    <n v="1"/>
    <s v="Válvula de Corte "/>
    <s v="3&quot;"/>
    <n v="1"/>
    <m/>
    <m/>
    <m/>
    <m/>
    <m/>
    <m/>
    <m/>
    <m/>
    <m/>
    <m/>
    <m/>
    <m/>
    <m/>
    <m/>
    <m/>
  </r>
  <r>
    <s v="N544"/>
    <s v="N545"/>
    <n v="146.61000000000001"/>
    <x v="0"/>
    <x v="0"/>
    <s v="TPL"/>
    <s v="3&quot;"/>
    <n v="1"/>
    <s v="Codo"/>
    <s v="3&quot;"/>
    <n v="1"/>
    <m/>
    <m/>
    <m/>
    <m/>
    <m/>
    <m/>
    <m/>
    <m/>
    <m/>
    <m/>
    <m/>
    <m/>
    <m/>
    <m/>
    <m/>
    <m/>
    <m/>
    <m/>
  </r>
  <r>
    <s v="N544"/>
    <s v="N546"/>
    <n v="78.989999999999995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N545"/>
    <s v="N546"/>
    <n v="103.63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N546"/>
    <s v="N547"/>
    <n v="7.32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N547"/>
    <s v="TP362"/>
    <n v="48.2"/>
    <x v="0"/>
    <x v="0"/>
    <s v="TPD"/>
    <s v="3&quot;"/>
    <n v="1"/>
    <s v="Tapón"/>
    <s v="3&quot;"/>
    <n v="1"/>
    <m/>
    <m/>
    <m/>
    <m/>
    <m/>
    <m/>
    <m/>
    <m/>
    <m/>
    <m/>
    <m/>
    <m/>
    <m/>
    <m/>
    <m/>
    <m/>
    <m/>
    <m/>
  </r>
  <r>
    <s v="N547"/>
    <s v="N548"/>
    <n v="63.29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N548"/>
    <s v="N549"/>
    <n v="53.85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N549"/>
    <s v="TP363"/>
    <n v="46.27"/>
    <x v="0"/>
    <x v="0"/>
    <s v="TPD"/>
    <s v="3&quot;"/>
    <n v="1"/>
    <s v="Tapón"/>
    <s v="3&quot;"/>
    <n v="1"/>
    <m/>
    <m/>
    <m/>
    <m/>
    <m/>
    <m/>
    <m/>
    <m/>
    <m/>
    <m/>
    <m/>
    <m/>
    <m/>
    <m/>
    <m/>
    <m/>
    <m/>
    <m/>
  </r>
  <r>
    <s v="N549"/>
    <s v="N550"/>
    <n v="95.93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N548"/>
    <s v="N551"/>
    <n v="154.6"/>
    <x v="0"/>
    <x v="0"/>
    <s v="TPL"/>
    <s v="3&quot;"/>
    <n v="1"/>
    <s v="Codo"/>
    <s v="3&quot;"/>
    <n v="1"/>
    <m/>
    <m/>
    <m/>
    <m/>
    <m/>
    <m/>
    <m/>
    <m/>
    <m/>
    <m/>
    <m/>
    <m/>
    <m/>
    <m/>
    <m/>
    <m/>
    <m/>
    <m/>
  </r>
  <r>
    <s v="N551"/>
    <s v="TP364"/>
    <n v="27.73"/>
    <x v="10"/>
    <x v="0"/>
    <s v="Galápago"/>
    <s v="3&quot; A 1/2&quot;"/>
    <n v="1"/>
    <s v="Tapón"/>
    <s v="1/2&quot;"/>
    <n v="1"/>
    <m/>
    <m/>
    <m/>
    <m/>
    <m/>
    <m/>
    <m/>
    <m/>
    <m/>
    <m/>
    <m/>
    <m/>
    <m/>
    <m/>
    <m/>
    <m/>
    <m/>
    <m/>
  </r>
  <r>
    <s v="N550"/>
    <s v="N551"/>
    <n v="114.09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545"/>
    <s v="N552"/>
    <n v="86.29"/>
    <x v="0"/>
    <x v="0"/>
    <s v="TPL"/>
    <s v="3&quot;"/>
    <n v="1"/>
    <s v="Codo"/>
    <s v="3&quot;"/>
    <n v="1"/>
    <m/>
    <m/>
    <m/>
    <m/>
    <m/>
    <m/>
    <m/>
    <m/>
    <m/>
    <m/>
    <m/>
    <m/>
    <m/>
    <m/>
    <m/>
    <m/>
    <m/>
    <m/>
  </r>
  <r>
    <s v="N552"/>
    <s v="N553"/>
    <n v="127.58"/>
    <x v="1"/>
    <x v="0"/>
    <s v="Reducción"/>
    <s v="2&quot;"/>
    <n v="1"/>
    <m/>
    <m/>
    <m/>
    <m/>
    <m/>
    <m/>
    <m/>
    <m/>
    <m/>
    <m/>
    <m/>
    <m/>
    <m/>
    <m/>
    <m/>
    <m/>
    <m/>
    <m/>
    <m/>
    <m/>
    <m/>
  </r>
  <r>
    <s v="N553"/>
    <s v="TP365"/>
    <n v="55"/>
    <x v="6"/>
    <x v="0"/>
    <s v="TPL"/>
    <s v="2&quot;"/>
    <n v="1"/>
    <s v="Reducción"/>
    <s v="1&quot;"/>
    <n v="1"/>
    <s v="Tapón"/>
    <s v="1&quot;"/>
    <n v="1"/>
    <m/>
    <m/>
    <m/>
    <m/>
    <m/>
    <m/>
    <m/>
    <m/>
    <m/>
    <m/>
    <m/>
    <m/>
    <m/>
    <m/>
    <m/>
  </r>
  <r>
    <s v="N553"/>
    <s v="N554"/>
    <n v="9"/>
    <x v="1"/>
    <x v="0"/>
    <s v="TPD"/>
    <s v="2&quot;"/>
    <n v="1"/>
    <s v="Codo"/>
    <s v="2&quot;"/>
    <n v="1"/>
    <m/>
    <m/>
    <m/>
    <m/>
    <m/>
    <m/>
    <m/>
    <m/>
    <m/>
    <m/>
    <m/>
    <m/>
    <m/>
    <m/>
    <m/>
    <m/>
    <m/>
    <m/>
  </r>
  <r>
    <s v="N554"/>
    <s v="N550"/>
    <n v="29.78"/>
    <x v="1"/>
    <x v="0"/>
    <s v="TPD"/>
    <s v="2&quot;"/>
    <n v="1"/>
    <s v="Reducción"/>
    <s v="2&quot;"/>
    <n v="1"/>
    <m/>
    <m/>
    <m/>
    <m/>
    <m/>
    <m/>
    <m/>
    <m/>
    <m/>
    <m/>
    <m/>
    <m/>
    <m/>
    <m/>
    <m/>
    <m/>
    <m/>
    <m/>
  </r>
  <r>
    <s v="N554"/>
    <s v="N555"/>
    <n v="117.41"/>
    <x v="1"/>
    <x v="0"/>
    <s v="TPL"/>
    <s v="2&quot;"/>
    <n v="1"/>
    <m/>
    <m/>
    <m/>
    <m/>
    <m/>
    <m/>
    <m/>
    <m/>
    <m/>
    <m/>
    <m/>
    <m/>
    <m/>
    <m/>
    <m/>
    <m/>
    <m/>
    <m/>
    <m/>
    <m/>
    <m/>
  </r>
  <r>
    <s v="N555"/>
    <s v="TP366"/>
    <n v="24.22"/>
    <x v="1"/>
    <x v="0"/>
    <s v="TPD"/>
    <s v="2&quot;"/>
    <n v="1"/>
    <s v="Codo"/>
    <s v="2&quot;"/>
    <n v="1"/>
    <s v="Tapón"/>
    <s v="2&quot;"/>
    <n v="1"/>
    <m/>
    <m/>
    <m/>
    <m/>
    <m/>
    <m/>
    <m/>
    <m/>
    <m/>
    <m/>
    <m/>
    <m/>
    <m/>
    <m/>
    <m/>
  </r>
  <r>
    <s v="N555"/>
    <s v="TP367"/>
    <n v="65.099999999999994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543"/>
    <s v="N556"/>
    <n v="230.69"/>
    <x v="8"/>
    <x v="0"/>
    <s v="TPD"/>
    <s v="4&quot;"/>
    <n v="1"/>
    <s v="Válvula de Corte "/>
    <s v="4&quot;"/>
    <n v="1"/>
    <m/>
    <m/>
    <m/>
    <m/>
    <m/>
    <m/>
    <m/>
    <m/>
    <m/>
    <m/>
    <m/>
    <m/>
    <m/>
    <m/>
    <m/>
    <m/>
    <m/>
    <m/>
  </r>
  <r>
    <s v="N556"/>
    <s v="TP368"/>
    <n v="21.3"/>
    <x v="6"/>
    <x v="0"/>
    <s v="TPL"/>
    <s v="4&quot;"/>
    <n v="1"/>
    <s v="Reducción"/>
    <s v="1&quot;"/>
    <n v="1"/>
    <s v="Tapón"/>
    <s v="1&quot;"/>
    <n v="1"/>
    <m/>
    <m/>
    <m/>
    <m/>
    <m/>
    <m/>
    <m/>
    <m/>
    <m/>
    <m/>
    <m/>
    <m/>
    <m/>
    <m/>
    <m/>
  </r>
  <r>
    <s v="N556"/>
    <s v="N557"/>
    <n v="70.41"/>
    <x v="8"/>
    <x v="0"/>
    <s v="TPL"/>
    <s v="4&quot;"/>
    <n v="1"/>
    <s v="Codo"/>
    <s v="4&quot;"/>
    <n v="1"/>
    <m/>
    <m/>
    <m/>
    <m/>
    <m/>
    <m/>
    <m/>
    <m/>
    <m/>
    <m/>
    <m/>
    <m/>
    <m/>
    <m/>
    <m/>
    <m/>
    <m/>
    <m/>
  </r>
  <r>
    <s v="N557"/>
    <s v="N558"/>
    <n v="9.9"/>
    <x v="0"/>
    <x v="1"/>
    <s v="TPL"/>
    <s v="4&quot;"/>
    <n v="1"/>
    <s v="Reducción"/>
    <s v="3&quot;"/>
    <n v="1"/>
    <s v="Válvula de Corte "/>
    <s v="3&quot;"/>
    <n v="1"/>
    <m/>
    <m/>
    <m/>
    <m/>
    <m/>
    <m/>
    <m/>
    <m/>
    <m/>
    <m/>
    <m/>
    <m/>
    <m/>
    <m/>
    <m/>
  </r>
  <r>
    <s v="N558"/>
    <s v="N559"/>
    <n v="133.34"/>
    <x v="0"/>
    <x v="1"/>
    <s v="TPL"/>
    <s v="3&quot;"/>
    <n v="1"/>
    <m/>
    <m/>
    <m/>
    <m/>
    <m/>
    <m/>
    <m/>
    <m/>
    <m/>
    <m/>
    <m/>
    <m/>
    <m/>
    <m/>
    <m/>
    <m/>
    <m/>
    <m/>
    <m/>
    <m/>
    <m/>
  </r>
  <r>
    <s v="N558"/>
    <s v="N560"/>
    <n v="51.11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560"/>
    <s v="N561"/>
    <n v="21.64"/>
    <x v="1"/>
    <x v="0"/>
    <s v="TPL"/>
    <s v="3&quot;"/>
    <n v="1"/>
    <s v="Reducción"/>
    <s v="2&quot;"/>
    <n v="1"/>
    <m/>
    <m/>
    <m/>
    <m/>
    <m/>
    <m/>
    <m/>
    <m/>
    <m/>
    <m/>
    <m/>
    <m/>
    <m/>
    <m/>
    <m/>
    <m/>
    <m/>
    <m/>
  </r>
  <r>
    <s v="N561"/>
    <s v="TP369"/>
    <n v="21.51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561"/>
    <s v="N562"/>
    <n v="6.58"/>
    <x v="1"/>
    <x v="0"/>
    <s v="TPD"/>
    <s v="2&quot;"/>
    <n v="1"/>
    <m/>
    <m/>
    <m/>
    <m/>
    <m/>
    <m/>
    <m/>
    <m/>
    <m/>
    <m/>
    <m/>
    <m/>
    <m/>
    <m/>
    <m/>
    <m/>
    <m/>
    <m/>
    <m/>
    <m/>
    <m/>
  </r>
  <r>
    <s v="N562"/>
    <s v="TP370"/>
    <n v="41.36"/>
    <x v="6"/>
    <x v="0"/>
    <s v="TPL"/>
    <s v="2&quot;"/>
    <n v="1"/>
    <s v="Reducción"/>
    <s v="1&quot;"/>
    <n v="1"/>
    <s v="Tapón"/>
    <s v="1&quot;"/>
    <n v="1"/>
    <m/>
    <m/>
    <m/>
    <m/>
    <m/>
    <m/>
    <m/>
    <m/>
    <m/>
    <m/>
    <m/>
    <m/>
    <m/>
    <m/>
    <m/>
  </r>
  <r>
    <s v="N562"/>
    <s v="N563"/>
    <n v="15.95"/>
    <x v="1"/>
    <x v="0"/>
    <s v="TPD"/>
    <s v="2&quot;"/>
    <n v="1"/>
    <m/>
    <m/>
    <m/>
    <m/>
    <m/>
    <m/>
    <m/>
    <m/>
    <m/>
    <m/>
    <m/>
    <m/>
    <m/>
    <m/>
    <m/>
    <m/>
    <m/>
    <m/>
    <m/>
    <m/>
    <m/>
  </r>
  <r>
    <s v="N563"/>
    <s v="TP371"/>
    <n v="20.440000000000001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563"/>
    <s v="TP372"/>
    <n v="30"/>
    <x v="1"/>
    <x v="0"/>
    <s v="TPD"/>
    <s v="2&quot;"/>
    <n v="1"/>
    <s v="Codo"/>
    <s v="2&quot;"/>
    <n v="1"/>
    <s v="Tapón"/>
    <s v="2&quot;"/>
    <n v="1"/>
    <m/>
    <m/>
    <m/>
    <m/>
    <m/>
    <m/>
    <m/>
    <m/>
    <m/>
    <m/>
    <m/>
    <m/>
    <m/>
    <m/>
    <m/>
  </r>
  <r>
    <s v="N560"/>
    <s v="N564"/>
    <n v="24.94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524"/>
    <s v="N559"/>
    <n v="42.93"/>
    <x v="0"/>
    <x v="0"/>
    <s v="TPL"/>
    <s v="3&quot;"/>
    <n v="1"/>
    <s v="Hidrantes de Columna "/>
    <m/>
    <n v="1"/>
    <s v="Válvula de Corte "/>
    <s v="3&quot;"/>
    <n v="1"/>
    <m/>
    <m/>
    <m/>
    <m/>
    <m/>
    <m/>
    <m/>
    <m/>
    <m/>
    <m/>
    <m/>
    <m/>
    <m/>
    <m/>
    <m/>
  </r>
  <r>
    <s v="N559"/>
    <s v="N564"/>
    <n v="112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564"/>
    <s v="N381"/>
    <n v="52.39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557"/>
    <s v="N565"/>
    <n v="104.3"/>
    <x v="0"/>
    <x v="0"/>
    <s v="TPD"/>
    <s v="4&quot;"/>
    <n v="1"/>
    <s v="Reducción"/>
    <s v="3&quot;"/>
    <n v="1"/>
    <s v="Válvula de Corte "/>
    <s v="3&quot;"/>
    <n v="1"/>
    <s v="Codo"/>
    <s v="3&quot;"/>
    <n v="1"/>
    <m/>
    <m/>
    <m/>
    <m/>
    <m/>
    <m/>
    <m/>
    <m/>
    <m/>
    <m/>
    <m/>
    <m/>
  </r>
  <r>
    <s v="N565"/>
    <s v="N566"/>
    <n v="35.07"/>
    <x v="0"/>
    <x v="0"/>
    <s v="TPD"/>
    <s v="3&quot;"/>
    <n v="1"/>
    <s v="Hidrantes de Columna "/>
    <m/>
    <n v="1"/>
    <m/>
    <m/>
    <m/>
    <m/>
    <m/>
    <m/>
    <m/>
    <m/>
    <m/>
    <m/>
    <m/>
    <m/>
    <m/>
    <m/>
    <m/>
    <m/>
    <m/>
    <m/>
  </r>
  <r>
    <s v="N565"/>
    <s v="TP438"/>
    <n v="153"/>
    <x v="1"/>
    <x v="0"/>
    <s v="TPL"/>
    <s v="3&quot;"/>
    <n v="1"/>
    <s v="Reducción"/>
    <s v="2&quot;"/>
    <n v="1"/>
    <s v="Válvula de Corte "/>
    <s v="2&quot;"/>
    <n v="1"/>
    <s v="Tapón"/>
    <s v="2&quot;"/>
    <n v="1"/>
    <m/>
    <m/>
    <m/>
    <m/>
    <m/>
    <m/>
    <m/>
    <m/>
    <m/>
    <m/>
    <m/>
    <m/>
  </r>
  <r>
    <s v="N566"/>
    <s v="TP373"/>
    <n v="74.73"/>
    <x v="0"/>
    <x v="0"/>
    <s v="TPD"/>
    <s v="3&quot;"/>
    <n v="1"/>
    <s v="Tapón"/>
    <s v="3&quot;"/>
    <n v="1"/>
    <m/>
    <m/>
    <m/>
    <m/>
    <m/>
    <m/>
    <m/>
    <m/>
    <m/>
    <m/>
    <m/>
    <m/>
    <m/>
    <m/>
    <m/>
    <m/>
    <m/>
    <m/>
  </r>
  <r>
    <s v="N566"/>
    <s v="N567"/>
    <n v="131.99"/>
    <x v="0"/>
    <x v="0"/>
    <s v="TPL"/>
    <s v="3&quot;"/>
    <n v="1"/>
    <s v="Hidrantes de Columna "/>
    <m/>
    <n v="1"/>
    <s v="Válvula de Corte "/>
    <s v="3&quot;"/>
    <n v="1"/>
    <s v="Codo"/>
    <s v="3&quot;"/>
    <n v="1"/>
    <m/>
    <m/>
    <m/>
    <m/>
    <m/>
    <m/>
    <m/>
    <m/>
    <m/>
    <m/>
    <m/>
    <m/>
  </r>
  <r>
    <s v="N567"/>
    <s v="TP374"/>
    <n v="19.2"/>
    <x v="0"/>
    <x v="0"/>
    <s v="TPD"/>
    <s v="3&quot;"/>
    <n v="1"/>
    <s v="Tapón"/>
    <s v="3&quot;"/>
    <n v="1"/>
    <m/>
    <m/>
    <m/>
    <m/>
    <m/>
    <m/>
    <m/>
    <m/>
    <m/>
    <m/>
    <m/>
    <m/>
    <m/>
    <m/>
    <m/>
    <m/>
    <m/>
    <m/>
  </r>
  <r>
    <s v="N567"/>
    <s v="N568"/>
    <n v="19.41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N568"/>
    <s v="N569"/>
    <n v="103.45"/>
    <x v="1"/>
    <x v="0"/>
    <s v="Reducción"/>
    <s v="2&quot;"/>
    <n v="1"/>
    <m/>
    <m/>
    <m/>
    <m/>
    <m/>
    <m/>
    <m/>
    <m/>
    <m/>
    <m/>
    <m/>
    <m/>
    <m/>
    <m/>
    <m/>
    <m/>
    <m/>
    <m/>
    <m/>
    <m/>
    <m/>
  </r>
  <r>
    <s v="N569"/>
    <s v="TP375"/>
    <n v="14.47"/>
    <x v="10"/>
    <x v="0"/>
    <s v="TPL"/>
    <s v="2&quot;"/>
    <n v="1"/>
    <s v="Reducción"/>
    <s v="1/2&quot;"/>
    <n v="1"/>
    <s v="Tapón"/>
    <s v="1/2&quot;"/>
    <n v="1"/>
    <m/>
    <m/>
    <m/>
    <m/>
    <m/>
    <m/>
    <m/>
    <m/>
    <m/>
    <m/>
    <m/>
    <m/>
    <m/>
    <m/>
    <m/>
  </r>
  <r>
    <s v="N569"/>
    <s v="N570"/>
    <n v="91.45"/>
    <x v="1"/>
    <x v="0"/>
    <s v="TPD"/>
    <s v="2&quot;"/>
    <n v="1"/>
    <m/>
    <m/>
    <m/>
    <m/>
    <m/>
    <m/>
    <m/>
    <m/>
    <m/>
    <m/>
    <m/>
    <m/>
    <m/>
    <m/>
    <m/>
    <m/>
    <m/>
    <m/>
    <m/>
    <m/>
    <m/>
  </r>
  <r>
    <s v="N367"/>
    <s v="N570"/>
    <n v="56.68"/>
    <x v="1"/>
    <x v="0"/>
    <s v="TPL"/>
    <s v="2&quot;"/>
    <n v="1"/>
    <s v="Válvula de Corte "/>
    <s v="2&quot;"/>
    <n v="1"/>
    <m/>
    <m/>
    <m/>
    <m/>
    <m/>
    <m/>
    <m/>
    <m/>
    <m/>
    <m/>
    <m/>
    <m/>
    <m/>
    <m/>
    <m/>
    <m/>
    <m/>
    <m/>
  </r>
  <r>
    <s v="N570"/>
    <s v="TP376"/>
    <n v="299.68"/>
    <x v="1"/>
    <x v="0"/>
    <s v="TPL"/>
    <s v="2&quot;"/>
    <n v="1"/>
    <s v="Codo"/>
    <s v="2&quot;"/>
    <n v="1"/>
    <s v="Tapón"/>
    <s v="2&quot;"/>
    <n v="1"/>
    <m/>
    <m/>
    <m/>
    <m/>
    <m/>
    <m/>
    <m/>
    <m/>
    <m/>
    <m/>
    <m/>
    <m/>
    <m/>
    <m/>
    <m/>
  </r>
  <r>
    <s v="N459"/>
    <s v="N571"/>
    <n v="99.48"/>
    <x v="7"/>
    <x v="0"/>
    <s v="TPD"/>
    <s v="6&quot;"/>
    <n v="1"/>
    <m/>
    <m/>
    <m/>
    <m/>
    <m/>
    <m/>
    <m/>
    <m/>
    <m/>
    <m/>
    <m/>
    <m/>
    <m/>
    <m/>
    <m/>
    <m/>
    <m/>
    <m/>
    <m/>
    <m/>
    <m/>
  </r>
  <r>
    <s v="N571"/>
    <s v="N572"/>
    <n v="347.76"/>
    <x v="2"/>
    <x v="0"/>
    <s v="Ampliación"/>
    <s v="8&quot;"/>
    <n v="1"/>
    <m/>
    <m/>
    <m/>
    <m/>
    <m/>
    <m/>
    <m/>
    <m/>
    <m/>
    <m/>
    <m/>
    <m/>
    <m/>
    <m/>
    <m/>
    <m/>
    <m/>
    <m/>
    <m/>
    <m/>
    <m/>
  </r>
  <r>
    <s v="N572"/>
    <s v="CQ7"/>
    <n v="13.75"/>
    <x v="2"/>
    <x v="0"/>
    <s v="TPL"/>
    <s v="8&quot;"/>
    <n v="1"/>
    <m/>
    <m/>
    <m/>
    <m/>
    <m/>
    <m/>
    <m/>
    <m/>
    <m/>
    <m/>
    <m/>
    <m/>
    <m/>
    <m/>
    <m/>
    <m/>
    <m/>
    <m/>
    <m/>
    <m/>
    <m/>
  </r>
  <r>
    <s v="CQ7"/>
    <s v="N573"/>
    <n v="57.78"/>
    <x v="0"/>
    <x v="0"/>
    <m/>
    <m/>
    <m/>
    <m/>
    <m/>
    <m/>
    <m/>
    <m/>
    <m/>
    <m/>
    <m/>
    <m/>
    <m/>
    <m/>
    <m/>
    <m/>
    <m/>
    <m/>
    <m/>
    <m/>
    <m/>
    <m/>
    <m/>
    <m/>
  </r>
  <r>
    <s v="N573"/>
    <s v="N574"/>
    <n v="89.53"/>
    <x v="1"/>
    <x v="0"/>
    <s v="TPL"/>
    <s v="3&quot;"/>
    <n v="1"/>
    <s v="Reducción"/>
    <s v="2&quot;"/>
    <n v="1"/>
    <m/>
    <m/>
    <m/>
    <m/>
    <m/>
    <m/>
    <m/>
    <m/>
    <m/>
    <m/>
    <m/>
    <m/>
    <m/>
    <m/>
    <m/>
    <m/>
    <m/>
    <m/>
  </r>
  <r>
    <s v="N574"/>
    <s v="N575"/>
    <n v="275.89"/>
    <x v="0"/>
    <x v="0"/>
    <s v="Ampliación"/>
    <s v="3&quot;"/>
    <n v="1"/>
    <m/>
    <m/>
    <m/>
    <m/>
    <m/>
    <m/>
    <m/>
    <m/>
    <m/>
    <m/>
    <m/>
    <m/>
    <m/>
    <m/>
    <m/>
    <m/>
    <m/>
    <m/>
    <m/>
    <m/>
    <m/>
  </r>
  <r>
    <s v="N575"/>
    <s v="TP377"/>
    <n v="120.42"/>
    <x v="1"/>
    <x v="0"/>
    <s v="Reducción"/>
    <s v="2&quot;"/>
    <n v="1"/>
    <s v="Codo"/>
    <s v="2&quot;"/>
    <n v="1"/>
    <s v="Tapón"/>
    <s v="2&quot;"/>
    <n v="1"/>
    <m/>
    <m/>
    <m/>
    <m/>
    <m/>
    <m/>
    <m/>
    <m/>
    <m/>
    <m/>
    <m/>
    <m/>
    <m/>
    <m/>
    <m/>
  </r>
  <r>
    <s v="N573"/>
    <s v="N576"/>
    <n v="319.64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N576"/>
    <s v="TP378"/>
    <n v="128.91999999999999"/>
    <x v="1"/>
    <x v="0"/>
    <s v="TPL"/>
    <s v="3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576"/>
    <s v="TP379"/>
    <n v="123.79"/>
    <x v="1"/>
    <x v="0"/>
    <s v="TPD"/>
    <s v="3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572"/>
    <s v="N577"/>
    <n v="141.53"/>
    <x v="2"/>
    <x v="0"/>
    <s v="TPD"/>
    <s v="8&quot;"/>
    <n v="1"/>
    <m/>
    <m/>
    <m/>
    <m/>
    <m/>
    <m/>
    <m/>
    <m/>
    <m/>
    <m/>
    <m/>
    <m/>
    <m/>
    <m/>
    <m/>
    <m/>
    <m/>
    <m/>
    <m/>
    <m/>
    <m/>
  </r>
  <r>
    <s v="N577"/>
    <s v="N578"/>
    <n v="19.21"/>
    <x v="2"/>
    <x v="0"/>
    <s v="TPL"/>
    <s v="8&quot;"/>
    <n v="1"/>
    <s v="Válvula de Corte "/>
    <s v="8&quot;"/>
    <n v="1"/>
    <m/>
    <m/>
    <m/>
    <m/>
    <m/>
    <m/>
    <m/>
    <m/>
    <m/>
    <m/>
    <m/>
    <m/>
    <m/>
    <m/>
    <m/>
    <m/>
    <m/>
    <m/>
  </r>
  <r>
    <s v="N578"/>
    <s v="N579"/>
    <n v="60.73"/>
    <x v="0"/>
    <x v="0"/>
    <s v="Reducción"/>
    <s v="3&quot;"/>
    <n v="1"/>
    <s v="Hidrantes de Columna "/>
    <m/>
    <n v="1"/>
    <m/>
    <m/>
    <m/>
    <m/>
    <m/>
    <m/>
    <m/>
    <m/>
    <m/>
    <m/>
    <m/>
    <m/>
    <m/>
    <m/>
    <m/>
    <m/>
    <m/>
    <m/>
  </r>
  <r>
    <s v="N579"/>
    <s v="N580"/>
    <n v="46.55"/>
    <x v="1"/>
    <x v="0"/>
    <s v="Reducción"/>
    <s v="2&quot;"/>
    <n v="1"/>
    <m/>
    <m/>
    <m/>
    <m/>
    <m/>
    <m/>
    <m/>
    <m/>
    <m/>
    <m/>
    <m/>
    <m/>
    <m/>
    <m/>
    <m/>
    <m/>
    <m/>
    <m/>
    <m/>
    <m/>
    <m/>
  </r>
  <r>
    <s v="N580"/>
    <s v="TP380"/>
    <n v="76.180000000000007"/>
    <x v="1"/>
    <x v="0"/>
    <s v="TPL"/>
    <s v="2&quot;"/>
    <n v="1"/>
    <s v="Codo"/>
    <s v="2&quot;"/>
    <n v="1"/>
    <s v="Tapón"/>
    <s v="2&quot;"/>
    <n v="1"/>
    <m/>
    <m/>
    <m/>
    <m/>
    <m/>
    <m/>
    <m/>
    <m/>
    <m/>
    <m/>
    <m/>
    <m/>
    <m/>
    <m/>
    <m/>
  </r>
  <r>
    <s v="N580"/>
    <s v="TP381"/>
    <n v="126.55"/>
    <x v="1"/>
    <x v="0"/>
    <s v="TPD"/>
    <s v="2&quot;"/>
    <n v="1"/>
    <s v="Codo"/>
    <s v="2&quot;"/>
    <n v="2"/>
    <s v="Tapón"/>
    <s v="2&quot;"/>
    <n v="1"/>
    <m/>
    <m/>
    <m/>
    <m/>
    <m/>
    <m/>
    <m/>
    <m/>
    <m/>
    <m/>
    <m/>
    <m/>
    <m/>
    <m/>
    <m/>
  </r>
  <r>
    <s v="N577"/>
    <s v="N581"/>
    <n v="142.82"/>
    <x v="2"/>
    <x v="0"/>
    <s v="TPD"/>
    <s v="8&quot;"/>
    <n v="1"/>
    <m/>
    <m/>
    <m/>
    <m/>
    <m/>
    <m/>
    <m/>
    <m/>
    <m/>
    <m/>
    <m/>
    <m/>
    <m/>
    <m/>
    <m/>
    <m/>
    <m/>
    <m/>
    <m/>
    <m/>
    <m/>
  </r>
  <r>
    <s v="N581"/>
    <s v="N582"/>
    <n v="100.23"/>
    <x v="7"/>
    <x v="0"/>
    <s v="Reducción"/>
    <s v="6&quot;"/>
    <n v="1"/>
    <m/>
    <m/>
    <m/>
    <m/>
    <m/>
    <m/>
    <m/>
    <m/>
    <m/>
    <m/>
    <m/>
    <m/>
    <m/>
    <m/>
    <m/>
    <m/>
    <m/>
    <m/>
    <m/>
    <m/>
    <m/>
  </r>
  <r>
    <s v="N582"/>
    <s v="N583"/>
    <n v="21.28"/>
    <x v="7"/>
    <x v="0"/>
    <s v="TPL"/>
    <s v="6&quot;"/>
    <n v="1"/>
    <s v="Válvula de Corte "/>
    <s v="6&quot;"/>
    <n v="1"/>
    <m/>
    <m/>
    <m/>
    <m/>
    <m/>
    <m/>
    <m/>
    <m/>
    <m/>
    <m/>
    <m/>
    <m/>
    <m/>
    <m/>
    <m/>
    <m/>
    <m/>
    <m/>
  </r>
  <r>
    <s v="N583"/>
    <s v="N584"/>
    <n v="40.6"/>
    <x v="8"/>
    <x v="0"/>
    <s v="Reducción"/>
    <s v="4&quot;"/>
    <n v="1"/>
    <m/>
    <m/>
    <m/>
    <m/>
    <m/>
    <m/>
    <m/>
    <m/>
    <m/>
    <m/>
    <m/>
    <m/>
    <m/>
    <m/>
    <m/>
    <m/>
    <m/>
    <m/>
    <m/>
    <m/>
    <m/>
  </r>
  <r>
    <s v="N584"/>
    <s v="TP382"/>
    <n v="128.65"/>
    <x v="1"/>
    <x v="0"/>
    <s v="TPL"/>
    <s v="4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584"/>
    <s v="N585"/>
    <n v="163.07"/>
    <x v="8"/>
    <x v="0"/>
    <s v="TPD"/>
    <s v="4&quot;"/>
    <n v="1"/>
    <m/>
    <m/>
    <m/>
    <m/>
    <m/>
    <m/>
    <m/>
    <m/>
    <m/>
    <m/>
    <m/>
    <m/>
    <m/>
    <m/>
    <m/>
    <m/>
    <m/>
    <m/>
    <m/>
    <m/>
    <m/>
  </r>
  <r>
    <s v="N585"/>
    <s v="CQ8"/>
    <n v="54.39"/>
    <x v="8"/>
    <x v="0"/>
    <s v="TPL"/>
    <s v="4&quot;"/>
    <n v="1"/>
    <s v="Codo"/>
    <s v="4&quot;"/>
    <n v="1"/>
    <m/>
    <m/>
    <m/>
    <m/>
    <m/>
    <m/>
    <m/>
    <m/>
    <m/>
    <m/>
    <m/>
    <m/>
    <m/>
    <m/>
    <m/>
    <m/>
    <m/>
    <m/>
  </r>
  <r>
    <s v="CQ8"/>
    <s v="N586"/>
    <n v="66.83"/>
    <x v="0"/>
    <x v="0"/>
    <s v="Codo"/>
    <s v="3&quot;"/>
    <n v="1"/>
    <m/>
    <m/>
    <m/>
    <m/>
    <m/>
    <m/>
    <m/>
    <m/>
    <m/>
    <m/>
    <m/>
    <m/>
    <m/>
    <m/>
    <m/>
    <m/>
    <m/>
    <m/>
    <m/>
    <m/>
    <m/>
  </r>
  <r>
    <s v="N586"/>
    <s v="N587"/>
    <n v="128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N587"/>
    <s v="TP383"/>
    <n v="139.08000000000001"/>
    <x v="1"/>
    <x v="0"/>
    <s v="TPL"/>
    <s v="3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587"/>
    <s v="N588"/>
    <n v="98.28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588"/>
    <s v="TP384"/>
    <n v="56.54"/>
    <x v="0"/>
    <x v="0"/>
    <s v="TPD"/>
    <s v="3&quot;"/>
    <n v="1"/>
    <s v="Tapón"/>
    <s v="3&quot;"/>
    <n v="1"/>
    <m/>
    <m/>
    <m/>
    <m/>
    <m/>
    <m/>
    <m/>
    <m/>
    <m/>
    <m/>
    <m/>
    <m/>
    <m/>
    <m/>
    <m/>
    <m/>
    <m/>
    <m/>
  </r>
  <r>
    <s v="N588"/>
    <s v="TP385"/>
    <n v="241.72"/>
    <x v="1"/>
    <x v="0"/>
    <s v="TPL"/>
    <s v="3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586"/>
    <s v="N589"/>
    <n v="22.75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589"/>
    <s v="TP386"/>
    <n v="260.94"/>
    <x v="1"/>
    <x v="0"/>
    <s v="TPL"/>
    <s v="3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589"/>
    <s v="N590"/>
    <n v="126.82"/>
    <x v="1"/>
    <x v="0"/>
    <s v="TPD"/>
    <s v="3&quot;"/>
    <n v="1"/>
    <s v="Reducción"/>
    <s v="2&quot;"/>
    <n v="1"/>
    <m/>
    <m/>
    <m/>
    <m/>
    <m/>
    <m/>
    <m/>
    <m/>
    <m/>
    <m/>
    <m/>
    <m/>
    <m/>
    <m/>
    <m/>
    <m/>
    <m/>
    <m/>
  </r>
  <r>
    <s v="N590"/>
    <s v="TP387"/>
    <n v="145.91999999999999"/>
    <x v="1"/>
    <x v="0"/>
    <s v="TPL"/>
    <s v="2&quot;"/>
    <n v="1"/>
    <s v="Codo"/>
    <s v="2&quot;"/>
    <n v="1"/>
    <s v="Tapón"/>
    <s v="2&quot;"/>
    <n v="1"/>
    <m/>
    <m/>
    <m/>
    <m/>
    <m/>
    <m/>
    <m/>
    <m/>
    <m/>
    <m/>
    <m/>
    <m/>
    <m/>
    <m/>
    <m/>
  </r>
  <r>
    <s v="N590"/>
    <s v="TP388"/>
    <n v="19.57"/>
    <x v="1"/>
    <x v="0"/>
    <s v="TPL"/>
    <s v="2&quot;"/>
    <n v="1"/>
    <s v="Codo"/>
    <s v="2&quot;"/>
    <n v="1"/>
    <s v="Tapón"/>
    <s v="2&quot;"/>
    <n v="1"/>
    <m/>
    <m/>
    <m/>
    <m/>
    <m/>
    <m/>
    <m/>
    <m/>
    <m/>
    <m/>
    <m/>
    <m/>
    <m/>
    <m/>
    <m/>
  </r>
  <r>
    <s v="N585"/>
    <s v="N591"/>
    <n v="10.38"/>
    <x v="8"/>
    <x v="0"/>
    <s v="TPD"/>
    <s v="4&quot;"/>
    <n v="1"/>
    <m/>
    <m/>
    <m/>
    <m/>
    <m/>
    <m/>
    <m/>
    <m/>
    <m/>
    <m/>
    <m/>
    <m/>
    <m/>
    <m/>
    <m/>
    <m/>
    <m/>
    <m/>
    <m/>
    <m/>
    <m/>
  </r>
  <r>
    <s v="N591"/>
    <s v="N592"/>
    <n v="290.02"/>
    <x v="0"/>
    <x v="0"/>
    <s v="Reducción"/>
    <s v="3&quot;"/>
    <n v="1"/>
    <m/>
    <m/>
    <m/>
    <m/>
    <m/>
    <m/>
    <m/>
    <m/>
    <m/>
    <m/>
    <m/>
    <m/>
    <m/>
    <m/>
    <m/>
    <m/>
    <m/>
    <m/>
    <m/>
    <m/>
    <m/>
  </r>
  <r>
    <s v="N592"/>
    <s v="TP389"/>
    <n v="56.36"/>
    <x v="0"/>
    <x v="0"/>
    <s v="TPD"/>
    <s v="3&quot;"/>
    <n v="1"/>
    <s v="Tapón"/>
    <s v="3&quot;"/>
    <n v="1"/>
    <m/>
    <m/>
    <m/>
    <m/>
    <m/>
    <m/>
    <m/>
    <m/>
    <m/>
    <m/>
    <m/>
    <m/>
    <m/>
    <m/>
    <m/>
    <m/>
    <m/>
    <m/>
  </r>
  <r>
    <s v="N592"/>
    <s v="N593"/>
    <n v="64.19"/>
    <x v="1"/>
    <x v="0"/>
    <s v="TPL"/>
    <s v="3&quot;"/>
    <n v="1"/>
    <s v="Reducción"/>
    <s v="2&quot;"/>
    <n v="1"/>
    <m/>
    <m/>
    <m/>
    <m/>
    <m/>
    <m/>
    <m/>
    <m/>
    <m/>
    <m/>
    <m/>
    <m/>
    <m/>
    <m/>
    <m/>
    <m/>
    <m/>
    <m/>
  </r>
  <r>
    <s v="N593"/>
    <s v="TP390"/>
    <n v="117"/>
    <x v="1"/>
    <x v="0"/>
    <s v="TPD"/>
    <s v="2&quot;"/>
    <n v="1"/>
    <s v="Codo"/>
    <s v="2&quot;"/>
    <n v="1"/>
    <s v="Tapón"/>
    <s v="2&quot;"/>
    <n v="1"/>
    <m/>
    <m/>
    <m/>
    <m/>
    <m/>
    <m/>
    <m/>
    <m/>
    <m/>
    <m/>
    <m/>
    <m/>
    <m/>
    <m/>
    <m/>
  </r>
  <r>
    <s v="N593"/>
    <s v="N594"/>
    <n v="120.65"/>
    <x v="1"/>
    <x v="0"/>
    <s v="TPL"/>
    <s v="2&quot;"/>
    <n v="1"/>
    <s v="Codo"/>
    <s v="2&quot;"/>
    <n v="1"/>
    <s v="Válvula de Corte "/>
    <s v="2&quot;"/>
    <n v="1"/>
    <m/>
    <m/>
    <m/>
    <m/>
    <m/>
    <m/>
    <m/>
    <m/>
    <m/>
    <m/>
    <m/>
    <m/>
    <m/>
    <m/>
    <m/>
  </r>
  <r>
    <s v="N594"/>
    <s v="TP391"/>
    <n v="190.13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594"/>
    <s v="TP392"/>
    <n v="204.72"/>
    <x v="1"/>
    <x v="0"/>
    <s v="TPD"/>
    <s v="2&quot;"/>
    <n v="1"/>
    <s v="Codo"/>
    <s v="2&quot;"/>
    <n v="1"/>
    <s v="Tapón"/>
    <s v="2&quot;"/>
    <n v="1"/>
    <m/>
    <m/>
    <m/>
    <m/>
    <m/>
    <m/>
    <m/>
    <m/>
    <m/>
    <m/>
    <m/>
    <m/>
    <m/>
    <m/>
    <m/>
  </r>
  <r>
    <s v="N582"/>
    <s v="N595"/>
    <n v="11.48"/>
    <x v="7"/>
    <x v="0"/>
    <s v="TPD"/>
    <s v="6&quot;"/>
    <n v="1"/>
    <m/>
    <m/>
    <m/>
    <m/>
    <m/>
    <m/>
    <m/>
    <m/>
    <m/>
    <m/>
    <m/>
    <m/>
    <m/>
    <m/>
    <m/>
    <m/>
    <m/>
    <m/>
    <m/>
    <m/>
    <m/>
  </r>
  <r>
    <s v="N595"/>
    <s v="N596"/>
    <n v="27"/>
    <x v="8"/>
    <x v="0"/>
    <s v="Reducción"/>
    <s v="4&quot;"/>
    <n v="1"/>
    <s v="Válvula de Corte "/>
    <s v="4&quot;"/>
    <n v="1"/>
    <m/>
    <m/>
    <m/>
    <m/>
    <m/>
    <m/>
    <m/>
    <m/>
    <m/>
    <m/>
    <m/>
    <m/>
    <m/>
    <m/>
    <m/>
    <m/>
    <m/>
    <m/>
  </r>
  <r>
    <s v="N596"/>
    <s v="TP393"/>
    <n v="59.4"/>
    <x v="6"/>
    <x v="0"/>
    <s v="TPL"/>
    <s v="4&quot;"/>
    <n v="1"/>
    <s v="Reducción"/>
    <s v="1&quot;"/>
    <n v="1"/>
    <s v="Tapón"/>
    <s v="1&quot;"/>
    <n v="1"/>
    <m/>
    <m/>
    <m/>
    <m/>
    <m/>
    <m/>
    <m/>
    <m/>
    <m/>
    <m/>
    <m/>
    <m/>
    <m/>
    <m/>
    <m/>
  </r>
  <r>
    <s v="N596"/>
    <s v="N597"/>
    <n v="168.76"/>
    <x v="8"/>
    <x v="0"/>
    <s v="TPD"/>
    <s v="4&quot;"/>
    <n v="1"/>
    <m/>
    <m/>
    <m/>
    <m/>
    <m/>
    <m/>
    <m/>
    <m/>
    <m/>
    <m/>
    <m/>
    <m/>
    <m/>
    <m/>
    <m/>
    <m/>
    <m/>
    <m/>
    <m/>
    <m/>
    <m/>
  </r>
  <r>
    <s v="N597"/>
    <s v="TP394"/>
    <n v="46.93"/>
    <x v="0"/>
    <x v="0"/>
    <s v="TPL"/>
    <s v="4&quot;"/>
    <n v="1"/>
    <s v="Reducción"/>
    <s v="3&quot;"/>
    <n v="1"/>
    <s v="Tapón"/>
    <s v="3&quot;"/>
    <n v="1"/>
    <m/>
    <m/>
    <m/>
    <m/>
    <m/>
    <m/>
    <m/>
    <m/>
    <m/>
    <m/>
    <m/>
    <m/>
    <m/>
    <m/>
    <m/>
  </r>
  <r>
    <s v="N597"/>
    <s v="N598"/>
    <n v="7.12"/>
    <x v="8"/>
    <x v="0"/>
    <s v="TPD"/>
    <s v="4&quot;"/>
    <n v="1"/>
    <m/>
    <m/>
    <m/>
    <m/>
    <m/>
    <m/>
    <m/>
    <m/>
    <m/>
    <m/>
    <m/>
    <m/>
    <m/>
    <m/>
    <m/>
    <m/>
    <m/>
    <m/>
    <m/>
    <m/>
    <m/>
  </r>
  <r>
    <s v="N598"/>
    <s v="N599"/>
    <n v="123.04"/>
    <x v="0"/>
    <x v="0"/>
    <s v="TPL"/>
    <s v="4&quot;"/>
    <n v="1"/>
    <s v="Reducción"/>
    <s v="3&quot;"/>
    <n v="1"/>
    <m/>
    <m/>
    <m/>
    <m/>
    <m/>
    <m/>
    <m/>
    <m/>
    <m/>
    <m/>
    <m/>
    <m/>
    <m/>
    <m/>
    <m/>
    <m/>
    <m/>
    <m/>
  </r>
  <r>
    <s v="N599"/>
    <s v="TP395"/>
    <n v="84.67"/>
    <x v="1"/>
    <x v="0"/>
    <s v="TPL"/>
    <s v="3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599"/>
    <s v="N600"/>
    <n v="55.45"/>
    <x v="1"/>
    <x v="0"/>
    <s v="TPD"/>
    <s v="2&quot;"/>
    <n v="1"/>
    <m/>
    <m/>
    <m/>
    <m/>
    <m/>
    <m/>
    <m/>
    <m/>
    <m/>
    <m/>
    <m/>
    <m/>
    <m/>
    <m/>
    <m/>
    <m/>
    <m/>
    <m/>
    <m/>
    <m/>
    <m/>
  </r>
  <r>
    <s v="N600"/>
    <s v="TP396"/>
    <n v="41.5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600"/>
    <s v="N601"/>
    <n v="8.7200000000000006"/>
    <x v="1"/>
    <x v="0"/>
    <s v="TPD"/>
    <s v="2&quot;"/>
    <n v="1"/>
    <m/>
    <m/>
    <m/>
    <m/>
    <m/>
    <m/>
    <m/>
    <m/>
    <m/>
    <m/>
    <m/>
    <m/>
    <m/>
    <m/>
    <m/>
    <m/>
    <m/>
    <m/>
    <m/>
    <m/>
    <m/>
  </r>
  <r>
    <s v="N601"/>
    <s v="TP397"/>
    <n v="156.65"/>
    <x v="1"/>
    <x v="0"/>
    <s v="TPL"/>
    <s v="2&quot;"/>
    <n v="1"/>
    <s v="Codo"/>
    <s v="2&quot;"/>
    <n v="1"/>
    <s v="Tapón"/>
    <s v="2&quot;"/>
    <n v="1"/>
    <m/>
    <m/>
    <m/>
    <m/>
    <m/>
    <m/>
    <m/>
    <m/>
    <m/>
    <m/>
    <m/>
    <m/>
    <m/>
    <m/>
    <m/>
  </r>
  <r>
    <s v="N601"/>
    <s v="N602"/>
    <n v="37.130000000000003"/>
    <x v="1"/>
    <x v="0"/>
    <s v="TPD"/>
    <s v="2&quot;"/>
    <n v="1"/>
    <m/>
    <m/>
    <m/>
    <m/>
    <m/>
    <m/>
    <m/>
    <m/>
    <m/>
    <m/>
    <m/>
    <m/>
    <m/>
    <m/>
    <m/>
    <m/>
    <m/>
    <m/>
    <m/>
    <m/>
    <m/>
  </r>
  <r>
    <s v="N602"/>
    <s v="TP398"/>
    <n v="52.37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602"/>
    <s v="TP399"/>
    <n v="30.94"/>
    <x v="1"/>
    <x v="0"/>
    <s v="TPD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598"/>
    <s v="N603"/>
    <n v="96.08"/>
    <x v="8"/>
    <x v="0"/>
    <s v="TPD"/>
    <s v="4&quot;"/>
    <n v="1"/>
    <m/>
    <m/>
    <m/>
    <m/>
    <m/>
    <m/>
    <m/>
    <m/>
    <m/>
    <m/>
    <m/>
    <m/>
    <m/>
    <m/>
    <m/>
    <m/>
    <m/>
    <m/>
    <m/>
    <m/>
    <m/>
  </r>
  <r>
    <s v="N603"/>
    <s v="N604"/>
    <n v="10.19"/>
    <x v="1"/>
    <x v="0"/>
    <s v="TPL"/>
    <s v="4&quot;"/>
    <n v="1"/>
    <s v="Reducción"/>
    <s v="2&quot;"/>
    <n v="1"/>
    <m/>
    <m/>
    <m/>
    <m/>
    <m/>
    <m/>
    <m/>
    <m/>
    <m/>
    <m/>
    <m/>
    <m/>
    <m/>
    <m/>
    <m/>
    <m/>
    <m/>
    <m/>
  </r>
  <r>
    <s v="N604"/>
    <s v="TP400"/>
    <n v="70.53"/>
    <x v="6"/>
    <x v="0"/>
    <s v="TPL"/>
    <s v="2&quot;"/>
    <n v="1"/>
    <s v="Reducción"/>
    <s v="1&quot;"/>
    <n v="1"/>
    <s v="Codo"/>
    <s v="1&quot;"/>
    <n v="1"/>
    <s v="Tapón"/>
    <s v="1&quot;"/>
    <n v="1"/>
    <m/>
    <m/>
    <m/>
    <m/>
    <m/>
    <m/>
    <m/>
    <m/>
    <m/>
    <m/>
    <m/>
    <m/>
  </r>
  <r>
    <s v="N604"/>
    <s v="N605"/>
    <n v="135.18"/>
    <x v="1"/>
    <x v="0"/>
    <s v="TPD"/>
    <s v="2&quot;"/>
    <n v="1"/>
    <m/>
    <m/>
    <m/>
    <m/>
    <m/>
    <m/>
    <m/>
    <m/>
    <m/>
    <m/>
    <m/>
    <m/>
    <m/>
    <m/>
    <m/>
    <m/>
    <m/>
    <m/>
    <m/>
    <m/>
    <m/>
  </r>
  <r>
    <s v="N605"/>
    <s v="TP401"/>
    <n v="54.63"/>
    <x v="1"/>
    <x v="0"/>
    <s v="TPD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605"/>
    <s v="TP402"/>
    <n v="64.66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603"/>
    <s v="N606"/>
    <n v="51.32"/>
    <x v="8"/>
    <x v="0"/>
    <s v="TPD"/>
    <s v="4&quot;"/>
    <n v="1"/>
    <m/>
    <m/>
    <m/>
    <m/>
    <m/>
    <m/>
    <m/>
    <m/>
    <m/>
    <m/>
    <m/>
    <m/>
    <m/>
    <m/>
    <m/>
    <m/>
    <m/>
    <m/>
    <m/>
    <m/>
    <m/>
  </r>
  <r>
    <s v="N606"/>
    <s v="N607"/>
    <n v="92.03"/>
    <x v="1"/>
    <x v="0"/>
    <s v="TPD"/>
    <s v="4&quot;"/>
    <n v="1"/>
    <s v="Reducción"/>
    <s v="2&quot;"/>
    <n v="1"/>
    <s v="Válvula de Corte "/>
    <s v="2&quot;"/>
    <n v="1"/>
    <m/>
    <m/>
    <m/>
    <m/>
    <m/>
    <m/>
    <m/>
    <m/>
    <m/>
    <m/>
    <m/>
    <m/>
    <m/>
    <m/>
    <m/>
  </r>
  <r>
    <s v="N607"/>
    <s v="N608"/>
    <n v="68.72"/>
    <x v="1"/>
    <x v="0"/>
    <s v="TPD"/>
    <s v="2&quot;"/>
    <n v="1"/>
    <m/>
    <m/>
    <m/>
    <m/>
    <m/>
    <m/>
    <m/>
    <m/>
    <m/>
    <m/>
    <m/>
    <m/>
    <m/>
    <m/>
    <m/>
    <m/>
    <m/>
    <m/>
    <m/>
    <m/>
    <m/>
  </r>
  <r>
    <s v="N608"/>
    <s v="N609"/>
    <n v="58.24"/>
    <x v="1"/>
    <x v="0"/>
    <s v="TPD"/>
    <s v="2&quot;"/>
    <n v="1"/>
    <s v="Válvula de Corte "/>
    <s v="2&quot;"/>
    <n v="1"/>
    <s v="Codo"/>
    <s v="2&quot;"/>
    <n v="1"/>
    <m/>
    <m/>
    <m/>
    <m/>
    <m/>
    <m/>
    <m/>
    <m/>
    <m/>
    <m/>
    <m/>
    <m/>
    <m/>
    <m/>
    <m/>
  </r>
  <r>
    <s v="N609"/>
    <s v="TP403"/>
    <n v="24.9"/>
    <x v="1"/>
    <x v="0"/>
    <s v="TPD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609"/>
    <s v="TP404"/>
    <n v="49.48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608"/>
    <s v="N610"/>
    <n v="41.21"/>
    <x v="1"/>
    <x v="0"/>
    <s v="TPL"/>
    <s v="2&quot;"/>
    <n v="1"/>
    <s v="Codo"/>
    <s v="2&quot;"/>
    <n v="3"/>
    <m/>
    <m/>
    <m/>
    <m/>
    <m/>
    <m/>
    <m/>
    <m/>
    <m/>
    <m/>
    <m/>
    <m/>
    <m/>
    <m/>
    <m/>
    <m/>
    <m/>
    <m/>
  </r>
  <r>
    <s v="N610"/>
    <s v="N611"/>
    <n v="25.67"/>
    <x v="1"/>
    <x v="0"/>
    <s v="TPL"/>
    <s v="2&quot;"/>
    <n v="1"/>
    <m/>
    <m/>
    <m/>
    <m/>
    <m/>
    <m/>
    <m/>
    <m/>
    <m/>
    <m/>
    <m/>
    <m/>
    <m/>
    <m/>
    <m/>
    <m/>
    <m/>
    <m/>
    <m/>
    <m/>
    <m/>
  </r>
  <r>
    <s v="N611"/>
    <s v="TP405"/>
    <n v="26.1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611"/>
    <s v="N612"/>
    <n v="29.11"/>
    <x v="1"/>
    <x v="0"/>
    <s v="TPD"/>
    <s v="2&quot;"/>
    <n v="1"/>
    <s v="Codo"/>
    <s v="2&quot;"/>
    <n v="1"/>
    <m/>
    <m/>
    <m/>
    <m/>
    <m/>
    <m/>
    <m/>
    <m/>
    <m/>
    <m/>
    <m/>
    <m/>
    <m/>
    <m/>
    <m/>
    <m/>
    <m/>
    <m/>
  </r>
  <r>
    <s v="N607"/>
    <s v="N613"/>
    <n v="30.03"/>
    <x v="1"/>
    <x v="0"/>
    <s v="TPL"/>
    <s v="2&quot;"/>
    <n v="1"/>
    <s v="Codo"/>
    <s v="2&quot;"/>
    <n v="1"/>
    <m/>
    <m/>
    <m/>
    <m/>
    <m/>
    <m/>
    <m/>
    <m/>
    <m/>
    <m/>
    <m/>
    <m/>
    <m/>
    <m/>
    <m/>
    <m/>
    <m/>
    <m/>
  </r>
  <r>
    <s v="N613"/>
    <s v="N610"/>
    <n v="52.51"/>
    <x v="1"/>
    <x v="0"/>
    <s v="TPD"/>
    <s v="2&quot;"/>
    <n v="1"/>
    <m/>
    <m/>
    <m/>
    <m/>
    <m/>
    <m/>
    <m/>
    <m/>
    <m/>
    <m/>
    <m/>
    <m/>
    <m/>
    <m/>
    <m/>
    <m/>
    <m/>
    <m/>
    <m/>
    <m/>
    <m/>
  </r>
  <r>
    <s v="N613"/>
    <s v="N612"/>
    <n v="123.9"/>
    <x v="1"/>
    <x v="0"/>
    <s v="TPL"/>
    <s v="2&quot;"/>
    <n v="1"/>
    <s v="Codo"/>
    <s v="2&quot;"/>
    <n v="2"/>
    <m/>
    <m/>
    <m/>
    <m/>
    <m/>
    <m/>
    <m/>
    <m/>
    <m/>
    <m/>
    <m/>
    <m/>
    <m/>
    <m/>
    <m/>
    <m/>
    <m/>
    <m/>
  </r>
  <r>
    <s v="N612"/>
    <s v="N614"/>
    <n v="51.64"/>
    <x v="1"/>
    <x v="0"/>
    <s v="TPL"/>
    <s v="2&quot;"/>
    <n v="1"/>
    <s v="Codo"/>
    <s v="2&quot;"/>
    <n v="1"/>
    <m/>
    <m/>
    <m/>
    <m/>
    <m/>
    <m/>
    <m/>
    <m/>
    <m/>
    <m/>
    <m/>
    <m/>
    <m/>
    <m/>
    <m/>
    <m/>
    <m/>
    <m/>
  </r>
  <r>
    <s v="N614"/>
    <s v="N615"/>
    <n v="32.86"/>
    <x v="1"/>
    <x v="0"/>
    <s v="TPL"/>
    <s v="2&quot;"/>
    <n v="1"/>
    <m/>
    <m/>
    <m/>
    <m/>
    <m/>
    <m/>
    <m/>
    <m/>
    <m/>
    <m/>
    <m/>
    <m/>
    <m/>
    <m/>
    <m/>
    <m/>
    <m/>
    <m/>
    <m/>
    <m/>
    <m/>
  </r>
  <r>
    <s v="N615"/>
    <s v="TP406"/>
    <n v="72.37"/>
    <x v="1"/>
    <x v="0"/>
    <s v="TPL"/>
    <s v="2&quot;"/>
    <n v="1"/>
    <s v="Codo"/>
    <s v="2&quot;"/>
    <n v="1"/>
    <s v="Tapón"/>
    <s v="2&quot;"/>
    <n v="1"/>
    <m/>
    <m/>
    <m/>
    <m/>
    <m/>
    <m/>
    <m/>
    <m/>
    <m/>
    <m/>
    <m/>
    <m/>
    <m/>
    <m/>
    <m/>
  </r>
  <r>
    <s v="N615"/>
    <s v="N616"/>
    <n v="12.15"/>
    <x v="1"/>
    <x v="0"/>
    <s v="TPL"/>
    <s v="2&quot;"/>
    <n v="1"/>
    <m/>
    <m/>
    <m/>
    <m/>
    <m/>
    <m/>
    <m/>
    <m/>
    <m/>
    <m/>
    <m/>
    <m/>
    <m/>
    <m/>
    <m/>
    <m/>
    <m/>
    <m/>
    <m/>
    <m/>
    <m/>
  </r>
  <r>
    <s v="N616"/>
    <s v="TP407"/>
    <n v="25.67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616"/>
    <s v="N617"/>
    <n v="28.85"/>
    <x v="1"/>
    <x v="0"/>
    <s v="TPD"/>
    <s v="2&quot;"/>
    <n v="1"/>
    <m/>
    <m/>
    <m/>
    <m/>
    <m/>
    <m/>
    <m/>
    <m/>
    <m/>
    <m/>
    <m/>
    <m/>
    <m/>
    <m/>
    <m/>
    <m/>
    <m/>
    <m/>
    <m/>
    <m/>
    <m/>
  </r>
  <r>
    <s v="N617"/>
    <s v="TP408"/>
    <n v="28.71"/>
    <x v="1"/>
    <x v="0"/>
    <s v="Cruz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617"/>
    <s v="TP409"/>
    <n v="58.09"/>
    <x v="1"/>
    <x v="0"/>
    <s v="Cruz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617"/>
    <s v="N618"/>
    <n v="27.5"/>
    <x v="1"/>
    <x v="0"/>
    <s v="Cruz"/>
    <s v="2&quot;"/>
    <n v="1"/>
    <m/>
    <m/>
    <m/>
    <m/>
    <m/>
    <m/>
    <m/>
    <m/>
    <m/>
    <m/>
    <m/>
    <m/>
    <m/>
    <m/>
    <m/>
    <m/>
    <m/>
    <m/>
    <m/>
    <m/>
    <m/>
  </r>
  <r>
    <s v="N618"/>
    <s v="TP410"/>
    <n v="20.309999999999999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618"/>
    <s v="TP411"/>
    <n v="59.16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614"/>
    <s v="N619"/>
    <n v="103.7"/>
    <x v="1"/>
    <x v="0"/>
    <s v="TPL"/>
    <s v="2&quot;"/>
    <n v="1"/>
    <m/>
    <m/>
    <m/>
    <m/>
    <m/>
    <m/>
    <m/>
    <m/>
    <m/>
    <m/>
    <m/>
    <m/>
    <m/>
    <m/>
    <m/>
    <m/>
    <m/>
    <m/>
    <m/>
    <m/>
    <m/>
  </r>
  <r>
    <s v="N619"/>
    <s v="TP412"/>
    <n v="71.7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619"/>
    <s v="N620"/>
    <n v="40.450000000000003"/>
    <x v="1"/>
    <x v="0"/>
    <s v="TPD"/>
    <s v="2&quot;"/>
    <n v="1"/>
    <s v="Válvula de Corte "/>
    <s v="2&quot;"/>
    <n v="1"/>
    <m/>
    <m/>
    <m/>
    <m/>
    <m/>
    <m/>
    <m/>
    <m/>
    <m/>
    <m/>
    <m/>
    <m/>
    <m/>
    <m/>
    <m/>
    <m/>
    <m/>
    <m/>
  </r>
  <r>
    <s v="N620"/>
    <s v="TP413"/>
    <n v="122.76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620"/>
    <s v="N621"/>
    <n v="12.32"/>
    <x v="1"/>
    <x v="0"/>
    <s v="TPD"/>
    <s v="2&quot;"/>
    <n v="1"/>
    <m/>
    <m/>
    <m/>
    <m/>
    <m/>
    <m/>
    <m/>
    <m/>
    <m/>
    <m/>
    <m/>
    <m/>
    <m/>
    <m/>
    <m/>
    <m/>
    <m/>
    <m/>
    <m/>
    <m/>
    <m/>
  </r>
  <r>
    <s v="N621"/>
    <s v="TP414"/>
    <n v="52.4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621"/>
    <s v="N622"/>
    <n v="41.68"/>
    <x v="1"/>
    <x v="0"/>
    <s v="TPD"/>
    <s v="2&quot;"/>
    <n v="1"/>
    <m/>
    <m/>
    <m/>
    <m/>
    <m/>
    <m/>
    <m/>
    <m/>
    <m/>
    <m/>
    <m/>
    <m/>
    <m/>
    <m/>
    <m/>
    <m/>
    <m/>
    <m/>
    <m/>
    <m/>
    <m/>
  </r>
  <r>
    <s v="N622"/>
    <s v="TP415"/>
    <n v="110.82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622"/>
    <s v="N623"/>
    <n v="51"/>
    <x v="1"/>
    <x v="0"/>
    <s v="TPL"/>
    <s v="2&quot;"/>
    <n v="1"/>
    <m/>
    <m/>
    <m/>
    <m/>
    <m/>
    <m/>
    <m/>
    <m/>
    <m/>
    <m/>
    <m/>
    <m/>
    <m/>
    <m/>
    <m/>
    <m/>
    <m/>
    <m/>
    <m/>
    <m/>
    <m/>
  </r>
  <r>
    <s v="N606"/>
    <s v="T. VILLA CRISTINA"/>
    <n v="87.63"/>
    <x v="8"/>
    <x v="0"/>
    <s v="TPL"/>
    <s v="4&quot;"/>
    <n v="1"/>
    <s v="Codo"/>
    <s v="4&quot;"/>
    <n v="1"/>
    <m/>
    <m/>
    <m/>
    <m/>
    <m/>
    <m/>
    <m/>
    <m/>
    <m/>
    <m/>
    <m/>
    <m/>
    <m/>
    <m/>
    <m/>
    <m/>
    <m/>
    <m/>
  </r>
  <r>
    <s v="T.VILLA CRISTINA"/>
    <s v="N624"/>
    <n v="88.33"/>
    <x v="0"/>
    <x v="0"/>
    <s v="Codo"/>
    <s v="3&quot;"/>
    <n v="2"/>
    <m/>
    <m/>
    <m/>
    <m/>
    <m/>
    <m/>
    <m/>
    <m/>
    <m/>
    <m/>
    <m/>
    <m/>
    <m/>
    <m/>
    <m/>
    <m/>
    <m/>
    <m/>
    <m/>
    <m/>
    <m/>
  </r>
  <r>
    <s v="N624"/>
    <s v="TP416"/>
    <n v="44.75"/>
    <x v="0"/>
    <x v="0"/>
    <s v="TPL"/>
    <s v="3&quot;"/>
    <n v="1"/>
    <s v="Tapón"/>
    <s v="3&quot;"/>
    <n v="1"/>
    <m/>
    <m/>
    <m/>
    <m/>
    <m/>
    <m/>
    <m/>
    <m/>
    <m/>
    <m/>
    <m/>
    <m/>
    <m/>
    <m/>
    <m/>
    <m/>
    <m/>
    <m/>
  </r>
  <r>
    <s v="N624"/>
    <s v="N625"/>
    <n v="27.57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625"/>
    <s v="TP417"/>
    <n v="103.55"/>
    <x v="1"/>
    <x v="0"/>
    <s v="TPL"/>
    <s v="3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625"/>
    <s v="N626"/>
    <n v="41.18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626"/>
    <s v="N627"/>
    <n v="114.24"/>
    <x v="1"/>
    <x v="0"/>
    <s v="TPL"/>
    <s v="3&quot;"/>
    <n v="1"/>
    <s v="Reducción"/>
    <s v="2&quot;"/>
    <n v="1"/>
    <m/>
    <m/>
    <m/>
    <m/>
    <m/>
    <m/>
    <m/>
    <m/>
    <m/>
    <m/>
    <m/>
    <m/>
    <m/>
    <m/>
    <m/>
    <m/>
    <m/>
    <m/>
  </r>
  <r>
    <s v="N627"/>
    <s v="TP418"/>
    <n v="114.53"/>
    <x v="1"/>
    <x v="0"/>
    <s v="TPD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627"/>
    <s v="N628"/>
    <n v="116.68"/>
    <x v="1"/>
    <x v="0"/>
    <s v="TPL"/>
    <s v="2&quot;"/>
    <n v="1"/>
    <s v="Codo"/>
    <s v="2&quot;"/>
    <n v="2"/>
    <m/>
    <m/>
    <m/>
    <m/>
    <m/>
    <m/>
    <m/>
    <m/>
    <m/>
    <m/>
    <m/>
    <m/>
    <m/>
    <m/>
    <m/>
    <m/>
    <m/>
    <m/>
  </r>
  <r>
    <s v="N628"/>
    <s v="TP419"/>
    <n v="26.55"/>
    <x v="1"/>
    <x v="0"/>
    <s v="TPD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628"/>
    <s v="N629"/>
    <n v="163.75"/>
    <x v="1"/>
    <x v="0"/>
    <s v="TPL"/>
    <s v="2&quot;"/>
    <n v="1"/>
    <m/>
    <m/>
    <m/>
    <m/>
    <m/>
    <m/>
    <m/>
    <m/>
    <m/>
    <m/>
    <m/>
    <m/>
    <m/>
    <m/>
    <m/>
    <m/>
    <m/>
    <m/>
    <m/>
    <m/>
    <m/>
  </r>
  <r>
    <s v="N629"/>
    <s v="TP420"/>
    <n v="29.85"/>
    <x v="1"/>
    <x v="0"/>
    <s v="TPD"/>
    <s v="2&quot;"/>
    <n v="1"/>
    <s v="Codo"/>
    <s v="2&quot;"/>
    <n v="1"/>
    <s v="Tapón"/>
    <s v="2&quot;"/>
    <n v="1"/>
    <m/>
    <m/>
    <m/>
    <m/>
    <m/>
    <m/>
    <m/>
    <m/>
    <m/>
    <m/>
    <m/>
    <m/>
    <m/>
    <m/>
    <m/>
  </r>
  <r>
    <s v="N629"/>
    <s v="TP421"/>
    <n v="29.15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626"/>
    <s v="N630"/>
    <n v="36.04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630"/>
    <s v="TP422"/>
    <n v="241.49"/>
    <x v="1"/>
    <x v="0"/>
    <s v="TPL"/>
    <s v="3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630"/>
    <s v="N623"/>
    <n v="10.31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623"/>
    <s v="N637"/>
    <n v="25.56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637"/>
    <s v="N631"/>
    <n v="21.17"/>
    <x v="0"/>
    <x v="0"/>
    <s v="TPD"/>
    <s v="3&quot;"/>
    <n v="1"/>
    <s v="Codo"/>
    <s v="3&quot;"/>
    <n v="1"/>
    <m/>
    <m/>
    <m/>
    <m/>
    <m/>
    <m/>
    <m/>
    <m/>
    <m/>
    <m/>
    <m/>
    <m/>
    <m/>
    <m/>
    <m/>
    <m/>
    <m/>
    <m/>
  </r>
  <r>
    <s v="N631"/>
    <s v="N632"/>
    <n v="6.66"/>
    <x v="1"/>
    <x v="0"/>
    <s v="TPL"/>
    <s v="3&quot;"/>
    <n v="1"/>
    <s v="Reducción"/>
    <s v="2&quot;"/>
    <n v="1"/>
    <s v="Válvula de Corte "/>
    <s v="2&quot;"/>
    <n v="1"/>
    <m/>
    <m/>
    <m/>
    <m/>
    <m/>
    <m/>
    <m/>
    <m/>
    <m/>
    <m/>
    <m/>
    <m/>
    <m/>
    <m/>
    <m/>
  </r>
  <r>
    <s v="N632"/>
    <s v="TP423"/>
    <n v="50.88"/>
    <x v="1"/>
    <x v="0"/>
    <s v="TPD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632"/>
    <s v="N633"/>
    <n v="24.38"/>
    <x v="1"/>
    <x v="0"/>
    <s v="TPL"/>
    <s v="2&quot;"/>
    <n v="1"/>
    <m/>
    <m/>
    <m/>
    <m/>
    <m/>
    <m/>
    <m/>
    <m/>
    <m/>
    <m/>
    <m/>
    <m/>
    <m/>
    <m/>
    <m/>
    <m/>
    <m/>
    <m/>
    <m/>
    <m/>
    <m/>
  </r>
  <r>
    <s v="N633"/>
    <s v="TP424"/>
    <n v="54.62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633"/>
    <s v="TP425"/>
    <n v="77.66"/>
    <x v="1"/>
    <x v="0"/>
    <s v="TPD"/>
    <s v="2&quot;"/>
    <n v="1"/>
    <s v="Codo"/>
    <s v="2&quot;"/>
    <n v="1"/>
    <s v="Tapón"/>
    <s v="2&quot;"/>
    <n v="1"/>
    <m/>
    <m/>
    <m/>
    <m/>
    <m/>
    <m/>
    <m/>
    <m/>
    <m/>
    <m/>
    <m/>
    <m/>
    <m/>
    <m/>
    <m/>
  </r>
  <r>
    <s v="N631"/>
    <s v="N634"/>
    <n v="158.87"/>
    <x v="1"/>
    <x v="0"/>
    <s v="TPD"/>
    <s v="3&quot;"/>
    <n v="1"/>
    <s v="Reducción"/>
    <s v="2&quot;"/>
    <n v="1"/>
    <s v="Codo"/>
    <s v="2&quot;"/>
    <n v="1"/>
    <m/>
    <m/>
    <m/>
    <m/>
    <m/>
    <m/>
    <m/>
    <m/>
    <m/>
    <m/>
    <m/>
    <m/>
    <m/>
    <m/>
    <m/>
  </r>
  <r>
    <s v="N634"/>
    <s v="TP426"/>
    <n v="43.32"/>
    <x v="1"/>
    <x v="0"/>
    <s v="TPD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634"/>
    <s v="TP427"/>
    <n v="107.14"/>
    <x v="1"/>
    <x v="0"/>
    <s v="TPL"/>
    <s v="2&quot;"/>
    <n v="1"/>
    <s v="Válvula de Corte "/>
    <s v="2&quot;"/>
    <n v="1"/>
    <s v="Tapón"/>
    <s v="2&quot;"/>
    <n v="1"/>
    <m/>
    <m/>
    <m/>
    <m/>
    <m/>
    <m/>
    <m/>
    <m/>
    <m/>
    <m/>
    <m/>
    <m/>
    <m/>
    <m/>
    <m/>
  </r>
  <r>
    <s v="T.VILLA CRISTINA"/>
    <s v="N635"/>
    <n v="336.34"/>
    <x v="0"/>
    <x v="0"/>
    <s v="Codo"/>
    <s v="3&quot;"/>
    <n v="5"/>
    <m/>
    <m/>
    <m/>
    <m/>
    <m/>
    <m/>
    <m/>
    <m/>
    <m/>
    <m/>
    <m/>
    <m/>
    <m/>
    <m/>
    <m/>
    <m/>
    <m/>
    <m/>
    <m/>
    <m/>
    <m/>
  </r>
  <r>
    <s v="N635"/>
    <s v="TP428"/>
    <n v="113.9"/>
    <x v="1"/>
    <x v="0"/>
    <s v="TPL"/>
    <s v="3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635"/>
    <s v="N636"/>
    <n v="52.17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636"/>
    <s v="TP429"/>
    <n v="111.97"/>
    <x v="1"/>
    <x v="0"/>
    <s v="TPL"/>
    <s v="3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636"/>
    <s v="TP430"/>
    <n v="229.81"/>
    <x v="1"/>
    <x v="0"/>
    <s v="TPD"/>
    <s v="3&quot;"/>
    <n v="1"/>
    <s v="Reducción"/>
    <s v="2&quot;"/>
    <n v="1"/>
    <s v="Codo"/>
    <s v="2&quot;"/>
    <n v="2"/>
    <s v="Tapón"/>
    <s v="2&quot;"/>
    <n v="1"/>
    <m/>
    <m/>
    <m/>
    <m/>
    <m/>
    <m/>
    <m/>
    <m/>
    <m/>
    <m/>
    <m/>
    <m/>
  </r>
  <r>
    <s v="N637"/>
    <s v="N638"/>
    <n v="214.3"/>
    <x v="0"/>
    <x v="0"/>
    <s v="TPL"/>
    <s v="3&quot;"/>
    <n v="1"/>
    <m/>
    <m/>
    <m/>
    <m/>
    <m/>
    <m/>
    <m/>
    <m/>
    <m/>
    <m/>
    <m/>
    <m/>
    <m/>
    <m/>
    <m/>
    <m/>
    <m/>
    <m/>
    <m/>
    <m/>
    <m/>
  </r>
  <r>
    <s v="N638"/>
    <s v="N639"/>
    <n v="150.27000000000001"/>
    <x v="1"/>
    <x v="0"/>
    <s v="TPL"/>
    <s v="3&quot;"/>
    <n v="1"/>
    <s v="Reducción"/>
    <s v="2&quot;"/>
    <n v="1"/>
    <s v="Codo"/>
    <s v="2&quot;"/>
    <n v="1"/>
    <m/>
    <m/>
    <m/>
    <m/>
    <m/>
    <m/>
    <m/>
    <m/>
    <m/>
    <m/>
    <m/>
    <m/>
    <m/>
    <m/>
    <m/>
  </r>
  <r>
    <s v="N639"/>
    <s v="TP431"/>
    <n v="50.66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639"/>
    <s v="N640"/>
    <n v="37.49"/>
    <x v="1"/>
    <x v="0"/>
    <s v="TPD"/>
    <s v="2&quot;"/>
    <n v="1"/>
    <m/>
    <m/>
    <m/>
    <m/>
    <m/>
    <m/>
    <m/>
    <m/>
    <m/>
    <m/>
    <m/>
    <m/>
    <m/>
    <m/>
    <m/>
    <m/>
    <m/>
    <m/>
    <m/>
    <m/>
    <m/>
  </r>
  <r>
    <s v="N640"/>
    <s v="N641"/>
    <n v="42.55"/>
    <x v="1"/>
    <x v="0"/>
    <s v="TPL"/>
    <s v="2&quot;"/>
    <n v="1"/>
    <s v="Codo"/>
    <s v="2&quot;"/>
    <n v="1"/>
    <m/>
    <m/>
    <m/>
    <m/>
    <m/>
    <m/>
    <m/>
    <m/>
    <m/>
    <m/>
    <m/>
    <m/>
    <m/>
    <m/>
    <m/>
    <m/>
    <m/>
    <m/>
  </r>
  <r>
    <s v="N641"/>
    <s v="TP432"/>
    <n v="18.53"/>
    <x v="6"/>
    <x v="0"/>
    <s v="Reducción"/>
    <s v="1&quot;"/>
    <n v="1"/>
    <s v="Tapón"/>
    <s v="1&quot;"/>
    <n v="1"/>
    <m/>
    <m/>
    <m/>
    <m/>
    <m/>
    <m/>
    <m/>
    <m/>
    <m/>
    <m/>
    <m/>
    <m/>
    <m/>
    <m/>
    <m/>
    <m/>
    <m/>
    <m/>
  </r>
  <r>
    <s v="N640"/>
    <s v="TP433"/>
    <n v="87.68"/>
    <x v="1"/>
    <x v="0"/>
    <s v="TPD"/>
    <s v="2&quot;"/>
    <n v="1"/>
    <s v="Codo"/>
    <s v="2&quot;"/>
    <n v="1"/>
    <s v="Tapón"/>
    <s v="2&quot;"/>
    <n v="1"/>
    <m/>
    <m/>
    <m/>
    <m/>
    <m/>
    <m/>
    <m/>
    <m/>
    <m/>
    <m/>
    <m/>
    <m/>
    <m/>
    <m/>
    <m/>
  </r>
  <r>
    <s v="N638"/>
    <s v="N642"/>
    <n v="271.32"/>
    <x v="0"/>
    <x v="0"/>
    <s v="TPD"/>
    <s v="3&quot;"/>
    <n v="1"/>
    <s v="Hidrantes de Piso"/>
    <m/>
    <n v="1"/>
    <m/>
    <m/>
    <m/>
    <m/>
    <m/>
    <m/>
    <m/>
    <m/>
    <m/>
    <m/>
    <m/>
    <m/>
    <m/>
    <m/>
    <m/>
    <m/>
    <m/>
    <m/>
  </r>
  <r>
    <s v="N642"/>
    <s v="TP434"/>
    <n v="41.27"/>
    <x v="1"/>
    <x v="0"/>
    <s v="TPL"/>
    <s v="3&quot;"/>
    <n v="1"/>
    <s v="Reducción"/>
    <s v="2&quot;"/>
    <n v="1"/>
    <s v="Tapón"/>
    <s v="2&quot;"/>
    <n v="1"/>
    <m/>
    <m/>
    <m/>
    <m/>
    <m/>
    <m/>
    <m/>
    <m/>
    <m/>
    <m/>
    <m/>
    <m/>
    <m/>
    <m/>
    <m/>
  </r>
  <r>
    <s v="N642"/>
    <s v="N643"/>
    <n v="70.08"/>
    <x v="0"/>
    <x v="0"/>
    <s v="TPD"/>
    <s v="3&quot;"/>
    <n v="1"/>
    <m/>
    <m/>
    <m/>
    <m/>
    <m/>
    <m/>
    <m/>
    <m/>
    <m/>
    <m/>
    <m/>
    <m/>
    <m/>
    <m/>
    <m/>
    <m/>
    <m/>
    <m/>
    <m/>
    <m/>
    <m/>
  </r>
  <r>
    <s v="N643"/>
    <s v="TP435"/>
    <n v="7.61"/>
    <x v="0"/>
    <x v="0"/>
    <s v="TPD"/>
    <s v="3&quot;"/>
    <n v="1"/>
    <s v="Tapón"/>
    <s v="3&quot;"/>
    <n v="1"/>
    <m/>
    <m/>
    <m/>
    <m/>
    <m/>
    <m/>
    <m/>
    <m/>
    <m/>
    <m/>
    <m/>
    <m/>
    <m/>
    <m/>
    <m/>
    <m/>
    <m/>
    <m/>
  </r>
  <r>
    <s v="N643"/>
    <s v="N644"/>
    <n v="33.06"/>
    <x v="1"/>
    <x v="0"/>
    <s v="TPL"/>
    <s v="3&quot;"/>
    <n v="1"/>
    <s v="Reducción"/>
    <s v="2&quot;"/>
    <n v="1"/>
    <m/>
    <m/>
    <m/>
    <m/>
    <m/>
    <m/>
    <m/>
    <m/>
    <m/>
    <m/>
    <m/>
    <m/>
    <m/>
    <m/>
    <m/>
    <m/>
    <m/>
    <m/>
  </r>
  <r>
    <s v="N644"/>
    <s v="TP436"/>
    <n v="31"/>
    <x v="1"/>
    <x v="0"/>
    <s v="TPL"/>
    <s v="2&quot;"/>
    <n v="1"/>
    <s v="Tapón"/>
    <s v="2&quot;"/>
    <n v="1"/>
    <m/>
    <m/>
    <m/>
    <m/>
    <m/>
    <m/>
    <m/>
    <m/>
    <m/>
    <m/>
    <m/>
    <m/>
    <m/>
    <m/>
    <m/>
    <m/>
    <m/>
    <m/>
  </r>
  <r>
    <s v="N644"/>
    <s v="TP437"/>
    <n v="204.93"/>
    <x v="1"/>
    <x v="0"/>
    <s v="TPD"/>
    <s v="2&quot;"/>
    <n v="1"/>
    <s v="Codo"/>
    <s v="2&quot;"/>
    <n v="1"/>
    <s v="Tapón"/>
    <s v="2&quot;"/>
    <n v="1"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2">
  <r>
    <s v="PTAP2"/>
    <s v="N1"/>
    <n v="4333.8900000000003"/>
    <x v="0"/>
    <x v="0"/>
    <s v="3&quot;"/>
    <n v="1"/>
    <s v=""/>
    <s v=""/>
    <s v=""/>
    <s v=""/>
    <s v="3&quot;"/>
    <n v="1"/>
    <s v=""/>
    <s v=""/>
    <s v=""/>
    <s v=""/>
    <s v=""/>
    <s v=""/>
    <s v=""/>
    <s v=""/>
    <s v=""/>
    <s v=""/>
    <s v=""/>
    <s v=""/>
    <s v=""/>
    <s v=""/>
  </r>
  <r>
    <s v="N1"/>
    <s v="TP1"/>
    <n v="48.98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1"/>
    <s v="N2"/>
    <n v="17.57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"/>
    <s v="TP2"/>
    <n v="71.349999999999994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2"/>
    <s v="N3"/>
    <n v="19.600000000000001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"/>
    <s v="N4"/>
    <n v="184.14999999999998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"/>
    <s v="TP3"/>
    <n v="101.48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4"/>
    <s v="N5"/>
    <n v="20.43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"/>
    <s v="TP4"/>
    <n v="33.3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5"/>
    <s v="N6"/>
    <n v="10.8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6"/>
    <s v="N7"/>
    <n v="12.56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7"/>
    <s v="TP5"/>
    <n v="79.92"/>
    <x v="1"/>
    <x v="0"/>
    <s v="2&quot;"/>
    <n v="1"/>
    <s v=""/>
    <s v=""/>
    <s v=""/>
    <s v=""/>
    <s v="2&quot;"/>
    <n v="1"/>
    <s v=""/>
    <s v=""/>
    <s v=""/>
    <s v=""/>
    <s v=""/>
    <s v=""/>
    <s v=""/>
    <s v=""/>
    <s v=""/>
    <s v=""/>
    <s v=""/>
    <s v=""/>
    <s v="2&quot;"/>
    <n v="1"/>
  </r>
  <r>
    <s v="N7"/>
    <s v="N8"/>
    <n v="24.97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8"/>
    <s v="TP6"/>
    <n v="18.5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8"/>
    <s v="N9"/>
    <n v="12.4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9"/>
    <s v="TP7"/>
    <n v="13.77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9"/>
    <s v="TP8"/>
    <n v="12.3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9"/>
    <s v="TP9"/>
    <n v="34.11"/>
    <x v="1"/>
    <x v="0"/>
    <s v="2&quot;"/>
    <n v="1"/>
    <s v=""/>
    <s v=""/>
    <s v=""/>
    <s v=""/>
    <s v="2&quot;"/>
    <n v="1"/>
    <s v=""/>
    <s v=""/>
    <s v=""/>
    <s v=""/>
    <s v=""/>
    <s v=""/>
    <s v=""/>
    <s v=""/>
    <s v=""/>
    <s v=""/>
    <s v=""/>
    <s v=""/>
    <s v="2&quot;"/>
    <n v="1"/>
  </r>
  <r>
    <s v="N6"/>
    <s v="N10"/>
    <n v="359.44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0"/>
    <s v="TP10"/>
    <n v="62.04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10"/>
    <s v="TP11"/>
    <n v="55.3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3"/>
    <s v="N11"/>
    <n v="329.06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PTAP2"/>
    <s v="N12"/>
    <n v="3924.99"/>
    <x v="2"/>
    <x v="0"/>
    <s v="8&quot;"/>
    <n v="1"/>
    <s v=""/>
    <s v=""/>
    <s v=""/>
    <s v=""/>
    <s v=""/>
    <s v=""/>
    <s v=""/>
    <s v=""/>
    <s v=""/>
    <s v=""/>
    <s v="8&quot;"/>
    <n v="3"/>
    <s v="8&quot;"/>
    <n v="1"/>
    <s v=""/>
    <s v=""/>
    <s v=""/>
    <s v=""/>
    <s v=""/>
    <s v=""/>
  </r>
  <r>
    <s v="PTAP2"/>
    <s v="CQ1"/>
    <n v="254"/>
    <x v="2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CQ1"/>
    <s v="PTAP1"/>
    <n v="2252.69"/>
    <x v="2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1"/>
    <s v="N19"/>
    <n v="1.87"/>
    <x v="0"/>
    <x v="0"/>
    <s v=""/>
    <s v=""/>
    <s v=""/>
    <s v=""/>
    <s v="3&quot;"/>
    <n v="1"/>
    <s v=""/>
    <s v=""/>
    <s v=""/>
    <s v=""/>
    <s v=""/>
    <s v=""/>
    <s v=""/>
    <s v=""/>
    <s v=""/>
    <s v=""/>
    <s v=""/>
    <s v=""/>
    <s v=""/>
    <s v=""/>
    <s v=""/>
    <s v=""/>
  </r>
  <r>
    <s v="N19"/>
    <s v="T. CARIONGO"/>
    <n v="34.119999999999997"/>
    <x v="0"/>
    <x v="0"/>
    <s v="3&quot;"/>
    <n v="1"/>
    <s v=""/>
    <s v=""/>
    <s v=""/>
    <s v=""/>
    <s v=""/>
    <s v=""/>
    <s v=""/>
    <s v=""/>
    <s v=""/>
    <s v=""/>
    <s v=""/>
    <s v=""/>
    <s v="3&quot;"/>
    <n v="1"/>
    <s v=""/>
    <s v=""/>
    <s v=""/>
    <s v=""/>
    <s v=""/>
    <s v=""/>
  </r>
  <r>
    <s v="N11"/>
    <s v="PTAP1"/>
    <n v="19"/>
    <x v="0"/>
    <x v="0"/>
    <s v=""/>
    <s v=""/>
    <s v=""/>
    <s v=""/>
    <s v="3&quot; A 8&quot;"/>
    <n v="1"/>
    <s v=""/>
    <s v=""/>
    <s v=""/>
    <s v=""/>
    <s v=""/>
    <s v=""/>
    <s v=""/>
    <s v=""/>
    <s v=""/>
    <s v=""/>
    <s v=""/>
    <s v=""/>
    <s v=""/>
    <s v=""/>
    <s v=""/>
    <s v=""/>
  </r>
  <r>
    <s v="T.CARIONGO"/>
    <s v="E.B.1"/>
    <n v="143.19999999999999"/>
    <x v="3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PTAP1"/>
    <s v="T.1"/>
    <n v="73"/>
    <x v="4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PTAP1"/>
    <s v="N13"/>
    <n v="64.88"/>
    <x v="2"/>
    <x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3"/>
    <s v="T.2"/>
    <n v="16.21"/>
    <x v="2"/>
    <x v="2"/>
    <s v="8&quot;"/>
    <n v="1"/>
    <s v=""/>
    <s v=""/>
    <s v=""/>
    <s v=""/>
    <s v="8&quot;"/>
    <n v="1"/>
    <s v=""/>
    <s v=""/>
    <s v=""/>
    <s v=""/>
    <s v=""/>
    <s v=""/>
    <s v=""/>
    <s v=""/>
    <s v=""/>
    <s v=""/>
    <s v=""/>
    <s v=""/>
    <s v=""/>
    <s v=""/>
  </r>
  <r>
    <s v="PTAP1"/>
    <s v="N14"/>
    <n v="66.099999999999994"/>
    <x v="5"/>
    <x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4"/>
    <s v="T.1"/>
    <n v="6.95"/>
    <x v="2"/>
    <x v="0"/>
    <s v="16&quot;"/>
    <n v="1"/>
    <s v=""/>
    <s v=""/>
    <s v=""/>
    <s v=""/>
    <s v="8&quot;"/>
    <n v="1"/>
    <s v="8&quot;"/>
    <n v="1"/>
    <s v=""/>
    <s v=""/>
    <s v=""/>
    <s v=""/>
    <s v=""/>
    <s v=""/>
    <s v=""/>
    <s v=""/>
    <s v=""/>
    <s v=""/>
    <s v=""/>
    <s v=""/>
  </r>
  <r>
    <s v="N14"/>
    <s v="N15"/>
    <n v="24"/>
    <x v="2"/>
    <x v="0"/>
    <s v="16&quot;"/>
    <n v="1"/>
    <s v=""/>
    <s v=""/>
    <s v=""/>
    <s v=""/>
    <s v="8&quot;"/>
    <n v="1"/>
    <s v="8&quot;"/>
    <n v="2"/>
    <s v=""/>
    <s v=""/>
    <s v=""/>
    <s v=""/>
    <s v=""/>
    <s v=""/>
    <s v=""/>
    <s v=""/>
    <s v=""/>
    <s v=""/>
    <s v=""/>
    <s v=""/>
  </r>
  <r>
    <s v="T.1"/>
    <s v="N15"/>
    <n v="4.5"/>
    <x v="5"/>
    <x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5"/>
    <s v="N16"/>
    <n v="7.95"/>
    <x v="5"/>
    <x v="3"/>
    <s v="16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T.1"/>
    <s v="N16"/>
    <n v="11.42"/>
    <x v="4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T.1"/>
    <s v="T.2"/>
    <n v="7.15"/>
    <x v="2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T.2"/>
    <s v="N17"/>
    <n v="16.82"/>
    <x v="2"/>
    <x v="2"/>
    <s v=""/>
    <s v=""/>
    <s v=""/>
    <s v=""/>
    <s v=""/>
    <s v=""/>
    <s v="8&quot;"/>
    <n v="1"/>
    <s v=""/>
    <s v=""/>
    <s v=""/>
    <s v=""/>
    <s v=""/>
    <s v=""/>
    <s v=""/>
    <s v=""/>
    <s v=""/>
    <s v=""/>
    <s v=""/>
    <s v=""/>
    <s v=""/>
    <s v=""/>
  </r>
  <r>
    <s v="N17"/>
    <s v="N18"/>
    <n v="6.68"/>
    <x v="2"/>
    <x v="2"/>
    <s v="8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8"/>
    <s v="N16"/>
    <n v="7.32"/>
    <x v="2"/>
    <x v="2"/>
    <s v="8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9"/>
    <s v="N20"/>
    <n v="914.17"/>
    <x v="0"/>
    <x v="0"/>
    <s v="3&quot;"/>
    <n v="1"/>
    <s v=""/>
    <s v=""/>
    <s v=""/>
    <s v=""/>
    <s v=""/>
    <s v=""/>
    <s v=""/>
    <s v=""/>
    <s v=""/>
    <s v=""/>
    <s v="3&quot;"/>
    <n v="1"/>
    <s v=""/>
    <s v=""/>
    <s v=""/>
    <s v=""/>
    <s v=""/>
    <s v=""/>
    <s v=""/>
    <s v=""/>
  </r>
  <r>
    <s v="N20"/>
    <s v="N21"/>
    <n v="52.82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1"/>
    <s v="N22"/>
    <n v="36.78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2"/>
    <s v="N24"/>
    <n v="74.11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4"/>
    <s v="TP12"/>
    <n v="16.75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n v="0"/>
    <n v="0"/>
  </r>
  <r>
    <s v="N22"/>
    <s v="N23"/>
    <n v="4.9800000000000004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3"/>
    <s v="TP13"/>
    <n v="26.33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3&quot;"/>
    <n v="1"/>
  </r>
  <r>
    <s v="N23"/>
    <s v="N25"/>
    <n v="66.52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5"/>
    <s v="TP14"/>
    <n v="33.57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3&quot;"/>
    <n v="1"/>
  </r>
  <r>
    <s v="N25"/>
    <s v="TP15"/>
    <n v="33.83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3&quot;"/>
    <n v="1"/>
  </r>
  <r>
    <s v="N21"/>
    <s v="N26"/>
    <n v="104.34"/>
    <x v="0"/>
    <x v="0"/>
    <s v="3&quot;"/>
    <n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6"/>
    <s v="N34"/>
    <n v="90.81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34"/>
    <s v="T. LOS PINOS "/>
    <n v="249.76"/>
    <x v="6"/>
    <x v="0"/>
    <s v=""/>
    <s v=""/>
    <s v=""/>
    <s v=""/>
    <s v=""/>
    <s v=""/>
    <s v="1&quot;"/>
    <n v="2"/>
    <s v="1&quot;"/>
    <n v="1"/>
    <s v=""/>
    <s v=""/>
    <s v=""/>
    <s v=""/>
    <s v=""/>
    <s v=""/>
    <s v=""/>
    <s v=""/>
    <s v=""/>
    <s v=""/>
    <s v=""/>
    <s v=""/>
  </r>
  <r>
    <s v="T. LOS PINOS "/>
    <s v="TP16"/>
    <n v="298.44"/>
    <x v="1"/>
    <x v="0"/>
    <s v=""/>
    <s v=""/>
    <s v=""/>
    <s v=""/>
    <s v=""/>
    <s v=""/>
    <s v="2&quot;"/>
    <n v="6"/>
    <s v=""/>
    <s v=""/>
    <s v=""/>
    <s v=""/>
    <s v=""/>
    <s v=""/>
    <s v=""/>
    <s v=""/>
    <s v=""/>
    <s v=""/>
    <s v=""/>
    <s v=""/>
    <s v="2&quot;"/>
    <n v="1"/>
  </r>
  <r>
    <s v="N26"/>
    <s v="N27"/>
    <n v="9.2100000000000009"/>
    <x v="0"/>
    <x v="0"/>
    <s v="3&quot;"/>
    <n v="1"/>
    <s v=""/>
    <s v=""/>
    <s v=""/>
    <s v=""/>
    <s v=""/>
    <s v=""/>
    <s v=""/>
    <s v=""/>
    <s v=""/>
    <s v=""/>
    <s v=""/>
    <s v=""/>
    <s v="3&quot;"/>
    <n v="1"/>
    <s v=""/>
    <s v=""/>
    <s v=""/>
    <s v=""/>
    <s v=""/>
    <s v=""/>
  </r>
  <r>
    <s v="N27"/>
    <s v="N28"/>
    <n v="122.57"/>
    <x v="1"/>
    <x v="0"/>
    <s v="3&quot;"/>
    <n v="1"/>
    <s v=""/>
    <s v=""/>
    <s v=""/>
    <s v=""/>
    <s v="2&quot;"/>
    <n v="1"/>
    <s v="2&quot;"/>
    <n v="1"/>
    <s v=""/>
    <s v=""/>
    <s v=""/>
    <s v=""/>
    <s v=""/>
    <s v=""/>
    <s v=""/>
    <s v=""/>
    <s v=""/>
    <s v=""/>
    <s v=""/>
    <s v=""/>
  </r>
  <r>
    <s v="N28"/>
    <s v="TPL17"/>
    <n v="22.87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28"/>
    <s v="TP18"/>
    <n v="41.33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27"/>
    <s v="N29"/>
    <n v="57.44"/>
    <x v="0"/>
    <x v="0"/>
    <s v="3&quot;"/>
    <n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9"/>
    <s v="N30"/>
    <n v="31.13"/>
    <x v="1"/>
    <x v="0"/>
    <s v=""/>
    <s v=""/>
    <s v=""/>
    <s v=""/>
    <s v=""/>
    <s v=""/>
    <s v="2&quot;"/>
    <n v="1"/>
    <s v="2&quot;"/>
    <n v="1"/>
    <s v=""/>
    <s v=""/>
    <s v=""/>
    <s v=""/>
    <s v=""/>
    <s v=""/>
    <s v=""/>
    <s v=""/>
    <s v=""/>
    <s v=""/>
    <s v=""/>
    <s v=""/>
  </r>
  <r>
    <s v="N30"/>
    <s v="TP19"/>
    <n v="71.34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30"/>
    <s v="N31"/>
    <n v="25.7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1"/>
    <s v="TP20"/>
    <n v="70.459999999999994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31"/>
    <s v="N32"/>
    <n v="25.9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2"/>
    <s v="TP21"/>
    <n v="68.569999999999993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32"/>
    <s v="N33"/>
    <n v="35.24"/>
    <x v="1"/>
    <x v="0"/>
    <s v="2&quot;"/>
    <n v="1"/>
    <s v=""/>
    <s v=""/>
    <s v=""/>
    <s v=""/>
    <s v="2&quot;"/>
    <n v="1"/>
    <s v=""/>
    <s v=""/>
    <s v=""/>
    <s v=""/>
    <s v=""/>
    <s v=""/>
    <s v=""/>
    <s v=""/>
    <s v=""/>
    <s v=""/>
    <s v=""/>
    <s v=""/>
    <s v=""/>
    <s v=""/>
  </r>
  <r>
    <s v="N33"/>
    <s v="TP22"/>
    <n v="84.34"/>
    <x v="1"/>
    <x v="0"/>
    <s v="2&quot;"/>
    <n v="1"/>
    <s v=""/>
    <s v=""/>
    <s v=""/>
    <s v=""/>
    <s v="2&quot;"/>
    <n v="1"/>
    <s v=""/>
    <s v=""/>
    <s v=""/>
    <s v=""/>
    <s v=""/>
    <s v=""/>
    <s v=""/>
    <s v=""/>
    <s v=""/>
    <s v=""/>
    <s v=""/>
    <s v=""/>
    <s v="2&quot;"/>
    <n v="1"/>
  </r>
  <r>
    <s v="N33"/>
    <s v="N35"/>
    <n v="135.04"/>
    <x v="1"/>
    <x v="0"/>
    <s v="2&quot;"/>
    <n v="1"/>
    <s v=""/>
    <s v=""/>
    <s v=""/>
    <s v=""/>
    <s v="2&quot;"/>
    <n v="1"/>
    <s v=""/>
    <s v=""/>
    <s v=""/>
    <s v=""/>
    <s v=""/>
    <s v=""/>
    <s v=""/>
    <s v=""/>
    <s v=""/>
    <s v=""/>
    <s v=""/>
    <s v=""/>
    <s v=""/>
    <s v=""/>
  </r>
  <r>
    <s v="N25"/>
    <s v="TP23"/>
    <n v="31.98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35"/>
    <s v="N36"/>
    <n v="14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6"/>
    <s v="TP24"/>
    <n v="32.340000000000003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36"/>
    <s v="N37"/>
    <n v="1.9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7"/>
    <s v="TP25"/>
    <n v="32.520000000000003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37"/>
    <s v="TP26"/>
    <n v="12.8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20"/>
    <s v="N38"/>
    <n v="8.15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8"/>
    <s v="N24"/>
    <n v="49.1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8"/>
    <s v="N39"/>
    <n v="56.99"/>
    <x v="0"/>
    <x v="0"/>
    <s v="3&quot;"/>
    <n v="1"/>
    <s v=""/>
    <s v=""/>
    <s v=""/>
    <s v=""/>
    <s v="3&quot;"/>
    <n v="2"/>
    <s v=""/>
    <s v=""/>
    <s v=""/>
    <s v=""/>
    <s v=""/>
    <s v=""/>
    <s v=""/>
    <s v=""/>
    <s v=""/>
    <s v=""/>
    <s v=""/>
    <s v=""/>
    <s v=""/>
    <s v=""/>
  </r>
  <r>
    <s v="N39"/>
    <s v="N40"/>
    <n v="41.18"/>
    <x v="0"/>
    <x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0"/>
    <s v="N41"/>
    <n v="54.75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41"/>
    <s v="TP27"/>
    <n v="61.81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41"/>
    <s v="N42"/>
    <n v="273"/>
    <x v="1"/>
    <x v="0"/>
    <s v="2&quot;"/>
    <n v="1"/>
    <s v=""/>
    <s v=""/>
    <s v=""/>
    <s v=""/>
    <s v="2&quot;"/>
    <n v="1"/>
    <s v=""/>
    <s v=""/>
    <s v=""/>
    <s v=""/>
    <s v=""/>
    <s v=""/>
    <s v=""/>
    <s v=""/>
    <s v=""/>
    <s v=""/>
    <s v=""/>
    <s v=""/>
    <s v=""/>
    <s v=""/>
  </r>
  <r>
    <s v="N42"/>
    <s v="TP28"/>
    <n v="30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42"/>
    <s v="TP29"/>
    <n v="143.97999999999999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40"/>
    <s v="N43"/>
    <n v="30.44"/>
    <x v="0"/>
    <x v="2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3"/>
    <s v="TP30"/>
    <n v="32.5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12"/>
    <s v="N44"/>
    <n v="1038.51"/>
    <x v="7"/>
    <x v="4"/>
    <s v=""/>
    <s v=""/>
    <s v=""/>
    <s v=""/>
    <s v=""/>
    <s v=""/>
    <s v=""/>
    <s v=""/>
    <s v="6&quot;"/>
    <n v="1"/>
    <s v=""/>
    <s v=""/>
    <s v=""/>
    <s v=""/>
    <s v=""/>
    <s v=""/>
    <s v=""/>
    <s v=""/>
    <s v=""/>
    <s v=""/>
    <s v=""/>
    <s v=""/>
  </r>
  <r>
    <s v="N44"/>
    <s v="N45"/>
    <n v="1051.9100000000001"/>
    <x v="7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5"/>
    <s v="T. JURADO 3"/>
    <n v="21.31"/>
    <x v="8"/>
    <x v="1"/>
    <s v="6&quot;"/>
    <n v="1"/>
    <s v=""/>
    <s v=""/>
    <s v=""/>
    <s v=""/>
    <s v=""/>
    <s v=""/>
    <s v="4&quot;"/>
    <n v="1"/>
    <s v=""/>
    <s v=""/>
    <s v=""/>
    <s v=""/>
    <s v="4&quot;"/>
    <n v="1"/>
    <s v=""/>
    <s v=""/>
    <s v=""/>
    <s v=""/>
    <s v=""/>
    <s v=""/>
  </r>
  <r>
    <s v="N16"/>
    <s v="N46"/>
    <n v="1720.4299999999998"/>
    <x v="5"/>
    <x v="3"/>
    <s v=""/>
    <s v=""/>
    <s v=""/>
    <s v=""/>
    <s v=""/>
    <s v=""/>
    <s v="16&quot;"/>
    <n v="1"/>
    <s v=""/>
    <s v=""/>
    <s v=""/>
    <s v=""/>
    <s v=""/>
    <s v=""/>
    <s v=""/>
    <s v=""/>
    <s v=""/>
    <s v=""/>
    <s v=""/>
    <s v=""/>
    <s v=""/>
    <s v=""/>
  </r>
  <r>
    <s v="N16"/>
    <s v="CQ2"/>
    <n v="385.42"/>
    <x v="4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CQ2"/>
    <s v="N47"/>
    <n v="326.60000000000002"/>
    <x v="4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7"/>
    <s v="N48"/>
    <n v="1271.97"/>
    <x v="4"/>
    <x v="1"/>
    <s v="12&quot;"/>
    <n v="1"/>
    <s v=""/>
    <s v=""/>
    <s v=""/>
    <s v=""/>
    <s v="12&quot;"/>
    <n v="1"/>
    <s v=""/>
    <s v=""/>
    <s v=""/>
    <s v=""/>
    <s v=""/>
    <s v=""/>
    <s v=""/>
    <s v=""/>
    <n v="0"/>
    <n v="1"/>
    <s v=""/>
    <s v=""/>
    <s v=""/>
    <s v=""/>
  </r>
  <r>
    <s v="N18"/>
    <s v="N49"/>
    <n v="1036.19"/>
    <x v="2"/>
    <x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0"/>
    <s v="N51"/>
    <n v="302.12"/>
    <x v="8"/>
    <x v="4"/>
    <s v="6&quot;"/>
    <n v="1"/>
    <s v=""/>
    <s v=""/>
    <s v=""/>
    <s v=""/>
    <s v="4&quot;"/>
    <n v="1"/>
    <s v="4&quot;"/>
    <n v="1"/>
    <s v=""/>
    <s v=""/>
    <s v=""/>
    <s v=""/>
    <s v="4&quot;"/>
    <n v="1"/>
    <s v=""/>
    <s v=""/>
    <s v=""/>
    <s v=""/>
    <s v=""/>
    <s v=""/>
  </r>
  <r>
    <s v="N51"/>
    <s v="N52"/>
    <n v="735.52"/>
    <x v="0"/>
    <x v="0"/>
    <s v=""/>
    <s v=""/>
    <s v=""/>
    <s v=""/>
    <s v=""/>
    <s v=""/>
    <s v=""/>
    <s v=""/>
    <s v="3&quot;"/>
    <n v="1"/>
    <s v=""/>
    <s v=""/>
    <s v=""/>
    <s v=""/>
    <s v=""/>
    <s v=""/>
    <s v=""/>
    <s v=""/>
    <s v=""/>
    <s v=""/>
    <s v=""/>
    <s v=""/>
  </r>
  <r>
    <s v="N52"/>
    <s v="T. TRINIDAD"/>
    <n v="64.400000000000006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2"/>
    <s v="T.PROGRESO2"/>
    <n v="2379.85"/>
    <x v="0"/>
    <x v="0"/>
    <s v="3&quot;"/>
    <n v="1"/>
    <s v=""/>
    <s v=""/>
    <s v=""/>
    <s v=""/>
    <s v="3&quot;"/>
    <n v="2"/>
    <s v=""/>
    <s v=""/>
    <s v=""/>
    <s v=""/>
    <s v=""/>
    <s v=""/>
    <s v=""/>
    <s v=""/>
    <s v=""/>
    <s v=""/>
    <s v=""/>
    <s v=""/>
    <s v=""/>
    <s v=""/>
  </r>
  <r>
    <s v="E.B.1"/>
    <s v="T.TRINIDAD"/>
    <n v="980.04"/>
    <x v="3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7"/>
    <s v="N53"/>
    <n v="8.56"/>
    <x v="1"/>
    <x v="1"/>
    <s v="12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53"/>
    <s v="N54"/>
    <n v="103.22"/>
    <x v="1"/>
    <x v="0"/>
    <s v=""/>
    <s v=""/>
    <s v=""/>
    <s v=""/>
    <s v=""/>
    <s v=""/>
    <s v=""/>
    <s v=""/>
    <s v=""/>
    <s v=""/>
    <s v=""/>
    <s v=""/>
    <s v=""/>
    <s v=""/>
    <s v="2&quot;"/>
    <n v="1"/>
    <s v=""/>
    <s v=""/>
    <s v=""/>
    <s v=""/>
    <s v=""/>
    <s v=""/>
  </r>
  <r>
    <s v="N54"/>
    <s v="N55"/>
    <n v="164.61"/>
    <x v="1"/>
    <x v="0"/>
    <s v="2&quot;"/>
    <n v="1"/>
    <s v=""/>
    <s v=""/>
    <s v=""/>
    <s v=""/>
    <s v="2&quot;"/>
    <n v="3"/>
    <s v=""/>
    <s v=""/>
    <s v=""/>
    <s v=""/>
    <s v=""/>
    <s v=""/>
    <s v=""/>
    <s v=""/>
    <s v=""/>
    <s v=""/>
    <s v=""/>
    <s v=""/>
    <s v=""/>
    <s v=""/>
  </r>
  <r>
    <s v="N55"/>
    <s v="TP31"/>
    <n v="35.14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55"/>
    <s v="TP32"/>
    <n v="35.07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54"/>
    <s v="N56"/>
    <n v="11.3"/>
    <x v="1"/>
    <x v="0"/>
    <s v="2&quot;"/>
    <n v="1"/>
    <s v=""/>
    <s v=""/>
    <s v=""/>
    <s v=""/>
    <s v=""/>
    <s v=""/>
    <s v=""/>
    <s v=""/>
    <s v=""/>
    <s v=""/>
    <s v=""/>
    <s v=""/>
    <s v="2&quot;"/>
    <n v="1"/>
    <s v=""/>
    <s v=""/>
    <s v=""/>
    <s v=""/>
    <s v=""/>
    <s v=""/>
  </r>
  <r>
    <s v="N56"/>
    <s v="TP33"/>
    <n v="59.56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56"/>
    <s v="N57"/>
    <n v="43.62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7"/>
    <s v="TP34"/>
    <n v="50.02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0"/>
  </r>
  <r>
    <s v="N57"/>
    <s v="N58"/>
    <n v="44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8"/>
    <s v="TP35"/>
    <n v="71.4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58"/>
    <s v="N59"/>
    <n v="17.36"/>
    <x v="1"/>
    <x v="0"/>
    <s v="2&quot;"/>
    <n v="1"/>
    <s v=""/>
    <s v=""/>
    <s v=""/>
    <s v=""/>
    <s v=""/>
    <s v=""/>
    <s v=""/>
    <s v=""/>
    <s v=""/>
    <s v=""/>
    <s v=""/>
    <s v=""/>
    <s v="2&quot;"/>
    <n v="1"/>
    <s v=""/>
    <s v=""/>
    <s v=""/>
    <s v=""/>
    <s v=""/>
    <s v=""/>
  </r>
  <r>
    <s v="N59"/>
    <s v="TP36"/>
    <n v="76.17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59"/>
    <s v="N60"/>
    <n v="18.09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60"/>
    <s v="TP37"/>
    <n v="78.680000000000007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60"/>
    <s v="TP38"/>
    <n v="93.48"/>
    <x v="1"/>
    <x v="0"/>
    <s v="2&quot;"/>
    <n v="1"/>
    <s v=""/>
    <s v=""/>
    <s v=""/>
    <s v=""/>
    <s v="2&quot;"/>
    <n v="1"/>
    <s v=""/>
    <s v=""/>
    <s v=""/>
    <s v=""/>
    <s v=""/>
    <s v=""/>
    <s v=""/>
    <s v=""/>
    <s v=""/>
    <s v=""/>
    <s v=""/>
    <s v=""/>
    <s v="2&quot;"/>
    <n v="1"/>
  </r>
  <r>
    <s v="N59"/>
    <s v="N61"/>
    <n v="47.82"/>
    <x v="1"/>
    <x v="0"/>
    <s v="2&quot;"/>
    <n v="1"/>
    <s v=""/>
    <s v=""/>
    <s v=""/>
    <s v=""/>
    <s v="2&quot;"/>
    <n v="3"/>
    <s v=""/>
    <s v=""/>
    <s v=""/>
    <s v=""/>
    <s v=""/>
    <s v=""/>
    <s v=""/>
    <s v=""/>
    <s v=""/>
    <s v=""/>
    <s v=""/>
    <s v=""/>
    <s v=""/>
    <s v=""/>
  </r>
  <r>
    <s v="N61"/>
    <s v="TP39"/>
    <n v="18.73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61"/>
    <s v="TP40"/>
    <n v="52.94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43"/>
    <s v="N62"/>
    <n v="112.52"/>
    <x v="0"/>
    <x v="2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62"/>
    <s v="N63"/>
    <n v="43.89"/>
    <x v="0"/>
    <x v="0"/>
    <s v="3&quot;"/>
    <n v="1"/>
    <s v=""/>
    <s v=""/>
    <s v=""/>
    <s v=""/>
    <s v=""/>
    <s v=""/>
    <s v=""/>
    <s v=""/>
    <s v=""/>
    <s v=""/>
    <s v=""/>
    <s v=""/>
    <s v="3&quot;"/>
    <n v="1"/>
    <s v=""/>
    <s v=""/>
    <s v=""/>
    <s v=""/>
    <s v=""/>
    <s v=""/>
  </r>
  <r>
    <s v="N63"/>
    <s v="TP41"/>
    <n v="30.69"/>
    <x v="0"/>
    <x v="0"/>
    <s v="3&quot;"/>
    <n v="1"/>
    <s v=""/>
    <s v=""/>
    <s v=""/>
    <s v=""/>
    <s v="3&quot;"/>
    <n v="1"/>
    <s v=""/>
    <s v=""/>
    <s v=""/>
    <s v=""/>
    <s v=""/>
    <s v=""/>
    <s v=""/>
    <s v=""/>
    <s v=""/>
    <s v=""/>
    <s v=""/>
    <s v=""/>
    <s v="3&quot;"/>
    <n v="0"/>
  </r>
  <r>
    <s v="N63"/>
    <s v="TP42"/>
    <n v="18.73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3&quot;"/>
    <n v="1"/>
  </r>
  <r>
    <s v="N49"/>
    <s v="N64"/>
    <n v="30.29"/>
    <x v="8"/>
    <x v="2"/>
    <s v="8&quot;"/>
    <n v="1"/>
    <s v=""/>
    <s v=""/>
    <s v=""/>
    <s v=""/>
    <s v=""/>
    <s v=""/>
    <s v="4&quot;"/>
    <n v="1"/>
    <s v=""/>
    <s v=""/>
    <s v=""/>
    <s v=""/>
    <s v="4&quot;"/>
    <n v="1"/>
    <s v=""/>
    <s v=""/>
    <s v=""/>
    <s v=""/>
    <s v=""/>
    <s v=""/>
  </r>
  <r>
    <s v="N64"/>
    <s v="N65"/>
    <n v="71.48"/>
    <x v="1"/>
    <x v="0"/>
    <s v="4&quot;"/>
    <n v="1"/>
    <s v=""/>
    <s v=""/>
    <s v=""/>
    <s v=""/>
    <s v="2&quot;"/>
    <n v="2"/>
    <s v="2&quot;"/>
    <n v="1"/>
    <s v=""/>
    <s v=""/>
    <s v=""/>
    <s v=""/>
    <s v="2&quot;"/>
    <n v="1"/>
    <s v=""/>
    <s v=""/>
    <s v=""/>
    <s v=""/>
    <s v=""/>
    <s v=""/>
  </r>
  <r>
    <s v="N65"/>
    <s v="TP43"/>
    <n v="19.079999999999998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65"/>
    <s v="TP44"/>
    <n v="49.76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64"/>
    <s v="N62"/>
    <n v="26.27"/>
    <x v="8"/>
    <x v="2"/>
    <s v="4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9"/>
    <s v="N66"/>
    <n v="169.41"/>
    <x v="2"/>
    <x v="2"/>
    <s v="8&quot;"/>
    <n v="1"/>
    <s v=""/>
    <s v=""/>
    <s v=""/>
    <s v=""/>
    <s v=""/>
    <s v=""/>
    <s v=""/>
    <s v=""/>
    <s v=""/>
    <s v=""/>
    <s v=""/>
    <s v=""/>
    <s v="8&quot;"/>
    <n v="1"/>
    <s v=""/>
    <s v=""/>
    <s v=""/>
    <s v=""/>
    <s v=""/>
    <s v=""/>
  </r>
  <r>
    <s v="N66"/>
    <s v="N67"/>
    <n v="85.1"/>
    <x v="0"/>
    <x v="0"/>
    <s v="8&quot;"/>
    <n v="1"/>
    <s v=""/>
    <s v=""/>
    <s v=""/>
    <s v=""/>
    <s v=""/>
    <s v=""/>
    <s v="3&quot;"/>
    <n v="1"/>
    <s v=""/>
    <s v=""/>
    <s v=""/>
    <s v=""/>
    <s v=""/>
    <s v=""/>
    <s v=""/>
    <s v=""/>
    <s v=""/>
    <s v=""/>
    <s v=""/>
    <s v=""/>
  </r>
  <r>
    <s v="N67"/>
    <s v="N68"/>
    <n v="151.55000000000001"/>
    <x v="1"/>
    <x v="0"/>
    <s v="3&quot;"/>
    <n v="1"/>
    <s v=""/>
    <s v=""/>
    <s v=""/>
    <s v=""/>
    <s v=""/>
    <s v=""/>
    <s v="2&quot;"/>
    <n v="1"/>
    <s v=""/>
    <s v=""/>
    <s v=""/>
    <s v=""/>
    <s v="2&quot;"/>
    <n v="0"/>
    <s v=""/>
    <s v=""/>
    <s v=""/>
    <s v=""/>
    <s v=""/>
    <s v=""/>
  </r>
  <r>
    <s v="N68"/>
    <s v="TP45"/>
    <n v="50.6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68"/>
    <s v="TP46"/>
    <n v="66.7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67"/>
    <s v="N69"/>
    <n v="107.51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69"/>
    <s v="N70"/>
    <n v="71.98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70"/>
    <s v="TP47"/>
    <n v="121.81"/>
    <x v="1"/>
    <x v="0"/>
    <s v="3&quot;"/>
    <n v="1"/>
    <s v=""/>
    <s v=""/>
    <s v=""/>
    <s v=""/>
    <s v="2&quot;"/>
    <n v="2"/>
    <s v="2&quot;"/>
    <n v="1"/>
    <s v=""/>
    <s v=""/>
    <s v=""/>
    <s v=""/>
    <s v=""/>
    <s v=""/>
    <s v=""/>
    <s v=""/>
    <s v=""/>
    <s v=""/>
    <s v="2&quot;"/>
    <n v="1"/>
  </r>
  <r>
    <s v="N70"/>
    <s v="TP48"/>
    <n v="19.2"/>
    <x v="0"/>
    <x v="0"/>
    <s v="3&quot;"/>
    <n v="1"/>
    <s v=""/>
    <s v=""/>
    <s v=""/>
    <s v=""/>
    <s v="3&quot;"/>
    <n v="1"/>
    <s v=""/>
    <s v=""/>
    <s v=""/>
    <s v=""/>
    <s v=""/>
    <s v=""/>
    <s v=""/>
    <s v=""/>
    <s v=""/>
    <s v=""/>
    <s v=""/>
    <s v=""/>
    <s v="3&quot;"/>
    <n v="1"/>
  </r>
  <r>
    <s v="N71"/>
    <s v="N69"/>
    <n v="88.58"/>
    <x v="0"/>
    <x v="0"/>
    <s v="8&quot;"/>
    <n v="1"/>
    <s v=""/>
    <s v=""/>
    <s v=""/>
    <s v=""/>
    <s v=""/>
    <s v=""/>
    <s v="3&quot;"/>
    <n v="1"/>
    <s v=""/>
    <s v=""/>
    <s v=""/>
    <s v=""/>
    <s v="3&quot;"/>
    <n v="1"/>
    <s v=""/>
    <s v=""/>
    <s v=""/>
    <s v=""/>
    <s v=""/>
    <s v=""/>
  </r>
  <r>
    <s v="N71"/>
    <s v="N72"/>
    <n v="128.53"/>
    <x v="2"/>
    <x v="2"/>
    <s v="8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72"/>
    <s v="TP49"/>
    <n v="66.69"/>
    <x v="1"/>
    <x v="0"/>
    <s v=""/>
    <s v=""/>
    <s v=""/>
    <s v=""/>
    <s v="8&quot; A 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72"/>
    <s v="N73"/>
    <n v="4.25"/>
    <x v="2"/>
    <x v="2"/>
    <s v=""/>
    <s v=""/>
    <s v=""/>
    <s v=""/>
    <s v="8&quot;"/>
    <n v="0"/>
    <s v=""/>
    <s v=""/>
    <s v=""/>
    <s v=""/>
    <s v=""/>
    <s v=""/>
    <s v=""/>
    <s v=""/>
    <s v=""/>
    <s v=""/>
    <s v=""/>
    <s v=""/>
    <s v=""/>
    <s v=""/>
    <s v=""/>
    <s v=""/>
  </r>
  <r>
    <s v="N73"/>
    <s v="TP50"/>
    <n v="52"/>
    <x v="0"/>
    <x v="0"/>
    <s v=""/>
    <s v=""/>
    <s v=""/>
    <s v=""/>
    <s v="8&quot; A 3&quot;"/>
    <n v="1"/>
    <s v=""/>
    <s v=""/>
    <s v=""/>
    <s v=""/>
    <s v=""/>
    <s v=""/>
    <s v=""/>
    <s v=""/>
    <s v=""/>
    <s v=""/>
    <s v=""/>
    <s v=""/>
    <s v=""/>
    <s v=""/>
    <s v="3&quot;"/>
    <n v="1"/>
  </r>
  <r>
    <s v="N73"/>
    <s v="N74"/>
    <n v="161.16999999999999"/>
    <x v="2"/>
    <x v="2"/>
    <s v=""/>
    <s v=""/>
    <s v=""/>
    <s v=""/>
    <s v="8&quot;"/>
    <n v="1"/>
    <s v=""/>
    <s v=""/>
    <s v=""/>
    <s v=""/>
    <s v=""/>
    <s v=""/>
    <s v=""/>
    <s v=""/>
    <s v="8&quot;"/>
    <n v="1"/>
    <s v=""/>
    <s v=""/>
    <s v=""/>
    <s v=""/>
    <s v=""/>
    <s v=""/>
  </r>
  <r>
    <s v="N74"/>
    <s v="TP51"/>
    <n v="48.87"/>
    <x v="1"/>
    <x v="0"/>
    <s v="8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74"/>
    <s v="N75"/>
    <n v="68.87"/>
    <x v="2"/>
    <x v="2"/>
    <s v="8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75"/>
    <s v="N76"/>
    <n v="199"/>
    <x v="2"/>
    <x v="2"/>
    <s v="8&quot;"/>
    <n v="1"/>
    <s v=""/>
    <s v=""/>
    <s v=""/>
    <s v=""/>
    <s v="8&quot;"/>
    <n v="1"/>
    <s v=""/>
    <s v=""/>
    <s v=""/>
    <s v=""/>
    <s v=""/>
    <s v=""/>
    <s v="8&quot;"/>
    <n v="1"/>
    <s v=""/>
    <s v=""/>
    <s v=""/>
    <s v=""/>
    <s v=""/>
    <s v=""/>
  </r>
  <r>
    <s v="T. TRINIDAD"/>
    <s v="CQ3"/>
    <n v="554.01"/>
    <x v="7"/>
    <x v="0"/>
    <s v=""/>
    <s v=""/>
    <s v=""/>
    <s v=""/>
    <s v=""/>
    <s v=""/>
    <s v="6&quot;"/>
    <n v="4"/>
    <s v=""/>
    <s v=""/>
    <s v=""/>
    <s v=""/>
    <s v=""/>
    <s v=""/>
    <s v=""/>
    <s v=""/>
    <s v=""/>
    <s v=""/>
    <s v=""/>
    <s v=""/>
    <s v=""/>
    <s v=""/>
  </r>
  <r>
    <s v="CQ3"/>
    <s v="N77"/>
    <n v="79.45"/>
    <x v="8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77"/>
    <s v="N78"/>
    <n v="111.03"/>
    <x v="1"/>
    <x v="0"/>
    <s v="4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78"/>
    <s v="TP52"/>
    <n v="49.06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78"/>
    <s v="TP53"/>
    <n v="422.07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77"/>
    <s v="N78"/>
    <n v="221.86"/>
    <x v="1"/>
    <x v="0"/>
    <s v="4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78"/>
    <s v="N79"/>
    <n v="71.5"/>
    <x v="8"/>
    <x v="0"/>
    <s v="2&quot;"/>
    <n v="1"/>
    <s v=""/>
    <s v=""/>
    <s v=""/>
    <s v=""/>
    <s v="4&quot;"/>
    <n v="2"/>
    <s v=""/>
    <s v=""/>
    <s v="4&quot;"/>
    <n v="1"/>
    <s v=""/>
    <s v=""/>
    <s v=""/>
    <s v=""/>
    <s v=""/>
    <s v=""/>
    <s v=""/>
    <s v=""/>
    <s v=""/>
    <s v=""/>
  </r>
  <r>
    <s v="N79"/>
    <s v="N80"/>
    <n v="85.539999999999992"/>
    <x v="7"/>
    <x v="0"/>
    <s v=""/>
    <s v=""/>
    <s v=""/>
    <s v=""/>
    <s v=""/>
    <s v=""/>
    <s v=""/>
    <s v=""/>
    <s v=""/>
    <s v=""/>
    <s v="6&quot;"/>
    <n v="1"/>
    <s v=""/>
    <s v=""/>
    <s v=""/>
    <s v=""/>
    <s v=""/>
    <s v=""/>
    <s v=""/>
    <s v=""/>
    <s v=""/>
    <s v=""/>
  </r>
  <r>
    <s v="N80"/>
    <s v="N81"/>
    <n v="57.15"/>
    <x v="1"/>
    <x v="0"/>
    <s v="6&quot;"/>
    <n v="1"/>
    <s v=""/>
    <s v=""/>
    <s v=""/>
    <s v=""/>
    <s v=""/>
    <s v=""/>
    <s v="2&quot;"/>
    <n v="1"/>
    <s v=""/>
    <s v=""/>
    <s v=""/>
    <s v=""/>
    <s v="2&quot;"/>
    <n v="1"/>
    <s v=""/>
    <s v=""/>
    <s v=""/>
    <s v=""/>
    <s v=""/>
    <s v=""/>
  </r>
  <r>
    <s v="N81"/>
    <s v="TP54"/>
    <n v="65.01000000000000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81"/>
    <s v="N82"/>
    <n v="28.81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82"/>
    <s v="TP55"/>
    <n v="73.430000000000007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82"/>
    <s v="N83"/>
    <n v="28.58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83"/>
    <s v="TP56"/>
    <n v="31.07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83"/>
    <s v="N84"/>
    <n v="1.3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84"/>
    <s v="TP57"/>
    <n v="75.19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84"/>
    <s v="TP58"/>
    <n v="45.03"/>
    <x v="1"/>
    <x v="0"/>
    <s v="2&quot;"/>
    <n v="1"/>
    <s v=""/>
    <s v=""/>
    <s v=""/>
    <s v=""/>
    <s v="2&quot;"/>
    <n v="1"/>
    <s v=""/>
    <s v=""/>
    <s v=""/>
    <s v=""/>
    <s v=""/>
    <s v=""/>
    <s v=""/>
    <s v=""/>
    <s v=""/>
    <s v=""/>
    <s v=""/>
    <s v=""/>
    <s v="2&quot;"/>
    <n v="1"/>
  </r>
  <r>
    <s v="N80"/>
    <s v="N85"/>
    <n v="48.97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85"/>
    <s v="TP59"/>
    <n v="267.11"/>
    <x v="1"/>
    <x v="0"/>
    <s v="6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85"/>
    <s v="N86"/>
    <n v="7.86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86"/>
    <s v="TP60"/>
    <n v="102.27"/>
    <x v="1"/>
    <x v="0"/>
    <s v="6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86"/>
    <s v="N87"/>
    <n v="359.28"/>
    <x v="7"/>
    <x v="0"/>
    <s v="6&quot;"/>
    <n v="1"/>
    <s v=""/>
    <s v=""/>
    <s v=""/>
    <s v=""/>
    <s v="6&quot;"/>
    <n v="2"/>
    <s v=""/>
    <s v=""/>
    <s v=""/>
    <s v=""/>
    <s v=""/>
    <s v=""/>
    <s v="6&quot;"/>
    <n v="1"/>
    <s v=""/>
    <s v=""/>
    <s v=""/>
    <s v=""/>
    <s v=""/>
    <s v=""/>
  </r>
  <r>
    <s v="N87"/>
    <s v="N88"/>
    <n v="61.97"/>
    <x v="0"/>
    <x v="0"/>
    <s v="6&quot;"/>
    <n v="1"/>
    <s v=""/>
    <s v=""/>
    <s v=""/>
    <s v=""/>
    <s v=""/>
    <s v=""/>
    <s v="3&quot;"/>
    <n v="1"/>
    <s v=""/>
    <s v=""/>
    <s v=""/>
    <s v=""/>
    <s v=""/>
    <s v=""/>
    <s v=""/>
    <s v=""/>
    <s v=""/>
    <s v=""/>
    <s v=""/>
    <s v=""/>
  </r>
  <r>
    <s v="N88"/>
    <s v="TP61"/>
    <n v="164.5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3&quot;"/>
    <n v="1"/>
  </r>
  <r>
    <s v="N88"/>
    <s v="N89"/>
    <n v="232.28"/>
    <x v="0"/>
    <x v="0"/>
    <s v="3&quot;"/>
    <n v="1"/>
    <s v=""/>
    <s v=""/>
    <s v=""/>
    <s v=""/>
    <s v="3&quot;"/>
    <n v="1"/>
    <s v=""/>
    <s v=""/>
    <s v=""/>
    <s v=""/>
    <s v=""/>
    <s v=""/>
    <s v=""/>
    <s v=""/>
    <s v=""/>
    <s v=""/>
    <s v=""/>
    <s v=""/>
    <s v=""/>
    <s v=""/>
  </r>
  <r>
    <s v="N89"/>
    <s v="TP62"/>
    <n v="86.45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3&quot;"/>
    <n v="1"/>
  </r>
  <r>
    <s v="N89"/>
    <s v="N90"/>
    <n v="34.08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90"/>
    <s v="N91"/>
    <n v="53.12"/>
    <x v="1"/>
    <x v="0"/>
    <s v=""/>
    <s v=""/>
    <s v=""/>
    <s v=""/>
    <s v=""/>
    <s v=""/>
    <s v="3&quot;"/>
    <n v="1"/>
    <s v="2&quot;"/>
    <n v="1"/>
    <s v=""/>
    <s v=""/>
    <s v=""/>
    <s v=""/>
    <s v=""/>
    <s v=""/>
    <s v=""/>
    <s v=""/>
    <s v=""/>
    <s v=""/>
    <s v=""/>
    <s v=""/>
  </r>
  <r>
    <s v="N91"/>
    <s v="TP63"/>
    <n v="75.5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91"/>
    <s v="N92"/>
    <n v="100.93"/>
    <x v="1"/>
    <x v="0"/>
    <s v="2&quot;"/>
    <n v="1"/>
    <s v=""/>
    <s v=""/>
    <s v=""/>
    <s v=""/>
    <s v="2&quot;"/>
    <n v="1"/>
    <s v=""/>
    <s v=""/>
    <s v=""/>
    <s v=""/>
    <s v=""/>
    <s v=""/>
    <s v=""/>
    <s v=""/>
    <s v=""/>
    <s v=""/>
    <s v=""/>
    <s v=""/>
    <s v=""/>
    <s v=""/>
  </r>
  <r>
    <s v="N92"/>
    <s v="TP64"/>
    <n v="48.07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92"/>
    <s v="N93"/>
    <n v="56.8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93"/>
    <s v="TP65"/>
    <n v="151.9"/>
    <x v="6"/>
    <x v="0"/>
    <s v=""/>
    <s v=""/>
    <s v=""/>
    <s v=""/>
    <s v=""/>
    <s v=""/>
    <s v=""/>
    <s v=""/>
    <s v="1&quot;"/>
    <n v="1"/>
    <s v=""/>
    <s v=""/>
    <s v=""/>
    <s v=""/>
    <s v=""/>
    <s v=""/>
    <s v=""/>
    <s v=""/>
    <s v=""/>
    <s v=""/>
    <s v="1&quot;"/>
    <n v="1"/>
  </r>
  <r>
    <s v="N87"/>
    <s v="N94"/>
    <n v="2.17"/>
    <x v="7"/>
    <x v="0"/>
    <s v="6&quot;"/>
    <n v="1"/>
    <s v=""/>
    <s v=""/>
    <s v=""/>
    <s v=""/>
    <s v=""/>
    <s v=""/>
    <s v=""/>
    <s v=""/>
    <s v=""/>
    <s v=""/>
    <s v=""/>
    <s v=""/>
    <s v="6&quot;"/>
    <n v="1"/>
    <s v=""/>
    <s v=""/>
    <s v=""/>
    <s v=""/>
    <s v=""/>
    <s v=""/>
  </r>
  <r>
    <s v="N94"/>
    <s v="N95"/>
    <n v="48.71"/>
    <x v="0"/>
    <x v="0"/>
    <s v="6&quot;"/>
    <n v="1"/>
    <s v=""/>
    <s v=""/>
    <s v=""/>
    <s v=""/>
    <s v=""/>
    <s v=""/>
    <s v="3&quot;"/>
    <n v="1"/>
    <s v=""/>
    <s v=""/>
    <s v=""/>
    <s v=""/>
    <s v=""/>
    <s v=""/>
    <s v=""/>
    <s v=""/>
    <s v=""/>
    <s v=""/>
    <s v=""/>
    <s v=""/>
  </r>
  <r>
    <s v="N95"/>
    <s v="TP66"/>
    <n v="92.86"/>
    <x v="9"/>
    <x v="0"/>
    <s v="3&quot;"/>
    <n v="1"/>
    <s v=""/>
    <s v=""/>
    <s v=""/>
    <s v=""/>
    <s v=""/>
    <s v=""/>
    <s v="1 1/2&quot;"/>
    <n v="1"/>
    <s v=""/>
    <s v=""/>
    <s v=""/>
    <s v=""/>
    <s v=""/>
    <s v=""/>
    <s v=""/>
    <s v=""/>
    <s v=""/>
    <s v=""/>
    <s v="1 1/2&quot;"/>
    <n v="1"/>
  </r>
  <r>
    <s v="N95"/>
    <s v="N96"/>
    <n v="11.3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96"/>
    <s v="TP67"/>
    <n v="93.53"/>
    <x v="9"/>
    <x v="0"/>
    <s v="3&quot;"/>
    <n v="1"/>
    <s v=""/>
    <s v=""/>
    <s v=""/>
    <s v=""/>
    <s v=""/>
    <s v=""/>
    <s v="1 1/2&quot;"/>
    <n v="1"/>
    <s v=""/>
    <s v=""/>
    <s v=""/>
    <s v=""/>
    <s v=""/>
    <s v=""/>
    <s v=""/>
    <s v=""/>
    <s v=""/>
    <s v=""/>
    <s v="1 1/2&quot;"/>
    <n v="1"/>
  </r>
  <r>
    <s v="N96"/>
    <s v="N97"/>
    <n v="48.32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97"/>
    <s v="TP68"/>
    <n v="90.17"/>
    <x v="9"/>
    <x v="0"/>
    <s v="3&quot;"/>
    <n v="1"/>
    <s v=""/>
    <s v=""/>
    <s v=""/>
    <s v=""/>
    <s v=""/>
    <s v=""/>
    <s v="1 1/2&quot;"/>
    <n v="1"/>
    <s v=""/>
    <s v=""/>
    <s v=""/>
    <s v=""/>
    <s v=""/>
    <s v=""/>
    <s v=""/>
    <s v=""/>
    <s v=""/>
    <s v=""/>
    <s v="1 1/2&quot;"/>
    <n v="1"/>
  </r>
  <r>
    <s v="N97"/>
    <s v="N98"/>
    <n v="5.63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98"/>
    <s v="TP69"/>
    <n v="90.74"/>
    <x v="9"/>
    <x v="0"/>
    <s v="3&quot;"/>
    <n v="1"/>
    <s v=""/>
    <s v=""/>
    <s v=""/>
    <s v=""/>
    <s v=""/>
    <s v=""/>
    <s v="1 1/2&quot;"/>
    <n v="1"/>
    <s v=""/>
    <s v=""/>
    <s v=""/>
    <s v=""/>
    <s v=""/>
    <s v=""/>
    <s v=""/>
    <s v=""/>
    <s v=""/>
    <s v=""/>
    <s v="1 1/2&quot;"/>
    <n v="1"/>
  </r>
  <r>
    <s v="N98"/>
    <s v="N99"/>
    <n v="30.03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99"/>
    <s v="TP70"/>
    <n v="71.349999999999994"/>
    <x v="9"/>
    <x v="0"/>
    <s v="3&quot;"/>
    <n v="1"/>
    <s v=""/>
    <s v=""/>
    <s v=""/>
    <s v=""/>
    <s v=""/>
    <s v=""/>
    <s v="1 1/2&quot;"/>
    <n v="1"/>
    <s v=""/>
    <s v=""/>
    <s v=""/>
    <s v=""/>
    <s v=""/>
    <s v=""/>
    <s v=""/>
    <s v=""/>
    <s v=""/>
    <s v=""/>
    <s v="1 1/2&quot;"/>
    <n v="1"/>
  </r>
  <r>
    <s v="N99"/>
    <s v="N100"/>
    <n v="8.42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00"/>
    <s v="TP71"/>
    <n v="72.02"/>
    <x v="9"/>
    <x v="0"/>
    <s v=""/>
    <s v=""/>
    <s v=""/>
    <s v=""/>
    <s v=""/>
    <s v=""/>
    <s v="3&quot;"/>
    <n v="1"/>
    <s v="1 1/2&quot;"/>
    <n v="1"/>
    <s v=""/>
    <s v=""/>
    <s v=""/>
    <s v=""/>
    <s v=""/>
    <s v=""/>
    <s v=""/>
    <s v=""/>
    <s v=""/>
    <s v=""/>
    <s v="1 1/2&quot;"/>
    <n v="1"/>
  </r>
  <r>
    <s v="N94"/>
    <s v="N101"/>
    <n v="108.52"/>
    <x v="8"/>
    <x v="0"/>
    <s v="6&quot;"/>
    <n v="1"/>
    <s v=""/>
    <s v=""/>
    <s v=""/>
    <s v=""/>
    <s v=""/>
    <s v=""/>
    <s v="4&quot;"/>
    <n v="1"/>
    <s v=""/>
    <s v=""/>
    <s v=""/>
    <s v=""/>
    <s v=""/>
    <s v=""/>
    <s v=""/>
    <s v=""/>
    <s v=""/>
    <s v=""/>
    <s v=""/>
    <s v=""/>
  </r>
  <r>
    <s v="N101"/>
    <s v="N102"/>
    <n v="56.65"/>
    <x v="0"/>
    <x v="0"/>
    <s v="4&quot;"/>
    <n v="1"/>
    <s v=""/>
    <s v=""/>
    <s v=""/>
    <s v=""/>
    <s v=""/>
    <s v=""/>
    <s v="3&quot;"/>
    <n v="1"/>
    <s v=""/>
    <s v=""/>
    <s v=""/>
    <s v=""/>
    <s v=""/>
    <s v=""/>
    <s v=""/>
    <s v=""/>
    <s v=""/>
    <s v=""/>
    <s v=""/>
    <s v=""/>
  </r>
  <r>
    <s v="N102"/>
    <s v="TP72"/>
    <n v="99.1"/>
    <x v="9"/>
    <x v="0"/>
    <s v="3&quot;"/>
    <n v="1"/>
    <s v=""/>
    <s v=""/>
    <s v=""/>
    <s v=""/>
    <s v=""/>
    <s v=""/>
    <s v="1 1/2&quot;"/>
    <n v="1"/>
    <s v=""/>
    <s v=""/>
    <s v=""/>
    <s v=""/>
    <s v=""/>
    <s v=""/>
    <s v=""/>
    <s v=""/>
    <s v=""/>
    <s v=""/>
    <s v="1 1/2&quot;"/>
    <n v="1"/>
  </r>
  <r>
    <s v="N102"/>
    <s v="N647"/>
    <n v="5.83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647"/>
    <s v="N103"/>
    <n v="45.74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03"/>
    <s v="TP73"/>
    <n v="51.28"/>
    <x v="9"/>
    <x v="0"/>
    <s v="3&quot;"/>
    <n v="1"/>
    <s v=""/>
    <s v=""/>
    <s v=""/>
    <s v=""/>
    <s v=""/>
    <s v=""/>
    <s v="1 1/2&quot;"/>
    <n v="1"/>
    <s v=""/>
    <s v=""/>
    <s v=""/>
    <s v=""/>
    <s v=""/>
    <s v=""/>
    <s v=""/>
    <s v=""/>
    <s v=""/>
    <s v=""/>
    <s v="1 1/2&quot;"/>
    <n v="1"/>
  </r>
  <r>
    <s v="N103"/>
    <s v="N104"/>
    <n v="5.13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04"/>
    <s v="TP74"/>
    <n v="51.71"/>
    <x v="9"/>
    <x v="0"/>
    <s v="3&quot;"/>
    <n v="1"/>
    <s v=""/>
    <s v=""/>
    <s v=""/>
    <s v=""/>
    <s v=""/>
    <s v=""/>
    <s v="1 1/2&quot;"/>
    <n v="1"/>
    <s v=""/>
    <s v=""/>
    <s v=""/>
    <s v=""/>
    <s v=""/>
    <s v=""/>
    <s v=""/>
    <s v=""/>
    <s v=""/>
    <s v=""/>
    <s v="1 1/2&quot;"/>
    <n v="1"/>
  </r>
  <r>
    <s v="N104"/>
    <s v="N105"/>
    <n v="36.04"/>
    <x v="0"/>
    <x v="0"/>
    <s v="3&quot;"/>
    <n v="1"/>
    <s v=""/>
    <s v=""/>
    <s v=""/>
    <s v=""/>
    <s v="3&quot;"/>
    <n v="2"/>
    <s v=""/>
    <s v=""/>
    <s v=""/>
    <s v=""/>
    <s v=""/>
    <s v=""/>
    <s v=""/>
    <s v=""/>
    <s v=""/>
    <s v=""/>
    <s v=""/>
    <s v=""/>
    <s v=""/>
    <s v=""/>
  </r>
  <r>
    <s v="N105"/>
    <s v="N106"/>
    <n v="56.82"/>
    <x v="0"/>
    <x v="0"/>
    <s v="3&quot;"/>
    <n v="1"/>
    <s v=""/>
    <s v=""/>
    <s v=""/>
    <s v=""/>
    <s v="3&quot;"/>
    <n v="2"/>
    <s v=""/>
    <s v=""/>
    <s v=""/>
    <s v=""/>
    <s v=""/>
    <s v=""/>
    <s v=""/>
    <s v=""/>
    <s v=""/>
    <s v=""/>
    <s v=""/>
    <s v=""/>
    <s v=""/>
    <s v=""/>
  </r>
  <r>
    <s v="N106"/>
    <s v="N107"/>
    <n v="62.57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07"/>
    <s v="TP75"/>
    <n v="33.119999999999997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3&quot;"/>
    <n v="1"/>
  </r>
  <r>
    <s v="N107"/>
    <s v="N108"/>
    <n v="22.55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08"/>
    <s v="TP76"/>
    <n v="33.770000000000003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3&quot;"/>
    <n v="1"/>
  </r>
  <r>
    <s v="N108"/>
    <s v="N109"/>
    <n v="11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09"/>
    <s v="TP77"/>
    <n v="63.77"/>
    <x v="0"/>
    <x v="0"/>
    <s v="3&quot;"/>
    <n v="1"/>
    <s v=""/>
    <s v=""/>
    <s v=""/>
    <s v=""/>
    <s v="3&quot;"/>
    <n v="1"/>
    <s v=""/>
    <s v=""/>
    <s v=""/>
    <s v=""/>
    <s v=""/>
    <s v=""/>
    <s v=""/>
    <s v=""/>
    <s v=""/>
    <s v=""/>
    <s v=""/>
    <s v=""/>
    <s v="3&quot;"/>
    <n v="1"/>
  </r>
  <r>
    <s v="N109"/>
    <s v="N110"/>
    <n v="73.45"/>
    <x v="0"/>
    <x v="0"/>
    <s v="3&quot;"/>
    <n v="1"/>
    <s v=""/>
    <s v=""/>
    <s v=""/>
    <s v=""/>
    <s v="3&quot;"/>
    <n v="1"/>
    <s v=""/>
    <s v=""/>
    <s v=""/>
    <s v=""/>
    <s v=""/>
    <s v=""/>
    <s v=""/>
    <s v=""/>
    <s v=""/>
    <s v=""/>
    <s v=""/>
    <s v=""/>
    <s v=""/>
    <s v=""/>
  </r>
  <r>
    <s v="N106"/>
    <s v="N110"/>
    <n v="23.3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10"/>
    <s v="N111"/>
    <n v="79.27"/>
    <x v="0"/>
    <x v="0"/>
    <s v="3&quot;"/>
    <n v="1"/>
    <s v=""/>
    <s v=""/>
    <s v=""/>
    <s v=""/>
    <s v="3&quot;"/>
    <n v="1"/>
    <s v=""/>
    <s v=""/>
    <s v=""/>
    <s v=""/>
    <s v=""/>
    <s v=""/>
    <s v=""/>
    <s v=""/>
    <s v=""/>
    <s v=""/>
    <s v=""/>
    <s v=""/>
    <s v=""/>
    <s v=""/>
  </r>
  <r>
    <s v="N111"/>
    <s v="N112"/>
    <n v="48.5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12"/>
    <s v="TP78"/>
    <n v="38.35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3&quot;"/>
    <n v="1"/>
  </r>
  <r>
    <s v="N105"/>
    <s v="N113"/>
    <n v="49.01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13"/>
    <s v="TP79"/>
    <n v="41.23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3&quot;"/>
    <n v="1"/>
  </r>
  <r>
    <s v="N113"/>
    <s v="N111"/>
    <n v="45.29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12"/>
    <s v="TP80"/>
    <n v="121.05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3&quot;"/>
    <n v="1"/>
  </r>
  <r>
    <s v="N647"/>
    <s v="N114"/>
    <n v="57.31"/>
    <x v="9"/>
    <x v="0"/>
    <s v="3&quot;"/>
    <n v="1"/>
    <s v=""/>
    <s v=""/>
    <s v=""/>
    <s v=""/>
    <s v=""/>
    <s v=""/>
    <s v="1 1/2&quot;"/>
    <n v="1"/>
    <s v=""/>
    <s v=""/>
    <s v=""/>
    <s v=""/>
    <s v=""/>
    <s v=""/>
    <s v=""/>
    <s v=""/>
    <s v=""/>
    <s v=""/>
    <s v=""/>
    <s v=""/>
  </r>
  <r>
    <s v="N114"/>
    <s v="TP81"/>
    <n v="67.44"/>
    <x v="9"/>
    <x v="0"/>
    <s v="1 1/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1 1/2&quot;"/>
    <n v="1"/>
  </r>
  <r>
    <s v="N114"/>
    <s v="TP82"/>
    <n v="75.11"/>
    <x v="9"/>
    <x v="0"/>
    <s v="1 1/2&quot;"/>
    <n v="1"/>
    <s v=""/>
    <s v=""/>
    <s v=""/>
    <s v=""/>
    <s v="1 1/2&quot;"/>
    <n v="1"/>
    <s v=""/>
    <s v=""/>
    <s v=""/>
    <s v=""/>
    <s v=""/>
    <s v=""/>
    <s v=""/>
    <s v=""/>
    <s v=""/>
    <s v=""/>
    <s v=""/>
    <s v=""/>
    <s v="1 1/2&quot;"/>
    <n v="1"/>
  </r>
  <r>
    <s v="N101"/>
    <s v="N115"/>
    <n v="44.32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15"/>
    <s v="N116"/>
    <n v="19.53"/>
    <x v="1"/>
    <x v="0"/>
    <s v="4&quot;"/>
    <n v="1"/>
    <s v=""/>
    <s v=""/>
    <s v=""/>
    <s v=""/>
    <s v=""/>
    <s v=""/>
    <s v="2&quot;"/>
    <n v="1"/>
    <s v=""/>
    <s v=""/>
    <s v=""/>
    <s v=""/>
    <s v="2&quot;"/>
    <n v="1"/>
    <s v=""/>
    <s v=""/>
    <s v=""/>
    <s v=""/>
    <s v=""/>
    <s v=""/>
  </r>
  <r>
    <s v="N116"/>
    <s v="TP83"/>
    <n v="39.409999999999997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116"/>
    <s v="N117"/>
    <n v="36.479999999999997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17"/>
    <s v="TP84"/>
    <n v="229.38"/>
    <x v="1"/>
    <x v="0"/>
    <s v="2&quot;"/>
    <n v="1"/>
    <s v=""/>
    <s v=""/>
    <s v=""/>
    <s v=""/>
    <s v=""/>
    <s v=""/>
    <s v=""/>
    <s v=""/>
    <s v=""/>
    <s v=""/>
    <s v=""/>
    <s v=""/>
    <s v="2&quot;"/>
    <n v="1"/>
    <s v=""/>
    <s v=""/>
    <s v=""/>
    <s v=""/>
    <s v="2&quot;"/>
    <n v="1"/>
  </r>
  <r>
    <s v="N117"/>
    <s v="TP85"/>
    <n v="18.36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115"/>
    <s v="N118"/>
    <n v="57.24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18"/>
    <s v="N119"/>
    <n v="44.33"/>
    <x v="0"/>
    <x v="0"/>
    <s v="4&quot;"/>
    <n v="1"/>
    <s v=""/>
    <s v=""/>
    <s v=""/>
    <s v=""/>
    <s v=""/>
    <s v=""/>
    <s v="3&quot;"/>
    <n v="1"/>
    <s v=""/>
    <s v=""/>
    <s v=""/>
    <s v=""/>
    <s v="3&quot;"/>
    <n v="1"/>
    <s v=""/>
    <s v=""/>
    <s v=""/>
    <s v=""/>
    <s v=""/>
    <s v=""/>
  </r>
  <r>
    <s v="N118"/>
    <s v="N120"/>
    <n v="206.59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78"/>
    <s v="CQ4"/>
    <n v="10.11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CQ4"/>
    <s v="N121"/>
    <n v="311.98"/>
    <x v="7"/>
    <x v="0"/>
    <s v=""/>
    <s v=""/>
    <s v=""/>
    <s v=""/>
    <s v=""/>
    <s v=""/>
    <s v="6&quot;"/>
    <n v="1"/>
    <s v=""/>
    <s v=""/>
    <s v=""/>
    <s v=""/>
    <s v=""/>
    <s v=""/>
    <s v=""/>
    <s v=""/>
    <s v=""/>
    <s v=""/>
    <s v=""/>
    <s v=""/>
    <s v=""/>
    <s v=""/>
  </r>
  <r>
    <s v="N121"/>
    <s v="N122"/>
    <n v="6.53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  <s v="6&quot;"/>
    <n v="1"/>
    <s v=""/>
    <s v=""/>
  </r>
  <r>
    <s v="N122"/>
    <s v="N123"/>
    <n v="45.96"/>
    <x v="0"/>
    <x v="0"/>
    <s v="6&quot;"/>
    <n v="1"/>
    <s v=""/>
    <s v=""/>
    <s v=""/>
    <s v=""/>
    <s v=""/>
    <s v=""/>
    <s v="3&quot;"/>
    <n v="1"/>
    <s v=""/>
    <s v=""/>
    <s v=""/>
    <s v=""/>
    <s v=""/>
    <s v=""/>
    <s v=""/>
    <s v=""/>
    <s v=""/>
    <s v=""/>
    <s v=""/>
    <s v=""/>
  </r>
  <r>
    <s v="N123"/>
    <s v="TP86"/>
    <n v="54.86"/>
    <x v="6"/>
    <x v="0"/>
    <s v=""/>
    <s v=""/>
    <s v=""/>
    <s v=""/>
    <s v=""/>
    <s v=""/>
    <s v="1&quot;"/>
    <n v="2"/>
    <s v="1&quot;"/>
    <n v="1"/>
    <s v=""/>
    <s v=""/>
    <s v=""/>
    <s v=""/>
    <s v=""/>
    <s v=""/>
    <s v=""/>
    <s v=""/>
    <s v=""/>
    <s v=""/>
    <s v="1&quot;"/>
    <n v="1"/>
  </r>
  <r>
    <s v="N121"/>
    <s v="N124"/>
    <n v="46.81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24"/>
    <s v="TP87"/>
    <n v="14.4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6&quot;"/>
    <n v="1"/>
  </r>
  <r>
    <s v="N124"/>
    <s v="N125"/>
    <n v="209.42"/>
    <x v="7"/>
    <x v="0"/>
    <s v="6&quot;"/>
    <n v="1"/>
    <s v=""/>
    <s v=""/>
    <s v=""/>
    <s v=""/>
    <s v="6&quot;"/>
    <n v="1"/>
    <s v=""/>
    <s v=""/>
    <s v=""/>
    <s v=""/>
    <s v=""/>
    <s v=""/>
    <s v=""/>
    <s v=""/>
    <s v=""/>
    <s v=""/>
    <s v=""/>
    <s v=""/>
    <s v=""/>
    <s v=""/>
  </r>
  <r>
    <s v="N125"/>
    <s v="TP88"/>
    <n v="281.82"/>
    <x v="1"/>
    <x v="0"/>
    <s v="6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125"/>
    <s v="N126"/>
    <n v="33.86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26"/>
    <s v="N127"/>
    <n v="67.27"/>
    <x v="0"/>
    <x v="2"/>
    <s v="6&quot;"/>
    <n v="1"/>
    <s v=""/>
    <s v=""/>
    <s v=""/>
    <s v=""/>
    <s v=""/>
    <s v=""/>
    <s v="3&quot;"/>
    <n v="1"/>
    <s v=""/>
    <s v=""/>
    <s v=""/>
    <s v=""/>
    <s v=""/>
    <s v=""/>
    <s v=""/>
    <s v=""/>
    <s v=""/>
    <s v=""/>
    <s v=""/>
    <s v=""/>
  </r>
  <r>
    <s v="N127"/>
    <s v="N128"/>
    <n v="54.97"/>
    <x v="0"/>
    <x v="2"/>
    <s v="3&quot;"/>
    <n v="1"/>
    <s v=""/>
    <s v=""/>
    <s v=""/>
    <s v=""/>
    <s v=""/>
    <s v=""/>
    <s v=""/>
    <s v=""/>
    <s v=""/>
    <s v=""/>
    <s v=""/>
    <s v=""/>
    <s v="3&quot;"/>
    <n v="1"/>
    <s v=""/>
    <s v=""/>
    <s v=""/>
    <s v=""/>
    <s v=""/>
    <s v=""/>
  </r>
  <r>
    <s v="N128"/>
    <s v="TP89"/>
    <n v="94.67"/>
    <x v="0"/>
    <x v="2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3&quot;"/>
    <n v="1"/>
  </r>
  <r>
    <s v="N128"/>
    <s v="TP90"/>
    <n v="146.37"/>
    <x v="0"/>
    <x v="2"/>
    <s v="3&quot;"/>
    <n v="1"/>
    <s v=""/>
    <s v=""/>
    <s v=""/>
    <s v=""/>
    <s v="3&quot;"/>
    <n v="1"/>
    <s v=""/>
    <s v=""/>
    <s v=""/>
    <s v=""/>
    <s v=""/>
    <s v=""/>
    <s v=""/>
    <s v=""/>
    <s v=""/>
    <s v=""/>
    <s v=""/>
    <s v=""/>
    <s v="3&quot;"/>
    <n v="1"/>
  </r>
  <r>
    <s v="N127"/>
    <s v="N129"/>
    <n v="15.09"/>
    <x v="0"/>
    <x v="2"/>
    <s v="3&quot;"/>
    <n v="1"/>
    <s v=""/>
    <s v=""/>
    <s v=""/>
    <s v=""/>
    <s v=""/>
    <s v=""/>
    <s v=""/>
    <s v=""/>
    <s v=""/>
    <s v=""/>
    <s v=""/>
    <s v=""/>
    <s v="3&quot;"/>
    <n v="1"/>
    <s v=""/>
    <s v=""/>
    <s v=""/>
    <s v=""/>
    <s v=""/>
    <s v=""/>
  </r>
  <r>
    <s v="N129"/>
    <s v="TP91"/>
    <n v="164.48"/>
    <x v="1"/>
    <x v="0"/>
    <s v="3&quot;"/>
    <n v="1"/>
    <s v=""/>
    <s v=""/>
    <s v=""/>
    <s v=""/>
    <s v="2&quot;"/>
    <n v="1"/>
    <s v="2&quot;"/>
    <n v="1"/>
    <s v=""/>
    <s v=""/>
    <s v=""/>
    <s v=""/>
    <s v=""/>
    <s v=""/>
    <s v=""/>
    <s v=""/>
    <s v=""/>
    <s v=""/>
    <s v="2&quot;"/>
    <n v="1"/>
  </r>
  <r>
    <s v="N129"/>
    <s v="TP92"/>
    <n v="91.22"/>
    <x v="0"/>
    <x v="2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3&quot;"/>
    <n v="1"/>
  </r>
  <r>
    <s v="N126"/>
    <s v="N130"/>
    <n v="44.4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30"/>
    <s v="TP93"/>
    <n v="64.83"/>
    <x v="0"/>
    <x v="2"/>
    <s v="6&quot;"/>
    <n v="1"/>
    <s v=""/>
    <s v=""/>
    <s v=""/>
    <s v=""/>
    <s v=""/>
    <s v=""/>
    <s v="3&quot;"/>
    <n v="1"/>
    <s v=""/>
    <s v=""/>
    <s v=""/>
    <s v=""/>
    <s v=""/>
    <s v=""/>
    <s v=""/>
    <s v=""/>
    <s v=""/>
    <s v=""/>
    <s v="3&quot;"/>
    <n v="1"/>
  </r>
  <r>
    <s v="N130"/>
    <s v="M131"/>
    <n v="14.23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31"/>
    <s v="TP94"/>
    <n v="56.03"/>
    <x v="0"/>
    <x v="2"/>
    <s v="6&quot;"/>
    <n v="1"/>
    <s v=""/>
    <s v=""/>
    <s v=""/>
    <s v=""/>
    <s v=""/>
    <s v=""/>
    <s v="3&quot;"/>
    <n v="1"/>
    <s v=""/>
    <s v=""/>
    <s v=""/>
    <s v=""/>
    <s v=""/>
    <s v=""/>
    <s v=""/>
    <s v=""/>
    <s v=""/>
    <s v=""/>
    <s v="3&quot;"/>
    <n v="1"/>
  </r>
  <r>
    <s v="N131"/>
    <s v="N132"/>
    <n v="65.84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32"/>
    <s v="TP95"/>
    <n v="59.43"/>
    <x v="0"/>
    <x v="2"/>
    <s v="6&quot;"/>
    <n v="1"/>
    <s v=""/>
    <s v=""/>
    <s v=""/>
    <s v=""/>
    <s v=""/>
    <s v=""/>
    <s v="3&quot;"/>
    <n v="1"/>
    <s v=""/>
    <s v=""/>
    <s v=""/>
    <s v=""/>
    <s v=""/>
    <s v=""/>
    <s v=""/>
    <s v=""/>
    <s v=""/>
    <s v=""/>
    <s v="3&quot;"/>
    <n v="1"/>
  </r>
  <r>
    <s v="N132"/>
    <s v="N120"/>
    <n v="54.78"/>
    <x v="7"/>
    <x v="0"/>
    <s v="6&quot;"/>
    <n v="1"/>
    <s v=""/>
    <s v=""/>
    <s v=""/>
    <s v=""/>
    <s v=""/>
    <s v=""/>
    <s v=""/>
    <s v=""/>
    <s v=""/>
    <s v=""/>
    <s v=""/>
    <s v=""/>
    <s v="6&quot;"/>
    <n v="1"/>
    <s v=""/>
    <s v=""/>
    <s v=""/>
    <s v=""/>
    <s v=""/>
    <s v=""/>
  </r>
  <r>
    <s v="N120"/>
    <s v="N133"/>
    <n v="50.26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33"/>
    <s v="TP96"/>
    <n v="63.11"/>
    <x v="1"/>
    <x v="0"/>
    <s v="4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133"/>
    <s v="N134"/>
    <n v="57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34"/>
    <s v="N135"/>
    <n v="20.22"/>
    <x v="0"/>
    <x v="0"/>
    <s v=""/>
    <s v=""/>
    <s v=""/>
    <s v=""/>
    <s v=""/>
    <s v=""/>
    <s v=""/>
    <s v=""/>
    <s v="3&quot;"/>
    <n v="1"/>
    <s v=""/>
    <s v=""/>
    <s v=""/>
    <s v=""/>
    <s v="3&quot;"/>
    <n v="1"/>
    <s v=""/>
    <s v=""/>
    <s v=""/>
    <s v=""/>
    <s v=""/>
    <s v=""/>
  </r>
  <r>
    <s v="N76"/>
    <s v="N135"/>
    <n v="55.93"/>
    <x v="0"/>
    <x v="0"/>
    <s v=""/>
    <s v=""/>
    <s v=""/>
    <s v=""/>
    <s v=""/>
    <s v=""/>
    <s v="3&quot;"/>
    <n v="2"/>
    <s v="3&quot;"/>
    <n v="1"/>
    <s v=""/>
    <s v=""/>
    <s v=""/>
    <s v=""/>
    <s v=""/>
    <s v=""/>
    <s v=""/>
    <s v=""/>
    <s v=""/>
    <s v=""/>
    <s v=""/>
    <s v=""/>
  </r>
  <r>
    <s v="N135"/>
    <s v="N136"/>
    <n v="35.200000000000003"/>
    <x v="0"/>
    <x v="0"/>
    <s v="3&quot;"/>
    <n v="1"/>
    <s v=""/>
    <s v=""/>
    <s v=""/>
    <s v=""/>
    <s v=""/>
    <s v=""/>
    <s v=""/>
    <s v=""/>
    <s v=""/>
    <s v=""/>
    <s v=""/>
    <s v=""/>
    <s v="3&quot;"/>
    <n v="1"/>
    <s v=""/>
    <s v=""/>
    <s v=""/>
    <s v=""/>
    <s v=""/>
    <s v=""/>
  </r>
  <r>
    <s v="N136"/>
    <s v="TP97"/>
    <n v="34.369999999999997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3&quot;"/>
    <n v="1"/>
  </r>
  <r>
    <s v="N136"/>
    <s v="N137"/>
    <n v="20.57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37"/>
    <s v="N138"/>
    <n v="31.39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38"/>
    <s v="TP98"/>
    <n v="37.76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3&quot;"/>
    <n v="1"/>
  </r>
  <r>
    <s v="N138"/>
    <s v="TP99"/>
    <n v="40.71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3&quot;"/>
    <n v="1"/>
  </r>
  <r>
    <s v="N137"/>
    <s v="N139"/>
    <n v="58.95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39"/>
    <s v="N140"/>
    <n v="63.85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40"/>
    <s v="TP100"/>
    <n v="26.18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3&quot;"/>
    <n v="1"/>
  </r>
  <r>
    <s v="N140"/>
    <s v="N141"/>
    <n v="14.23"/>
    <x v="1"/>
    <x v="0"/>
    <s v="3&quot;"/>
    <n v="1"/>
    <s v=""/>
    <s v=""/>
    <s v=""/>
    <s v=""/>
    <s v=""/>
    <s v=""/>
    <s v="2&quot;"/>
    <n v="1"/>
    <s v=""/>
    <s v=""/>
    <s v=""/>
    <s v=""/>
    <s v="2&quot;"/>
    <n v="1"/>
    <s v=""/>
    <s v=""/>
    <s v=""/>
    <s v=""/>
    <s v=""/>
    <s v=""/>
  </r>
  <r>
    <s v="N141"/>
    <s v="TP101"/>
    <n v="21.96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141"/>
    <s v="N142"/>
    <n v="28.8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42"/>
    <s v="TP102"/>
    <n v="27.56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142"/>
    <s v="TP103"/>
    <n v="69.97"/>
    <x v="1"/>
    <x v="0"/>
    <s v="2&quot;"/>
    <n v="1"/>
    <s v=""/>
    <s v=""/>
    <s v=""/>
    <s v=""/>
    <s v="2&quot;"/>
    <n v="1"/>
    <s v=""/>
    <s v=""/>
    <s v=""/>
    <s v=""/>
    <s v=""/>
    <s v=""/>
    <s v=""/>
    <s v=""/>
    <s v=""/>
    <s v=""/>
    <s v=""/>
    <s v=""/>
    <s v="2&quot;"/>
    <n v="1"/>
  </r>
  <r>
    <s v="N135"/>
    <s v="N143"/>
    <n v="51.7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43"/>
    <s v="TP104"/>
    <n v="5.33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3&quot;"/>
    <n v="1"/>
  </r>
  <r>
    <s v="N143"/>
    <s v="N144"/>
    <n v="105.43"/>
    <x v="0"/>
    <x v="0"/>
    <s v="3&quot;"/>
    <n v="1"/>
    <s v=""/>
    <s v=""/>
    <s v=""/>
    <s v=""/>
    <s v="3&quot;"/>
    <n v="1"/>
    <s v=""/>
    <s v=""/>
    <s v=""/>
    <s v=""/>
    <s v=""/>
    <s v=""/>
    <s v=""/>
    <s v=""/>
    <s v=""/>
    <s v=""/>
    <s v=""/>
    <s v=""/>
    <s v=""/>
    <s v=""/>
  </r>
  <r>
    <s v="N144"/>
    <s v="N145"/>
    <n v="21.2"/>
    <x v="1"/>
    <x v="0"/>
    <s v="3&quot;"/>
    <n v="1"/>
    <s v=""/>
    <s v=""/>
    <s v=""/>
    <s v=""/>
    <s v=""/>
    <s v=""/>
    <s v="2&quot;"/>
    <n v="1"/>
    <s v=""/>
    <s v=""/>
    <s v=""/>
    <s v=""/>
    <s v="2&quot;"/>
    <n v="1"/>
    <s v=""/>
    <s v=""/>
    <s v=""/>
    <s v=""/>
    <s v=""/>
    <s v=""/>
  </r>
  <r>
    <s v="N145"/>
    <s v="TP105"/>
    <n v="80.569999999999993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145"/>
    <s v="N146"/>
    <n v="29.27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46"/>
    <s v="TP106"/>
    <n v="63.16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146"/>
    <s v="N147"/>
    <n v="37.99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47"/>
    <s v="TP107"/>
    <n v="65.91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147"/>
    <s v="TP108"/>
    <n v="124.41"/>
    <x v="1"/>
    <x v="0"/>
    <s v="2&quot;"/>
    <n v="1"/>
    <s v=""/>
    <s v=""/>
    <s v=""/>
    <s v=""/>
    <s v="2&quot;"/>
    <n v="1"/>
    <s v=""/>
    <s v=""/>
    <s v=""/>
    <s v=""/>
    <s v=""/>
    <s v=""/>
    <s v=""/>
    <s v=""/>
    <s v=""/>
    <s v=""/>
    <s v=""/>
    <s v=""/>
    <s v="2&quot;"/>
    <n v="1"/>
  </r>
  <r>
    <s v="N144"/>
    <s v="N148"/>
    <n v="113.31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39"/>
    <s v="N148"/>
    <n v="87.88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48"/>
    <s v="N149"/>
    <n v="18.82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49"/>
    <s v="TP109"/>
    <n v="51.18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149"/>
    <s v="N150"/>
    <n v="37.42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50"/>
    <s v="N151"/>
    <n v="34.89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151"/>
    <s v="TP110"/>
    <n v="23.09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151"/>
    <s v="TP111"/>
    <n v="21.51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150"/>
    <s v="N152"/>
    <n v="63.6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52"/>
    <s v="N153"/>
    <n v="90.22"/>
    <x v="8"/>
    <x v="0"/>
    <s v="3&quot;"/>
    <n v="1"/>
    <s v=""/>
    <s v=""/>
    <s v=""/>
    <s v=""/>
    <s v=""/>
    <s v=""/>
    <s v=""/>
    <s v=""/>
    <s v="4&quot;"/>
    <n v="1"/>
    <s v=""/>
    <s v=""/>
    <s v="4&quot;"/>
    <n v="1"/>
    <s v=""/>
    <s v=""/>
    <s v=""/>
    <s v=""/>
    <s v=""/>
    <s v=""/>
  </r>
  <r>
    <s v="N153"/>
    <s v="N154"/>
    <n v="7.68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54"/>
    <s v="N155"/>
    <n v="47.65"/>
    <x v="1"/>
    <x v="0"/>
    <s v="4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155"/>
    <s v="TP112"/>
    <n v="53.98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155"/>
    <s v="N156"/>
    <n v="100.34"/>
    <x v="1"/>
    <x v="0"/>
    <s v="2&quot;"/>
    <n v="1"/>
    <s v=""/>
    <s v=""/>
    <s v=""/>
    <s v=""/>
    <s v="2&quot;"/>
    <n v="1"/>
    <s v=""/>
    <s v=""/>
    <s v=""/>
    <s v=""/>
    <s v=""/>
    <s v=""/>
    <s v=""/>
    <s v=""/>
    <s v=""/>
    <s v=""/>
    <s v=""/>
    <s v=""/>
    <s v=""/>
    <s v=""/>
  </r>
  <r>
    <s v="N156"/>
    <s v="TP113"/>
    <n v="33.3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56"/>
    <s v="N157"/>
    <n v="23.13"/>
    <x v="1"/>
    <x v="0"/>
    <s v="2&quot;"/>
    <n v="1"/>
    <s v=""/>
    <s v=""/>
    <s v=""/>
    <s v=""/>
    <s v="2&quot;"/>
    <n v="2"/>
    <s v=""/>
    <s v=""/>
    <s v=""/>
    <s v=""/>
    <s v=""/>
    <s v=""/>
    <s v=""/>
    <s v=""/>
    <s v=""/>
    <s v=""/>
    <s v=""/>
    <s v=""/>
    <s v=""/>
    <s v=""/>
  </r>
  <r>
    <s v="N157"/>
    <s v="TP114"/>
    <n v="24.04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157"/>
    <s v="TP115"/>
    <n v="27.52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153"/>
    <s v="N158"/>
    <n v="38.96"/>
    <x v="0"/>
    <x v="0"/>
    <s v="4&quot;"/>
    <n v="1"/>
    <s v=""/>
    <s v=""/>
    <s v=""/>
    <s v=""/>
    <s v=""/>
    <s v=""/>
    <s v="3&quot;"/>
    <n v="1"/>
    <s v=""/>
    <s v=""/>
    <s v=""/>
    <s v=""/>
    <s v=""/>
    <s v=""/>
    <s v=""/>
    <s v=""/>
    <s v=""/>
    <s v=""/>
    <s v=""/>
    <s v=""/>
  </r>
  <r>
    <s v="N158"/>
    <s v="N159"/>
    <n v="58.72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59"/>
    <s v="TP116"/>
    <n v="34.590000000000003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159"/>
    <s v="N160"/>
    <n v="5.4"/>
    <x v="0"/>
    <x v="0"/>
    <s v="3&quot;"/>
    <n v="1"/>
    <s v=""/>
    <s v=""/>
    <s v=""/>
    <s v=""/>
    <s v="3&quot;"/>
    <n v="1"/>
    <s v=""/>
    <s v=""/>
    <s v=""/>
    <s v=""/>
    <s v=""/>
    <s v=""/>
    <s v=""/>
    <s v=""/>
    <s v=""/>
    <s v=""/>
    <s v=""/>
    <s v=""/>
    <s v=""/>
    <s v=""/>
  </r>
  <r>
    <s v="N160"/>
    <s v="TP117"/>
    <n v="65.08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160"/>
    <s v="N161"/>
    <n v="86.95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61"/>
    <s v="TP118"/>
    <n v="141.99"/>
    <x v="1"/>
    <x v="0"/>
    <s v="3&quot;"/>
    <n v="1"/>
    <s v=""/>
    <s v=""/>
    <s v=""/>
    <s v=""/>
    <s v="2&quot;"/>
    <n v="1"/>
    <s v="2&quot;"/>
    <n v="1"/>
    <s v=""/>
    <s v=""/>
    <s v=""/>
    <s v=""/>
    <s v=""/>
    <s v=""/>
    <s v=""/>
    <s v=""/>
    <s v=""/>
    <s v=""/>
    <s v="2&quot;"/>
    <n v="1"/>
  </r>
  <r>
    <s v="N161"/>
    <s v="N162"/>
    <n v="50.04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62"/>
    <s v="TP119"/>
    <n v="64.650000000000006"/>
    <x v="1"/>
    <x v="0"/>
    <s v="3&quot;"/>
    <n v="1"/>
    <s v=""/>
    <s v=""/>
    <s v=""/>
    <s v=""/>
    <s v=""/>
    <s v=""/>
    <s v="2&quot;"/>
    <n v="1"/>
    <s v=""/>
    <s v=""/>
    <s v=""/>
    <s v=""/>
    <s v="2&quot;"/>
    <n v="1"/>
    <s v=""/>
    <s v=""/>
    <s v=""/>
    <s v=""/>
    <s v="2&quot;"/>
    <n v="1"/>
  </r>
  <r>
    <s v="N162"/>
    <s v="N163"/>
    <n v="92.99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163"/>
    <s v="TP120"/>
    <n v="211.78"/>
    <x v="1"/>
    <x v="0"/>
    <s v="2&quot;"/>
    <n v="1"/>
    <s v=""/>
    <s v=""/>
    <s v=""/>
    <s v=""/>
    <s v="2&quot;"/>
    <n v="2"/>
    <s v=""/>
    <s v=""/>
    <s v=""/>
    <s v=""/>
    <s v=""/>
    <s v=""/>
    <s v=""/>
    <s v=""/>
    <s v=""/>
    <s v=""/>
    <s v=""/>
    <s v=""/>
    <s v="2&quot;"/>
    <n v="1"/>
  </r>
  <r>
    <s v="N163"/>
    <s v="N164"/>
    <n v="9.5"/>
    <x v="1"/>
    <x v="0"/>
    <s v="2&quot;"/>
    <n v="1"/>
    <s v=""/>
    <s v=""/>
    <s v=""/>
    <s v=""/>
    <s v="2&quot;"/>
    <n v="1"/>
    <s v=""/>
    <s v=""/>
    <s v=""/>
    <s v=""/>
    <s v=""/>
    <s v=""/>
    <s v="2&quot;"/>
    <n v="1"/>
    <s v=""/>
    <s v=""/>
    <s v=""/>
    <s v=""/>
    <s v=""/>
    <s v=""/>
  </r>
  <r>
    <s v="N164"/>
    <s v="TP121"/>
    <n v="73.48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164"/>
    <s v="TP122"/>
    <n v="126.32"/>
    <x v="1"/>
    <x v="0"/>
    <s v="2&quot;"/>
    <n v="1"/>
    <s v=""/>
    <s v=""/>
    <s v=""/>
    <s v=""/>
    <s v="2&quot;"/>
    <n v="1"/>
    <s v=""/>
    <s v=""/>
    <s v=""/>
    <s v=""/>
    <s v=""/>
    <s v=""/>
    <s v=""/>
    <s v=""/>
    <s v=""/>
    <s v=""/>
    <s v=""/>
    <s v=""/>
    <s v=""/>
    <s v=""/>
  </r>
  <r>
    <s v="N158"/>
    <s v="N165"/>
    <n v="407.28"/>
    <x v="8"/>
    <x v="0"/>
    <s v="3&quot;"/>
    <n v="1"/>
    <s v=""/>
    <s v=""/>
    <s v=""/>
    <s v=""/>
    <s v="4&quot;"/>
    <n v="3"/>
    <s v=""/>
    <s v=""/>
    <s v="4&quot;"/>
    <n v="1"/>
    <s v=""/>
    <s v=""/>
    <s v="4&quot;"/>
    <n v="1"/>
    <s v=""/>
    <s v=""/>
    <s v=""/>
    <s v=""/>
    <s v=""/>
    <s v=""/>
  </r>
  <r>
    <s v="N154"/>
    <s v="N166"/>
    <n v="75.709999999999994"/>
    <x v="1"/>
    <x v="0"/>
    <s v="2&quot;"/>
    <n v="1"/>
    <s v=""/>
    <s v=""/>
    <s v=""/>
    <s v=""/>
    <s v="2&quot;"/>
    <n v="1"/>
    <s v=""/>
    <s v=""/>
    <s v=""/>
    <s v=""/>
    <s v=""/>
    <s v=""/>
    <s v=""/>
    <s v=""/>
    <s v=""/>
    <s v=""/>
    <s v=""/>
    <s v=""/>
    <s v=""/>
    <s v=""/>
  </r>
  <r>
    <s v="N166"/>
    <s v="TP123"/>
    <n v="140.82"/>
    <x v="1"/>
    <x v="0"/>
    <s v="2&quot;"/>
    <n v="1"/>
    <s v=""/>
    <s v=""/>
    <s v=""/>
    <s v=""/>
    <s v="2&quot;"/>
    <n v="2"/>
    <s v=""/>
    <s v=""/>
    <s v=""/>
    <s v=""/>
    <s v=""/>
    <s v=""/>
    <s v=""/>
    <s v=""/>
    <s v=""/>
    <s v=""/>
    <s v=""/>
    <s v=""/>
    <s v="2&quot;"/>
    <n v="1"/>
  </r>
  <r>
    <s v="N166"/>
    <s v="N167"/>
    <n v="177.73"/>
    <x v="1"/>
    <x v="0"/>
    <s v="2&quot;"/>
    <n v="1"/>
    <s v=""/>
    <s v=""/>
    <s v=""/>
    <s v=""/>
    <s v="2&quot;"/>
    <n v="2"/>
    <s v=""/>
    <s v=""/>
    <s v=""/>
    <s v=""/>
    <s v=""/>
    <s v=""/>
    <s v=""/>
    <s v=""/>
    <s v=""/>
    <s v=""/>
    <s v=""/>
    <s v=""/>
    <s v=""/>
    <s v=""/>
  </r>
  <r>
    <s v="N167"/>
    <s v="TP124"/>
    <n v="61.93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167"/>
    <s v="TP125"/>
    <n v="36.67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135"/>
    <s v="N168"/>
    <n v="83.24"/>
    <x v="1"/>
    <x v="0"/>
    <s v="3&quot;"/>
    <n v="1"/>
    <s v=""/>
    <s v=""/>
    <s v=""/>
    <s v=""/>
    <s v="2&quot;"/>
    <n v="2"/>
    <s v="2&quot;"/>
    <n v="1"/>
    <s v=""/>
    <s v=""/>
    <s v=""/>
    <s v=""/>
    <s v="2&quot;"/>
    <n v="1"/>
    <s v=""/>
    <s v=""/>
    <s v=""/>
    <s v=""/>
    <s v=""/>
    <s v=""/>
  </r>
  <r>
    <s v="N168"/>
    <s v="TP126"/>
    <n v="40.68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168"/>
    <s v="TP127"/>
    <n v="95.48"/>
    <x v="1"/>
    <x v="0"/>
    <s v="2&quot;"/>
    <n v="1"/>
    <s v=""/>
    <s v=""/>
    <s v=""/>
    <s v=""/>
    <s v="2&quot;"/>
    <n v="1"/>
    <s v=""/>
    <s v=""/>
    <s v=""/>
    <s v=""/>
    <s v=""/>
    <s v=""/>
    <s v=""/>
    <s v=""/>
    <s v=""/>
    <s v=""/>
    <s v=""/>
    <s v=""/>
    <s v="2&quot;"/>
    <n v="1"/>
  </r>
  <r>
    <s v="N135"/>
    <s v="N169"/>
    <n v="3.5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T.PROGRESO2"/>
    <s v="N170"/>
    <n v="75.430000000000007"/>
    <x v="1"/>
    <x v="0"/>
    <s v=""/>
    <s v=""/>
    <s v=""/>
    <s v=""/>
    <s v=""/>
    <s v=""/>
    <s v="2&quot;"/>
    <n v="2"/>
    <s v=""/>
    <s v=""/>
    <s v=""/>
    <s v=""/>
    <s v=""/>
    <s v=""/>
    <s v=""/>
    <s v=""/>
    <s v=""/>
    <s v=""/>
    <s v=""/>
    <s v=""/>
    <s v=""/>
    <s v=""/>
  </r>
  <r>
    <s v="N170"/>
    <s v="TP128"/>
    <n v="36.94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0"/>
  </r>
  <r>
    <s v="N170"/>
    <s v="N171"/>
    <n v="106"/>
    <x v="9"/>
    <x v="0"/>
    <s v="2&quot;"/>
    <n v="1"/>
    <s v=""/>
    <s v=""/>
    <s v=""/>
    <s v=""/>
    <s v=""/>
    <s v=""/>
    <s v="1 1/2&quot;"/>
    <n v="1"/>
    <s v=""/>
    <s v=""/>
    <s v=""/>
    <s v=""/>
    <s v=""/>
    <s v=""/>
    <s v=""/>
    <s v=""/>
    <s v=""/>
    <s v=""/>
    <s v=""/>
    <s v=""/>
  </r>
  <r>
    <s v="N171"/>
    <s v="TP129"/>
    <n v="107.63"/>
    <x v="9"/>
    <x v="0"/>
    <s v="1 1/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1 1/2&quot;"/>
    <n v="1"/>
  </r>
  <r>
    <s v="N171"/>
    <s v="N172"/>
    <n v="51"/>
    <x v="9"/>
    <x v="0"/>
    <s v="1 1/2&quot;"/>
    <n v="1"/>
    <s v=""/>
    <s v=""/>
    <s v=""/>
    <s v=""/>
    <s v=""/>
    <s v=""/>
    <s v="1 1/2&quot;"/>
    <n v="1"/>
    <s v=""/>
    <s v=""/>
    <s v=""/>
    <s v=""/>
    <s v=""/>
    <s v=""/>
    <s v=""/>
    <s v=""/>
    <s v=""/>
    <s v=""/>
    <s v=""/>
    <s v=""/>
  </r>
  <r>
    <s v="N172"/>
    <s v="TP130"/>
    <n v="56.01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172"/>
    <s v="N173"/>
    <n v="41.98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73"/>
    <s v="TP131"/>
    <n v="21.55"/>
    <x v="9"/>
    <x v="0"/>
    <s v="2&quot;"/>
    <n v="1"/>
    <s v=""/>
    <s v=""/>
    <s v=""/>
    <s v=""/>
    <s v=""/>
    <s v=""/>
    <s v="1 1/2&quot;"/>
    <n v="1"/>
    <s v=""/>
    <s v=""/>
    <s v=""/>
    <s v=""/>
    <s v=""/>
    <s v=""/>
    <s v=""/>
    <s v=""/>
    <s v=""/>
    <s v=""/>
    <s v="1 1/2&quot;"/>
    <n v="1"/>
  </r>
  <r>
    <s v="N173"/>
    <s v="N174"/>
    <n v="107.25"/>
    <x v="1"/>
    <x v="0"/>
    <s v="2&quot;"/>
    <n v="1"/>
    <s v=""/>
    <s v=""/>
    <s v=""/>
    <s v=""/>
    <s v="2&quot;"/>
    <n v="1"/>
    <s v=""/>
    <s v=""/>
    <s v=""/>
    <s v=""/>
    <s v=""/>
    <s v=""/>
    <s v=""/>
    <s v=""/>
    <s v=""/>
    <s v=""/>
    <s v=""/>
    <s v=""/>
    <s v=""/>
    <s v=""/>
  </r>
  <r>
    <s v="N174"/>
    <s v="N175"/>
    <n v="70.02"/>
    <x v="9"/>
    <x v="0"/>
    <s v="2&quot;"/>
    <n v="1"/>
    <s v=""/>
    <s v=""/>
    <s v=""/>
    <s v=""/>
    <s v=""/>
    <s v=""/>
    <s v="1 1/2&quot;"/>
    <n v="1"/>
    <s v=""/>
    <s v=""/>
    <s v=""/>
    <s v=""/>
    <s v=""/>
    <s v=""/>
    <s v=""/>
    <s v=""/>
    <s v=""/>
    <s v=""/>
    <s v=""/>
    <s v=""/>
  </r>
  <r>
    <s v="N175"/>
    <s v="TP132"/>
    <n v="56.24"/>
    <x v="9"/>
    <x v="0"/>
    <s v="1 1/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1 1/2&quot;"/>
    <n v="1"/>
  </r>
  <r>
    <s v="N175"/>
    <s v="TP133"/>
    <n v="59.23"/>
    <x v="9"/>
    <x v="0"/>
    <s v="1 1/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1 1/2&quot;"/>
    <n v="1"/>
  </r>
  <r>
    <s v="N174"/>
    <s v="N176"/>
    <n v="163.18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76"/>
    <s v="TP134"/>
    <n v="121.98"/>
    <x v="9"/>
    <x v="0"/>
    <s v="2&quot;"/>
    <n v="1"/>
    <s v=""/>
    <s v=""/>
    <s v=""/>
    <s v=""/>
    <s v="1 1/2&quot;"/>
    <n v="1"/>
    <s v="1 1/2&quot;"/>
    <n v="1"/>
    <s v=""/>
    <s v=""/>
    <s v=""/>
    <s v=""/>
    <s v=""/>
    <s v=""/>
    <s v=""/>
    <s v=""/>
    <s v=""/>
    <s v=""/>
    <s v="1 1/2&quot;"/>
    <n v="1"/>
  </r>
  <r>
    <s v="N176"/>
    <s v="N177"/>
    <n v="125.93"/>
    <x v="9"/>
    <x v="0"/>
    <s v="2&quot;"/>
    <n v="1"/>
    <s v=""/>
    <s v=""/>
    <s v=""/>
    <s v=""/>
    <s v=""/>
    <s v=""/>
    <s v="1 1/2&quot;"/>
    <n v="1"/>
    <s v=""/>
    <s v=""/>
    <s v=""/>
    <s v=""/>
    <s v=""/>
    <s v=""/>
    <s v=""/>
    <s v=""/>
    <s v=""/>
    <s v=""/>
    <s v=""/>
    <s v=""/>
  </r>
  <r>
    <s v="N177"/>
    <s v="T.PROGRESO1"/>
    <n v="3.11"/>
    <x v="9"/>
    <x v="0"/>
    <s v="1 1/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77"/>
    <s v="TP135"/>
    <n v="116.71"/>
    <x v="10"/>
    <x v="0"/>
    <s v="1 1/2&quot;"/>
    <n v="1"/>
    <s v=""/>
    <s v=""/>
    <s v=""/>
    <s v=""/>
    <s v=""/>
    <s v=""/>
    <s v="1/2&quot;"/>
    <n v="1"/>
    <s v=""/>
    <s v=""/>
    <s v=""/>
    <s v=""/>
    <s v=""/>
    <s v=""/>
    <s v=""/>
    <s v=""/>
    <s v=""/>
    <s v=""/>
    <s v="1/2&quot;"/>
    <n v="1"/>
  </r>
  <r>
    <s v="T.PROGRESO2"/>
    <s v="T.PROGRESO1"/>
    <n v="269.97000000000003"/>
    <x v="11"/>
    <x v="0"/>
    <s v=""/>
    <s v=""/>
    <s v=""/>
    <s v=""/>
    <s v=""/>
    <s v=""/>
    <s v="2 1/2&quot;"/>
    <n v="6"/>
    <s v=""/>
    <s v=""/>
    <s v=""/>
    <s v=""/>
    <s v=""/>
    <s v=""/>
    <s v=""/>
    <s v=""/>
    <s v=""/>
    <s v=""/>
    <s v=""/>
    <s v=""/>
    <s v=""/>
    <s v=""/>
  </r>
  <r>
    <s v="T.PROGRESO1"/>
    <s v="N178"/>
    <n v="4.13"/>
    <x v="1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78"/>
    <s v="N179"/>
    <n v="27.7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79"/>
    <s v="N180"/>
    <n v="71.38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80"/>
    <s v="TP136"/>
    <n v="25.76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180"/>
    <s v="TP137"/>
    <n v="40.119999999999997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179"/>
    <s v="N181"/>
    <n v="128.84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81"/>
    <s v="TP138"/>
    <n v="68.709999999999994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181"/>
    <s v="TP139"/>
    <n v="136.31"/>
    <x v="1"/>
    <x v="0"/>
    <s v="2&quot;"/>
    <n v="1"/>
    <s v=""/>
    <s v=""/>
    <s v=""/>
    <s v=""/>
    <s v="2&quot;"/>
    <n v="3"/>
    <s v=""/>
    <s v=""/>
    <s v=""/>
    <s v=""/>
    <s v=""/>
    <s v=""/>
    <s v=""/>
    <s v=""/>
    <s v=""/>
    <s v=""/>
    <s v=""/>
    <s v=""/>
    <s v="2&quot;"/>
    <n v="1"/>
  </r>
  <r>
    <s v="N178"/>
    <s v="N182"/>
    <n v="449.12"/>
    <x v="9"/>
    <x v="0"/>
    <s v="2&quot;"/>
    <n v="1"/>
    <s v=""/>
    <s v=""/>
    <s v=""/>
    <s v=""/>
    <s v="1 1/2&quot;"/>
    <n v="1"/>
    <s v="1 1/2&quot;"/>
    <n v="1"/>
    <s v=""/>
    <s v=""/>
    <s v=""/>
    <s v=""/>
    <s v=""/>
    <s v=""/>
    <s v=""/>
    <s v=""/>
    <s v=""/>
    <s v=""/>
    <s v=""/>
    <s v=""/>
  </r>
  <r>
    <s v="N182"/>
    <s v="TP140"/>
    <n v="39.049999999999997"/>
    <x v="1"/>
    <x v="0"/>
    <s v="1 1/2&quot;"/>
    <n v="1"/>
    <s v=""/>
    <s v=""/>
    <s v=""/>
    <s v=""/>
    <s v=""/>
    <s v=""/>
    <s v=""/>
    <s v=""/>
    <s v="2&quot;"/>
    <n v="1"/>
    <s v=""/>
    <s v=""/>
    <s v=""/>
    <s v=""/>
    <s v=""/>
    <s v=""/>
    <s v=""/>
    <s v=""/>
    <s v="2&quot;"/>
    <n v="1"/>
  </r>
  <r>
    <s v="N182"/>
    <s v="TP141"/>
    <n v="199.22"/>
    <x v="9"/>
    <x v="0"/>
    <s v="1 1/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1 1/2&quot;"/>
    <n v="1"/>
  </r>
  <r>
    <s v="T.PROGRESO1"/>
    <s v="E.B.2"/>
    <n v="769.04"/>
    <x v="11"/>
    <x v="0"/>
    <s v=""/>
    <s v=""/>
    <s v=""/>
    <s v=""/>
    <s v=""/>
    <s v=""/>
    <s v="2 1/2&quot;"/>
    <n v="3"/>
    <s v=""/>
    <s v=""/>
    <s v=""/>
    <s v=""/>
    <s v=""/>
    <s v=""/>
    <s v=""/>
    <s v=""/>
    <s v=""/>
    <s v=""/>
    <s v=""/>
    <s v=""/>
    <s v=""/>
    <s v=""/>
  </r>
  <r>
    <s v="E.B.2"/>
    <s v="N183"/>
    <n v="16.73"/>
    <x v="0"/>
    <x v="0"/>
    <s v=""/>
    <s v=""/>
    <s v=""/>
    <s v=""/>
    <s v=""/>
    <s v=""/>
    <s v="3&quot;"/>
    <n v="1"/>
    <s v=""/>
    <s v=""/>
    <s v=""/>
    <s v=""/>
    <s v=""/>
    <s v=""/>
    <s v=""/>
    <s v=""/>
    <s v=""/>
    <s v=""/>
    <s v=""/>
    <s v=""/>
    <s v=""/>
    <s v=""/>
  </r>
  <r>
    <s v="N183"/>
    <s v="N184"/>
    <n v="49.15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84"/>
    <s v="TP142"/>
    <n v="5.45"/>
    <x v="0"/>
    <x v="0"/>
    <s v="3&quot;"/>
    <n v="1"/>
    <s v=""/>
    <s v=""/>
    <s v=""/>
    <s v=""/>
    <s v=""/>
    <s v=""/>
    <s v=""/>
    <s v=""/>
    <s v=""/>
    <s v=""/>
    <s v=""/>
    <s v=""/>
    <s v="3&quot;"/>
    <n v="1"/>
    <s v=""/>
    <s v=""/>
    <s v=""/>
    <s v=""/>
    <s v="3&quot;"/>
    <n v="1"/>
  </r>
  <r>
    <s v="N184"/>
    <s v="N185"/>
    <n v="608.84"/>
    <x v="1"/>
    <x v="0"/>
    <s v="3&quot;"/>
    <n v="1"/>
    <s v=""/>
    <s v=""/>
    <s v=""/>
    <s v=""/>
    <s v="2&quot;"/>
    <n v="1"/>
    <s v="2&quot;"/>
    <n v="1"/>
    <s v=""/>
    <s v=""/>
    <s v=""/>
    <s v=""/>
    <s v=""/>
    <s v=""/>
    <s v=""/>
    <s v=""/>
    <s v=""/>
    <s v=""/>
    <s v=""/>
    <s v=""/>
  </r>
  <r>
    <s v="N185"/>
    <s v="TP143"/>
    <n v="204.67"/>
    <x v="1"/>
    <x v="0"/>
    <s v="2&quot;"/>
    <n v="1"/>
    <s v=""/>
    <s v=""/>
    <s v=""/>
    <s v=""/>
    <s v="2&quot;"/>
    <n v="1"/>
    <s v=""/>
    <s v=""/>
    <s v=""/>
    <s v=""/>
    <s v=""/>
    <s v=""/>
    <s v="2&quot;"/>
    <n v="1"/>
    <s v=""/>
    <s v=""/>
    <s v=""/>
    <s v=""/>
    <s v="2&quot;"/>
    <n v="1"/>
  </r>
  <r>
    <s v="N185"/>
    <s v="TP144"/>
    <n v="70.73"/>
    <x v="1"/>
    <x v="0"/>
    <s v="2&quot;"/>
    <n v="1"/>
    <s v=""/>
    <s v=""/>
    <s v=""/>
    <s v=""/>
    <s v="2&quot;"/>
    <n v="1"/>
    <s v=""/>
    <s v=""/>
    <s v=""/>
    <s v=""/>
    <s v=""/>
    <s v=""/>
    <s v=""/>
    <s v=""/>
    <s v=""/>
    <s v=""/>
    <s v=""/>
    <s v=""/>
    <s v="2&quot;"/>
    <n v="1"/>
  </r>
  <r>
    <s v="N183"/>
    <s v="N186"/>
    <n v="264.85000000000002"/>
    <x v="8"/>
    <x v="0"/>
    <s v="3&quot;"/>
    <n v="1"/>
    <s v=""/>
    <s v=""/>
    <s v=""/>
    <s v=""/>
    <s v="4&quot;"/>
    <n v="1"/>
    <s v=""/>
    <s v=""/>
    <s v="4&quot;"/>
    <n v="1"/>
    <s v=""/>
    <s v=""/>
    <s v="4&quot;"/>
    <n v="1"/>
    <s v=""/>
    <s v=""/>
    <s v=""/>
    <s v=""/>
    <s v=""/>
    <s v=""/>
  </r>
  <r>
    <s v="N186"/>
    <s v="N187"/>
    <n v="75.06"/>
    <x v="0"/>
    <x v="0"/>
    <s v="4&quot;"/>
    <n v="1"/>
    <s v=""/>
    <s v=""/>
    <s v=""/>
    <s v=""/>
    <s v=""/>
    <s v=""/>
    <s v="3&quot;"/>
    <n v="1"/>
    <s v=""/>
    <s v=""/>
    <s v=""/>
    <s v=""/>
    <s v="3&quot;"/>
    <n v="1"/>
    <s v=""/>
    <s v=""/>
    <s v=""/>
    <s v=""/>
    <s v=""/>
    <s v=""/>
  </r>
  <r>
    <s v="N187"/>
    <s v="N188"/>
    <n v="91.35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87"/>
    <s v="N189"/>
    <n v="165.78"/>
    <x v="0"/>
    <x v="0"/>
    <s v="3&quot;"/>
    <n v="1"/>
    <s v=""/>
    <s v=""/>
    <s v=""/>
    <s v=""/>
    <s v="3&quot;"/>
    <n v="1"/>
    <s v=""/>
    <s v=""/>
    <s v=""/>
    <s v=""/>
    <s v=""/>
    <s v=""/>
    <s v=""/>
    <s v=""/>
    <s v=""/>
    <s v=""/>
    <s v=""/>
    <s v=""/>
    <s v=""/>
    <s v=""/>
  </r>
  <r>
    <s v="N188"/>
    <s v="N189"/>
    <n v="68.739999999999995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89"/>
    <s v="N169"/>
    <n v="25.06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86"/>
    <s v="N190"/>
    <n v="120.2"/>
    <x v="0"/>
    <x v="0"/>
    <s v="4&quot;"/>
    <n v="1"/>
    <s v=""/>
    <s v=""/>
    <s v=""/>
    <s v=""/>
    <s v=""/>
    <s v=""/>
    <s v="3&quot;"/>
    <n v="1"/>
    <s v=""/>
    <s v=""/>
    <s v=""/>
    <s v=""/>
    <s v=""/>
    <s v=""/>
    <s v=""/>
    <s v=""/>
    <s v=""/>
    <s v=""/>
    <s v=""/>
    <s v=""/>
  </r>
  <r>
    <s v="N190"/>
    <s v="TP145"/>
    <n v="77.260000000000005"/>
    <x v="1"/>
    <x v="0"/>
    <s v="3&quot;"/>
    <n v="1"/>
    <s v=""/>
    <s v=""/>
    <s v=""/>
    <s v=""/>
    <s v="2&quot;"/>
    <n v="1"/>
    <s v="2&quot;"/>
    <n v="1"/>
    <s v=""/>
    <s v=""/>
    <s v=""/>
    <s v=""/>
    <s v="2&quot;"/>
    <n v="1"/>
    <s v=""/>
    <s v=""/>
    <s v=""/>
    <s v=""/>
    <s v="2&quot;"/>
    <n v="1"/>
  </r>
  <r>
    <s v="N190"/>
    <s v="N191"/>
    <n v="26.03"/>
    <x v="0"/>
    <x v="0"/>
    <s v="3&quot;"/>
    <n v="1"/>
    <s v=""/>
    <s v=""/>
    <s v=""/>
    <s v=""/>
    <s v="3&quot;"/>
    <n v="2"/>
    <s v=""/>
    <s v=""/>
    <s v=""/>
    <s v=""/>
    <s v=""/>
    <s v=""/>
    <s v=""/>
    <s v=""/>
    <s v=""/>
    <s v=""/>
    <s v=""/>
    <s v=""/>
    <s v=""/>
    <s v=""/>
  </r>
  <r>
    <s v="N188"/>
    <s v="N191"/>
    <n v="90.85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91"/>
    <s v="N192"/>
    <n v="40.299999999999997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69"/>
    <s v="N165"/>
    <n v="35.39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65"/>
    <s v="N192"/>
    <n v="122.44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92"/>
    <s v="N193"/>
    <n v="97.56"/>
    <x v="0"/>
    <x v="0"/>
    <s v="3&quot;"/>
    <n v="1"/>
    <s v=""/>
    <s v=""/>
    <s v=""/>
    <s v=""/>
    <s v=""/>
    <s v=""/>
    <s v=""/>
    <s v=""/>
    <s v=""/>
    <s v=""/>
    <s v=""/>
    <s v=""/>
    <s v="3&quot;"/>
    <n v="1"/>
    <s v=""/>
    <s v=""/>
    <s v=""/>
    <s v=""/>
    <s v=""/>
    <s v=""/>
  </r>
  <r>
    <s v="N193"/>
    <s v="N194"/>
    <n v="60.54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94"/>
    <s v="TP146"/>
    <n v="34.83"/>
    <x v="6"/>
    <x v="4"/>
    <s v="3&quot;"/>
    <n v="1"/>
    <s v=""/>
    <s v=""/>
    <s v=""/>
    <s v=""/>
    <s v=""/>
    <s v=""/>
    <s v="1&quot;"/>
    <n v="1"/>
    <s v=""/>
    <s v=""/>
    <s v=""/>
    <s v=""/>
    <s v=""/>
    <s v=""/>
    <s v=""/>
    <s v=""/>
    <s v=""/>
    <s v=""/>
    <s v="1&quot;"/>
    <n v="1"/>
  </r>
  <r>
    <s v="N194"/>
    <s v="N195"/>
    <n v="42.28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95"/>
    <s v="TP147"/>
    <n v="40.229999999999997"/>
    <x v="6"/>
    <x v="4"/>
    <s v="3&quot;"/>
    <n v="1"/>
    <s v=""/>
    <s v=""/>
    <s v=""/>
    <s v=""/>
    <s v=""/>
    <s v=""/>
    <s v="1&quot;"/>
    <n v="1"/>
    <s v=""/>
    <s v=""/>
    <s v=""/>
    <s v=""/>
    <s v=""/>
    <s v=""/>
    <s v=""/>
    <s v=""/>
    <s v=""/>
    <s v=""/>
    <s v="1&quot;"/>
    <n v="1"/>
  </r>
  <r>
    <s v="N195"/>
    <s v="N196"/>
    <n v="136.86000000000001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96"/>
    <s v="N197"/>
    <n v="69.08"/>
    <x v="1"/>
    <x v="0"/>
    <s v="3&quot;"/>
    <n v="1"/>
    <s v=""/>
    <s v=""/>
    <s v=""/>
    <s v=""/>
    <s v=""/>
    <s v=""/>
    <s v="2&quot;"/>
    <n v="1"/>
    <s v=""/>
    <s v=""/>
    <s v=""/>
    <s v=""/>
    <s v="2&quot;"/>
    <n v="1"/>
    <s v=""/>
    <s v=""/>
    <s v=""/>
    <s v=""/>
    <s v=""/>
    <s v=""/>
  </r>
  <r>
    <s v="N197"/>
    <s v="TP148"/>
    <n v="12.8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197"/>
    <s v="TP149"/>
    <n v="13.19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196"/>
    <s v="N198"/>
    <n v="159.36000000000001"/>
    <x v="0"/>
    <x v="0"/>
    <s v="3&quot;"/>
    <n v="1"/>
    <s v=""/>
    <s v=""/>
    <s v=""/>
    <s v=""/>
    <s v="3&quot;"/>
    <n v="1"/>
    <s v=""/>
    <s v=""/>
    <s v=""/>
    <s v=""/>
    <s v=""/>
    <s v=""/>
    <s v="3&quot;"/>
    <n v="1"/>
    <s v=""/>
    <s v=""/>
    <s v=""/>
    <s v=""/>
    <s v=""/>
    <s v=""/>
  </r>
  <r>
    <s v="N198"/>
    <s v="TP150"/>
    <n v="80.23"/>
    <x v="1"/>
    <x v="0"/>
    <s v="3&quot;"/>
    <n v="1"/>
    <s v=""/>
    <s v=""/>
    <s v=""/>
    <s v=""/>
    <s v=""/>
    <s v=""/>
    <s v="2&quot;"/>
    <n v="1"/>
    <s v=""/>
    <s v=""/>
    <s v=""/>
    <s v=""/>
    <s v="2&quot;"/>
    <n v="1"/>
    <s v=""/>
    <s v=""/>
    <s v=""/>
    <s v=""/>
    <s v="2&quot;"/>
    <n v="1"/>
  </r>
  <r>
    <s v="N198"/>
    <s v="N199"/>
    <n v="163.66999999999999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52"/>
    <s v="N200"/>
    <n v="44.75"/>
    <x v="0"/>
    <x v="0"/>
    <s v="3&quot;"/>
    <n v="1"/>
    <s v=""/>
    <s v=""/>
    <s v=""/>
    <s v=""/>
    <s v=""/>
    <s v=""/>
    <s v=""/>
    <s v=""/>
    <s v=""/>
    <s v=""/>
    <s v=""/>
    <s v=""/>
    <s v="3&quot;"/>
    <n v="1"/>
    <s v=""/>
    <s v=""/>
    <s v=""/>
    <s v=""/>
    <s v=""/>
    <s v=""/>
  </r>
  <r>
    <s v="N200"/>
    <s v="TP151"/>
    <n v="36.86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200"/>
    <s v="N201"/>
    <n v="122.85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01"/>
    <s v="N202"/>
    <n v="56.09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02"/>
    <s v="TP152"/>
    <n v="71.86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202"/>
    <s v="N203"/>
    <n v="44.44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03"/>
    <s v="TP153"/>
    <n v="64.63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203"/>
    <s v="N204"/>
    <n v="20.96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04"/>
    <s v="TP154"/>
    <n v="20.28"/>
    <x v="1"/>
    <x v="0"/>
    <s v="3&quot;"/>
    <n v="1"/>
    <s v=""/>
    <s v=""/>
    <s v=""/>
    <s v=""/>
    <s v=""/>
    <s v=""/>
    <s v="2&quot;"/>
    <n v="1"/>
    <s v=""/>
    <s v=""/>
    <s v=""/>
    <s v=""/>
    <s v="2&quot;"/>
    <n v="1"/>
    <s v=""/>
    <s v=""/>
    <s v=""/>
    <s v=""/>
    <s v="2&quot;"/>
    <n v="1"/>
  </r>
  <r>
    <s v="N204"/>
    <s v="N205"/>
    <n v="26.62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05"/>
    <s v="TP155"/>
    <n v="61.35"/>
    <x v="9"/>
    <x v="0"/>
    <s v="3&quot;"/>
    <n v="1"/>
    <s v=""/>
    <s v=""/>
    <s v=""/>
    <s v=""/>
    <s v=""/>
    <s v=""/>
    <s v="1 1/2&quot;"/>
    <n v="1"/>
    <s v=""/>
    <s v=""/>
    <s v=""/>
    <s v=""/>
    <s v=""/>
    <s v=""/>
    <s v=""/>
    <s v=""/>
    <s v=""/>
    <s v=""/>
    <s v="1 1/2&quot;"/>
    <n v="1"/>
  </r>
  <r>
    <s v="N205"/>
    <s v="N206"/>
    <n v="11.88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06"/>
    <s v="N207"/>
    <n v="21"/>
    <x v="1"/>
    <x v="0"/>
    <s v="3&quot;"/>
    <n v="1"/>
    <s v=""/>
    <s v=""/>
    <s v="2&quot;"/>
    <n v="1"/>
    <s v=""/>
    <s v=""/>
    <s v="2&quot;"/>
    <n v="1"/>
    <s v=""/>
    <s v=""/>
    <s v=""/>
    <s v=""/>
    <s v=""/>
    <s v=""/>
    <s v=""/>
    <s v=""/>
    <s v=""/>
    <s v=""/>
    <s v=""/>
    <s v=""/>
  </r>
  <r>
    <s v="N206"/>
    <s v="N208"/>
    <n v="32.17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08"/>
    <s v="TP156"/>
    <n v="54.67"/>
    <x v="1"/>
    <x v="0"/>
    <s v="3&quot;"/>
    <n v="1"/>
    <s v=""/>
    <s v=""/>
    <s v=""/>
    <s v=""/>
    <s v=""/>
    <s v=""/>
    <s v="2&quot;"/>
    <n v="1"/>
    <s v=""/>
    <s v=""/>
    <s v=""/>
    <s v=""/>
    <s v="2&quot;"/>
    <n v="1"/>
    <s v=""/>
    <s v=""/>
    <s v=""/>
    <s v=""/>
    <s v="2&quot;"/>
    <n v="1"/>
  </r>
  <r>
    <s v="N208"/>
    <s v="N209"/>
    <n v="100.62"/>
    <x v="0"/>
    <x v="0"/>
    <s v="3&quot;"/>
    <n v="1"/>
    <s v=""/>
    <s v=""/>
    <s v=""/>
    <s v=""/>
    <s v=""/>
    <s v=""/>
    <s v="3&quot;"/>
    <n v="1"/>
    <s v=""/>
    <s v=""/>
    <s v=""/>
    <s v=""/>
    <s v="3&quot;"/>
    <n v="2"/>
    <s v=""/>
    <s v=""/>
    <s v=""/>
    <s v=""/>
    <s v=""/>
    <s v=""/>
  </r>
  <r>
    <s v="N201"/>
    <s v="N210"/>
    <n v="54.97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10"/>
    <s v="N211"/>
    <n v="245.47"/>
    <x v="1"/>
    <x v="0"/>
    <s v="3&quot;"/>
    <n v="1"/>
    <s v=""/>
    <s v=""/>
    <s v=""/>
    <s v=""/>
    <s v=""/>
    <s v=""/>
    <s v="2&quot;"/>
    <n v="2"/>
    <s v=""/>
    <s v=""/>
    <s v=""/>
    <s v=""/>
    <s v=""/>
    <s v=""/>
    <s v=""/>
    <s v=""/>
    <s v=""/>
    <s v=""/>
    <s v=""/>
    <s v=""/>
  </r>
  <r>
    <s v="N211"/>
    <s v="N212"/>
    <n v="160.86000000000001"/>
    <x v="0"/>
    <x v="1"/>
    <s v="3&quot;"/>
    <n v="1"/>
    <s v=""/>
    <s v=""/>
    <s v=""/>
    <s v=""/>
    <s v=""/>
    <s v=""/>
    <s v=""/>
    <s v=""/>
    <s v=""/>
    <s v=""/>
    <s v=""/>
    <s v=""/>
    <s v="3&quot;"/>
    <n v="1"/>
    <s v=""/>
    <s v=""/>
    <s v=""/>
    <s v=""/>
    <s v=""/>
    <s v=""/>
  </r>
  <r>
    <s v="N212"/>
    <s v="N213"/>
    <n v="47.04"/>
    <x v="0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13"/>
    <s v="TP157"/>
    <n v="122.38"/>
    <x v="1"/>
    <x v="0"/>
    <s v="3&quot;"/>
    <n v="1"/>
    <s v=""/>
    <s v=""/>
    <s v=""/>
    <s v=""/>
    <s v="2&quot;"/>
    <n v="2"/>
    <s v="2&quot;"/>
    <n v="1"/>
    <s v=""/>
    <s v=""/>
    <s v=""/>
    <s v=""/>
    <s v=""/>
    <s v=""/>
    <s v=""/>
    <s v=""/>
    <s v=""/>
    <s v=""/>
    <s v="2&quot;"/>
    <n v="1"/>
  </r>
  <r>
    <s v="N213"/>
    <s v="N214"/>
    <n v="46.62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14"/>
    <s v="TP158"/>
    <n v="22.03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3&quot;"/>
    <n v="1"/>
  </r>
  <r>
    <s v="N214"/>
    <s v="N215"/>
    <n v="45.51"/>
    <x v="0"/>
    <x v="0"/>
    <s v="3&quot;"/>
    <n v="1"/>
    <s v=""/>
    <s v=""/>
    <s v=""/>
    <s v=""/>
    <s v=""/>
    <s v=""/>
    <s v=""/>
    <s v=""/>
    <s v=""/>
    <s v=""/>
    <s v=""/>
    <s v=""/>
    <s v="3&quot;"/>
    <n v="1"/>
    <s v=""/>
    <s v=""/>
    <s v=""/>
    <s v=""/>
    <s v=""/>
    <s v=""/>
  </r>
  <r>
    <s v="N215"/>
    <s v="TP159"/>
    <n v="35.869999999999997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3&quot;"/>
    <n v="1"/>
  </r>
  <r>
    <s v="N215"/>
    <s v="N216"/>
    <n v="17.89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16"/>
    <s v="TP160"/>
    <n v="22.04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3&quot;"/>
    <n v="1"/>
  </r>
  <r>
    <s v="N216"/>
    <s v="TP161"/>
    <n v="68.55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3&quot;"/>
    <n v="1"/>
  </r>
  <r>
    <s v="N210"/>
    <s v="N217"/>
    <n v="51.29"/>
    <x v="0"/>
    <x v="0"/>
    <s v="3&quot;"/>
    <n v="1"/>
    <s v=""/>
    <s v=""/>
    <s v=""/>
    <s v=""/>
    <s v=""/>
    <s v=""/>
    <s v=""/>
    <s v=""/>
    <s v=""/>
    <s v=""/>
    <s v=""/>
    <s v=""/>
    <s v="3&quot;"/>
    <n v="1"/>
    <s v=""/>
    <s v=""/>
    <s v=""/>
    <s v=""/>
    <s v=""/>
    <s v=""/>
  </r>
  <r>
    <s v="N193"/>
    <s v="N218"/>
    <n v="116.04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18"/>
    <s v="N219"/>
    <n v="47.34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19"/>
    <s v="N220"/>
    <n v="83.29"/>
    <x v="0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20"/>
    <s v="TP162"/>
    <n v="77.27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220"/>
    <s v="N221"/>
    <n v="20.100000000000001"/>
    <x v="0"/>
    <x v="1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21"/>
    <s v="TP163"/>
    <n v="128.91999999999999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221"/>
    <s v="N199"/>
    <n v="76.05"/>
    <x v="0"/>
    <x v="1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199"/>
    <s v="N222"/>
    <n v="34.69"/>
    <x v="0"/>
    <x v="1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22"/>
    <s v="N223"/>
    <n v="89.76"/>
    <x v="0"/>
    <x v="1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23"/>
    <s v="TP164"/>
    <n v="71.09"/>
    <x v="1"/>
    <x v="0"/>
    <s v="3&quot;"/>
    <n v="1"/>
    <s v=""/>
    <s v=""/>
    <s v=""/>
    <s v=""/>
    <s v=""/>
    <s v=""/>
    <s v="2&quot;"/>
    <n v="1"/>
    <s v=""/>
    <s v=""/>
    <s v=""/>
    <s v=""/>
    <s v="2&quot;"/>
    <n v="1"/>
    <s v=""/>
    <s v=""/>
    <s v=""/>
    <s v=""/>
    <s v="2&quot;"/>
    <n v="1"/>
  </r>
  <r>
    <s v="N223"/>
    <s v="N224"/>
    <n v="110.84"/>
    <x v="0"/>
    <x v="1"/>
    <s v="3&quot;"/>
    <n v="1"/>
    <s v=""/>
    <s v=""/>
    <s v=""/>
    <s v=""/>
    <s v=""/>
    <s v=""/>
    <s v=""/>
    <s v=""/>
    <s v=""/>
    <s v=""/>
    <s v=""/>
    <s v=""/>
    <s v="3&quot;"/>
    <n v="1"/>
    <s v=""/>
    <s v=""/>
    <s v=""/>
    <s v=""/>
    <s v=""/>
    <s v=""/>
  </r>
  <r>
    <s v="N224"/>
    <s v="TP165"/>
    <n v="64.95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224"/>
    <s v="N225"/>
    <n v="6.47"/>
    <x v="0"/>
    <x v="1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18"/>
    <s v="N217"/>
    <n v="8.15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17"/>
    <s v="N226"/>
    <n v="104.42"/>
    <x v="0"/>
    <x v="0"/>
    <s v="3&quot;"/>
    <n v="1"/>
    <s v=""/>
    <s v=""/>
    <s v=""/>
    <s v=""/>
    <s v=""/>
    <s v=""/>
    <s v=""/>
    <s v=""/>
    <s v=""/>
    <s v=""/>
    <s v=""/>
    <s v=""/>
    <s v=""/>
    <s v=""/>
    <n v="0"/>
    <n v="1"/>
    <s v=""/>
    <s v=""/>
    <s v=""/>
    <s v=""/>
  </r>
  <r>
    <s v="N226"/>
    <s v="TP166"/>
    <n v="31.39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226"/>
    <s v="N227"/>
    <n v="96.07"/>
    <x v="0"/>
    <x v="0"/>
    <s v="3&quot;"/>
    <n v="1"/>
    <s v=""/>
    <s v=""/>
    <s v=""/>
    <s v=""/>
    <s v=""/>
    <s v=""/>
    <s v="3&quot;"/>
    <n v="1"/>
    <s v=""/>
    <s v=""/>
    <s v=""/>
    <s v=""/>
    <s v="3&quot;"/>
    <n v="1"/>
    <s v=""/>
    <s v=""/>
    <s v=""/>
    <s v=""/>
    <s v=""/>
    <s v=""/>
  </r>
  <r>
    <s v="N211"/>
    <s v="N228"/>
    <n v="80.599999999999994"/>
    <x v="0"/>
    <x v="1"/>
    <s v="3&quot;"/>
    <n v="1"/>
    <s v=""/>
    <s v=""/>
    <s v=""/>
    <s v=""/>
    <s v=""/>
    <s v=""/>
    <s v="3&quot;"/>
    <n v="1"/>
    <s v=""/>
    <s v=""/>
    <s v=""/>
    <s v=""/>
    <s v=""/>
    <s v=""/>
    <s v=""/>
    <s v=""/>
    <s v=""/>
    <s v=""/>
    <s v=""/>
    <s v=""/>
  </r>
  <r>
    <s v="N228"/>
    <s v="N229"/>
    <n v="19.38"/>
    <x v="8"/>
    <x v="1"/>
    <s v="4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29"/>
    <s v="N227"/>
    <n v="11.02"/>
    <x v="8"/>
    <x v="1"/>
    <s v="4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28"/>
    <s v="N230"/>
    <n v="46.86"/>
    <x v="8"/>
    <x v="1"/>
    <s v="4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29"/>
    <s v="N231"/>
    <n v="123.43"/>
    <x v="0"/>
    <x v="1"/>
    <s v="4&quot;"/>
    <n v="1"/>
    <s v=""/>
    <s v=""/>
    <s v=""/>
    <s v=""/>
    <s v=""/>
    <s v=""/>
    <s v="3&quot;"/>
    <n v="1"/>
    <s v=""/>
    <s v=""/>
    <s v=""/>
    <s v=""/>
    <s v="3&quot;"/>
    <n v="1"/>
    <s v=""/>
    <s v=""/>
    <s v=""/>
    <s v=""/>
    <s v=""/>
    <s v=""/>
  </r>
  <r>
    <s v="N231"/>
    <s v="N232"/>
    <n v="156.4"/>
    <x v="1"/>
    <x v="0"/>
    <s v="3&quot;"/>
    <n v="1"/>
    <s v=""/>
    <s v=""/>
    <s v=""/>
    <s v=""/>
    <s v="2&quot;"/>
    <n v="1"/>
    <s v="2&quot;"/>
    <n v="1"/>
    <s v=""/>
    <s v=""/>
    <s v=""/>
    <s v=""/>
    <s v="2&quot;"/>
    <n v="1"/>
    <s v=""/>
    <s v=""/>
    <s v=""/>
    <s v=""/>
    <s v=""/>
    <s v=""/>
  </r>
  <r>
    <s v="N232"/>
    <s v="TP167"/>
    <n v="42.11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232"/>
    <s v="TP168"/>
    <n v="22.91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231"/>
    <s v="N233"/>
    <n v="163.1"/>
    <x v="0"/>
    <x v="1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22"/>
    <s v="TP169"/>
    <n v="147.19999999999999"/>
    <x v="0"/>
    <x v="1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33"/>
    <s v="TP170"/>
    <n v="38.04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233"/>
    <s v="N234"/>
    <n v="131.88"/>
    <x v="0"/>
    <x v="1"/>
    <s v="3&quot;"/>
    <n v="1"/>
    <s v=""/>
    <s v=""/>
    <s v=""/>
    <s v=""/>
    <s v=""/>
    <s v=""/>
    <s v="3&quot;"/>
    <n v="1"/>
    <s v=""/>
    <s v=""/>
    <s v=""/>
    <s v=""/>
    <s v=""/>
    <s v=""/>
    <s v=""/>
    <s v=""/>
    <s v=""/>
    <s v=""/>
    <s v=""/>
    <s v=""/>
  </r>
  <r>
    <s v="N225"/>
    <s v="N235"/>
    <n v="243.06"/>
    <x v="0"/>
    <x v="1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35"/>
    <s v="N236"/>
    <n v="93.28"/>
    <x v="1"/>
    <x v="0"/>
    <s v=""/>
    <s v=""/>
    <s v=""/>
    <s v="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236"/>
    <s v="TP171"/>
    <n v="41.33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236"/>
    <s v="TP172"/>
    <n v="62.24"/>
    <x v="1"/>
    <x v="0"/>
    <s v="2&quot;"/>
    <n v="1"/>
    <s v=""/>
    <s v=""/>
    <s v=""/>
    <s v=""/>
    <s v="2&quot;"/>
    <n v="1"/>
    <s v=""/>
    <s v=""/>
    <s v=""/>
    <s v=""/>
    <s v=""/>
    <s v=""/>
    <s v=""/>
    <s v=""/>
    <s v=""/>
    <s v=""/>
    <s v=""/>
    <s v=""/>
    <s v="2&quot;"/>
    <n v="1"/>
  </r>
  <r>
    <s v="N225"/>
    <s v="N234"/>
    <n v="15.31"/>
    <x v="0"/>
    <x v="1"/>
    <s v="3&quot;"/>
    <n v="1"/>
    <s v=""/>
    <s v=""/>
    <s v=""/>
    <s v=""/>
    <s v=""/>
    <s v=""/>
    <s v="3&quot;"/>
    <n v="1"/>
    <s v=""/>
    <s v=""/>
    <s v=""/>
    <s v=""/>
    <s v="3&quot;"/>
    <n v="1"/>
    <s v=""/>
    <s v=""/>
    <s v=""/>
    <s v=""/>
    <s v=""/>
    <s v=""/>
  </r>
  <r>
    <s v="N234"/>
    <s v="N237"/>
    <n v="26.13"/>
    <x v="7"/>
    <x v="1"/>
    <s v="6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8"/>
    <s v="N238"/>
    <n v="26.81"/>
    <x v="6"/>
    <x v="4"/>
    <s v=""/>
    <s v=""/>
    <s v=""/>
    <s v=""/>
    <s v="12&quot; A 1&quot;"/>
    <n v="1"/>
    <s v=""/>
    <s v=""/>
    <s v=""/>
    <s v=""/>
    <s v=""/>
    <s v=""/>
    <s v=""/>
    <s v=""/>
    <s v=""/>
    <s v=""/>
    <s v=""/>
    <s v=""/>
    <s v=""/>
    <s v=""/>
    <s v=""/>
    <s v=""/>
  </r>
  <r>
    <s v="N238"/>
    <s v="TP173"/>
    <n v="71.02"/>
    <x v="6"/>
    <x v="0"/>
    <s v=""/>
    <s v=""/>
    <s v=""/>
    <s v=""/>
    <s v=""/>
    <s v=""/>
    <s v="1&quot;"/>
    <n v="1"/>
    <s v=""/>
    <s v=""/>
    <s v=""/>
    <s v=""/>
    <s v=""/>
    <s v=""/>
    <s v=""/>
    <s v=""/>
    <s v=""/>
    <s v=""/>
    <s v=""/>
    <s v=""/>
    <s v="1&quot;"/>
    <n v="1"/>
  </r>
  <r>
    <s v="N48"/>
    <s v="N239"/>
    <n v="65.75"/>
    <x v="4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39"/>
    <s v="TP174"/>
    <n v="69.599999999999994"/>
    <x v="1"/>
    <x v="0"/>
    <s v=""/>
    <s v=""/>
    <s v=""/>
    <s v=""/>
    <s v="12&quot; A 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239"/>
    <s v="N209"/>
    <n v="135.72999999999999"/>
    <x v="4"/>
    <x v="1"/>
    <s v=""/>
    <s v=""/>
    <s v=""/>
    <s v=""/>
    <s v=""/>
    <s v=""/>
    <s v=""/>
    <s v=""/>
    <s v=""/>
    <s v=""/>
    <s v=""/>
    <s v=""/>
    <s v=""/>
    <s v=""/>
    <s v=""/>
    <s v=""/>
    <s v=""/>
    <s v=""/>
    <n v="0"/>
    <n v="1"/>
    <s v=""/>
    <s v=""/>
  </r>
  <r>
    <s v="N209"/>
    <s v="N240"/>
    <n v="63.37"/>
    <x v="4"/>
    <x v="1"/>
    <s v="1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40"/>
    <s v="N241"/>
    <n v="112.91"/>
    <x v="4"/>
    <x v="1"/>
    <s v="1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40"/>
    <s v="N242"/>
    <n v="9.2200000000000006"/>
    <x v="0"/>
    <x v="4"/>
    <s v="12&quot;"/>
    <n v="1"/>
    <s v=""/>
    <s v=""/>
    <s v=""/>
    <s v=""/>
    <s v=""/>
    <s v=""/>
    <s v="3&quot;"/>
    <n v="1"/>
    <s v=""/>
    <s v=""/>
    <s v=""/>
    <s v=""/>
    <s v=""/>
    <s v=""/>
    <s v=""/>
    <s v=""/>
    <s v=""/>
    <s v=""/>
    <s v=""/>
    <s v=""/>
  </r>
  <r>
    <s v="N242"/>
    <s v="N243"/>
    <n v="100.34"/>
    <x v="0"/>
    <x v="0"/>
    <s v=""/>
    <s v=""/>
    <s v=""/>
    <s v=""/>
    <s v=""/>
    <s v=""/>
    <s v=""/>
    <s v=""/>
    <s v=""/>
    <s v=""/>
    <s v=""/>
    <s v=""/>
    <s v=""/>
    <s v=""/>
    <s v="3&quot;"/>
    <n v="1"/>
    <s v=""/>
    <s v=""/>
    <s v=""/>
    <s v=""/>
    <s v=""/>
    <s v=""/>
  </r>
  <r>
    <s v="N243"/>
    <s v="TP175"/>
    <n v="38.29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243"/>
    <s v="N285"/>
    <n v="448.76"/>
    <x v="1"/>
    <x v="0"/>
    <s v="3&quot;"/>
    <n v="1"/>
    <s v=""/>
    <s v=""/>
    <s v=""/>
    <s v=""/>
    <s v="2&quot;"/>
    <n v="2"/>
    <s v="2&quot;"/>
    <n v="1"/>
    <s v=""/>
    <s v=""/>
    <s v=""/>
    <s v=""/>
    <s v="2&quot;"/>
    <n v="1"/>
    <s v=""/>
    <s v=""/>
    <s v=""/>
    <s v=""/>
    <s v=""/>
    <s v=""/>
  </r>
  <r>
    <s v="N75"/>
    <s v="N286"/>
    <n v="75.67"/>
    <x v="2"/>
    <x v="2"/>
    <s v="8&quot;"/>
    <n v="1"/>
    <s v=""/>
    <s v=""/>
    <s v=""/>
    <s v=""/>
    <s v=""/>
    <s v=""/>
    <s v=""/>
    <s v=""/>
    <s v=""/>
    <s v=""/>
    <s v=""/>
    <s v=""/>
    <s v="8&quot;"/>
    <n v="1"/>
    <s v=""/>
    <s v=""/>
    <s v=""/>
    <s v=""/>
    <s v=""/>
    <s v=""/>
  </r>
  <r>
    <s v="N286"/>
    <s v="N287"/>
    <n v="711.2"/>
    <x v="2"/>
    <x v="0"/>
    <s v=""/>
    <s v=""/>
    <s v=""/>
    <s v=""/>
    <s v=""/>
    <s v=""/>
    <s v="8&quot;"/>
    <n v="1"/>
    <s v=""/>
    <s v=""/>
    <s v=""/>
    <s v=""/>
    <s v=""/>
    <s v=""/>
    <s v=""/>
    <s v=""/>
    <s v=""/>
    <s v=""/>
    <s v=""/>
    <s v=""/>
    <s v=""/>
    <s v=""/>
  </r>
  <r>
    <s v="N287"/>
    <s v="T.PROVINCIAL"/>
    <n v="13.87"/>
    <x v="2"/>
    <x v="2"/>
    <s v="8&quot;"/>
    <n v="1"/>
    <s v=""/>
    <s v=""/>
    <s v=""/>
    <s v=""/>
    <s v=""/>
    <s v=""/>
    <s v=""/>
    <s v=""/>
    <s v=""/>
    <s v=""/>
    <s v=""/>
    <s v=""/>
    <s v="8&quot;"/>
    <n v="1"/>
    <s v=""/>
    <s v=""/>
    <s v=""/>
    <s v=""/>
    <s v=""/>
    <s v=""/>
  </r>
  <r>
    <s v="N287"/>
    <s v="N244"/>
    <n v="107.35"/>
    <x v="2"/>
    <x v="0"/>
    <s v="8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44"/>
    <s v="N245"/>
    <n v="48.08"/>
    <x v="2"/>
    <x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45"/>
    <s v="TP176"/>
    <n v="187.11"/>
    <x v="1"/>
    <x v="0"/>
    <s v="8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245"/>
    <s v="N246"/>
    <n v="343.5"/>
    <x v="2"/>
    <x v="2"/>
    <s v="8&quot;"/>
    <n v="1"/>
    <s v=""/>
    <s v=""/>
    <s v=""/>
    <s v=""/>
    <s v="8&quot;"/>
    <n v="1"/>
    <s v=""/>
    <s v=""/>
    <s v=""/>
    <s v=""/>
    <s v=""/>
    <s v=""/>
    <s v="8&quot;"/>
    <n v="1"/>
    <s v=""/>
    <s v=""/>
    <s v=""/>
    <s v=""/>
    <s v=""/>
    <s v=""/>
  </r>
  <r>
    <s v="T. PROVINCIAL"/>
    <s v="N247"/>
    <n v="367.22"/>
    <x v="2"/>
    <x v="2"/>
    <s v=""/>
    <s v=""/>
    <s v=""/>
    <s v=""/>
    <s v=""/>
    <s v=""/>
    <s v="8&quot;"/>
    <n v="1"/>
    <s v=""/>
    <s v=""/>
    <s v=""/>
    <s v=""/>
    <s v=""/>
    <s v=""/>
    <s v="8&quot;"/>
    <n v="1"/>
    <s v=""/>
    <s v=""/>
    <s v=""/>
    <s v=""/>
    <s v=""/>
    <s v=""/>
  </r>
  <r>
    <s v="N247"/>
    <s v="TP177"/>
    <n v="94.09"/>
    <x v="1"/>
    <x v="0"/>
    <s v="8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247"/>
    <s v="N248"/>
    <n v="131.79"/>
    <x v="2"/>
    <x v="2"/>
    <s v="8&quot;"/>
    <n v="1"/>
    <s v=""/>
    <s v=""/>
    <s v=""/>
    <s v=""/>
    <s v="8&quot;"/>
    <n v="1"/>
    <s v=""/>
    <s v=""/>
    <s v=""/>
    <s v=""/>
    <s v=""/>
    <s v=""/>
    <s v=""/>
    <s v=""/>
    <s v=""/>
    <s v=""/>
    <s v=""/>
    <s v=""/>
    <s v=""/>
    <s v=""/>
  </r>
  <r>
    <s v="N46"/>
    <s v="N249"/>
    <n v="822.78"/>
    <x v="2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T. JURADO 3"/>
    <s v="T. JURADO 2"/>
    <n v="75.92"/>
    <x v="6"/>
    <x v="0"/>
    <s v=""/>
    <s v=""/>
    <s v=""/>
    <s v=""/>
    <s v=""/>
    <s v=""/>
    <s v="1&quot;"/>
    <n v="2"/>
    <s v=""/>
    <s v=""/>
    <s v=""/>
    <s v=""/>
    <s v=""/>
    <s v=""/>
    <s v=""/>
    <s v=""/>
    <s v=""/>
    <s v=""/>
    <s v=""/>
    <s v=""/>
    <s v=""/>
    <s v=""/>
  </r>
  <r>
    <s v="T. JURADO 3"/>
    <s v="N250"/>
    <n v="73.67"/>
    <x v="1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T. JURADO 2 "/>
    <s v="N250"/>
    <n v="17.59"/>
    <x v="6"/>
    <x v="0"/>
    <s v=""/>
    <s v=""/>
    <s v=""/>
    <s v=""/>
    <s v=""/>
    <s v=""/>
    <s v=""/>
    <s v=""/>
    <s v="1&quot;"/>
    <n v="1"/>
    <s v=""/>
    <s v=""/>
    <s v=""/>
    <s v=""/>
    <s v="1&quot;"/>
    <n v="1"/>
    <s v=""/>
    <s v=""/>
    <s v=""/>
    <s v=""/>
    <s v=""/>
    <s v=""/>
  </r>
  <r>
    <s v="T. JURADO 3"/>
    <s v="N251"/>
    <n v="77.22"/>
    <x v="1"/>
    <x v="0"/>
    <s v=""/>
    <s v=""/>
    <s v=""/>
    <s v=""/>
    <s v=""/>
    <s v=""/>
    <s v="2&quot;"/>
    <n v="1"/>
    <s v=""/>
    <s v=""/>
    <s v=""/>
    <s v=""/>
    <s v=""/>
    <s v=""/>
    <s v=""/>
    <s v=""/>
    <s v=""/>
    <s v=""/>
    <s v=""/>
    <s v=""/>
    <s v=""/>
    <s v=""/>
  </r>
  <r>
    <s v="T. JURADO 2 "/>
    <s v="N251"/>
    <n v="17.77"/>
    <x v="6"/>
    <x v="0"/>
    <s v=""/>
    <s v=""/>
    <s v=""/>
    <s v=""/>
    <s v=""/>
    <s v=""/>
    <s v=""/>
    <s v=""/>
    <s v="1&quot;"/>
    <n v="1"/>
    <s v=""/>
    <s v=""/>
    <s v=""/>
    <s v=""/>
    <s v=""/>
    <s v=""/>
    <s v=""/>
    <s v=""/>
    <s v=""/>
    <s v=""/>
    <s v=""/>
    <s v=""/>
  </r>
  <r>
    <s v="N250"/>
    <s v="N252"/>
    <n v="190.05"/>
    <x v="1"/>
    <x v="0"/>
    <s v="2&quot;"/>
    <n v="1"/>
    <s v=""/>
    <s v=""/>
    <s v=""/>
    <s v=""/>
    <s v="2&quot;"/>
    <n v="1"/>
    <s v=""/>
    <s v=""/>
    <s v=""/>
    <s v=""/>
    <s v=""/>
    <s v=""/>
    <s v=""/>
    <s v=""/>
    <s v=""/>
    <s v=""/>
    <s v=""/>
    <s v=""/>
    <s v=""/>
    <s v=""/>
  </r>
  <r>
    <s v="N252"/>
    <s v="E.B.3"/>
    <n v="6.46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51"/>
    <s v="E.B.3"/>
    <n v="194.7"/>
    <x v="1"/>
    <x v="0"/>
    <s v=""/>
    <s v=""/>
    <s v=""/>
    <s v=""/>
    <s v=""/>
    <s v=""/>
    <s v="2&quot;"/>
    <n v="1"/>
    <s v=""/>
    <s v=""/>
    <s v=""/>
    <s v=""/>
    <s v=""/>
    <s v=""/>
    <s v=""/>
    <s v=""/>
    <s v=""/>
    <s v=""/>
    <s v=""/>
    <s v=""/>
    <s v=""/>
    <s v=""/>
  </r>
  <r>
    <s v="N252"/>
    <s v="TP178"/>
    <n v="325.7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249"/>
    <s v="N253"/>
    <n v="21.23"/>
    <x v="2"/>
    <x v="0"/>
    <s v="8&quot;"/>
    <n v="1"/>
    <s v=""/>
    <s v=""/>
    <s v=""/>
    <s v=""/>
    <s v="8&quot;"/>
    <n v="1"/>
    <s v=""/>
    <s v=""/>
    <s v=""/>
    <s v=""/>
    <s v=""/>
    <s v=""/>
    <s v=""/>
    <s v=""/>
    <s v=""/>
    <s v=""/>
    <s v=""/>
    <s v=""/>
    <s v=""/>
    <s v=""/>
  </r>
  <r>
    <s v="N249"/>
    <s v="E.B.3"/>
    <n v="4.17"/>
    <x v="2"/>
    <x v="0"/>
    <s v="8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E.B.3"/>
    <s v="N253"/>
    <n v="8.75"/>
    <x v="2"/>
    <x v="0"/>
    <s v="8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53"/>
    <s v="N254"/>
    <n v="97.64"/>
    <x v="2"/>
    <x v="0"/>
    <s v="8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54"/>
    <s v="N255"/>
    <n v="7.13"/>
    <x v="0"/>
    <x v="2"/>
    <s v="8&quot;"/>
    <n v="1"/>
    <s v=""/>
    <s v=""/>
    <s v=""/>
    <s v=""/>
    <s v=""/>
    <s v=""/>
    <s v="3&quot;"/>
    <n v="1"/>
    <s v=""/>
    <s v=""/>
    <s v=""/>
    <s v=""/>
    <s v="3&quot;"/>
    <n v="1"/>
    <s v=""/>
    <s v=""/>
    <s v=""/>
    <s v=""/>
    <s v=""/>
    <s v=""/>
  </r>
  <r>
    <s v="N255"/>
    <s v="N256"/>
    <n v="80.61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56"/>
    <s v="TP179"/>
    <n v="175.11"/>
    <x v="0"/>
    <x v="2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3&quot;"/>
    <n v="1"/>
  </r>
  <r>
    <s v="N256"/>
    <s v="N257"/>
    <n v="92.56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57"/>
    <s v="TP180"/>
    <n v="4.4400000000000004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3&quot;"/>
    <n v="1"/>
  </r>
  <r>
    <s v="N257"/>
    <s v="TP181"/>
    <n v="44.7"/>
    <x v="6"/>
    <x v="0"/>
    <s v="3&quot;"/>
    <n v="1"/>
    <s v=""/>
    <s v=""/>
    <s v=""/>
    <s v=""/>
    <s v=""/>
    <s v=""/>
    <s v="1&quot;"/>
    <n v="1"/>
    <s v=""/>
    <s v=""/>
    <s v=""/>
    <s v=""/>
    <s v=""/>
    <s v=""/>
    <s v=""/>
    <s v=""/>
    <s v=""/>
    <s v=""/>
    <s v="1&quot;"/>
    <n v="1"/>
  </r>
  <r>
    <s v="N254"/>
    <s v="T. SANTA MARTA"/>
    <n v="888.73"/>
    <x v="2"/>
    <x v="0"/>
    <s v="8&quot;"/>
    <n v="1"/>
    <s v=""/>
    <s v=""/>
    <s v=""/>
    <s v=""/>
    <s v="8&quot;"/>
    <n v="6"/>
    <s v=""/>
    <s v=""/>
    <s v=""/>
    <s v=""/>
    <s v=""/>
    <s v=""/>
    <s v=""/>
    <s v=""/>
    <s v=""/>
    <s v=""/>
    <s v=""/>
    <s v=""/>
    <s v=""/>
    <s v=""/>
  </r>
  <r>
    <s v="N255"/>
    <s v="N258"/>
    <n v="167.43"/>
    <x v="0"/>
    <x v="2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58"/>
    <s v="TP182"/>
    <n v="193.79"/>
    <x v="1"/>
    <x v="0"/>
    <s v=""/>
    <s v=""/>
    <s v=""/>
    <s v=""/>
    <s v=""/>
    <s v=""/>
    <s v="2&quot;"/>
    <n v="1"/>
    <s v="2&quot;"/>
    <n v="1"/>
    <s v=""/>
    <s v=""/>
    <s v=""/>
    <s v=""/>
    <s v="2&quot;"/>
    <n v="1"/>
    <s v=""/>
    <s v=""/>
    <s v=""/>
    <s v=""/>
    <s v="2&quot;"/>
    <n v="1"/>
  </r>
  <r>
    <s v="N241"/>
    <s v="N259"/>
    <n v="50.61"/>
    <x v="3"/>
    <x v="1"/>
    <s v="12&quot;"/>
    <n v="1"/>
    <s v=""/>
    <s v=""/>
    <s v=""/>
    <s v=""/>
    <s v="10&quot;"/>
    <n v="1"/>
    <s v="10&quot;"/>
    <n v="1"/>
    <s v=""/>
    <s v=""/>
    <s v=""/>
    <s v=""/>
    <s v="10&quot;"/>
    <n v="1"/>
    <s v=""/>
    <s v=""/>
    <s v=""/>
    <s v=""/>
    <s v=""/>
    <s v=""/>
  </r>
  <r>
    <s v="N259"/>
    <s v="N260"/>
    <n v="19.100000000000001"/>
    <x v="0"/>
    <x v="0"/>
    <s v="10&quot;"/>
    <n v="1"/>
    <s v=""/>
    <s v=""/>
    <s v=""/>
    <s v=""/>
    <s v=""/>
    <s v=""/>
    <s v="3&quot;"/>
    <n v="1"/>
    <s v=""/>
    <s v=""/>
    <s v=""/>
    <s v=""/>
    <s v="3&quot;"/>
    <n v="1"/>
    <s v=""/>
    <s v=""/>
    <s v=""/>
    <s v=""/>
    <s v=""/>
    <s v=""/>
  </r>
  <r>
    <s v="N260"/>
    <s v="TP183"/>
    <n v="15.94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3&quot;"/>
    <n v="1"/>
  </r>
  <r>
    <s v="N260"/>
    <s v="N261"/>
    <n v="25.91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61"/>
    <s v="TP184"/>
    <n v="18.12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3&quot;"/>
    <n v="1"/>
  </r>
  <r>
    <s v="N261"/>
    <s v="N262"/>
    <n v="35"/>
    <x v="1"/>
    <x v="0"/>
    <s v="3&quot;"/>
    <n v="1"/>
    <s v=""/>
    <s v=""/>
    <s v=""/>
    <s v=""/>
    <s v="2&quot;"/>
    <n v="1"/>
    <s v="2&quot;"/>
    <n v="1"/>
    <s v=""/>
    <s v=""/>
    <s v=""/>
    <s v=""/>
    <s v="2&quot;"/>
    <n v="1"/>
    <s v=""/>
    <s v=""/>
    <s v=""/>
    <s v=""/>
    <s v=""/>
    <s v=""/>
  </r>
  <r>
    <s v="N262"/>
    <s v="TP185"/>
    <n v="29.08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262"/>
    <s v="N263"/>
    <n v="19.71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63"/>
    <s v="TP186"/>
    <n v="22.82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263"/>
    <s v="TP187"/>
    <n v="40.369999999999997"/>
    <x v="1"/>
    <x v="0"/>
    <s v="2&quot;"/>
    <n v="1"/>
    <s v=""/>
    <s v=""/>
    <s v=""/>
    <s v=""/>
    <s v="2&quot;"/>
    <n v="1"/>
    <s v=""/>
    <s v=""/>
    <s v=""/>
    <s v=""/>
    <s v=""/>
    <s v=""/>
    <s v=""/>
    <s v=""/>
    <s v=""/>
    <s v=""/>
    <s v=""/>
    <s v=""/>
    <s v="2&quot;"/>
    <n v="1"/>
  </r>
  <r>
    <s v="N259"/>
    <s v="N288"/>
    <n v="123.77"/>
    <x v="3"/>
    <x v="1"/>
    <s v="10&quot;"/>
    <n v="1"/>
    <s v=""/>
    <s v=""/>
    <s v=""/>
    <s v=""/>
    <s v=""/>
    <s v=""/>
    <s v=""/>
    <s v=""/>
    <s v=""/>
    <s v=""/>
    <s v=""/>
    <s v=""/>
    <s v=""/>
    <s v=""/>
    <n v="0"/>
    <n v="1"/>
    <s v=""/>
    <s v=""/>
    <s v=""/>
    <s v=""/>
  </r>
  <r>
    <s v="N288"/>
    <s v="TP198"/>
    <n v="96.19"/>
    <x v="0"/>
    <x v="1"/>
    <s v=""/>
    <s v=""/>
    <s v="10&quot;"/>
    <n v="1"/>
    <s v=""/>
    <s v=""/>
    <s v=""/>
    <s v=""/>
    <s v="3&quot;"/>
    <n v="1"/>
    <s v=""/>
    <s v=""/>
    <s v=""/>
    <s v=""/>
    <s v="3&quot;"/>
    <n v="1"/>
    <s v=""/>
    <s v=""/>
    <s v=""/>
    <s v=""/>
    <s v="3&quot;"/>
    <n v="1"/>
  </r>
  <r>
    <s v="N288"/>
    <s v="N289"/>
    <n v="139.22999999999999"/>
    <x v="3"/>
    <x v="1"/>
    <s v=""/>
    <s v=""/>
    <s v="10&quot;"/>
    <n v="1"/>
    <s v=""/>
    <s v=""/>
    <s v=""/>
    <s v=""/>
    <s v=""/>
    <s v=""/>
    <s v=""/>
    <s v=""/>
    <s v=""/>
    <s v=""/>
    <s v="10&quot;"/>
    <n v="1"/>
    <s v=""/>
    <s v=""/>
    <s v=""/>
    <s v=""/>
    <s v=""/>
    <s v=""/>
  </r>
  <r>
    <s v="N289"/>
    <s v="N264"/>
    <n v="57.41"/>
    <x v="3"/>
    <x v="1"/>
    <s v=""/>
    <s v=""/>
    <s v="10&quot;"/>
    <n v="1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64"/>
    <s v="N265"/>
    <n v="11.02"/>
    <x v="1"/>
    <x v="1"/>
    <s v="10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265"/>
    <s v="N266"/>
    <n v="54.87"/>
    <x v="1"/>
    <x v="0"/>
    <s v=""/>
    <s v=""/>
    <s v=""/>
    <s v=""/>
    <s v=""/>
    <s v=""/>
    <s v=""/>
    <s v=""/>
    <s v=""/>
    <s v=""/>
    <s v=""/>
    <s v=""/>
    <s v=""/>
    <s v=""/>
    <s v="2&quot;"/>
    <n v="1"/>
    <s v=""/>
    <s v=""/>
    <s v=""/>
    <s v=""/>
    <s v=""/>
    <s v=""/>
  </r>
  <r>
    <s v="N266"/>
    <s v="TP188"/>
    <n v="45.13"/>
    <x v="6"/>
    <x v="0"/>
    <s v="2&quot;"/>
    <n v="1"/>
    <s v=""/>
    <s v=""/>
    <s v=""/>
    <s v=""/>
    <s v=""/>
    <s v=""/>
    <s v="1&quot;"/>
    <n v="1"/>
    <s v=""/>
    <s v=""/>
    <s v=""/>
    <s v=""/>
    <s v=""/>
    <s v=""/>
    <s v=""/>
    <s v=""/>
    <s v=""/>
    <s v=""/>
    <s v="1&quot;"/>
    <n v="1"/>
  </r>
  <r>
    <s v="N266"/>
    <s v="N267"/>
    <n v="30.08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67"/>
    <s v="TP189"/>
    <n v="16.84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267"/>
    <s v="TP190"/>
    <n v="77.66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264"/>
    <s v="N268"/>
    <n v="16.170000000000002"/>
    <x v="3"/>
    <x v="1"/>
    <s v="10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68"/>
    <s v="N269"/>
    <n v="61.39"/>
    <x v="0"/>
    <x v="0"/>
    <s v="10&quot;"/>
    <n v="1"/>
    <s v=""/>
    <s v=""/>
    <s v=""/>
    <s v=""/>
    <s v=""/>
    <s v=""/>
    <s v="3&quot;"/>
    <n v="1"/>
    <s v=""/>
    <s v=""/>
    <s v=""/>
    <s v=""/>
    <s v=""/>
    <s v=""/>
    <s v=""/>
    <s v=""/>
    <n v="0"/>
    <n v="1"/>
    <s v=""/>
    <s v=""/>
  </r>
  <r>
    <s v="N268"/>
    <s v="N270"/>
    <n v="56.34"/>
    <x v="3"/>
    <x v="1"/>
    <s v="10&quot;"/>
    <n v="1"/>
    <s v=""/>
    <s v=""/>
    <s v=""/>
    <s v=""/>
    <s v=""/>
    <s v=""/>
    <s v=""/>
    <s v=""/>
    <s v=""/>
    <s v=""/>
    <s v=""/>
    <s v=""/>
    <s v="10&quot;"/>
    <n v="1"/>
    <s v=""/>
    <s v=""/>
    <n v="0"/>
    <n v="1"/>
    <s v=""/>
    <s v=""/>
  </r>
  <r>
    <s v="N246"/>
    <s v="N271"/>
    <n v="70.150000000000006"/>
    <x v="8"/>
    <x v="1"/>
    <s v="8&quot;"/>
    <n v="1"/>
    <s v=""/>
    <s v=""/>
    <s v=""/>
    <s v=""/>
    <s v=""/>
    <s v=""/>
    <s v="4&quot;"/>
    <n v="1"/>
    <s v=""/>
    <s v=""/>
    <s v=""/>
    <s v=""/>
    <s v=""/>
    <s v=""/>
    <s v=""/>
    <s v=""/>
    <s v=""/>
    <s v=""/>
    <s v=""/>
    <s v=""/>
  </r>
  <r>
    <s v="N271"/>
    <s v="TP191"/>
    <n v="84.19"/>
    <x v="6"/>
    <x v="0"/>
    <s v="4&quot;"/>
    <n v="1"/>
    <s v=""/>
    <s v=""/>
    <s v=""/>
    <s v=""/>
    <s v=""/>
    <s v=""/>
    <s v="1&quot;"/>
    <n v="1"/>
    <s v=""/>
    <s v=""/>
    <s v=""/>
    <s v=""/>
    <s v="1&quot;"/>
    <n v="1"/>
    <s v=""/>
    <s v=""/>
    <s v=""/>
    <s v=""/>
    <s v="1&quot;"/>
    <n v="1"/>
  </r>
  <r>
    <s v="N271"/>
    <s v="N272"/>
    <n v="53.11"/>
    <x v="8"/>
    <x v="1"/>
    <s v="4&quot;"/>
    <n v="1"/>
    <s v=""/>
    <s v=""/>
    <s v=""/>
    <s v=""/>
    <s v=""/>
    <s v=""/>
    <s v=""/>
    <s v=""/>
    <s v=""/>
    <s v=""/>
    <s v=""/>
    <s v=""/>
    <s v=""/>
    <s v=""/>
    <n v="0"/>
    <n v="1"/>
    <s v=""/>
    <s v=""/>
    <s v=""/>
    <s v=""/>
  </r>
  <r>
    <s v="N272"/>
    <s v="TP192"/>
    <n v="139.27000000000001"/>
    <x v="1"/>
    <x v="0"/>
    <s v=""/>
    <s v=""/>
    <s v="8&quot;"/>
    <n v="1"/>
    <s v=""/>
    <s v=""/>
    <s v=""/>
    <s v=""/>
    <s v="2&quot;"/>
    <n v="1"/>
    <s v=""/>
    <s v=""/>
    <s v=""/>
    <s v=""/>
    <s v="2&quot;"/>
    <n v="1"/>
    <s v=""/>
    <s v=""/>
    <s v=""/>
    <s v=""/>
    <s v="2&quot;"/>
    <n v="1"/>
  </r>
  <r>
    <s v="N272"/>
    <s v="N273"/>
    <n v="8.5299999999999994"/>
    <x v="8"/>
    <x v="1"/>
    <s v=""/>
    <s v=""/>
    <s v="8&quot;"/>
    <n v="1"/>
    <s v=""/>
    <s v=""/>
    <s v=""/>
    <s v=""/>
    <s v="4&quot;"/>
    <n v="1"/>
    <s v=""/>
    <s v=""/>
    <s v=""/>
    <s v=""/>
    <s v=""/>
    <s v=""/>
    <s v=""/>
    <s v=""/>
    <s v=""/>
    <s v=""/>
    <s v=""/>
    <s v=""/>
  </r>
  <r>
    <s v="N273"/>
    <s v="N274"/>
    <n v="115.68"/>
    <x v="8"/>
    <x v="0"/>
    <s v=""/>
    <s v=""/>
    <s v=""/>
    <s v=""/>
    <s v=""/>
    <s v=""/>
    <s v=""/>
    <s v=""/>
    <s v="4&quot;"/>
    <n v="0"/>
    <s v=""/>
    <s v=""/>
    <s v=""/>
    <s v=""/>
    <s v="4&quot;"/>
    <n v="1"/>
    <s v=""/>
    <s v=""/>
    <s v=""/>
    <s v=""/>
    <s v=""/>
    <s v=""/>
  </r>
  <r>
    <s v="N274"/>
    <s v="N275"/>
    <n v="15.53"/>
    <x v="7"/>
    <x v="0"/>
    <s v=""/>
    <s v=""/>
    <s v=""/>
    <s v=""/>
    <s v=""/>
    <s v=""/>
    <s v=""/>
    <s v=""/>
    <s v=""/>
    <s v=""/>
    <s v=""/>
    <s v=""/>
    <s v=""/>
    <s v=""/>
    <s v="6&quot;"/>
    <n v="1"/>
    <s v=""/>
    <s v=""/>
    <s v=""/>
    <s v=""/>
    <s v=""/>
    <s v=""/>
  </r>
  <r>
    <s v="N275"/>
    <s v="N276"/>
    <n v="88.01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76"/>
    <s v="TP193"/>
    <n v="102.28"/>
    <x v="0"/>
    <x v="0"/>
    <s v=""/>
    <s v=""/>
    <s v=""/>
    <s v=""/>
    <s v=""/>
    <s v=""/>
    <s v="3&quot;"/>
    <n v="1"/>
    <s v="3&quot;"/>
    <n v="1"/>
    <s v=""/>
    <s v=""/>
    <s v=""/>
    <s v=""/>
    <s v=""/>
    <s v=""/>
    <s v=""/>
    <s v=""/>
    <s v=""/>
    <s v=""/>
    <s v="3&quot;"/>
    <n v="1"/>
  </r>
  <r>
    <s v="N275"/>
    <s v="N277"/>
    <n v="160.09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77"/>
    <s v="N278"/>
    <n v="9.17"/>
    <x v="7"/>
    <x v="0"/>
    <s v="6&quot;"/>
    <n v="1"/>
    <s v=""/>
    <s v=""/>
    <s v=""/>
    <s v=""/>
    <s v=""/>
    <s v=""/>
    <s v=""/>
    <s v=""/>
    <s v=""/>
    <s v=""/>
    <s v=""/>
    <s v=""/>
    <s v="6&quot;"/>
    <n v="1"/>
    <s v=""/>
    <s v=""/>
    <s v=""/>
    <s v=""/>
    <s v=""/>
    <s v=""/>
  </r>
  <r>
    <s v="N278"/>
    <s v="N279"/>
    <n v="77.569999999999993"/>
    <x v="0"/>
    <x v="1"/>
    <s v=""/>
    <s v=""/>
    <s v=""/>
    <s v=""/>
    <s v=""/>
    <s v=""/>
    <s v=""/>
    <s v=""/>
    <s v="3&quot;"/>
    <n v="1"/>
    <s v=""/>
    <s v=""/>
    <s v=""/>
    <s v=""/>
    <s v=""/>
    <s v=""/>
    <s v=""/>
    <s v=""/>
    <s v=""/>
    <s v=""/>
    <s v=""/>
    <s v=""/>
  </r>
  <r>
    <s v="N279"/>
    <s v="N280"/>
    <n v="52.2"/>
    <x v="1"/>
    <x v="0"/>
    <s v="3&quot;"/>
    <n v="1"/>
    <s v=""/>
    <s v=""/>
    <s v=""/>
    <s v=""/>
    <s v=""/>
    <s v=""/>
    <s v="2&quot;"/>
    <n v="1"/>
    <s v=""/>
    <s v=""/>
    <s v=""/>
    <s v=""/>
    <s v="2&quot;"/>
    <n v="1"/>
    <s v=""/>
    <s v=""/>
    <s v=""/>
    <s v=""/>
    <s v=""/>
    <s v=""/>
  </r>
  <r>
    <s v="N280"/>
    <s v="TP194"/>
    <n v="34.03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280"/>
    <s v="N281"/>
    <n v="114.73"/>
    <x v="1"/>
    <x v="0"/>
    <s v="2&quot;"/>
    <n v="1"/>
    <s v=""/>
    <s v=""/>
    <s v=""/>
    <s v=""/>
    <s v="2&quot;"/>
    <n v="1"/>
    <s v=""/>
    <s v=""/>
    <s v=""/>
    <s v=""/>
    <s v=""/>
    <s v=""/>
    <s v=""/>
    <s v=""/>
    <s v=""/>
    <s v=""/>
    <s v=""/>
    <s v=""/>
    <s v=""/>
    <s v=""/>
  </r>
  <r>
    <s v="N281"/>
    <s v="TP195"/>
    <n v="67.91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281"/>
    <s v="TP196"/>
    <n v="16.04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279"/>
    <s v="N282"/>
    <n v="57.23"/>
    <x v="0"/>
    <x v="1"/>
    <s v="3&quot;"/>
    <n v="1"/>
    <s v=""/>
    <s v=""/>
    <s v=""/>
    <s v=""/>
    <s v=""/>
    <s v=""/>
    <s v="3&quot;"/>
    <n v="1"/>
    <s v=""/>
    <s v=""/>
    <s v=""/>
    <s v=""/>
    <s v="3&quot;"/>
    <n v="1"/>
    <s v=""/>
    <s v=""/>
    <s v=""/>
    <s v=""/>
    <s v=""/>
    <s v=""/>
  </r>
  <r>
    <s v="N272"/>
    <s v="N645"/>
    <n v="60.7"/>
    <x v="2"/>
    <x v="1"/>
    <s v=""/>
    <s v=""/>
    <s v="8&quot;"/>
    <n v="1"/>
    <s v=""/>
    <s v=""/>
    <s v=""/>
    <s v=""/>
    <s v=""/>
    <s v=""/>
    <s v=""/>
    <s v=""/>
    <s v=""/>
    <s v=""/>
    <s v="8&quot;"/>
    <n v="1"/>
    <s v=""/>
    <s v=""/>
    <s v=""/>
    <s v=""/>
    <s v=""/>
    <s v=""/>
  </r>
  <r>
    <s v="N645"/>
    <s v="TP197"/>
    <n v="104.64"/>
    <x v="1"/>
    <x v="0"/>
    <s v=""/>
    <s v=""/>
    <s v=""/>
    <s v=""/>
    <s v="8&quot; A 2&quot;"/>
    <n v="1"/>
    <s v="2&quot;"/>
    <n v="2"/>
    <s v=""/>
    <s v=""/>
    <s v=""/>
    <s v=""/>
    <s v=""/>
    <s v=""/>
    <s v=""/>
    <s v=""/>
    <s v=""/>
    <s v=""/>
    <s v=""/>
    <s v=""/>
    <s v="2&quot;"/>
    <n v="1"/>
  </r>
  <r>
    <s v="N645"/>
    <s v="N282"/>
    <n v="78.09"/>
    <x v="2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82"/>
    <s v="N284"/>
    <n v="129"/>
    <x v="0"/>
    <x v="1"/>
    <s v=""/>
    <s v=""/>
    <s v="8&quot;"/>
    <n v="1"/>
    <s v=""/>
    <s v=""/>
    <s v=""/>
    <s v=""/>
    <s v="3&quot;"/>
    <n v="1"/>
    <s v=""/>
    <s v=""/>
    <s v=""/>
    <s v=""/>
    <s v="3&quot;"/>
    <n v="1"/>
    <s v=""/>
    <s v=""/>
    <s v=""/>
    <s v=""/>
    <s v=""/>
    <s v=""/>
  </r>
  <r>
    <s v="N246"/>
    <s v="N284"/>
    <n v="8.2200000000000006"/>
    <x v="8"/>
    <x v="1"/>
    <s v="8&quot;"/>
    <n v="1"/>
    <s v=""/>
    <s v=""/>
    <s v=""/>
    <s v=""/>
    <s v=""/>
    <s v=""/>
    <s v="4&quot;"/>
    <n v="2"/>
    <s v=""/>
    <s v=""/>
    <s v=""/>
    <s v=""/>
    <s v="4&quot;"/>
    <n v="1"/>
    <s v=""/>
    <s v=""/>
    <s v=""/>
    <s v=""/>
    <s v=""/>
    <s v=""/>
  </r>
  <r>
    <s v="N248"/>
    <s v="N284"/>
    <n v="3.08"/>
    <x v="3"/>
    <x v="1"/>
    <s v="10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84"/>
    <s v="N283"/>
    <n v="183.9"/>
    <x v="0"/>
    <x v="1"/>
    <s v="10&quot;"/>
    <n v="1"/>
    <s v=""/>
    <s v=""/>
    <s v=""/>
    <s v=""/>
    <s v=""/>
    <s v=""/>
    <s v="3&quot;"/>
    <n v="1"/>
    <s v=""/>
    <s v=""/>
    <s v=""/>
    <s v=""/>
    <s v="3&quot;"/>
    <n v="1"/>
    <n v="0"/>
    <n v="1"/>
    <s v=""/>
    <s v=""/>
    <s v=""/>
    <s v=""/>
  </r>
  <r>
    <s v="N283"/>
    <s v="N290"/>
    <n v="130.71"/>
    <x v="0"/>
    <x v="1"/>
    <s v=""/>
    <s v="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48"/>
    <s v="N285"/>
    <n v="134.53"/>
    <x v="3"/>
    <x v="1"/>
    <s v="10&quot;"/>
    <n v="1"/>
    <s v=""/>
    <s v=""/>
    <s v=""/>
    <s v=""/>
    <s v=""/>
    <s v=""/>
    <s v=""/>
    <s v=""/>
    <s v=""/>
    <s v=""/>
    <s v=""/>
    <s v=""/>
    <s v="10&quot;"/>
    <n v="1"/>
    <s v=""/>
    <s v=""/>
    <s v=""/>
    <s v=""/>
    <s v=""/>
    <s v=""/>
  </r>
  <r>
    <s v="N285"/>
    <s v="N290"/>
    <n v="134.56"/>
    <x v="0"/>
    <x v="0"/>
    <s v=""/>
    <s v=""/>
    <s v="10&quot;"/>
    <n v="1"/>
    <s v=""/>
    <s v=""/>
    <s v=""/>
    <s v=""/>
    <s v="3&quot;"/>
    <n v="1"/>
    <s v=""/>
    <s v=""/>
    <s v=""/>
    <s v=""/>
    <s v="3&quot;"/>
    <n v="1"/>
    <s v=""/>
    <s v=""/>
    <s v=""/>
    <s v=""/>
    <s v=""/>
    <s v=""/>
  </r>
  <r>
    <s v="N290"/>
    <s v="N291"/>
    <n v="125.03"/>
    <x v="0"/>
    <x v="1"/>
    <s v=""/>
    <s v="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91"/>
    <s v="N292"/>
    <n v="10.55"/>
    <x v="0"/>
    <x v="0"/>
    <s v=""/>
    <s v=""/>
    <s v=""/>
    <s v=""/>
    <s v=""/>
    <s v=""/>
    <s v=""/>
    <s v=""/>
    <s v=""/>
    <s v=""/>
    <s v=""/>
    <s v=""/>
    <s v=""/>
    <s v=""/>
    <s v="3&quot;"/>
    <n v="1"/>
    <s v=""/>
    <s v=""/>
    <s v=""/>
    <s v=""/>
    <s v=""/>
    <s v=""/>
  </r>
  <r>
    <s v="N285"/>
    <s v="N289"/>
    <n v="133.04"/>
    <x v="3"/>
    <x v="1"/>
    <s v=""/>
    <s v=""/>
    <s v="10&quot;"/>
    <n v="1"/>
    <s v=""/>
    <s v=""/>
    <s v=""/>
    <s v=""/>
    <s v=""/>
    <s v=""/>
    <s v=""/>
    <s v=""/>
    <s v=""/>
    <s v=""/>
    <s v=""/>
    <s v=""/>
    <n v="0"/>
    <n v="1"/>
    <s v=""/>
    <s v=""/>
    <s v=""/>
    <s v=""/>
  </r>
  <r>
    <s v="N270"/>
    <s v="N292"/>
    <n v="8.25"/>
    <x v="2"/>
    <x v="0"/>
    <s v=""/>
    <s v=""/>
    <s v=""/>
    <s v=""/>
    <s v=""/>
    <s v=""/>
    <s v=""/>
    <s v=""/>
    <s v="8&quot;"/>
    <n v="1"/>
    <s v=""/>
    <s v=""/>
    <s v=""/>
    <s v=""/>
    <s v=""/>
    <s v=""/>
    <s v=""/>
    <s v=""/>
    <s v=""/>
    <s v=""/>
    <s v=""/>
    <s v=""/>
  </r>
  <r>
    <s v="N241"/>
    <s v="N293"/>
    <n v="32.520000000000003"/>
    <x v="1"/>
    <x v="1"/>
    <s v="12&quot;"/>
    <n v="1"/>
    <s v=""/>
    <s v=""/>
    <s v=""/>
    <s v=""/>
    <s v=""/>
    <s v=""/>
    <s v="2&quot;"/>
    <n v="1"/>
    <s v=""/>
    <s v=""/>
    <s v=""/>
    <s v=""/>
    <s v="2&quot;"/>
    <n v="1"/>
    <s v=""/>
    <s v=""/>
    <s v=""/>
    <s v=""/>
    <s v=""/>
    <s v=""/>
  </r>
  <r>
    <s v="N293"/>
    <s v="N294"/>
    <n v="31.4"/>
    <x v="8"/>
    <x v="1"/>
    <s v=""/>
    <s v=""/>
    <s v=""/>
    <s v=""/>
    <s v=""/>
    <s v=""/>
    <s v=""/>
    <s v=""/>
    <s v=""/>
    <s v=""/>
    <s v="4&quot;"/>
    <n v="1"/>
    <s v=""/>
    <s v=""/>
    <s v=""/>
    <s v=""/>
    <s v=""/>
    <s v=""/>
    <s v=""/>
    <s v=""/>
    <s v=""/>
    <s v=""/>
  </r>
  <r>
    <s v="N294"/>
    <s v="N295"/>
    <n v="16.55"/>
    <x v="1"/>
    <x v="0"/>
    <s v="4&quot;"/>
    <n v="1"/>
    <s v=""/>
    <s v=""/>
    <s v=""/>
    <s v=""/>
    <s v=""/>
    <s v=""/>
    <s v="2&quot;"/>
    <n v="1"/>
    <s v=""/>
    <s v=""/>
    <s v=""/>
    <s v=""/>
    <s v="2&quot;"/>
    <n v="1"/>
    <s v=""/>
    <s v=""/>
    <s v=""/>
    <s v=""/>
    <s v=""/>
    <s v=""/>
  </r>
  <r>
    <s v="N294"/>
    <s v="N296"/>
    <n v="36.78"/>
    <x v="8"/>
    <x v="1"/>
    <s v="4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30"/>
    <s v="N296"/>
    <n v="13"/>
    <x v="0"/>
    <x v="0"/>
    <s v=""/>
    <s v=""/>
    <s v=""/>
    <s v=""/>
    <s v=""/>
    <s v=""/>
    <s v=""/>
    <s v=""/>
    <s v="3&quot;"/>
    <n v="2"/>
    <s v=""/>
    <s v=""/>
    <s v=""/>
    <s v=""/>
    <s v="3&quot;"/>
    <n v="1"/>
    <s v=""/>
    <s v=""/>
    <s v=""/>
    <s v=""/>
    <s v=""/>
    <s v=""/>
  </r>
  <r>
    <s v="N296"/>
    <s v="N297"/>
    <n v="87.15"/>
    <x v="0"/>
    <x v="0"/>
    <s v="4&quot;"/>
    <n v="1"/>
    <s v=""/>
    <s v=""/>
    <s v=""/>
    <s v=""/>
    <s v=""/>
    <s v=""/>
    <s v="3&quot;"/>
    <n v="1"/>
    <s v=""/>
    <s v=""/>
    <s v=""/>
    <s v=""/>
    <s v=""/>
    <s v=""/>
    <s v=""/>
    <s v=""/>
    <n v="0"/>
    <n v="1"/>
    <s v=""/>
    <s v=""/>
  </r>
  <r>
    <s v="N297"/>
    <s v="TP199"/>
    <n v="130.76"/>
    <x v="0"/>
    <x v="1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3&quot;"/>
    <n v="1"/>
  </r>
  <r>
    <s v="N297"/>
    <s v="N298"/>
    <n v="44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88"/>
    <s v="N298"/>
    <n v="139.22"/>
    <x v="8"/>
    <x v="1"/>
    <s v=""/>
    <s v=""/>
    <s v="10&quot;"/>
    <n v="1"/>
    <s v=""/>
    <s v=""/>
    <s v=""/>
    <s v=""/>
    <s v="4&quot;"/>
    <n v="1"/>
    <s v=""/>
    <s v=""/>
    <s v=""/>
    <s v=""/>
    <s v="4&quot;"/>
    <n v="1"/>
    <s v=""/>
    <s v=""/>
    <s v=""/>
    <s v=""/>
    <s v=""/>
    <s v=""/>
  </r>
  <r>
    <s v="N298"/>
    <s v="N299"/>
    <n v="139.46"/>
    <x v="0"/>
    <x v="0"/>
    <s v=""/>
    <s v=""/>
    <s v="4&quot;"/>
    <n v="1"/>
    <s v=""/>
    <s v=""/>
    <s v=""/>
    <s v=""/>
    <s v="3&quot;"/>
    <n v="2"/>
    <s v=""/>
    <s v=""/>
    <s v=""/>
    <s v=""/>
    <s v=""/>
    <s v=""/>
    <s v=""/>
    <s v=""/>
    <s v=""/>
    <s v=""/>
    <s v=""/>
    <s v=""/>
  </r>
  <r>
    <s v="N289"/>
    <s v="N299"/>
    <n v="139.31"/>
    <x v="3"/>
    <x v="1"/>
    <s v=""/>
    <s v=""/>
    <s v="10&quot;"/>
    <n v="1"/>
    <s v=""/>
    <s v=""/>
    <s v=""/>
    <s v=""/>
    <s v=""/>
    <s v=""/>
    <s v=""/>
    <s v=""/>
    <s v=""/>
    <s v=""/>
    <s v="10&quot;"/>
    <n v="1"/>
    <s v=""/>
    <s v=""/>
    <s v=""/>
    <s v=""/>
    <s v=""/>
    <s v=""/>
  </r>
  <r>
    <s v="N299"/>
    <s v="N300"/>
    <n v="62.61"/>
    <x v="0"/>
    <x v="0"/>
    <s v=""/>
    <s v=""/>
    <s v="10&quot;"/>
    <n v="1"/>
    <s v=""/>
    <s v=""/>
    <s v=""/>
    <s v=""/>
    <s v="3&quot;"/>
    <n v="1"/>
    <s v=""/>
    <s v=""/>
    <s v=""/>
    <s v=""/>
    <s v=""/>
    <s v=""/>
    <s v=""/>
    <s v=""/>
    <s v=""/>
    <s v=""/>
    <s v=""/>
    <s v=""/>
  </r>
  <r>
    <s v="N300"/>
    <s v="TP200"/>
    <n v="63.71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300"/>
    <s v="N301"/>
    <n v="55.32"/>
    <x v="0"/>
    <x v="0"/>
    <s v="3&quot;"/>
    <n v="1"/>
    <s v=""/>
    <s v=""/>
    <s v=""/>
    <s v=""/>
    <s v=""/>
    <s v=""/>
    <s v="3&quot;"/>
    <n v="1"/>
    <s v=""/>
    <s v=""/>
    <s v=""/>
    <s v=""/>
    <s v=""/>
    <s v=""/>
    <s v=""/>
    <s v=""/>
    <s v=""/>
    <s v=""/>
    <s v=""/>
    <s v=""/>
  </r>
  <r>
    <s v="N301"/>
    <s v="N302"/>
    <n v="20.53"/>
    <x v="8"/>
    <x v="1"/>
    <s v=""/>
    <s v=""/>
    <s v=""/>
    <s v=""/>
    <s v=""/>
    <s v=""/>
    <s v=""/>
    <s v=""/>
    <s v=""/>
    <s v=""/>
    <s v=""/>
    <s v=""/>
    <s v=""/>
    <s v=""/>
    <s v="4&quot;"/>
    <n v="1"/>
    <s v=""/>
    <s v=""/>
    <s v=""/>
    <s v=""/>
    <s v=""/>
    <s v=""/>
  </r>
  <r>
    <s v="N292"/>
    <s v="N303"/>
    <n v="128.66999999999999"/>
    <x v="0"/>
    <x v="0"/>
    <s v=""/>
    <s v=""/>
    <s v="8&quot;"/>
    <n v="1"/>
    <s v=""/>
    <s v=""/>
    <s v=""/>
    <s v=""/>
    <s v="3&quot;"/>
    <n v="1"/>
    <s v=""/>
    <s v=""/>
    <s v=""/>
    <s v=""/>
    <s v="3&quot;"/>
    <n v="1"/>
    <s v=""/>
    <s v=""/>
    <s v=""/>
    <s v=""/>
    <s v=""/>
    <s v=""/>
  </r>
  <r>
    <s v="N303"/>
    <s v="N302"/>
    <n v="11.5"/>
    <x v="0"/>
    <x v="1"/>
    <s v=""/>
    <s v=""/>
    <s v=""/>
    <s v=""/>
    <s v=""/>
    <s v=""/>
    <s v=""/>
    <s v=""/>
    <s v="3&quot;"/>
    <n v="1"/>
    <s v=""/>
    <s v=""/>
    <s v=""/>
    <s v=""/>
    <s v=""/>
    <s v=""/>
    <s v=""/>
    <s v=""/>
    <s v=""/>
    <s v=""/>
    <s v=""/>
    <s v=""/>
  </r>
  <r>
    <s v="N298"/>
    <s v="N304"/>
    <n v="94.4"/>
    <x v="8"/>
    <x v="1"/>
    <s v=""/>
    <s v=""/>
    <s v="4&quot;"/>
    <n v="1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04"/>
    <s v="N305"/>
    <n v="10.54"/>
    <x v="0"/>
    <x v="1"/>
    <s v=""/>
    <s v=""/>
    <s v=""/>
    <s v=""/>
    <s v=""/>
    <s v=""/>
    <s v=""/>
    <s v=""/>
    <s v="3&quot;"/>
    <n v="1"/>
    <s v=""/>
    <s v=""/>
    <s v=""/>
    <s v=""/>
    <s v="3&quot;"/>
    <n v="1"/>
    <s v=""/>
    <s v=""/>
    <s v=""/>
    <s v=""/>
    <s v=""/>
    <s v=""/>
  </r>
  <r>
    <s v="N305"/>
    <s v="TP201"/>
    <n v="7.8"/>
    <x v="0"/>
    <x v="1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3&quot;"/>
    <n v="1"/>
  </r>
  <r>
    <s v="N305"/>
    <s v="N306"/>
    <n v="148.37"/>
    <x v="0"/>
    <x v="1"/>
    <s v="3&quot;"/>
    <n v="1"/>
    <s v=""/>
    <s v=""/>
    <s v=""/>
    <s v=""/>
    <s v=""/>
    <s v=""/>
    <s v=""/>
    <s v=""/>
    <s v=""/>
    <s v=""/>
    <s v=""/>
    <s v=""/>
    <s v=""/>
    <s v=""/>
    <n v="0"/>
    <n v="1"/>
    <s v=""/>
    <s v=""/>
    <s v=""/>
    <s v=""/>
  </r>
  <r>
    <s v="N299"/>
    <s v="N307"/>
    <n v="62.1"/>
    <x v="7"/>
    <x v="1"/>
    <s v=""/>
    <s v=""/>
    <s v="10&quot;"/>
    <n v="1"/>
    <s v=""/>
    <s v=""/>
    <s v=""/>
    <s v=""/>
    <s v="6&quot;"/>
    <n v="1"/>
    <s v=""/>
    <s v=""/>
    <s v=""/>
    <s v=""/>
    <s v=""/>
    <s v=""/>
    <s v=""/>
    <s v=""/>
    <n v="0"/>
    <n v="1"/>
    <s v=""/>
    <s v=""/>
  </r>
  <r>
    <s v="N307"/>
    <s v="TP202"/>
    <n v="44.99"/>
    <x v="1"/>
    <x v="0"/>
    <s v="6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307"/>
    <s v="N306"/>
    <n v="83.74"/>
    <x v="7"/>
    <x v="1"/>
    <s v="6&quot;"/>
    <n v="1"/>
    <s v=""/>
    <s v=""/>
    <s v=""/>
    <s v=""/>
    <s v=""/>
    <s v=""/>
    <s v=""/>
    <s v=""/>
    <s v=""/>
    <s v=""/>
    <s v=""/>
    <s v=""/>
    <s v="6&quot;"/>
    <n v="1"/>
    <s v=""/>
    <s v=""/>
    <s v=""/>
    <s v=""/>
    <s v=""/>
    <s v=""/>
  </r>
  <r>
    <s v="N306"/>
    <s v="N308"/>
    <n v="50.45"/>
    <x v="0"/>
    <x v="1"/>
    <s v=""/>
    <s v=""/>
    <s v="6&quot;"/>
    <n v="1"/>
    <s v=""/>
    <s v=""/>
    <s v=""/>
    <s v=""/>
    <s v="3&quot;"/>
    <n v="1"/>
    <s v=""/>
    <s v=""/>
    <s v=""/>
    <s v=""/>
    <s v=""/>
    <s v=""/>
    <s v=""/>
    <s v=""/>
    <s v=""/>
    <s v=""/>
    <s v=""/>
    <s v=""/>
  </r>
  <r>
    <s v="N308"/>
    <s v="TP203"/>
    <n v="99.84"/>
    <x v="1"/>
    <x v="0"/>
    <s v="3&quot;"/>
    <n v="1"/>
    <s v=""/>
    <s v=""/>
    <s v=""/>
    <s v=""/>
    <s v="2&quot;"/>
    <n v="1"/>
    <s v="2&quot;"/>
    <n v="1"/>
    <s v=""/>
    <s v=""/>
    <s v=""/>
    <s v=""/>
    <s v="2&quot;"/>
    <n v="1"/>
    <s v=""/>
    <s v=""/>
    <s v=""/>
    <s v=""/>
    <s v="2&quot;"/>
    <n v="1"/>
  </r>
  <r>
    <s v="N308"/>
    <s v="N309"/>
    <n v="89.23"/>
    <x v="0"/>
    <x v="1"/>
    <s v="3&quot;"/>
    <n v="1"/>
    <s v=""/>
    <s v=""/>
    <s v=""/>
    <s v=""/>
    <s v=""/>
    <s v=""/>
    <s v="3&quot;"/>
    <n v="1"/>
    <s v=""/>
    <s v=""/>
    <s v=""/>
    <s v=""/>
    <s v=""/>
    <s v=""/>
    <s v=""/>
    <s v=""/>
    <n v="0"/>
    <n v="1"/>
    <s v=""/>
    <s v=""/>
  </r>
  <r>
    <s v="N302"/>
    <s v="N309"/>
    <n v="145.32"/>
    <x v="0"/>
    <x v="1"/>
    <s v=""/>
    <s v=""/>
    <s v="4&quot;"/>
    <n v="1"/>
    <s v=""/>
    <s v=""/>
    <s v=""/>
    <s v=""/>
    <s v="3&quot;"/>
    <n v="2"/>
    <s v=""/>
    <s v=""/>
    <s v=""/>
    <s v=""/>
    <s v="3&quot;"/>
    <n v="0"/>
    <s v=""/>
    <s v=""/>
    <s v=""/>
    <s v=""/>
    <s v=""/>
    <s v=""/>
  </r>
  <r>
    <s v="N306"/>
    <s v="N237"/>
    <n v="139.82"/>
    <x v="7"/>
    <x v="1"/>
    <s v=""/>
    <s v=""/>
    <s v="6&quot;"/>
    <n v="1"/>
    <s v=""/>
    <s v=""/>
    <s v=""/>
    <s v=""/>
    <s v=""/>
    <s v=""/>
    <s v=""/>
    <s v=""/>
    <s v=""/>
    <s v=""/>
    <s v="6&quot;"/>
    <n v="1"/>
    <s v=""/>
    <s v=""/>
    <s v=""/>
    <s v=""/>
    <s v=""/>
    <s v=""/>
  </r>
  <r>
    <s v="N237"/>
    <s v="N310"/>
    <n v="122.96"/>
    <x v="7"/>
    <x v="1"/>
    <s v="6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09"/>
    <s v="N310"/>
    <n v="136.38"/>
    <x v="7"/>
    <x v="1"/>
    <s v=""/>
    <s v=""/>
    <s v="6&quot;"/>
    <n v="1"/>
    <s v=""/>
    <s v=""/>
    <s v=""/>
    <s v=""/>
    <s v=""/>
    <s v=""/>
    <s v=""/>
    <s v=""/>
    <s v=""/>
    <s v=""/>
    <s v="6&quot;"/>
    <n v="1"/>
    <s v=""/>
    <s v=""/>
    <s v=""/>
    <s v=""/>
    <s v=""/>
    <s v=""/>
  </r>
  <r>
    <s v="N310"/>
    <s v="N311"/>
    <n v="60.3"/>
    <x v="7"/>
    <x v="1"/>
    <s v=""/>
    <s v=""/>
    <s v="6&quot;"/>
    <n v="1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11"/>
    <s v="N312"/>
    <n v="18"/>
    <x v="0"/>
    <x v="1"/>
    <s v=""/>
    <s v=""/>
    <s v=""/>
    <s v=""/>
    <s v=""/>
    <s v=""/>
    <s v=""/>
    <s v=""/>
    <s v="3&quot;"/>
    <n v="1"/>
    <s v=""/>
    <s v=""/>
    <s v=""/>
    <s v=""/>
    <s v="3&quot;"/>
    <n v="1"/>
    <s v=""/>
    <s v=""/>
    <s v=""/>
    <s v=""/>
    <s v=""/>
    <s v=""/>
  </r>
  <r>
    <s v="N312"/>
    <s v="N313"/>
    <n v="50.77"/>
    <x v="0"/>
    <x v="1"/>
    <s v="3&quot;"/>
    <n v="1"/>
    <s v=""/>
    <s v=""/>
    <s v=""/>
    <s v=""/>
    <s v=""/>
    <s v=""/>
    <s v=""/>
    <s v=""/>
    <s v=""/>
    <s v=""/>
    <s v=""/>
    <s v=""/>
    <s v=""/>
    <s v=""/>
    <s v=""/>
    <s v=""/>
    <n v="0"/>
    <n v="1"/>
    <s v=""/>
    <s v=""/>
  </r>
  <r>
    <s v="N313"/>
    <s v="TP204"/>
    <n v="55.38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313"/>
    <s v="TP205"/>
    <n v="156.28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312"/>
    <s v="N314"/>
    <n v="160.62"/>
    <x v="0"/>
    <x v="1"/>
    <s v="3&quot;"/>
    <n v="1"/>
    <s v=""/>
    <s v=""/>
    <s v=""/>
    <s v=""/>
    <s v=""/>
    <s v=""/>
    <s v=""/>
    <s v=""/>
    <s v=""/>
    <s v=""/>
    <s v=""/>
    <s v=""/>
    <s v="3&quot;"/>
    <n v="1"/>
    <s v=""/>
    <s v=""/>
    <s v=""/>
    <s v=""/>
    <s v=""/>
    <s v=""/>
  </r>
  <r>
    <s v="N314"/>
    <s v="N315"/>
    <n v="9.08"/>
    <x v="0"/>
    <x v="1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15"/>
    <s v="TP206"/>
    <n v="35.58"/>
    <x v="0"/>
    <x v="4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314"/>
    <s v="N316"/>
    <n v="166.52"/>
    <x v="0"/>
    <x v="1"/>
    <s v="3&quot;"/>
    <n v="1"/>
    <s v=""/>
    <s v=""/>
    <s v=""/>
    <s v=""/>
    <s v=""/>
    <s v=""/>
    <s v="3&quot;"/>
    <n v="1"/>
    <s v=""/>
    <s v=""/>
    <s v=""/>
    <s v=""/>
    <s v=""/>
    <s v=""/>
    <s v=""/>
    <s v=""/>
    <s v=""/>
    <s v=""/>
    <s v=""/>
    <s v=""/>
  </r>
  <r>
    <s v="N310"/>
    <s v="N316"/>
    <n v="134.69999999999999"/>
    <x v="7"/>
    <x v="1"/>
    <s v=""/>
    <s v=""/>
    <s v="6&quot;"/>
    <n v="1"/>
    <s v=""/>
    <s v=""/>
    <s v=""/>
    <s v=""/>
    <s v=""/>
    <s v=""/>
    <s v=""/>
    <s v=""/>
    <s v=""/>
    <s v=""/>
    <s v="6&quot;"/>
    <n v="1"/>
    <s v=""/>
    <s v=""/>
    <s v=""/>
    <s v=""/>
    <s v=""/>
    <s v=""/>
  </r>
  <r>
    <s v="N316"/>
    <s v="N317"/>
    <n v="137.05000000000001"/>
    <x v="0"/>
    <x v="1"/>
    <s v=""/>
    <s v=""/>
    <s v="6&quot;"/>
    <n v="1"/>
    <s v=""/>
    <s v=""/>
    <s v=""/>
    <s v=""/>
    <s v="3&quot;"/>
    <n v="1"/>
    <s v=""/>
    <s v=""/>
    <s v=""/>
    <s v=""/>
    <s v="3&quot;"/>
    <n v="1"/>
    <s v=""/>
    <s v=""/>
    <s v=""/>
    <s v=""/>
    <s v=""/>
    <s v=""/>
  </r>
  <r>
    <s v="N309"/>
    <s v="N317"/>
    <n v="135.47"/>
    <x v="0"/>
    <x v="0"/>
    <s v=""/>
    <s v=""/>
    <s v="6&quot;"/>
    <n v="1"/>
    <s v=""/>
    <s v=""/>
    <s v=""/>
    <s v=""/>
    <s v="3&quot;"/>
    <n v="1"/>
    <s v=""/>
    <s v=""/>
    <s v=""/>
    <s v=""/>
    <s v="3&quot;"/>
    <n v="1"/>
    <s v=""/>
    <s v=""/>
    <s v=""/>
    <s v=""/>
    <s v=""/>
    <s v=""/>
  </r>
  <r>
    <s v="N317"/>
    <s v="N318"/>
    <n v="95.07"/>
    <x v="0"/>
    <x v="1"/>
    <s v=""/>
    <s v=""/>
    <s v="3&quot;"/>
    <n v="1"/>
    <s v=""/>
    <s v=""/>
    <s v=""/>
    <s v=""/>
    <s v=""/>
    <s v=""/>
    <s v=""/>
    <s v=""/>
    <s v=""/>
    <s v=""/>
    <s v="3&quot;"/>
    <n v="1"/>
    <s v=""/>
    <s v=""/>
    <s v=""/>
    <s v=""/>
    <s v=""/>
    <s v=""/>
  </r>
  <r>
    <s v="N318"/>
    <s v="TP 207"/>
    <n v="71.959999999999994"/>
    <x v="8"/>
    <x v="1"/>
    <s v="3&quot;"/>
    <n v="1"/>
    <s v=""/>
    <s v=""/>
    <s v=""/>
    <s v=""/>
    <s v=""/>
    <s v=""/>
    <s v=""/>
    <s v=""/>
    <s v="4&quot;"/>
    <n v="1"/>
    <s v=""/>
    <s v=""/>
    <s v=""/>
    <s v=""/>
    <s v=""/>
    <s v=""/>
    <s v=""/>
    <s v=""/>
    <s v="4&quot;"/>
    <n v="1"/>
  </r>
  <r>
    <s v="N318"/>
    <s v="N319"/>
    <n v="45.91"/>
    <x v="0"/>
    <x v="1"/>
    <s v="3&quot;"/>
    <n v="1"/>
    <s v=""/>
    <s v=""/>
    <s v=""/>
    <s v=""/>
    <s v=""/>
    <s v=""/>
    <s v="3&quot;"/>
    <n v="1"/>
    <s v=""/>
    <s v=""/>
    <s v=""/>
    <s v=""/>
    <s v=""/>
    <s v=""/>
    <s v=""/>
    <s v=""/>
    <n v="0"/>
    <n v="1"/>
    <s v=""/>
    <s v=""/>
  </r>
  <r>
    <s v="N302"/>
    <s v="N319"/>
    <n v="133.57"/>
    <x v="8"/>
    <x v="1"/>
    <s v=""/>
    <s v=""/>
    <s v="4&quot;"/>
    <n v="1"/>
    <s v=""/>
    <s v=""/>
    <s v=""/>
    <s v=""/>
    <s v=""/>
    <s v=""/>
    <s v=""/>
    <s v=""/>
    <s v=""/>
    <s v=""/>
    <s v="4&quot;"/>
    <n v="1"/>
    <s v=""/>
    <s v=""/>
    <s v=""/>
    <s v=""/>
    <s v=""/>
    <s v=""/>
  </r>
  <r>
    <s v="N319"/>
    <s v="N320"/>
    <n v="9.73"/>
    <x v="0"/>
    <x v="1"/>
    <s v=""/>
    <s v=""/>
    <s v="4&quot;"/>
    <n v="1"/>
    <s v=""/>
    <s v=""/>
    <s v=""/>
    <s v=""/>
    <s v="3&quot;"/>
    <n v="1"/>
    <s v=""/>
    <s v=""/>
    <s v=""/>
    <s v=""/>
    <s v=""/>
    <s v=""/>
    <s v=""/>
    <s v=""/>
    <s v=""/>
    <s v=""/>
    <s v=""/>
    <s v=""/>
  </r>
  <r>
    <s v="N320"/>
    <s v="N321"/>
    <n v="134.91999999999999"/>
    <x v="0"/>
    <x v="0"/>
    <s v=""/>
    <s v=""/>
    <s v=""/>
    <s v=""/>
    <s v=""/>
    <s v=""/>
    <s v=""/>
    <s v=""/>
    <s v="3&quot;"/>
    <n v="0"/>
    <s v=""/>
    <s v=""/>
    <s v=""/>
    <s v=""/>
    <s v="3&quot;"/>
    <n v="1"/>
    <s v=""/>
    <s v=""/>
    <s v=""/>
    <s v=""/>
    <s v=""/>
    <s v=""/>
  </r>
  <r>
    <s v="N292"/>
    <s v="N321"/>
    <n v="135.16"/>
    <x v="2"/>
    <x v="0"/>
    <s v=""/>
    <s v=""/>
    <s v="8&quot;"/>
    <n v="1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21"/>
    <s v="N322"/>
    <n v="72.75"/>
    <x v="0"/>
    <x v="1"/>
    <s v=""/>
    <s v=""/>
    <s v="8&quot;"/>
    <n v="1"/>
    <s v=""/>
    <s v=""/>
    <s v=""/>
    <s v=""/>
    <s v="3&quot;"/>
    <n v="1"/>
    <s v=""/>
    <s v=""/>
    <s v=""/>
    <s v=""/>
    <s v="3&quot;"/>
    <n v="1"/>
    <s v=""/>
    <s v=""/>
    <s v=""/>
    <s v=""/>
    <s v=""/>
    <s v=""/>
  </r>
  <r>
    <s v="N322"/>
    <s v="TP208"/>
    <n v="38.049999999999997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322"/>
    <s v="N323"/>
    <n v="78.930000000000007"/>
    <x v="0"/>
    <x v="1"/>
    <s v="3&quot;"/>
    <n v="1"/>
    <s v=""/>
    <s v=""/>
    <s v=""/>
    <s v=""/>
    <s v=""/>
    <s v=""/>
    <s v=""/>
    <s v=""/>
    <s v=""/>
    <s v=""/>
    <s v=""/>
    <s v=""/>
    <s v=""/>
    <s v=""/>
    <n v="0"/>
    <n v="1"/>
    <s v=""/>
    <s v=""/>
    <s v=""/>
    <s v=""/>
  </r>
  <r>
    <s v="N290"/>
    <s v="N323"/>
    <n v="138.30000000000001"/>
    <x v="0"/>
    <x v="0"/>
    <s v=""/>
    <s v=""/>
    <s v="3&quot;"/>
    <n v="1"/>
    <s v=""/>
    <s v=""/>
    <s v=""/>
    <s v=""/>
    <s v=""/>
    <s v=""/>
    <s v=""/>
    <s v=""/>
    <s v=""/>
    <s v=""/>
    <s v="3&quot;"/>
    <n v="1"/>
    <s v=""/>
    <s v=""/>
    <s v=""/>
    <s v=""/>
    <s v=""/>
    <s v=""/>
  </r>
  <r>
    <s v="N323"/>
    <s v="N324"/>
    <n v="67.86"/>
    <x v="0"/>
    <x v="1"/>
    <s v=""/>
    <s v=""/>
    <s v="3&quot;"/>
    <n v="1"/>
    <s v=""/>
    <s v=""/>
    <s v=""/>
    <s v=""/>
    <s v=""/>
    <s v=""/>
    <s v=""/>
    <s v=""/>
    <s v=""/>
    <s v=""/>
    <s v="3&quot;"/>
    <n v="1"/>
    <s v=""/>
    <s v=""/>
    <s v=""/>
    <s v=""/>
    <s v=""/>
    <s v=""/>
  </r>
  <r>
    <s v="N324"/>
    <s v="TP209"/>
    <n v="37.19"/>
    <x v="0"/>
    <x v="0"/>
    <s v="3&quot;"/>
    <n v="1"/>
    <s v=""/>
    <s v=""/>
    <s v=""/>
    <s v=""/>
    <s v=""/>
    <s v=""/>
    <s v=""/>
    <s v=""/>
    <s v=""/>
    <s v=""/>
    <s v=""/>
    <s v=""/>
    <s v="3&quot;"/>
    <n v="1"/>
    <s v=""/>
    <s v=""/>
    <s v=""/>
    <s v=""/>
    <s v="3&quot;"/>
    <n v="1"/>
  </r>
  <r>
    <s v="N324"/>
    <s v="N325"/>
    <n v="66.37"/>
    <x v="0"/>
    <x v="1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83"/>
    <s v="N325"/>
    <n v="139.46"/>
    <x v="0"/>
    <x v="1"/>
    <s v=""/>
    <s v=""/>
    <s v="3&quot;"/>
    <n v="1"/>
    <s v=""/>
    <s v=""/>
    <s v=""/>
    <s v=""/>
    <s v=""/>
    <s v=""/>
    <s v=""/>
    <s v=""/>
    <s v=""/>
    <s v=""/>
    <s v="3&quot;"/>
    <n v="1"/>
    <s v=""/>
    <s v=""/>
    <s v=""/>
    <s v=""/>
    <s v=""/>
    <s v=""/>
  </r>
  <r>
    <s v="N325"/>
    <s v="N326"/>
    <n v="127.05"/>
    <x v="8"/>
    <x v="1"/>
    <s v=""/>
    <s v=""/>
    <s v="3&quot;"/>
    <n v="1"/>
    <s v=""/>
    <s v=""/>
    <s v=""/>
    <s v=""/>
    <s v="4&quot;"/>
    <n v="1"/>
    <s v="4&quot;"/>
    <n v="1"/>
    <s v=""/>
    <s v=""/>
    <s v="4&quot;"/>
    <n v="1"/>
    <n v="0"/>
    <n v="1"/>
    <s v=""/>
    <s v=""/>
    <s v=""/>
    <s v=""/>
  </r>
  <r>
    <s v="N282"/>
    <s v="N326"/>
    <n v="139.16999999999999"/>
    <x v="2"/>
    <x v="1"/>
    <s v=""/>
    <s v=""/>
    <s v="8&quot;"/>
    <n v="1"/>
    <s v=""/>
    <s v=""/>
    <s v=""/>
    <s v=""/>
    <s v=""/>
    <s v=""/>
    <s v=""/>
    <s v=""/>
    <s v=""/>
    <s v=""/>
    <s v="8&quot;"/>
    <n v="1"/>
    <s v=""/>
    <s v=""/>
    <s v=""/>
    <s v=""/>
    <s v=""/>
    <s v=""/>
  </r>
  <r>
    <s v="N326"/>
    <s v="N327"/>
    <n v="70.12"/>
    <x v="8"/>
    <x v="1"/>
    <s v=""/>
    <s v=""/>
    <s v="8&quot;"/>
    <n v="1"/>
    <s v=""/>
    <s v=""/>
    <s v=""/>
    <s v=""/>
    <s v="4&quot;"/>
    <n v="1"/>
    <s v=""/>
    <s v=""/>
    <s v=""/>
    <s v=""/>
    <s v="4&quot;"/>
    <n v="1"/>
    <s v=""/>
    <s v=""/>
    <s v=""/>
    <s v=""/>
    <s v=""/>
    <s v=""/>
  </r>
  <r>
    <s v="N327"/>
    <s v="TP210"/>
    <n v="71.87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4&quot;"/>
    <n v="1"/>
  </r>
  <r>
    <s v="N327"/>
    <s v="N328"/>
    <n v="31.03"/>
    <x v="8"/>
    <x v="1"/>
    <s v="4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28"/>
    <s v="TP211"/>
    <n v="16.5"/>
    <x v="9"/>
    <x v="0"/>
    <s v="4&quot;"/>
    <n v="1"/>
    <s v=""/>
    <s v=""/>
    <s v=""/>
    <s v=""/>
    <s v=""/>
    <s v=""/>
    <s v="1 1/2&quot;"/>
    <n v="1"/>
    <s v=""/>
    <s v=""/>
    <s v=""/>
    <s v=""/>
    <s v=""/>
    <s v=""/>
    <s v=""/>
    <s v=""/>
    <s v=""/>
    <s v=""/>
    <s v="1 1/2&quot;"/>
    <n v="1"/>
  </r>
  <r>
    <s v="N328"/>
    <s v="N329"/>
    <n v="12.28"/>
    <x v="8"/>
    <x v="1"/>
    <s v="4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277"/>
    <s v="N330"/>
    <n v="8.2200000000000006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30"/>
    <s v="N331"/>
    <n v="83.79"/>
    <x v="0"/>
    <x v="1"/>
    <s v=""/>
    <s v=""/>
    <s v=""/>
    <s v=""/>
    <s v=""/>
    <s v=""/>
    <s v="3&quot;"/>
    <n v="1"/>
    <s v="3&quot;"/>
    <n v="1"/>
    <s v=""/>
    <s v=""/>
    <s v=""/>
    <s v=""/>
    <s v=""/>
    <s v=""/>
    <s v=""/>
    <s v=""/>
    <s v=""/>
    <s v=""/>
    <s v=""/>
    <s v=""/>
  </r>
  <r>
    <s v="N331"/>
    <s v="N329"/>
    <n v="33.5"/>
    <x v="8"/>
    <x v="1"/>
    <s v="4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29"/>
    <s v="TP212"/>
    <n v="56"/>
    <x v="6"/>
    <x v="4"/>
    <s v=""/>
    <s v=""/>
    <s v=""/>
    <s v=""/>
    <s v="4&quot; A 1&quot;"/>
    <n v="1"/>
    <s v=""/>
    <s v=""/>
    <s v=""/>
    <s v=""/>
    <s v=""/>
    <s v=""/>
    <s v=""/>
    <s v=""/>
    <s v=""/>
    <s v=""/>
    <s v=""/>
    <s v=""/>
    <s v=""/>
    <s v=""/>
    <s v="1&quot;"/>
    <n v="1"/>
  </r>
  <r>
    <s v="N331"/>
    <s v="N332"/>
    <n v="59"/>
    <x v="0"/>
    <x v="2"/>
    <s v="4&quot;"/>
    <n v="1"/>
    <s v=""/>
    <s v=""/>
    <s v=""/>
    <s v=""/>
    <s v=""/>
    <s v=""/>
    <s v="3&quot;"/>
    <n v="1"/>
    <s v=""/>
    <s v=""/>
    <s v=""/>
    <s v=""/>
    <s v="3&quot;"/>
    <n v="1"/>
    <s v=""/>
    <s v=""/>
    <s v=""/>
    <s v=""/>
    <s v=""/>
    <s v=""/>
  </r>
  <r>
    <s v="N332"/>
    <s v="N333"/>
    <n v="55.97"/>
    <x v="0"/>
    <x v="2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33"/>
    <s v="N334"/>
    <n v="54.6"/>
    <x v="0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34"/>
    <s v="N213"/>
    <n v="45.13"/>
    <x v="6"/>
    <x v="0"/>
    <s v="3&quot;"/>
    <n v="1"/>
    <s v=""/>
    <s v=""/>
    <s v=""/>
    <s v=""/>
    <s v=""/>
    <s v=""/>
    <s v="1&quot;"/>
    <n v="1"/>
    <s v=""/>
    <s v=""/>
    <s v=""/>
    <s v=""/>
    <s v=""/>
    <s v=""/>
    <s v=""/>
    <s v=""/>
    <s v=""/>
    <s v=""/>
    <s v="1&quot;"/>
    <n v="1"/>
  </r>
  <r>
    <s v="N334"/>
    <s v="N335"/>
    <n v="60.19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335"/>
    <s v="TP214"/>
    <n v="41.29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335"/>
    <s v="TP215"/>
    <n v="46.52"/>
    <x v="1"/>
    <x v="0"/>
    <s v="2&quot;"/>
    <n v="1"/>
    <s v=""/>
    <s v=""/>
    <s v=""/>
    <s v=""/>
    <s v="2&quot;"/>
    <n v="1"/>
    <s v=""/>
    <s v=""/>
    <s v=""/>
    <s v=""/>
    <s v=""/>
    <s v=""/>
    <s v=""/>
    <s v=""/>
    <s v=""/>
    <s v=""/>
    <s v=""/>
    <s v=""/>
    <s v="2&quot;"/>
    <n v="1"/>
  </r>
  <r>
    <s v="N332"/>
    <s v="N336"/>
    <n v="50.35"/>
    <x v="0"/>
    <x v="2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36"/>
    <s v="TP216"/>
    <n v="203.38"/>
    <x v="1"/>
    <x v="0"/>
    <s v="3&quot;"/>
    <n v="1"/>
    <s v=""/>
    <s v=""/>
    <s v=""/>
    <s v=""/>
    <s v="2&quot;"/>
    <n v="1"/>
    <s v="2&quot;"/>
    <n v="1"/>
    <s v=""/>
    <s v=""/>
    <s v=""/>
    <s v=""/>
    <s v=""/>
    <s v=""/>
    <s v=""/>
    <s v=""/>
    <s v=""/>
    <s v=""/>
    <s v="2&quot;"/>
    <n v="1"/>
  </r>
  <r>
    <s v="N336"/>
    <s v="N337"/>
    <n v="52.11"/>
    <x v="0"/>
    <x v="2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37"/>
    <s v="TP217"/>
    <n v="42.53"/>
    <x v="9"/>
    <x v="0"/>
    <s v="3&quot;"/>
    <n v="1"/>
    <s v=""/>
    <s v=""/>
    <s v=""/>
    <s v=""/>
    <s v=""/>
    <s v=""/>
    <s v="1 1/2&quot;"/>
    <n v="1"/>
    <s v=""/>
    <s v=""/>
    <s v=""/>
    <s v=""/>
    <s v=""/>
    <s v=""/>
    <s v=""/>
    <s v=""/>
    <s v=""/>
    <s v=""/>
    <s v="1 1/2&quot;"/>
    <n v="1"/>
  </r>
  <r>
    <s v="N337"/>
    <s v="N338"/>
    <n v="7.65"/>
    <x v="0"/>
    <x v="2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38"/>
    <s v="N339"/>
    <n v="85.96"/>
    <x v="0"/>
    <x v="0"/>
    <s v="3&quot;"/>
    <n v="1"/>
    <s v=""/>
    <s v=""/>
    <s v=""/>
    <s v=""/>
    <s v=""/>
    <s v=""/>
    <s v=""/>
    <s v=""/>
    <s v=""/>
    <s v=""/>
    <s v=""/>
    <s v=""/>
    <s v="3&quot;"/>
    <n v="1"/>
    <s v=""/>
    <s v=""/>
    <s v=""/>
    <s v=""/>
    <s v=""/>
    <s v=""/>
  </r>
  <r>
    <s v="N339"/>
    <s v="TP218"/>
    <n v="57.96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3&quot;"/>
    <n v="1"/>
  </r>
  <r>
    <s v="N339"/>
    <s v="N340"/>
    <n v="25.45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40"/>
    <s v="TP219"/>
    <n v="31.67"/>
    <x v="6"/>
    <x v="0"/>
    <s v=""/>
    <s v=""/>
    <s v=""/>
    <s v=""/>
    <s v=""/>
    <s v=""/>
    <s v=""/>
    <s v=""/>
    <s v="1&quot;"/>
    <n v="1"/>
    <s v=""/>
    <s v=""/>
    <s v=""/>
    <s v=""/>
    <s v=""/>
    <s v=""/>
    <s v=""/>
    <s v=""/>
    <s v=""/>
    <s v=""/>
    <s v="1&quot;"/>
    <n v="1"/>
  </r>
  <r>
    <s v="N338"/>
    <s v="N341"/>
    <n v="38.549999999999997"/>
    <x v="0"/>
    <x v="2"/>
    <s v="3&quot;"/>
    <n v="1"/>
    <s v=""/>
    <s v=""/>
    <s v=""/>
    <s v=""/>
    <s v="3&quot;"/>
    <n v="1"/>
    <s v="3&quot;"/>
    <n v="1"/>
    <s v=""/>
    <s v=""/>
    <s v=""/>
    <s v=""/>
    <s v=""/>
    <s v=""/>
    <s v=""/>
    <s v=""/>
    <s v=""/>
    <s v=""/>
    <s v=""/>
    <s v=""/>
  </r>
  <r>
    <s v="N341"/>
    <s v="TP220"/>
    <n v="21.21"/>
    <x v="0"/>
    <x v="0"/>
    <s v="6&quot;"/>
    <n v="1"/>
    <s v=""/>
    <s v=""/>
    <s v=""/>
    <s v=""/>
    <s v=""/>
    <s v=""/>
    <s v="3&quot;"/>
    <n v="1"/>
    <s v=""/>
    <s v=""/>
    <s v=""/>
    <s v=""/>
    <s v=""/>
    <s v=""/>
    <s v=""/>
    <s v=""/>
    <s v=""/>
    <s v=""/>
    <s v="3&quot;"/>
    <n v="1"/>
  </r>
  <r>
    <s v="N341"/>
    <s v="N342"/>
    <n v="59.47"/>
    <x v="7"/>
    <x v="2"/>
    <s v="6&quot;"/>
    <n v="1"/>
    <s v=""/>
    <s v=""/>
    <s v=""/>
    <s v=""/>
    <s v=""/>
    <s v=""/>
    <s v=""/>
    <s v=""/>
    <s v=""/>
    <s v=""/>
    <s v=""/>
    <s v=""/>
    <s v="6&quot;"/>
    <n v="1"/>
    <s v=""/>
    <s v=""/>
    <s v=""/>
    <s v=""/>
    <s v=""/>
    <s v=""/>
  </r>
  <r>
    <s v="T. SANTA MARTA"/>
    <s v="N342"/>
    <n v="11.44"/>
    <x v="7"/>
    <x v="2"/>
    <s v="6&quot;"/>
    <n v="1"/>
    <s v=""/>
    <s v=""/>
    <s v=""/>
    <s v=""/>
    <s v=""/>
    <s v=""/>
    <s v=""/>
    <s v=""/>
    <s v=""/>
    <s v=""/>
    <s v=""/>
    <s v=""/>
    <s v="6&quot;"/>
    <n v="1"/>
    <s v=""/>
    <s v=""/>
    <s v=""/>
    <s v=""/>
    <s v=""/>
    <s v=""/>
  </r>
  <r>
    <s v="N326"/>
    <s v="N343"/>
    <n v="82.77"/>
    <x v="2"/>
    <x v="1"/>
    <s v=""/>
    <s v=""/>
    <s v="8&quot;"/>
    <n v="1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43"/>
    <s v="TP221"/>
    <n v="65.489999999999995"/>
    <x v="1"/>
    <x v="0"/>
    <s v="8&quot;"/>
    <n v="1"/>
    <s v=""/>
    <s v=""/>
    <s v=""/>
    <s v=""/>
    <s v=""/>
    <s v=""/>
    <s v="2&quot;"/>
    <n v="1"/>
    <s v=""/>
    <s v=""/>
    <s v=""/>
    <s v=""/>
    <s v="2&quot;"/>
    <n v="1"/>
    <s v=""/>
    <s v=""/>
    <s v=""/>
    <s v=""/>
    <s v="2&quot;"/>
    <n v="1"/>
  </r>
  <r>
    <s v="N343"/>
    <s v="N344"/>
    <n v="52.09"/>
    <x v="2"/>
    <x v="1"/>
    <s v="8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44"/>
    <s v="N345"/>
    <n v="60.24"/>
    <x v="0"/>
    <x v="1"/>
    <s v="8&quot;"/>
    <n v="1"/>
    <s v=""/>
    <s v=""/>
    <s v=""/>
    <s v=""/>
    <s v=""/>
    <s v=""/>
    <s v="3&quot;"/>
    <n v="1"/>
    <s v=""/>
    <s v=""/>
    <s v=""/>
    <s v=""/>
    <s v="3&quot;"/>
    <n v="1"/>
    <s v=""/>
    <s v=""/>
    <s v=""/>
    <s v=""/>
    <s v=""/>
    <s v=""/>
  </r>
  <r>
    <s v="N345"/>
    <s v="TP222"/>
    <n v="61.93"/>
    <x v="1"/>
    <x v="0"/>
    <s v="3&quot;"/>
    <n v="1"/>
    <s v=""/>
    <s v=""/>
    <s v=""/>
    <s v=""/>
    <s v=""/>
    <s v=""/>
    <s v="2&quot;"/>
    <n v="1"/>
    <s v=""/>
    <s v=""/>
    <s v=""/>
    <s v=""/>
    <s v="2&quot;"/>
    <n v="1"/>
    <s v=""/>
    <s v=""/>
    <s v=""/>
    <s v=""/>
    <s v="2&quot;"/>
    <n v="1"/>
  </r>
  <r>
    <s v="N345"/>
    <s v="N346"/>
    <n v="66.040000000000006"/>
    <x v="0"/>
    <x v="1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25"/>
    <s v="N346"/>
    <n v="134.13"/>
    <x v="0"/>
    <x v="1"/>
    <s v=""/>
    <s v="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46"/>
    <s v="N347"/>
    <n v="137.28"/>
    <x v="0"/>
    <x v="1"/>
    <s v=""/>
    <s v="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23"/>
    <s v="N347"/>
    <n v="132.24"/>
    <x v="0"/>
    <x v="1"/>
    <s v=""/>
    <s v="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47"/>
    <s v="TP223"/>
    <n v="4.9400000000000004"/>
    <x v="0"/>
    <x v="1"/>
    <s v=""/>
    <s v=""/>
    <s v="3&quot;"/>
    <n v="1"/>
    <s v=""/>
    <s v=""/>
    <s v=""/>
    <s v=""/>
    <s v=""/>
    <s v=""/>
    <s v=""/>
    <s v=""/>
    <s v=""/>
    <s v=""/>
    <s v=""/>
    <s v=""/>
    <s v=""/>
    <s v=""/>
    <s v=""/>
    <s v=""/>
    <s v="3&quot;"/>
    <n v="1"/>
  </r>
  <r>
    <s v="N321"/>
    <s v="N348"/>
    <n v="130.66"/>
    <x v="2"/>
    <x v="0"/>
    <s v=""/>
    <s v=""/>
    <s v="8&quot;"/>
    <n v="1"/>
    <s v=""/>
    <s v=""/>
    <s v=""/>
    <s v=""/>
    <s v=""/>
    <s v=""/>
    <s v=""/>
    <s v=""/>
    <s v=""/>
    <s v=""/>
    <s v=""/>
    <s v=""/>
    <n v="0"/>
    <n v="1"/>
    <s v=""/>
    <s v=""/>
    <s v=""/>
    <s v=""/>
  </r>
  <r>
    <s v="N348"/>
    <s v="N349"/>
    <n v="73.36"/>
    <x v="7"/>
    <x v="2"/>
    <s v=""/>
    <s v=""/>
    <s v="8&quot;"/>
    <n v="1"/>
    <s v=""/>
    <s v=""/>
    <s v=""/>
    <s v=""/>
    <s v="6&quot;"/>
    <n v="1"/>
    <s v=""/>
    <s v=""/>
    <s v=""/>
    <s v=""/>
    <s v=""/>
    <s v=""/>
    <s v=""/>
    <s v=""/>
    <s v=""/>
    <s v=""/>
    <s v=""/>
    <s v=""/>
  </r>
  <r>
    <s v="N349"/>
    <s v="TP224"/>
    <n v="52.36"/>
    <x v="1"/>
    <x v="0"/>
    <s v="6&quot;"/>
    <n v="1"/>
    <s v=""/>
    <s v=""/>
    <s v=""/>
    <s v=""/>
    <s v=""/>
    <s v=""/>
    <s v="2&quot;"/>
    <n v="1"/>
    <s v=""/>
    <s v=""/>
    <s v=""/>
    <s v=""/>
    <s v="2&quot;"/>
    <n v="1"/>
    <s v=""/>
    <s v=""/>
    <s v=""/>
    <s v=""/>
    <s v="2&quot;"/>
    <n v="1"/>
  </r>
  <r>
    <s v="N349"/>
    <s v="TP225"/>
    <n v="49.43"/>
    <x v="7"/>
    <x v="2"/>
    <s v="6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6&quot;"/>
    <n v="1"/>
  </r>
  <r>
    <s v="N348"/>
    <s v="N350"/>
    <n v="284.89"/>
    <x v="8"/>
    <x v="0"/>
    <s v=""/>
    <s v=""/>
    <s v="8&quot;"/>
    <n v="1"/>
    <s v=""/>
    <s v=""/>
    <s v=""/>
    <s v=""/>
    <s v="4&quot;"/>
    <n v="1"/>
    <s v=""/>
    <s v=""/>
    <s v=""/>
    <s v=""/>
    <s v="4&quot;"/>
    <n v="2"/>
    <s v=""/>
    <s v=""/>
    <s v=""/>
    <s v=""/>
    <s v=""/>
    <s v=""/>
  </r>
  <r>
    <s v="N319"/>
    <s v="N351"/>
    <n v="143.97"/>
    <x v="8"/>
    <x v="1"/>
    <s v=""/>
    <s v=""/>
    <s v="4&quot;"/>
    <n v="1"/>
    <s v=""/>
    <s v=""/>
    <s v=""/>
    <s v=""/>
    <s v=""/>
    <s v=""/>
    <s v=""/>
    <s v=""/>
    <s v=""/>
    <s v=""/>
    <s v="4&quot;"/>
    <n v="1"/>
    <s v=""/>
    <s v=""/>
    <s v=""/>
    <s v=""/>
    <s v=""/>
    <s v=""/>
  </r>
  <r>
    <s v="N351"/>
    <s v="N352"/>
    <n v="66.58"/>
    <x v="8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52"/>
    <s v="TP226"/>
    <n v="70.41"/>
    <x v="1"/>
    <x v="0"/>
    <s v="4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352"/>
    <s v="TP227"/>
    <n v="51.53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4&quot;"/>
    <n v="1"/>
  </r>
  <r>
    <s v="N317"/>
    <s v="N350"/>
    <n v="132.15"/>
    <x v="0"/>
    <x v="1"/>
    <s v=""/>
    <s v=""/>
    <s v="3&quot;"/>
    <n v="1"/>
    <s v=""/>
    <s v=""/>
    <s v=""/>
    <s v=""/>
    <s v="3&quot;"/>
    <n v="1"/>
    <s v=""/>
    <s v=""/>
    <s v=""/>
    <s v=""/>
    <s v=""/>
    <s v=""/>
    <n v="0"/>
    <n v="1"/>
    <s v=""/>
    <s v=""/>
    <s v=""/>
    <s v=""/>
  </r>
  <r>
    <s v="N350"/>
    <s v="N353"/>
    <n v="72.73"/>
    <x v="8"/>
    <x v="0"/>
    <s v=""/>
    <s v=""/>
    <s v="4&quot;"/>
    <n v="1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53"/>
    <s v="TP228"/>
    <n v="46.68"/>
    <x v="1"/>
    <x v="0"/>
    <s v="4&quot;"/>
    <n v="1"/>
    <s v=""/>
    <s v=""/>
    <s v=""/>
    <s v=""/>
    <s v=""/>
    <s v=""/>
    <s v="2&quot;"/>
    <n v="1"/>
    <s v=""/>
    <s v=""/>
    <s v=""/>
    <s v=""/>
    <s v="2&quot;"/>
    <n v="1"/>
    <s v=""/>
    <s v=""/>
    <s v=""/>
    <s v=""/>
    <s v="2&quot;"/>
    <n v="1"/>
  </r>
  <r>
    <s v="N353"/>
    <s v="N354"/>
    <n v="67.81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16"/>
    <s v="N354"/>
    <n v="130.05000000000001"/>
    <x v="7"/>
    <x v="1"/>
    <s v=""/>
    <s v=""/>
    <s v="6&quot;"/>
    <n v="1"/>
    <s v=""/>
    <s v=""/>
    <s v=""/>
    <s v=""/>
    <s v=""/>
    <s v=""/>
    <s v=""/>
    <s v=""/>
    <s v=""/>
    <s v=""/>
    <s v=""/>
    <s v=""/>
    <s v=""/>
    <s v=""/>
    <n v="0"/>
    <n v="1"/>
    <s v=""/>
    <s v=""/>
  </r>
  <r>
    <s v="N354"/>
    <s v="N355"/>
    <n v="83.13"/>
    <x v="0"/>
    <x v="0"/>
    <s v=""/>
    <s v=""/>
    <s v="6&quot;"/>
    <n v="1"/>
    <s v=""/>
    <s v=""/>
    <s v=""/>
    <s v=""/>
    <s v="3&quot;"/>
    <n v="1"/>
    <s v=""/>
    <s v=""/>
    <s v=""/>
    <s v=""/>
    <s v=""/>
    <s v=""/>
    <s v=""/>
    <s v=""/>
    <s v=""/>
    <s v=""/>
    <s v=""/>
    <s v=""/>
  </r>
  <r>
    <s v="N355"/>
    <s v="N356"/>
    <n v="41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356"/>
    <s v="TP229"/>
    <n v="60.17"/>
    <x v="1"/>
    <x v="0"/>
    <s v="2&quot;"/>
    <n v="1"/>
    <s v=""/>
    <s v=""/>
    <s v=""/>
    <s v=""/>
    <s v="2&quot;"/>
    <n v="1"/>
    <s v=""/>
    <s v=""/>
    <s v=""/>
    <s v=""/>
    <s v=""/>
    <s v=""/>
    <s v="2&quot;"/>
    <n v="1"/>
    <s v=""/>
    <s v=""/>
    <s v=""/>
    <s v=""/>
    <s v="2&quot;"/>
    <n v="1"/>
  </r>
  <r>
    <s v="N356"/>
    <s v="N357"/>
    <n v="30.9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57"/>
    <s v="TP230"/>
    <n v="77.7"/>
    <x v="1"/>
    <x v="0"/>
    <s v="2&quot;"/>
    <n v="1"/>
    <s v=""/>
    <s v=""/>
    <s v=""/>
    <s v=""/>
    <s v=""/>
    <s v=""/>
    <s v=""/>
    <s v=""/>
    <s v=""/>
    <s v=""/>
    <s v=""/>
    <s v=""/>
    <s v="2&quot;"/>
    <n v="1"/>
    <s v=""/>
    <s v=""/>
    <s v=""/>
    <s v=""/>
    <s v="2&quot;"/>
    <n v="1"/>
  </r>
  <r>
    <s v="N357"/>
    <s v="TP231"/>
    <n v="52.29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355"/>
    <s v="N358"/>
    <n v="24.18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58"/>
    <s v="TP232"/>
    <n v="40.119999999999997"/>
    <x v="1"/>
    <x v="2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358"/>
    <s v="N359"/>
    <n v="81.99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59"/>
    <s v="TP233"/>
    <n v="58.26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359"/>
    <s v="N360"/>
    <n v="62.35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n v="0"/>
    <n v="1"/>
    <s v=""/>
    <s v=""/>
  </r>
  <r>
    <s v="N315"/>
    <s v="N361"/>
    <n v="38.630000000000003"/>
    <x v="0"/>
    <x v="1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61"/>
    <s v="TP234"/>
    <n v="59.24"/>
    <x v="6"/>
    <x v="0"/>
    <s v="3&quot;"/>
    <n v="1"/>
    <s v=""/>
    <s v=""/>
    <s v=""/>
    <s v=""/>
    <s v="1&quot;"/>
    <n v="1"/>
    <s v="1&quot;"/>
    <n v="1"/>
    <s v=""/>
    <s v=""/>
    <s v=""/>
    <s v=""/>
    <s v=""/>
    <s v=""/>
    <s v=""/>
    <s v=""/>
    <s v=""/>
    <s v=""/>
    <s v="1&quot;"/>
    <n v="1"/>
  </r>
  <r>
    <s v="N361"/>
    <s v="N360"/>
    <n v="109.71"/>
    <x v="0"/>
    <x v="1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60"/>
    <s v="N362"/>
    <n v="161.38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362"/>
    <s v="N363"/>
    <n v="54.1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63"/>
    <s v="TP235"/>
    <n v="42.38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363"/>
    <s v="N364"/>
    <n v="10.17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64"/>
    <s v="TP236"/>
    <n v="23.33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364"/>
    <s v="TP237"/>
    <n v="36.33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362"/>
    <s v="N365"/>
    <n v="53.57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65"/>
    <s v="N366"/>
    <n v="277.45999999999998"/>
    <x v="1"/>
    <x v="0"/>
    <s v="2&quot;"/>
    <n v="1"/>
    <s v=""/>
    <s v=""/>
    <s v=""/>
    <s v=""/>
    <s v="2&quot;"/>
    <n v="3"/>
    <s v=""/>
    <s v=""/>
    <s v=""/>
    <s v=""/>
    <s v=""/>
    <s v=""/>
    <s v="2&quot;"/>
    <n v="1"/>
    <s v=""/>
    <s v=""/>
    <s v=""/>
    <s v=""/>
    <s v=""/>
    <s v=""/>
  </r>
  <r>
    <s v="N366"/>
    <s v="TP238"/>
    <n v="23.8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366"/>
    <s v="TP239"/>
    <n v="372.9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365"/>
    <s v="N367"/>
    <n v="99.45"/>
    <x v="1"/>
    <x v="0"/>
    <s v="2&quot;"/>
    <n v="1"/>
    <s v=""/>
    <s v=""/>
    <s v=""/>
    <s v=""/>
    <s v="2&quot;"/>
    <n v="1"/>
    <s v="2&quot;"/>
    <n v="1"/>
    <s v=""/>
    <s v=""/>
    <s v=""/>
    <s v=""/>
    <s v="2&quot;"/>
    <n v="1"/>
    <s v=""/>
    <s v=""/>
    <s v=""/>
    <s v=""/>
    <s v=""/>
    <s v=""/>
  </r>
  <r>
    <s v="N367"/>
    <s v="N368"/>
    <n v="14.29"/>
    <x v="0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68"/>
    <s v="TP240"/>
    <n v="26.79"/>
    <x v="6"/>
    <x v="0"/>
    <s v="3&quot;"/>
    <n v="1"/>
    <s v=""/>
    <s v=""/>
    <s v=""/>
    <s v=""/>
    <s v=""/>
    <s v=""/>
    <s v="1&quot;"/>
    <n v="1"/>
    <s v=""/>
    <s v=""/>
    <s v=""/>
    <s v=""/>
    <s v=""/>
    <s v=""/>
    <s v=""/>
    <s v=""/>
    <s v=""/>
    <s v=""/>
    <s v="1&quot;"/>
    <n v="1"/>
  </r>
  <r>
    <s v="N368"/>
    <s v="N369"/>
    <n v="40.33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69"/>
    <s v="TP241"/>
    <n v="41.24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369"/>
    <s v="N370"/>
    <n v="42.26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70"/>
    <s v="TP242"/>
    <n v="52.6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370"/>
    <s v="N371"/>
    <n v="44.16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71"/>
    <s v="TP243"/>
    <n v="76.239999999999995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371"/>
    <s v="N372"/>
    <n v="52.63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72"/>
    <s v="TP244"/>
    <n v="81.27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372"/>
    <s v="N373"/>
    <n v="56.13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73"/>
    <s v="N374"/>
    <n v="9.33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74"/>
    <s v="TP245"/>
    <n v="110.49"/>
    <x v="1"/>
    <x v="0"/>
    <s v=""/>
    <s v="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373"/>
    <s v="N375"/>
    <n v="21.76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375"/>
    <s v="N376"/>
    <n v="77.8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76"/>
    <s v="TP246"/>
    <n v="7.08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376"/>
    <s v="N377"/>
    <n v="34.32"/>
    <x v="1"/>
    <x v="0"/>
    <s v="2&quot;"/>
    <n v="1"/>
    <s v=""/>
    <s v=""/>
    <s v=""/>
    <s v=""/>
    <s v="2&quot;"/>
    <n v="2"/>
    <s v=""/>
    <s v=""/>
    <s v=""/>
    <s v=""/>
    <s v=""/>
    <s v=""/>
    <s v=""/>
    <s v=""/>
    <s v=""/>
    <s v=""/>
    <s v=""/>
    <s v=""/>
    <s v=""/>
    <s v=""/>
  </r>
  <r>
    <s v="N377"/>
    <s v="TP247"/>
    <n v="62.36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377"/>
    <s v="TP248"/>
    <n v="24.8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375"/>
    <s v="N378"/>
    <n v="35.06"/>
    <x v="1"/>
    <x v="0"/>
    <s v="2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378"/>
    <s v="TP249"/>
    <n v="37"/>
    <x v="6"/>
    <x v="0"/>
    <s v=""/>
    <s v=""/>
    <s v=""/>
    <s v=""/>
    <s v="3&quot; A 1&quot;"/>
    <n v="1"/>
    <s v=""/>
    <s v=""/>
    <s v=""/>
    <s v=""/>
    <s v=""/>
    <s v=""/>
    <s v=""/>
    <s v=""/>
    <s v=""/>
    <s v=""/>
    <s v=""/>
    <s v=""/>
    <s v=""/>
    <s v=""/>
    <s v="1&quot;"/>
    <n v="1"/>
  </r>
  <r>
    <s v="N378"/>
    <s v="N379"/>
    <n v="46.66"/>
    <x v="0"/>
    <x v="0"/>
    <s v=""/>
    <s v=""/>
    <s v=""/>
    <s v=""/>
    <s v=""/>
    <s v=""/>
    <s v=""/>
    <s v=""/>
    <s v=""/>
    <s v=""/>
    <s v=""/>
    <s v=""/>
    <s v=""/>
    <s v=""/>
    <s v="3&quot;"/>
    <n v="1"/>
    <s v=""/>
    <s v=""/>
    <s v=""/>
    <s v=""/>
    <s v=""/>
    <s v=""/>
  </r>
  <r>
    <s v="N354"/>
    <s v="N380"/>
    <n v="139.59"/>
    <x v="7"/>
    <x v="1"/>
    <s v=""/>
    <s v=""/>
    <s v="6&quot;"/>
    <n v="1"/>
    <s v=""/>
    <s v=""/>
    <s v=""/>
    <s v=""/>
    <s v=""/>
    <s v=""/>
    <s v=""/>
    <s v=""/>
    <s v=""/>
    <s v=""/>
    <s v=""/>
    <s v=""/>
    <s v=""/>
    <s v=""/>
    <n v="0"/>
    <n v="1"/>
    <s v=""/>
    <s v=""/>
  </r>
  <r>
    <s v="N380"/>
    <s v="N379"/>
    <n v="1.75"/>
    <x v="0"/>
    <x v="0"/>
    <s v=""/>
    <s v=""/>
    <s v=""/>
    <s v=""/>
    <s v=""/>
    <s v=""/>
    <s v=""/>
    <s v=""/>
    <s v="3&quot;"/>
    <n v="1"/>
    <s v=""/>
    <s v=""/>
    <s v=""/>
    <s v=""/>
    <s v=""/>
    <s v=""/>
    <s v=""/>
    <s v=""/>
    <s v=""/>
    <s v=""/>
    <s v=""/>
    <s v=""/>
  </r>
  <r>
    <s v="N379"/>
    <s v="N381"/>
    <n v="4.9400000000000004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81"/>
    <s v="N382"/>
    <n v="147.78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82"/>
    <s v="N383"/>
    <n v="2.2400000000000002"/>
    <x v="0"/>
    <x v="1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83"/>
    <s v="N384"/>
    <n v="12.35"/>
    <x v="0"/>
    <x v="1"/>
    <s v="3&quot;"/>
    <n v="1"/>
    <s v=""/>
    <s v=""/>
    <s v=""/>
    <s v=""/>
    <s v=""/>
    <s v=""/>
    <s v="3&quot;"/>
    <n v="1"/>
    <s v=""/>
    <s v=""/>
    <s v=""/>
    <s v=""/>
    <s v=""/>
    <s v=""/>
    <s v=""/>
    <s v=""/>
    <s v=""/>
    <s v=""/>
    <s v=""/>
    <s v=""/>
  </r>
  <r>
    <s v="N350"/>
    <s v="N385"/>
    <n v="79.680000000000007"/>
    <x v="0"/>
    <x v="0"/>
    <s v=""/>
    <s v=""/>
    <s v="4&quot;"/>
    <n v="1"/>
    <s v=""/>
    <s v=""/>
    <s v=""/>
    <s v=""/>
    <s v="3&quot;"/>
    <n v="1"/>
    <s v=""/>
    <s v=""/>
    <s v=""/>
    <s v=""/>
    <s v=""/>
    <s v=""/>
    <s v=""/>
    <s v=""/>
    <s v=""/>
    <s v=""/>
    <s v=""/>
    <s v=""/>
  </r>
  <r>
    <s v="N385"/>
    <s v="TP250"/>
    <n v="51.02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385"/>
    <s v="N386"/>
    <n v="41.88"/>
    <x v="0"/>
    <x v="0"/>
    <s v="3&quot;"/>
    <n v="1"/>
    <s v=""/>
    <s v=""/>
    <s v=""/>
    <s v=""/>
    <s v=""/>
    <s v=""/>
    <s v=""/>
    <s v=""/>
    <s v=""/>
    <s v=""/>
    <s v=""/>
    <s v=""/>
    <s v="3&quot;"/>
    <n v="1"/>
    <s v=""/>
    <s v=""/>
    <s v=""/>
    <s v=""/>
    <s v=""/>
    <s v=""/>
  </r>
  <r>
    <s v="N386"/>
    <s v="N384"/>
    <n v="7.66"/>
    <x v="0"/>
    <x v="1"/>
    <s v=""/>
    <s v=""/>
    <s v=""/>
    <s v=""/>
    <s v=""/>
    <s v=""/>
    <s v=""/>
    <s v=""/>
    <s v="3&quot;"/>
    <n v="1"/>
    <s v=""/>
    <s v=""/>
    <s v=""/>
    <s v=""/>
    <s v=""/>
    <s v=""/>
    <s v=""/>
    <s v=""/>
    <s v=""/>
    <s v=""/>
    <s v=""/>
    <s v=""/>
  </r>
  <r>
    <s v="N384"/>
    <s v="TP251"/>
    <n v="124.82"/>
    <x v="0"/>
    <x v="0"/>
    <s v=""/>
    <s v=""/>
    <s v="6&quot;"/>
    <n v="1"/>
    <s v=""/>
    <s v=""/>
    <s v=""/>
    <s v=""/>
    <s v="3&quot;"/>
    <n v="1"/>
    <s v=""/>
    <s v=""/>
    <s v=""/>
    <s v=""/>
    <s v=""/>
    <s v=""/>
    <s v=""/>
    <s v=""/>
    <s v=""/>
    <s v=""/>
    <s v="3&quot;"/>
    <n v="1"/>
  </r>
  <r>
    <s v="N384"/>
    <s v="N387"/>
    <n v="128.04"/>
    <x v="7"/>
    <x v="0"/>
    <s v=""/>
    <s v=""/>
    <s v="6&quot;"/>
    <n v="1"/>
    <s v=""/>
    <s v=""/>
    <s v=""/>
    <s v=""/>
    <s v=""/>
    <s v=""/>
    <s v=""/>
    <s v=""/>
    <s v=""/>
    <s v=""/>
    <s v="6&quot;"/>
    <n v="1"/>
    <n v="0"/>
    <n v="1"/>
    <s v=""/>
    <s v=""/>
    <s v=""/>
    <s v=""/>
  </r>
  <r>
    <s v="N387"/>
    <s v="N388"/>
    <n v="147.22999999999999"/>
    <x v="7"/>
    <x v="0"/>
    <s v="6&quot;"/>
    <n v="1"/>
    <s v=""/>
    <s v=""/>
    <s v=""/>
    <s v=""/>
    <s v=""/>
    <s v=""/>
    <s v="6&quot;"/>
    <n v="1"/>
    <s v=""/>
    <s v=""/>
    <s v=""/>
    <s v=""/>
    <s v=""/>
    <s v=""/>
    <s v=""/>
    <s v=""/>
    <s v=""/>
    <s v=""/>
    <s v=""/>
    <s v=""/>
  </r>
  <r>
    <s v="N348"/>
    <s v="N388"/>
    <n v="133.6"/>
    <x v="2"/>
    <x v="0"/>
    <s v=""/>
    <s v=""/>
    <s v="8&quot;"/>
    <n v="1"/>
    <s v=""/>
    <s v=""/>
    <s v=""/>
    <s v=""/>
    <s v=""/>
    <s v=""/>
    <s v=""/>
    <s v=""/>
    <s v=""/>
    <s v=""/>
    <s v="8&quot;"/>
    <n v="1"/>
    <s v=""/>
    <s v=""/>
    <s v=""/>
    <s v=""/>
    <s v=""/>
    <s v=""/>
  </r>
  <r>
    <s v="N388"/>
    <s v="N389"/>
    <n v="198.34"/>
    <x v="7"/>
    <x v="0"/>
    <s v=""/>
    <s v=""/>
    <s v="8&quot;"/>
    <n v="1"/>
    <s v=""/>
    <s v=""/>
    <s v=""/>
    <s v=""/>
    <s v="6&quot;"/>
    <n v="1"/>
    <s v=""/>
    <s v=""/>
    <s v=""/>
    <s v=""/>
    <s v=""/>
    <s v=""/>
    <s v=""/>
    <s v=""/>
    <s v=""/>
    <s v=""/>
    <s v=""/>
    <s v=""/>
  </r>
  <r>
    <s v="N389"/>
    <s v="TP252"/>
    <n v="64.66"/>
    <x v="1"/>
    <x v="0"/>
    <s v="6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389"/>
    <s v="TP253"/>
    <n v="70.959999999999994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6&quot;"/>
    <n v="1"/>
  </r>
  <r>
    <s v="N347"/>
    <s v="N390"/>
    <n v="151.47"/>
    <x v="0"/>
    <x v="0"/>
    <s v=""/>
    <s v=""/>
    <s v="3&quot;"/>
    <n v="1"/>
    <s v=""/>
    <s v=""/>
    <s v=""/>
    <s v=""/>
    <s v="3&quot;"/>
    <n v="1"/>
    <s v=""/>
    <s v=""/>
    <s v=""/>
    <s v=""/>
    <s v="3&quot;"/>
    <n v="0"/>
    <s v=""/>
    <s v=""/>
    <s v=""/>
    <s v=""/>
    <s v=""/>
    <s v=""/>
  </r>
  <r>
    <s v="N346"/>
    <s v="N391"/>
    <n v="129.88"/>
    <x v="0"/>
    <x v="2"/>
    <s v=""/>
    <s v=""/>
    <s v="3&quot;"/>
    <n v="1"/>
    <s v=""/>
    <s v=""/>
    <s v=""/>
    <s v=""/>
    <s v=""/>
    <s v=""/>
    <s v=""/>
    <s v=""/>
    <s v=""/>
    <s v=""/>
    <s v="3&quot;"/>
    <n v="1"/>
    <s v=""/>
    <s v=""/>
    <s v=""/>
    <s v=""/>
    <s v=""/>
    <s v=""/>
  </r>
  <r>
    <s v="N391"/>
    <s v="N392"/>
    <n v="3.96"/>
    <x v="1"/>
    <x v="4"/>
    <s v=""/>
    <s v=""/>
    <s v=""/>
    <s v="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392"/>
    <s v="TP253"/>
    <n v="3.46"/>
    <x v="0"/>
    <x v="0"/>
    <s v=""/>
    <s v=""/>
    <s v="3&quot;"/>
    <n v="1"/>
    <s v=""/>
    <s v=""/>
    <s v=""/>
    <s v=""/>
    <s v=""/>
    <s v=""/>
    <s v=""/>
    <s v=""/>
    <s v=""/>
    <s v=""/>
    <s v=""/>
    <s v=""/>
    <s v=""/>
    <s v=""/>
    <s v=""/>
    <s v=""/>
    <s v="3&quot;"/>
    <n v="1"/>
  </r>
  <r>
    <s v="N392"/>
    <s v="N393"/>
    <n v="25.9"/>
    <x v="0"/>
    <x v="0"/>
    <s v=""/>
    <s v="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93"/>
    <s v="TP254"/>
    <n v="71.81"/>
    <x v="1"/>
    <x v="0"/>
    <s v="3&quot;"/>
    <n v="1"/>
    <s v=""/>
    <s v=""/>
    <s v=""/>
    <s v=""/>
    <s v=""/>
    <s v=""/>
    <s v="2&quot;"/>
    <n v="1"/>
    <s v=""/>
    <s v=""/>
    <s v=""/>
    <s v=""/>
    <s v="2&quot;"/>
    <n v="1"/>
    <s v=""/>
    <s v=""/>
    <s v=""/>
    <s v=""/>
    <s v="2&quot;"/>
    <n v="1"/>
  </r>
  <r>
    <s v="N393"/>
    <s v="N394"/>
    <n v="50.44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94"/>
    <s v="N395"/>
    <n v="34.67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395"/>
    <s v="TP255"/>
    <n v="42.9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395"/>
    <s v="TP256"/>
    <n v="81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394"/>
    <s v="N396"/>
    <n v="49.18"/>
    <x v="0"/>
    <x v="0"/>
    <s v="3&quot;"/>
    <n v="1"/>
    <s v=""/>
    <s v=""/>
    <s v=""/>
    <s v=""/>
    <s v=""/>
    <s v=""/>
    <s v=""/>
    <s v=""/>
    <s v=""/>
    <s v=""/>
    <s v=""/>
    <s v=""/>
    <s v="3&quot;"/>
    <n v="1"/>
    <s v=""/>
    <s v=""/>
    <s v=""/>
    <s v=""/>
    <s v=""/>
    <s v=""/>
  </r>
  <r>
    <s v="N344"/>
    <s v="N397"/>
    <n v="68.349999999999994"/>
    <x v="2"/>
    <x v="1"/>
    <s v="8&quot;"/>
    <n v="1"/>
    <s v=""/>
    <s v=""/>
    <s v=""/>
    <s v=""/>
    <s v=""/>
    <s v=""/>
    <s v=""/>
    <s v=""/>
    <s v=""/>
    <s v=""/>
    <s v=""/>
    <s v=""/>
    <s v="8&quot;"/>
    <n v="1"/>
    <s v=""/>
    <s v=""/>
    <s v=""/>
    <s v=""/>
    <s v=""/>
    <s v=""/>
  </r>
  <r>
    <s v="N397"/>
    <s v="N398"/>
    <n v="28.64"/>
    <x v="1"/>
    <x v="0"/>
    <s v="8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398"/>
    <s v="TP257"/>
    <n v="22.6"/>
    <x v="6"/>
    <x v="0"/>
    <s v="2&quot;"/>
    <n v="1"/>
    <s v=""/>
    <s v=""/>
    <s v=""/>
    <s v=""/>
    <s v=""/>
    <s v=""/>
    <s v="1&quot;"/>
    <n v="1"/>
    <s v=""/>
    <s v=""/>
    <s v=""/>
    <s v=""/>
    <s v=""/>
    <s v=""/>
    <s v=""/>
    <s v=""/>
    <s v=""/>
    <s v=""/>
    <s v="1&quot;"/>
    <n v="1"/>
  </r>
  <r>
    <s v="N398"/>
    <s v="TP258"/>
    <n v="38.93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397"/>
    <s v="N396"/>
    <n v="64.650000000000006"/>
    <x v="2"/>
    <x v="1"/>
    <s v="8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5"/>
    <s v="T. PICAPIEDRA"/>
    <n v="1306.5"/>
    <x v="7"/>
    <x v="0"/>
    <s v="6&quot;"/>
    <n v="1"/>
    <s v=""/>
    <s v=""/>
    <s v=""/>
    <s v=""/>
    <s v="6&quot;"/>
    <n v="1"/>
    <s v=""/>
    <s v=""/>
    <s v=""/>
    <s v=""/>
    <s v=""/>
    <s v=""/>
    <s v=""/>
    <s v=""/>
    <s v=""/>
    <s v=""/>
    <s v=""/>
    <s v=""/>
    <s v=""/>
    <s v=""/>
  </r>
  <r>
    <s v="T. PICAPIEDRA"/>
    <s v="T. ANIMES"/>
    <n v="216.8"/>
    <x v="2"/>
    <x v="0"/>
    <s v=""/>
    <s v=""/>
    <s v=""/>
    <s v=""/>
    <s v=""/>
    <s v=""/>
    <s v="8&quot;"/>
    <n v="2"/>
    <s v=""/>
    <s v=""/>
    <s v=""/>
    <s v=""/>
    <s v=""/>
    <s v=""/>
    <s v=""/>
    <s v=""/>
    <s v=""/>
    <s v=""/>
    <s v=""/>
    <s v=""/>
    <s v=""/>
    <s v=""/>
  </r>
  <r>
    <s v="T. ANIMES"/>
    <s v="T. SANTA MARTA"/>
    <n v="506.71"/>
    <x v="3"/>
    <x v="0"/>
    <s v=""/>
    <s v=""/>
    <s v=""/>
    <s v=""/>
    <s v=""/>
    <s v=""/>
    <s v="10&quot;"/>
    <n v="3"/>
    <s v=""/>
    <s v=""/>
    <s v=""/>
    <s v=""/>
    <s v=""/>
    <s v=""/>
    <s v=""/>
    <s v=""/>
    <s v=""/>
    <s v=""/>
    <s v=""/>
    <s v=""/>
    <s v=""/>
    <s v=""/>
  </r>
  <r>
    <s v="T. ANIMES"/>
    <s v="N399"/>
    <n v="66.67"/>
    <x v="7"/>
    <x v="0"/>
    <s v=""/>
    <s v=""/>
    <s v=""/>
    <s v=""/>
    <s v=""/>
    <s v=""/>
    <s v="6&quot;"/>
    <n v="1"/>
    <s v=""/>
    <s v=""/>
    <s v=""/>
    <s v=""/>
    <s v=""/>
    <s v=""/>
    <s v="6&quot;"/>
    <n v="1"/>
    <s v=""/>
    <s v=""/>
    <s v=""/>
    <s v=""/>
    <s v=""/>
    <s v=""/>
  </r>
  <r>
    <s v="N399"/>
    <s v="N400"/>
    <n v="194.37"/>
    <x v="8"/>
    <x v="0"/>
    <s v="6&quot;"/>
    <n v="1"/>
    <s v=""/>
    <s v=""/>
    <s v=""/>
    <s v=""/>
    <s v=""/>
    <s v=""/>
    <s v="4&quot;"/>
    <n v="1"/>
    <s v=""/>
    <s v=""/>
    <s v=""/>
    <s v=""/>
    <s v="4&quot;"/>
    <n v="1"/>
    <s v=""/>
    <s v=""/>
    <s v=""/>
    <s v=""/>
    <s v=""/>
    <s v=""/>
  </r>
  <r>
    <s v="N400"/>
    <s v="TP259"/>
    <n v="16.41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4&quot;"/>
    <n v="1"/>
  </r>
  <r>
    <s v="N400"/>
    <s v="TP260"/>
    <n v="185.07"/>
    <x v="1"/>
    <x v="0"/>
    <s v="4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399"/>
    <s v="N401"/>
    <n v="3.87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01"/>
    <s v="N402"/>
    <n v="182.22"/>
    <x v="8"/>
    <x v="0"/>
    <s v="6&quot;"/>
    <n v="1"/>
    <s v=""/>
    <s v=""/>
    <s v=""/>
    <s v=""/>
    <s v=""/>
    <s v=""/>
    <s v="4&quot;"/>
    <n v="1"/>
    <s v=""/>
    <s v=""/>
    <s v=""/>
    <s v=""/>
    <s v=""/>
    <s v=""/>
    <s v=""/>
    <s v=""/>
    <s v=""/>
    <s v=""/>
    <s v=""/>
    <s v=""/>
  </r>
  <r>
    <s v="N402"/>
    <s v="N403"/>
    <n v="329.73"/>
    <x v="0"/>
    <x v="0"/>
    <s v="4&quot;"/>
    <n v="1"/>
    <s v=""/>
    <s v=""/>
    <s v=""/>
    <s v=""/>
    <s v=""/>
    <s v=""/>
    <s v="3&quot;"/>
    <n v="1"/>
    <s v=""/>
    <s v=""/>
    <s v=""/>
    <s v=""/>
    <s v=""/>
    <s v=""/>
    <s v=""/>
    <s v=""/>
    <s v=""/>
    <s v=""/>
    <s v=""/>
    <s v=""/>
  </r>
  <r>
    <s v="N403"/>
    <s v="N404"/>
    <n v="55.27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404"/>
    <s v="TP261"/>
    <n v="34.46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404"/>
    <s v="TP262"/>
    <n v="29.61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403"/>
    <s v="N405"/>
    <n v="18.71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05"/>
    <s v="N406"/>
    <n v="63.6"/>
    <x v="1"/>
    <x v="0"/>
    <s v=""/>
    <s v=""/>
    <s v=""/>
    <s v="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406"/>
    <s v="TP263"/>
    <n v="48.4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406"/>
    <s v="TP264"/>
    <n v="17.11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402"/>
    <s v="CQ5"/>
    <n v="43.17"/>
    <x v="8"/>
    <x v="0"/>
    <s v="4&quot;"/>
    <n v="1"/>
    <s v=""/>
    <s v=""/>
    <s v=""/>
    <s v=""/>
    <s v="4&quot;"/>
    <n v="1"/>
    <s v=""/>
    <s v=""/>
    <s v=""/>
    <s v=""/>
    <s v=""/>
    <s v=""/>
    <s v=""/>
    <s v=""/>
    <s v=""/>
    <s v=""/>
    <s v=""/>
    <s v=""/>
    <s v=""/>
    <s v=""/>
  </r>
  <r>
    <s v="CQ5"/>
    <s v="N407"/>
    <n v="147.97"/>
    <x v="0"/>
    <x v="0"/>
    <s v=""/>
    <s v=""/>
    <s v=""/>
    <s v=""/>
    <s v=""/>
    <s v=""/>
    <s v="3&quot;"/>
    <n v="1"/>
    <s v=""/>
    <s v=""/>
    <s v=""/>
    <s v=""/>
    <s v=""/>
    <s v=""/>
    <s v=""/>
    <s v=""/>
    <s v=""/>
    <s v=""/>
    <s v=""/>
    <s v=""/>
    <s v=""/>
    <s v=""/>
  </r>
  <r>
    <s v="N407"/>
    <s v="N408"/>
    <n v="131.71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07"/>
    <s v="N409"/>
    <n v="53.86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09"/>
    <s v="N410"/>
    <n v="191.93"/>
    <x v="0"/>
    <x v="0"/>
    <s v="3&quot;"/>
    <n v="1"/>
    <s v=""/>
    <s v=""/>
    <s v=""/>
    <s v=""/>
    <s v="3&quot;"/>
    <n v="1"/>
    <s v=""/>
    <s v=""/>
    <s v=""/>
    <s v=""/>
    <s v=""/>
    <s v=""/>
    <s v=""/>
    <s v=""/>
    <s v=""/>
    <s v=""/>
    <s v=""/>
    <s v=""/>
    <s v=""/>
    <s v=""/>
  </r>
  <r>
    <s v="N410"/>
    <s v="TP265"/>
    <n v="39.61"/>
    <x v="6"/>
    <x v="0"/>
    <s v="3&quot;"/>
    <n v="1"/>
    <s v=""/>
    <s v=""/>
    <s v=""/>
    <s v=""/>
    <s v=""/>
    <s v=""/>
    <s v="1&quot;"/>
    <n v="1"/>
    <s v=""/>
    <s v=""/>
    <s v=""/>
    <s v=""/>
    <s v=""/>
    <s v=""/>
    <s v=""/>
    <s v=""/>
    <s v=""/>
    <s v=""/>
    <s v="1&quot;"/>
    <n v="1"/>
  </r>
  <r>
    <s v="N410"/>
    <s v="N411"/>
    <n v="140.85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11"/>
    <s v="TP266"/>
    <n v="28.99"/>
    <x v="6"/>
    <x v="0"/>
    <s v="3&quot;"/>
    <n v="1"/>
    <s v=""/>
    <s v=""/>
    <s v=""/>
    <s v=""/>
    <s v=""/>
    <s v=""/>
    <s v="1&quot;"/>
    <n v="1"/>
    <s v=""/>
    <s v=""/>
    <s v=""/>
    <s v=""/>
    <s v=""/>
    <s v=""/>
    <s v=""/>
    <s v=""/>
    <s v=""/>
    <s v=""/>
    <s v="1&quot;"/>
    <n v="1"/>
  </r>
  <r>
    <s v="N411"/>
    <s v="N412"/>
    <n v="93.35"/>
    <x v="0"/>
    <x v="0"/>
    <s v="3&quot;"/>
    <n v="1"/>
    <s v=""/>
    <s v=""/>
    <s v=""/>
    <s v=""/>
    <s v="3&quot;"/>
    <n v="1"/>
    <s v=""/>
    <s v=""/>
    <s v=""/>
    <s v=""/>
    <s v=""/>
    <s v=""/>
    <s v=""/>
    <s v=""/>
    <s v=""/>
    <s v=""/>
    <s v=""/>
    <s v=""/>
    <s v=""/>
    <s v=""/>
  </r>
  <r>
    <s v="N412"/>
    <s v="TP267"/>
    <n v="26.29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412"/>
    <s v="N413"/>
    <n v="162.81"/>
    <x v="0"/>
    <x v="0"/>
    <s v="3&quot;"/>
    <n v="1"/>
    <s v=""/>
    <s v=""/>
    <s v=""/>
    <s v=""/>
    <s v="3&quot;"/>
    <n v="1"/>
    <s v=""/>
    <s v=""/>
    <s v=""/>
    <s v=""/>
    <s v=""/>
    <s v=""/>
    <s v=""/>
    <s v=""/>
    <s v=""/>
    <s v=""/>
    <s v=""/>
    <s v=""/>
    <s v=""/>
    <s v=""/>
  </r>
  <r>
    <s v="N413"/>
    <s v="TP268"/>
    <n v="177.76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413"/>
    <s v="N414"/>
    <n v="65.31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14"/>
    <s v="TP269"/>
    <n v="24.58"/>
    <x v="6"/>
    <x v="0"/>
    <s v="3&quot;"/>
    <n v="1"/>
    <s v=""/>
    <s v=""/>
    <s v=""/>
    <s v=""/>
    <s v=""/>
    <s v=""/>
    <s v="1&quot;"/>
    <n v="1"/>
    <s v=""/>
    <s v=""/>
    <s v=""/>
    <s v=""/>
    <s v=""/>
    <s v=""/>
    <s v=""/>
    <s v=""/>
    <s v=""/>
    <s v=""/>
    <s v="1&quot;"/>
    <n v="1"/>
  </r>
  <r>
    <s v="N414"/>
    <s v="N415"/>
    <n v="44.95"/>
    <x v="0"/>
    <x v="0"/>
    <s v="3&quot;"/>
    <n v="1"/>
    <s v=""/>
    <s v=""/>
    <s v=""/>
    <s v=""/>
    <s v=""/>
    <s v=""/>
    <s v=""/>
    <s v=""/>
    <s v=""/>
    <s v=""/>
    <s v=""/>
    <s v=""/>
    <s v="3&quot;"/>
    <n v="1"/>
    <s v=""/>
    <s v=""/>
    <s v=""/>
    <s v=""/>
    <s v=""/>
    <s v=""/>
  </r>
  <r>
    <s v="N409"/>
    <s v="N416"/>
    <n v="2.4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16"/>
    <s v="N408"/>
    <n v="102.42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16"/>
    <s v="N417"/>
    <n v="58.18"/>
    <x v="0"/>
    <x v="0"/>
    <s v="3&quot;"/>
    <n v="1"/>
    <s v=""/>
    <s v=""/>
    <s v=""/>
    <s v=""/>
    <s v=""/>
    <s v=""/>
    <s v=""/>
    <s v=""/>
    <s v=""/>
    <s v=""/>
    <s v=""/>
    <s v=""/>
    <s v="3&quot;"/>
    <n v="1"/>
    <s v=""/>
    <s v=""/>
    <s v=""/>
    <s v=""/>
    <s v=""/>
    <s v=""/>
  </r>
  <r>
    <s v="N417"/>
    <s v="N418"/>
    <n v="128.81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18"/>
    <s v="N419"/>
    <n v="73.81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419"/>
    <s v="TP270"/>
    <n v="5.54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419"/>
    <s v="TP271"/>
    <n v="86.11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418"/>
    <s v="N420"/>
    <n v="158.13999999999999"/>
    <x v="0"/>
    <x v="0"/>
    <s v="3&quot;"/>
    <n v="1"/>
    <s v=""/>
    <s v=""/>
    <s v=""/>
    <s v=""/>
    <s v=""/>
    <s v=""/>
    <s v=""/>
    <s v=""/>
    <s v=""/>
    <s v=""/>
    <s v=""/>
    <s v=""/>
    <s v=""/>
    <s v=""/>
    <n v="0"/>
    <n v="1"/>
    <s v=""/>
    <s v=""/>
    <s v=""/>
    <s v=""/>
  </r>
  <r>
    <s v="N420"/>
    <s v="N421"/>
    <n v="132.43"/>
    <x v="1"/>
    <x v="0"/>
    <s v=""/>
    <s v=""/>
    <s v=""/>
    <s v="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421"/>
    <s v="N415"/>
    <n v="43.97"/>
    <x v="1"/>
    <x v="0"/>
    <s v="2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421"/>
    <s v="N422"/>
    <n v="6.1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22"/>
    <s v="TP272"/>
    <n v="31.26"/>
    <x v="1"/>
    <x v="0"/>
    <s v=""/>
    <s v=""/>
    <s v=""/>
    <s v=""/>
    <s v="2&quot; A 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422"/>
    <s v="N423"/>
    <n v="43.16"/>
    <x v="1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23"/>
    <s v="TP273"/>
    <n v="28.77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423"/>
    <s v="N424"/>
    <n v="1.66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24"/>
    <s v="N425"/>
    <n v="133.32"/>
    <x v="8"/>
    <x v="1"/>
    <s v="2&quot;"/>
    <n v="1"/>
    <s v=""/>
    <s v=""/>
    <s v=""/>
    <s v=""/>
    <s v=""/>
    <s v=""/>
    <s v=""/>
    <s v=""/>
    <s v="4&quot;"/>
    <n v="1"/>
    <s v=""/>
    <s v=""/>
    <s v=""/>
    <s v=""/>
    <s v=""/>
    <s v=""/>
    <s v=""/>
    <s v=""/>
    <s v=""/>
    <s v=""/>
  </r>
  <r>
    <s v="N425"/>
    <s v="TP274"/>
    <n v="46.65"/>
    <x v="6"/>
    <x v="0"/>
    <s v="4&quot;"/>
    <n v="1"/>
    <s v=""/>
    <s v=""/>
    <s v=""/>
    <s v=""/>
    <s v=""/>
    <s v=""/>
    <s v="1&quot;"/>
    <n v="1"/>
    <s v=""/>
    <s v=""/>
    <s v=""/>
    <s v=""/>
    <s v=""/>
    <s v=""/>
    <s v=""/>
    <s v=""/>
    <s v=""/>
    <s v=""/>
    <s v="1&quot;"/>
    <n v="1"/>
  </r>
  <r>
    <s v="N425"/>
    <s v="TP275"/>
    <n v="31.51"/>
    <x v="6"/>
    <x v="0"/>
    <s v="4&quot;"/>
    <n v="1"/>
    <s v=""/>
    <s v=""/>
    <s v=""/>
    <s v=""/>
    <s v=""/>
    <s v=""/>
    <s v="1&quot;"/>
    <n v="1"/>
    <s v=""/>
    <s v=""/>
    <s v=""/>
    <s v=""/>
    <s v=""/>
    <s v=""/>
    <s v=""/>
    <s v=""/>
    <s v=""/>
    <s v=""/>
    <s v="1&quot;"/>
    <n v="1"/>
  </r>
  <r>
    <s v="N424"/>
    <s v="N426"/>
    <n v="40.869999999999997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26"/>
    <s v="TP276"/>
    <n v="54.42"/>
    <x v="8"/>
    <x v="0"/>
    <s v="2&quot;"/>
    <n v="1"/>
    <s v=""/>
    <s v=""/>
    <s v=""/>
    <s v=""/>
    <s v=""/>
    <s v=""/>
    <s v=""/>
    <s v=""/>
    <s v="4&quot;"/>
    <n v="1"/>
    <s v=""/>
    <s v=""/>
    <s v=""/>
    <s v=""/>
    <s v=""/>
    <s v=""/>
    <s v=""/>
    <s v=""/>
    <s v="4&quot;"/>
    <n v="1"/>
  </r>
  <r>
    <s v="N426"/>
    <s v="TP277"/>
    <n v="788.75"/>
    <x v="1"/>
    <x v="0"/>
    <s v="2&quot;"/>
    <n v="1"/>
    <s v=""/>
    <s v=""/>
    <s v=""/>
    <s v=""/>
    <s v="2&quot;"/>
    <n v="1"/>
    <s v=""/>
    <s v=""/>
    <s v=""/>
    <s v=""/>
    <s v=""/>
    <s v=""/>
    <s v=""/>
    <s v=""/>
    <s v=""/>
    <s v=""/>
    <s v=""/>
    <s v=""/>
    <s v="2&quot;"/>
    <n v="1"/>
  </r>
  <r>
    <s v="N417"/>
    <s v="N427"/>
    <n v="22.33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27"/>
    <s v="N428"/>
    <n v="63.54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428"/>
    <s v="TP278"/>
    <n v="14.03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428"/>
    <s v="TP279"/>
    <n v="83.56"/>
    <x v="1"/>
    <x v="0"/>
    <s v="2&quot;"/>
    <n v="1"/>
    <s v=""/>
    <s v=""/>
    <s v=""/>
    <s v=""/>
    <s v="2&quot;"/>
    <n v="1"/>
    <s v=""/>
    <s v=""/>
    <s v=""/>
    <s v=""/>
    <s v=""/>
    <s v=""/>
    <s v=""/>
    <s v=""/>
    <s v=""/>
    <s v=""/>
    <s v=""/>
    <s v=""/>
    <s v="2&quot;"/>
    <n v="1"/>
  </r>
  <r>
    <s v="N427"/>
    <s v="N429"/>
    <n v="34.729999999999997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29"/>
    <s v="N430"/>
    <n v="54.8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430"/>
    <s v="TP280"/>
    <n v="32.159999999999997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208"/>
    <s v="N431"/>
    <n v="63.49"/>
    <x v="0"/>
    <x v="0"/>
    <s v="3&quot;"/>
    <n v="1"/>
    <s v=""/>
    <s v=""/>
    <s v=""/>
    <s v=""/>
    <s v=""/>
    <s v=""/>
    <s v=""/>
    <s v=""/>
    <s v=""/>
    <s v=""/>
    <s v=""/>
    <s v=""/>
    <s v="3&quot;"/>
    <n v="1"/>
    <s v=""/>
    <s v=""/>
    <s v=""/>
    <s v=""/>
    <s v=""/>
    <s v=""/>
  </r>
  <r>
    <s v="N429"/>
    <s v="N431"/>
    <n v="62.43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31"/>
    <s v="N432"/>
    <n v="40.39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30"/>
    <s v="N432"/>
    <n v="76.48999999999999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32"/>
    <s v="TP281"/>
    <n v="21.01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3&quot;"/>
    <n v="1"/>
  </r>
  <r>
    <s v="N342"/>
    <s v="N433"/>
    <n v="301.77"/>
    <x v="7"/>
    <x v="0"/>
    <s v="6&quot;"/>
    <n v="1"/>
    <s v=""/>
    <s v=""/>
    <s v=""/>
    <s v=""/>
    <s v="6&quot;"/>
    <n v="3"/>
    <s v=""/>
    <s v=""/>
    <s v=""/>
    <s v=""/>
    <s v=""/>
    <s v=""/>
    <s v=""/>
    <s v=""/>
    <s v=""/>
    <s v=""/>
    <s v=""/>
    <s v=""/>
    <s v=""/>
    <s v=""/>
  </r>
  <r>
    <s v="N433"/>
    <s v="N434"/>
    <n v="7.7"/>
    <x v="1"/>
    <x v="0"/>
    <s v="6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434"/>
    <s v="N435"/>
    <n v="124.89"/>
    <x v="1"/>
    <x v="0"/>
    <s v="2&quot;"/>
    <n v="1"/>
    <s v=""/>
    <s v=""/>
    <s v=""/>
    <s v=""/>
    <s v="2&quot;"/>
    <n v="1"/>
    <s v=""/>
    <s v=""/>
    <s v=""/>
    <s v=""/>
    <s v=""/>
    <s v=""/>
    <s v="2&quot;"/>
    <n v="1"/>
    <s v=""/>
    <s v=""/>
    <s v=""/>
    <s v=""/>
    <s v=""/>
    <s v=""/>
  </r>
  <r>
    <s v="N435"/>
    <s v="TP282"/>
    <n v="22.06"/>
    <x v="6"/>
    <x v="0"/>
    <s v="2&quot;"/>
    <n v="1"/>
    <s v=""/>
    <s v=""/>
    <s v=""/>
    <s v=""/>
    <s v=""/>
    <s v=""/>
    <s v="1&quot;"/>
    <n v="1"/>
    <s v=""/>
    <s v=""/>
    <s v=""/>
    <s v=""/>
    <s v=""/>
    <s v=""/>
    <s v=""/>
    <s v=""/>
    <s v=""/>
    <s v=""/>
    <s v="1&quot;"/>
    <n v="1"/>
  </r>
  <r>
    <s v="N435"/>
    <s v="TP283"/>
    <n v="69.19"/>
    <x v="12"/>
    <x v="0"/>
    <s v="2&quot;"/>
    <n v="1"/>
    <s v=""/>
    <s v=""/>
    <s v=""/>
    <s v=""/>
    <s v="3/4&quot;"/>
    <n v="1"/>
    <s v="3/4&quot;"/>
    <n v="1"/>
    <s v=""/>
    <s v=""/>
    <s v=""/>
    <s v=""/>
    <s v=""/>
    <s v=""/>
    <s v=""/>
    <s v=""/>
    <s v=""/>
    <s v=""/>
    <s v="3/4&quot;"/>
    <n v="1"/>
  </r>
  <r>
    <s v="N434"/>
    <s v="N436"/>
    <n v="14.16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36"/>
    <s v="N437"/>
    <n v="40.08"/>
    <x v="1"/>
    <x v="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37"/>
    <s v="TP284"/>
    <n v="36.86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437"/>
    <s v="N438"/>
    <n v="72.44"/>
    <x v="1"/>
    <x v="4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38"/>
    <s v="N439"/>
    <n v="20.329999999999998"/>
    <x v="1"/>
    <x v="4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39"/>
    <s v="TP285"/>
    <n v="29.1"/>
    <x v="1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438"/>
    <s v="TP286"/>
    <n v="57.63"/>
    <x v="1"/>
    <x v="4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433"/>
    <s v="N440"/>
    <n v="24.31"/>
    <x v="7"/>
    <x v="0"/>
    <s v="6&quot;"/>
    <n v="1"/>
    <s v=""/>
    <s v=""/>
    <s v=""/>
    <s v=""/>
    <s v=""/>
    <s v=""/>
    <s v=""/>
    <s v=""/>
    <s v=""/>
    <s v=""/>
    <s v=""/>
    <s v=""/>
    <s v="6&quot;"/>
    <n v="2"/>
    <s v=""/>
    <s v=""/>
    <s v=""/>
    <s v=""/>
    <s v=""/>
    <s v=""/>
  </r>
  <r>
    <s v="N440"/>
    <s v="N441"/>
    <n v="80.73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41"/>
    <s v="TP287"/>
    <n v="21.5"/>
    <x v="6"/>
    <x v="0"/>
    <s v=""/>
    <s v=""/>
    <s v=""/>
    <s v=""/>
    <s v="6&quot; A 1&quot;"/>
    <n v="1"/>
    <s v=""/>
    <s v=""/>
    <s v=""/>
    <s v=""/>
    <s v=""/>
    <s v=""/>
    <s v=""/>
    <s v=""/>
    <s v=""/>
    <s v=""/>
    <s v=""/>
    <s v=""/>
    <s v=""/>
    <s v=""/>
    <s v="1&quot;"/>
    <n v="1"/>
  </r>
  <r>
    <s v="N441"/>
    <s v="N396"/>
    <n v="64.08"/>
    <x v="7"/>
    <x v="0"/>
    <s v=""/>
    <s v=""/>
    <s v=""/>
    <s v=""/>
    <s v=""/>
    <s v=""/>
    <s v="6&quot;"/>
    <n v="1"/>
    <s v=""/>
    <s v=""/>
    <s v=""/>
    <s v=""/>
    <s v=""/>
    <s v=""/>
    <s v=""/>
    <s v=""/>
    <s v=""/>
    <s v=""/>
    <s v=""/>
    <s v=""/>
    <s v=""/>
    <s v=""/>
  </r>
  <r>
    <s v="N440"/>
    <s v="N442"/>
    <n v="39.39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42"/>
    <s v="TP288"/>
    <n v="29.42"/>
    <x v="6"/>
    <x v="0"/>
    <s v=""/>
    <s v=""/>
    <s v=""/>
    <s v=""/>
    <s v="6&quot; A 1&quot;"/>
    <n v="1"/>
    <s v=""/>
    <s v=""/>
    <s v=""/>
    <s v=""/>
    <s v=""/>
    <s v=""/>
    <s v=""/>
    <s v=""/>
    <s v=""/>
    <s v=""/>
    <s v=""/>
    <s v=""/>
    <s v=""/>
    <s v=""/>
    <s v="1&quot;"/>
    <n v="1"/>
  </r>
  <r>
    <s v="N442"/>
    <s v="N443"/>
    <n v="42.15"/>
    <x v="7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43"/>
    <s v="TP289"/>
    <n v="122.58"/>
    <x v="0"/>
    <x v="0"/>
    <s v="6&quot;"/>
    <n v="1"/>
    <s v=""/>
    <s v=""/>
    <s v=""/>
    <s v=""/>
    <s v=""/>
    <s v=""/>
    <s v="3&quot;"/>
    <n v="1"/>
    <s v=""/>
    <s v=""/>
    <s v=""/>
    <s v=""/>
    <s v="3&quot;"/>
    <n v="1"/>
    <s v=""/>
    <s v=""/>
    <s v=""/>
    <s v=""/>
    <s v="3&quot;"/>
    <n v="1"/>
  </r>
  <r>
    <s v="N443"/>
    <s v="N444"/>
    <n v="77.239999999999995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44"/>
    <s v="TP290"/>
    <n v="135.13999999999999"/>
    <x v="8"/>
    <x v="0"/>
    <s v="6&quot;"/>
    <n v="1"/>
    <s v=""/>
    <s v=""/>
    <s v=""/>
    <s v=""/>
    <s v="4&quot;"/>
    <n v="1"/>
    <s v="4&quot;"/>
    <n v="1"/>
    <s v=""/>
    <s v=""/>
    <s v=""/>
    <s v=""/>
    <s v=""/>
    <s v=""/>
    <s v=""/>
    <s v=""/>
    <s v=""/>
    <s v=""/>
    <s v="4&quot;"/>
    <n v="1"/>
  </r>
  <r>
    <s v="N444"/>
    <s v="N445"/>
    <n v="81.92"/>
    <x v="7"/>
    <x v="2"/>
    <s v="6&quot;"/>
    <n v="1"/>
    <s v=""/>
    <s v=""/>
    <s v=""/>
    <s v=""/>
    <s v="6&quot;"/>
    <n v="2"/>
    <s v=""/>
    <s v=""/>
    <s v=""/>
    <s v=""/>
    <s v=""/>
    <s v=""/>
    <s v="6&quot;"/>
    <n v="1"/>
    <s v=""/>
    <s v=""/>
    <s v=""/>
    <s v=""/>
    <s v=""/>
    <s v=""/>
  </r>
  <r>
    <s v="N445"/>
    <s v="TP291"/>
    <n v="123.27"/>
    <x v="6"/>
    <x v="0"/>
    <s v=""/>
    <s v=""/>
    <s v=""/>
    <s v=""/>
    <s v="6&quot; A 1&quot;"/>
    <n v="1"/>
    <s v=""/>
    <s v=""/>
    <s v=""/>
    <s v=""/>
    <s v=""/>
    <s v=""/>
    <s v=""/>
    <s v=""/>
    <s v=""/>
    <s v=""/>
    <s v=""/>
    <s v=""/>
    <s v=""/>
    <s v=""/>
    <s v="1&quot;"/>
    <n v="1"/>
  </r>
  <r>
    <s v="N445"/>
    <s v="N446"/>
    <n v="117.41"/>
    <x v="7"/>
    <x v="2"/>
    <s v=""/>
    <s v=""/>
    <s v=""/>
    <s v=""/>
    <s v=""/>
    <s v=""/>
    <s v="6&quot;"/>
    <n v="5"/>
    <s v=""/>
    <s v=""/>
    <s v=""/>
    <s v=""/>
    <s v=""/>
    <s v=""/>
    <s v=""/>
    <s v=""/>
    <s v=""/>
    <s v=""/>
    <s v=""/>
    <s v=""/>
    <s v=""/>
    <s v=""/>
  </r>
  <r>
    <s v="N446"/>
    <s v="TP292"/>
    <n v="92.49"/>
    <x v="8"/>
    <x v="0"/>
    <s v=""/>
    <s v=""/>
    <s v="6&quot;"/>
    <n v="1"/>
    <s v=""/>
    <s v=""/>
    <s v="4&quot;"/>
    <n v="2"/>
    <s v="4&quot;"/>
    <n v="1"/>
    <s v=""/>
    <s v=""/>
    <s v=""/>
    <s v=""/>
    <s v=""/>
    <s v=""/>
    <s v=""/>
    <s v=""/>
    <s v=""/>
    <s v=""/>
    <s v="4&quot;"/>
    <n v="1"/>
  </r>
  <r>
    <s v="N446"/>
    <s v="N447"/>
    <n v="52.56"/>
    <x v="6"/>
    <x v="0"/>
    <s v=""/>
    <s v=""/>
    <s v="6&quot;"/>
    <n v="1"/>
    <s v=""/>
    <s v=""/>
    <s v="1&quot;"/>
    <n v="1"/>
    <s v="1&quot;"/>
    <n v="1"/>
    <s v=""/>
    <s v=""/>
    <s v=""/>
    <s v=""/>
    <s v=""/>
    <s v=""/>
    <s v=""/>
    <s v=""/>
    <s v=""/>
    <s v=""/>
    <s v=""/>
    <s v=""/>
  </r>
  <r>
    <s v="N447"/>
    <s v="TP293"/>
    <n v="35.01"/>
    <x v="6"/>
    <x v="0"/>
    <s v="1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1&quot;"/>
    <n v="1"/>
  </r>
  <r>
    <s v="N447"/>
    <s v="TP294"/>
    <n v="53.71"/>
    <x v="6"/>
    <x v="0"/>
    <s v="1&quot;"/>
    <n v="1"/>
    <s v=""/>
    <s v=""/>
    <s v=""/>
    <s v=""/>
    <s v="1&quot;"/>
    <n v="1"/>
    <s v=""/>
    <s v=""/>
    <s v=""/>
    <s v=""/>
    <s v=""/>
    <s v=""/>
    <s v=""/>
    <s v=""/>
    <s v=""/>
    <s v=""/>
    <s v=""/>
    <s v=""/>
    <s v="1&quot;"/>
    <n v="1"/>
  </r>
  <r>
    <s v="N392"/>
    <s v="N448"/>
    <n v="16.059999999999999"/>
    <x v="1"/>
    <x v="4"/>
    <s v=""/>
    <s v=""/>
    <s v="3&quot;"/>
    <n v="1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448"/>
    <s v="N449"/>
    <n v="294.63"/>
    <x v="1"/>
    <x v="4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49"/>
    <s v="TP295"/>
    <n v="56.7"/>
    <x v="10"/>
    <x v="4"/>
    <s v=""/>
    <s v=""/>
    <s v=""/>
    <s v=""/>
    <s v=""/>
    <s v=""/>
    <s v=""/>
    <s v=""/>
    <s v="1/2&quot;"/>
    <n v="1"/>
    <s v=""/>
    <s v=""/>
    <s v=""/>
    <s v=""/>
    <s v=""/>
    <s v=""/>
    <s v=""/>
    <s v=""/>
    <s v=""/>
    <s v=""/>
    <s v="1/2&quot;"/>
    <n v="1"/>
  </r>
  <r>
    <s v="N448"/>
    <s v="TP296"/>
    <n v="249.69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T. PICAPIEDRA"/>
    <s v="N450"/>
    <n v="155.16999999999999"/>
    <x v="7"/>
    <x v="0"/>
    <s v=""/>
    <s v=""/>
    <s v=""/>
    <s v=""/>
    <s v=""/>
    <s v=""/>
    <s v="6&quot;"/>
    <n v="2"/>
    <s v=""/>
    <s v=""/>
    <s v=""/>
    <s v=""/>
    <s v=""/>
    <s v=""/>
    <s v=""/>
    <s v=""/>
    <s v=""/>
    <s v=""/>
    <s v=""/>
    <s v=""/>
    <s v=""/>
    <s v=""/>
  </r>
  <r>
    <s v="N450"/>
    <s v="N451"/>
    <n v="9.01"/>
    <x v="12"/>
    <x v="0"/>
    <s v="6&quot;"/>
    <n v="1"/>
    <s v=""/>
    <s v=""/>
    <s v=""/>
    <s v=""/>
    <s v=""/>
    <s v=""/>
    <s v="3/4&quot;"/>
    <n v="1"/>
    <s v=""/>
    <s v=""/>
    <s v=""/>
    <s v=""/>
    <s v=""/>
    <s v=""/>
    <s v=""/>
    <s v=""/>
    <s v=""/>
    <s v=""/>
    <s v=""/>
    <s v=""/>
  </r>
  <r>
    <s v="N451"/>
    <s v="TP296"/>
    <n v="16.63"/>
    <x v="12"/>
    <x v="0"/>
    <s v="3/4&quot;"/>
    <n v="1"/>
    <s v=""/>
    <s v=""/>
    <s v=""/>
    <s v=""/>
    <s v="3/4&quot;"/>
    <n v="1"/>
    <s v=""/>
    <s v=""/>
    <s v=""/>
    <s v=""/>
    <s v=""/>
    <s v=""/>
    <s v=""/>
    <s v=""/>
    <s v=""/>
    <s v=""/>
    <s v=""/>
    <s v=""/>
    <s v="3/4&quot;"/>
    <n v="0"/>
  </r>
  <r>
    <s v="N451"/>
    <s v="TP297"/>
    <n v="61.65"/>
    <x v="12"/>
    <x v="0"/>
    <s v="3/4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3/4&quot;"/>
    <n v="1"/>
  </r>
  <r>
    <s v="N450"/>
    <s v="N452"/>
    <n v="25.65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52"/>
    <s v="TP298"/>
    <n v="10.31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6&quot;"/>
    <n v="1"/>
  </r>
  <r>
    <s v="N452"/>
    <s v="N453"/>
    <n v="648.57000000000005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53"/>
    <s v="TP299"/>
    <n v="137.94"/>
    <x v="7"/>
    <x v="0"/>
    <s v="6&quot;"/>
    <n v="1"/>
    <s v=""/>
    <s v=""/>
    <s v=""/>
    <s v=""/>
    <s v="6&quot;"/>
    <n v="4"/>
    <s v=""/>
    <s v=""/>
    <s v=""/>
    <s v=""/>
    <s v=""/>
    <s v=""/>
    <s v=""/>
    <s v=""/>
    <s v=""/>
    <s v=""/>
    <s v=""/>
    <s v=""/>
    <s v="6&quot;"/>
    <n v="1"/>
  </r>
  <r>
    <s v="N453"/>
    <s v="N454"/>
    <n v="17.97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54"/>
    <s v="TP300"/>
    <n v="45.42"/>
    <x v="0"/>
    <x v="0"/>
    <s v="6&quot;"/>
    <n v="1"/>
    <s v=""/>
    <s v=""/>
    <s v=""/>
    <s v=""/>
    <s v=""/>
    <s v=""/>
    <s v="3&quot;"/>
    <n v="1"/>
    <s v=""/>
    <s v=""/>
    <s v=""/>
    <s v=""/>
    <s v=""/>
    <s v=""/>
    <s v=""/>
    <s v=""/>
    <s v=""/>
    <s v=""/>
    <s v="3&quot;"/>
    <n v="1"/>
  </r>
  <r>
    <s v="N454"/>
    <s v="N455"/>
    <n v="16.78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55"/>
    <s v="TP301"/>
    <n v="55.66"/>
    <x v="6"/>
    <x v="0"/>
    <s v="6&quot;"/>
    <n v="1"/>
    <s v=""/>
    <s v=""/>
    <s v=""/>
    <s v=""/>
    <s v=""/>
    <s v=""/>
    <s v="1&quot;"/>
    <n v="1"/>
    <s v=""/>
    <s v=""/>
    <s v=""/>
    <s v=""/>
    <s v=""/>
    <s v=""/>
    <s v=""/>
    <s v=""/>
    <s v=""/>
    <s v=""/>
    <s v="1&quot;"/>
    <n v="1"/>
  </r>
  <r>
    <s v="N455"/>
    <s v="N456"/>
    <n v="122.32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56"/>
    <s v="TP302"/>
    <n v="20.86"/>
    <x v="1"/>
    <x v="0"/>
    <s v="6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456"/>
    <s v="N457"/>
    <n v="424.61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57"/>
    <s v="TP303"/>
    <n v="50.15"/>
    <x v="1"/>
    <x v="0"/>
    <s v="6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457"/>
    <s v="N458"/>
    <n v="223.17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58"/>
    <s v="TP304"/>
    <n v="242.61"/>
    <x v="1"/>
    <x v="0"/>
    <s v="6&quot;"/>
    <n v="1"/>
    <s v=""/>
    <s v=""/>
    <s v=""/>
    <s v=""/>
    <s v="2&quot;"/>
    <n v="1"/>
    <s v="2&quot;"/>
    <n v="1"/>
    <s v=""/>
    <s v=""/>
    <s v=""/>
    <s v=""/>
    <s v="2&quot;"/>
    <n v="1"/>
    <s v=""/>
    <s v=""/>
    <s v=""/>
    <s v=""/>
    <s v="2&quot;"/>
    <n v="1"/>
  </r>
  <r>
    <s v="N458"/>
    <s v="N459"/>
    <n v="400.18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59"/>
    <s v="CQ6"/>
    <n v="8.44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CQ6"/>
    <s v="N460"/>
    <n v="195.08"/>
    <x v="0"/>
    <x v="0"/>
    <s v=""/>
    <s v=""/>
    <s v=""/>
    <s v=""/>
    <s v=""/>
    <s v=""/>
    <s v="3&quot;"/>
    <n v="2"/>
    <s v=""/>
    <s v=""/>
    <s v=""/>
    <s v=""/>
    <s v=""/>
    <s v=""/>
    <s v=""/>
    <s v=""/>
    <s v=""/>
    <s v=""/>
    <s v=""/>
    <s v=""/>
    <s v=""/>
    <s v=""/>
  </r>
  <r>
    <s v="N460"/>
    <s v="N461"/>
    <n v="79.77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61"/>
    <s v="TP305"/>
    <n v="75.23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461"/>
    <s v="N462"/>
    <n v="18.14"/>
    <x v="0"/>
    <x v="0"/>
    <s v="3&quot;"/>
    <n v="1"/>
    <s v=""/>
    <s v=""/>
    <s v=""/>
    <s v=""/>
    <s v="3&quot;"/>
    <n v="1"/>
    <s v=""/>
    <s v=""/>
    <s v=""/>
    <s v=""/>
    <s v=""/>
    <s v=""/>
    <s v=""/>
    <s v=""/>
    <s v=""/>
    <s v=""/>
    <s v=""/>
    <s v=""/>
    <s v=""/>
    <s v=""/>
  </r>
  <r>
    <s v="N462"/>
    <s v="N463"/>
    <n v="115.78"/>
    <x v="1"/>
    <x v="0"/>
    <s v="3&quot;"/>
    <n v="1"/>
    <s v=""/>
    <s v=""/>
    <s v=""/>
    <s v=""/>
    <s v="2&quot;"/>
    <n v="1"/>
    <s v="2&quot;"/>
    <n v="1"/>
    <s v=""/>
    <s v=""/>
    <s v=""/>
    <s v=""/>
    <s v="2&quot;"/>
    <n v="1"/>
    <s v=""/>
    <s v=""/>
    <s v=""/>
    <s v=""/>
    <s v=""/>
    <s v=""/>
  </r>
  <r>
    <s v="N463"/>
    <s v="TP306"/>
    <n v="49.18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463"/>
    <s v="N464"/>
    <n v="87.68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64"/>
    <s v="TP307"/>
    <n v="57.33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464"/>
    <s v="TP308"/>
    <n v="90.19"/>
    <x v="1"/>
    <x v="0"/>
    <s v="2&quot;"/>
    <n v="1"/>
    <s v=""/>
    <s v=""/>
    <s v=""/>
    <s v=""/>
    <s v="2&quot;"/>
    <n v="2"/>
    <s v=""/>
    <s v=""/>
    <s v=""/>
    <s v=""/>
    <s v=""/>
    <s v=""/>
    <s v=""/>
    <s v=""/>
    <s v=""/>
    <s v=""/>
    <s v=""/>
    <s v=""/>
    <s v="2&quot;"/>
    <n v="1"/>
  </r>
  <r>
    <s v="N462"/>
    <s v="N465"/>
    <n v="58.43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65"/>
    <s v="N466"/>
    <n v="65.36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66"/>
    <s v="TP309"/>
    <n v="27.72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466"/>
    <s v="N467"/>
    <n v="47.07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67"/>
    <s v="N468"/>
    <n v="187.57"/>
    <x v="11"/>
    <x v="0"/>
    <s v="3&quot;"/>
    <n v="1"/>
    <s v=""/>
    <s v=""/>
    <s v=""/>
    <s v=""/>
    <s v="2 1/2&quot;"/>
    <n v="2"/>
    <s v="2 1/2&quot;"/>
    <n v="2"/>
    <s v=""/>
    <s v=""/>
    <s v=""/>
    <s v=""/>
    <s v=""/>
    <s v=""/>
    <s v=""/>
    <s v=""/>
    <s v=""/>
    <s v=""/>
    <s v=""/>
    <s v=""/>
  </r>
  <r>
    <s v="N468"/>
    <s v="TP310"/>
    <n v="362.9"/>
    <x v="0"/>
    <x v="0"/>
    <s v=""/>
    <s v=""/>
    <s v=""/>
    <s v=""/>
    <s v=""/>
    <s v=""/>
    <s v="3&quot;"/>
    <n v="1"/>
    <s v=""/>
    <s v=""/>
    <s v=""/>
    <s v=""/>
    <s v=""/>
    <s v=""/>
    <s v=""/>
    <s v=""/>
    <s v=""/>
    <s v=""/>
    <s v=""/>
    <s v=""/>
    <s v="3&quot;"/>
    <n v="1"/>
  </r>
  <r>
    <s v="N467"/>
    <s v="N469"/>
    <n v="12.33"/>
    <x v="0"/>
    <x v="0"/>
    <s v="3&quot;"/>
    <n v="1"/>
    <s v=""/>
    <s v=""/>
    <s v=""/>
    <s v=""/>
    <s v=""/>
    <s v=""/>
    <s v=""/>
    <s v=""/>
    <s v=""/>
    <s v=""/>
    <s v=""/>
    <s v=""/>
    <s v="3&quot;"/>
    <n v="1"/>
    <s v=""/>
    <s v=""/>
    <s v=""/>
    <s v=""/>
    <s v=""/>
    <s v=""/>
  </r>
  <r>
    <s v="N469"/>
    <s v="TP311"/>
    <n v="54.23"/>
    <x v="6"/>
    <x v="0"/>
    <s v=""/>
    <s v=""/>
    <s v=""/>
    <s v=""/>
    <s v="3&quot; A 1&quot;"/>
    <n v="1"/>
    <s v=""/>
    <s v=""/>
    <s v=""/>
    <s v=""/>
    <s v=""/>
    <s v=""/>
    <s v=""/>
    <s v=""/>
    <s v=""/>
    <s v=""/>
    <s v=""/>
    <s v=""/>
    <s v=""/>
    <s v=""/>
    <s v="1&quot;"/>
    <n v="1"/>
  </r>
  <r>
    <s v="N469"/>
    <s v="N470"/>
    <n v="52.14"/>
    <x v="0"/>
    <x v="0"/>
    <s v=""/>
    <s v=""/>
    <s v=""/>
    <s v=""/>
    <s v=""/>
    <s v=""/>
    <s v="3&quot;"/>
    <n v="1"/>
    <s v=""/>
    <s v=""/>
    <s v=""/>
    <s v=""/>
    <s v=""/>
    <s v=""/>
    <s v=""/>
    <s v=""/>
    <s v=""/>
    <s v=""/>
    <s v=""/>
    <s v=""/>
    <s v=""/>
    <s v=""/>
  </r>
  <r>
    <s v="N470"/>
    <s v="N471"/>
    <n v="167.43"/>
    <x v="0"/>
    <x v="2"/>
    <s v=""/>
    <s v=""/>
    <s v=""/>
    <s v=""/>
    <s v=""/>
    <s v=""/>
    <s v=""/>
    <s v=""/>
    <s v="3&quot;"/>
    <n v="1"/>
    <s v=""/>
    <s v=""/>
    <s v=""/>
    <s v=""/>
    <s v="3&quot;"/>
    <n v="1"/>
    <s v=""/>
    <s v=""/>
    <s v=""/>
    <s v=""/>
    <s v=""/>
    <s v=""/>
  </r>
  <r>
    <s v="N471"/>
    <s v="N472"/>
    <n v="4.4000000000000004"/>
    <x v="7"/>
    <x v="2"/>
    <s v="6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72"/>
    <s v="N473"/>
    <n v="37.479999999999997"/>
    <x v="7"/>
    <x v="2"/>
    <s v="6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73"/>
    <s v="N474"/>
    <n v="18.420000000000002"/>
    <x v="1"/>
    <x v="4"/>
    <s v="6&quot;"/>
    <n v="1"/>
    <s v=""/>
    <s v=""/>
    <s v=""/>
    <s v=""/>
    <s v=""/>
    <s v=""/>
    <s v="2&quot;"/>
    <n v="1"/>
    <s v=""/>
    <s v=""/>
    <s v=""/>
    <s v=""/>
    <s v="2&quot;"/>
    <n v="1"/>
    <s v=""/>
    <s v=""/>
    <s v=""/>
    <s v=""/>
    <s v=""/>
    <s v=""/>
  </r>
  <r>
    <s v="N474"/>
    <s v="N475"/>
    <n v="41.86"/>
    <x v="1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75"/>
    <s v="TP312"/>
    <n v="97.83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475"/>
    <s v="N476"/>
    <n v="99.31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76"/>
    <s v="TP313"/>
    <n v="123.64"/>
    <x v="1"/>
    <x v="0"/>
    <s v="2&quot;"/>
    <n v="1"/>
    <s v=""/>
    <s v=""/>
    <s v=""/>
    <s v=""/>
    <s v="2&quot;"/>
    <n v="2"/>
    <s v=""/>
    <s v=""/>
    <s v=""/>
    <s v=""/>
    <s v=""/>
    <s v=""/>
    <s v="2&quot;"/>
    <n v="1"/>
    <s v=""/>
    <s v=""/>
    <s v=""/>
    <s v=""/>
    <s v="2&quot;"/>
    <n v="1"/>
  </r>
  <r>
    <s v="N476"/>
    <s v="TP314"/>
    <n v="147.08000000000001"/>
    <x v="1"/>
    <x v="0"/>
    <s v="2&quot;"/>
    <n v="1"/>
    <s v=""/>
    <s v=""/>
    <s v=""/>
    <s v=""/>
    <s v="2&quot;"/>
    <n v="1"/>
    <s v=""/>
    <s v=""/>
    <s v=""/>
    <s v=""/>
    <s v=""/>
    <s v=""/>
    <s v=""/>
    <s v=""/>
    <s v=""/>
    <s v=""/>
    <s v=""/>
    <s v=""/>
    <s v="2&quot;"/>
    <n v="1"/>
  </r>
  <r>
    <s v="N473"/>
    <s v="N477"/>
    <n v="126.51"/>
    <x v="7"/>
    <x v="2"/>
    <s v="6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77"/>
    <s v="N478"/>
    <n v="7.08"/>
    <x v="1"/>
    <x v="2"/>
    <s v="6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478"/>
    <s v="N479"/>
    <n v="25.3"/>
    <x v="6"/>
    <x v="0"/>
    <s v=""/>
    <s v=""/>
    <s v=""/>
    <s v=""/>
    <s v="2&quot; A 1&quot;"/>
    <n v="1"/>
    <s v=""/>
    <s v=""/>
    <s v=""/>
    <s v=""/>
    <s v=""/>
    <s v=""/>
    <s v=""/>
    <s v=""/>
    <s v=""/>
    <s v=""/>
    <s v=""/>
    <s v=""/>
    <s v=""/>
    <s v=""/>
    <s v=""/>
    <s v=""/>
  </r>
  <r>
    <s v="N479"/>
    <s v="TP315"/>
    <n v="28.04"/>
    <x v="6"/>
    <x v="0"/>
    <s v="1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1&quot;"/>
    <n v="1"/>
  </r>
  <r>
    <s v="N479"/>
    <s v="TP316"/>
    <n v="29.83"/>
    <x v="6"/>
    <x v="0"/>
    <s v="1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1&quot;"/>
    <n v="1"/>
  </r>
  <r>
    <s v="N478"/>
    <s v="N480"/>
    <n v="80.44"/>
    <x v="1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80"/>
    <s v="TP317"/>
    <n v="47.9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480"/>
    <s v="TP318"/>
    <n v="100.97"/>
    <x v="1"/>
    <x v="0"/>
    <s v="2&quot;"/>
    <n v="1"/>
    <s v=""/>
    <s v=""/>
    <s v=""/>
    <s v=""/>
    <s v="2&quot;"/>
    <n v="1"/>
    <s v=""/>
    <s v=""/>
    <s v=""/>
    <s v=""/>
    <s v=""/>
    <s v=""/>
    <s v=""/>
    <s v=""/>
    <s v=""/>
    <s v=""/>
    <s v=""/>
    <s v=""/>
    <s v="2&quot;"/>
    <n v="1"/>
  </r>
  <r>
    <s v="N477"/>
    <s v="N481"/>
    <n v="29.78"/>
    <x v="7"/>
    <x v="2"/>
    <s v="6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81"/>
    <s v="N446"/>
    <n v="74.150000000000006"/>
    <x v="7"/>
    <x v="2"/>
    <s v="6&quot;"/>
    <n v="1"/>
    <s v=""/>
    <s v=""/>
    <s v=""/>
    <s v=""/>
    <s v="6&quot;"/>
    <n v="3"/>
    <s v=""/>
    <s v=""/>
    <s v=""/>
    <s v=""/>
    <s v=""/>
    <s v=""/>
    <s v=""/>
    <s v=""/>
    <s v=""/>
    <s v=""/>
    <s v=""/>
    <s v=""/>
    <s v=""/>
    <s v=""/>
  </r>
  <r>
    <s v="N481"/>
    <s v="N482"/>
    <n v="83.9"/>
    <x v="0"/>
    <x v="0"/>
    <s v="6&quot;"/>
    <n v="1"/>
    <s v=""/>
    <s v=""/>
    <s v=""/>
    <s v=""/>
    <s v=""/>
    <s v=""/>
    <s v="3&quot;"/>
    <n v="1"/>
    <s v=""/>
    <s v=""/>
    <s v=""/>
    <s v=""/>
    <s v="3&quot;"/>
    <n v="1"/>
    <s v=""/>
    <s v=""/>
    <s v=""/>
    <s v=""/>
    <s v=""/>
    <s v=""/>
  </r>
  <r>
    <s v="N482"/>
    <s v="N483"/>
    <n v="52.02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483"/>
    <s v="TP319"/>
    <n v="36.049999999999997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483"/>
    <s v="N484"/>
    <n v="43.91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82"/>
    <s v="N485"/>
    <n v="47.24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85"/>
    <s v="N484"/>
    <n v="53.01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484"/>
    <s v="TP320"/>
    <n v="22.0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485"/>
    <s v="TP321"/>
    <n v="118.98"/>
    <x v="0"/>
    <x v="0"/>
    <s v="3&quot;"/>
    <n v="1"/>
    <s v=""/>
    <s v=""/>
    <s v=""/>
    <s v=""/>
    <s v="3&quot;"/>
    <n v="1"/>
    <s v=""/>
    <s v=""/>
    <s v=""/>
    <s v=""/>
    <s v=""/>
    <s v=""/>
    <s v=""/>
    <s v=""/>
    <s v=""/>
    <s v=""/>
    <s v=""/>
    <s v=""/>
    <s v="3&quot;"/>
    <n v="1"/>
  </r>
  <r>
    <s v="N472"/>
    <s v="N486"/>
    <n v="38.21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86"/>
    <s v="TP322"/>
    <n v="42.8"/>
    <x v="1"/>
    <x v="0"/>
    <s v=""/>
    <s v=""/>
    <s v=""/>
    <s v=""/>
    <s v="6&quot; A 2&quot;"/>
    <n v="1"/>
    <s v=""/>
    <s v=""/>
    <s v=""/>
    <s v=""/>
    <s v=""/>
    <s v=""/>
    <s v=""/>
    <s v=""/>
    <s v=""/>
    <s v=""/>
    <s v=""/>
    <s v=""/>
    <s v=""/>
    <s v=""/>
    <s v="2&quot;"/>
    <n v="1"/>
  </r>
  <r>
    <s v="N486"/>
    <s v="N487"/>
    <n v="130.61000000000001"/>
    <x v="7"/>
    <x v="2"/>
    <s v=""/>
    <s v=""/>
    <s v=""/>
    <s v=""/>
    <s v=""/>
    <s v=""/>
    <s v=""/>
    <s v=""/>
    <s v=""/>
    <s v=""/>
    <s v=""/>
    <s v=""/>
    <s v=""/>
    <s v=""/>
    <s v="6&quot;"/>
    <n v="1"/>
    <s v=""/>
    <s v=""/>
    <s v=""/>
    <s v=""/>
    <s v=""/>
    <s v=""/>
  </r>
  <r>
    <s v="N471"/>
    <s v="N488"/>
    <n v="18.559999999999999"/>
    <x v="1"/>
    <x v="0"/>
    <s v="6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488"/>
    <s v="TP323"/>
    <n v="110.43"/>
    <x v="1"/>
    <x v="0"/>
    <s v="2&quot;"/>
    <n v="1"/>
    <s v=""/>
    <s v=""/>
    <s v=""/>
    <s v=""/>
    <s v="2&quot;"/>
    <n v="1"/>
    <s v=""/>
    <s v=""/>
    <s v=""/>
    <s v=""/>
    <s v=""/>
    <s v=""/>
    <s v=""/>
    <s v=""/>
    <s v=""/>
    <s v=""/>
    <s v=""/>
    <s v=""/>
    <s v="2&quot;"/>
    <n v="1"/>
  </r>
  <r>
    <s v="N488"/>
    <s v="TP324"/>
    <n v="73.650000000000006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460"/>
    <s v="N489"/>
    <n v="2.63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89"/>
    <s v="N490"/>
    <n v="69.92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65"/>
    <s v="N490"/>
    <n v="91.35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89"/>
    <s v="N491"/>
    <n v="46.05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91"/>
    <s v="N492"/>
    <n v="91.78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91"/>
    <s v="N493"/>
    <n v="300.26"/>
    <x v="0"/>
    <x v="0"/>
    <s v="3&quot;"/>
    <n v="1"/>
    <s v=""/>
    <s v=""/>
    <s v=""/>
    <s v=""/>
    <s v="3&quot;"/>
    <n v="1"/>
    <s v=""/>
    <s v=""/>
    <s v=""/>
    <s v=""/>
    <s v=""/>
    <s v=""/>
    <s v=""/>
    <s v=""/>
    <s v=""/>
    <s v=""/>
    <s v=""/>
    <s v=""/>
    <s v=""/>
    <s v=""/>
  </r>
  <r>
    <s v="N493"/>
    <s v="TP325"/>
    <n v="58.34"/>
    <x v="1"/>
    <x v="0"/>
    <s v=""/>
    <s v="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492"/>
    <s v="N494"/>
    <n v="11.63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90"/>
    <s v="N494"/>
    <n v="127.29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94"/>
    <s v="N495"/>
    <n v="26.09"/>
    <x v="0"/>
    <x v="0"/>
    <s v="3&quot;"/>
    <n v="1"/>
    <s v=""/>
    <s v=""/>
    <s v=""/>
    <s v=""/>
    <s v="3&quot;"/>
    <n v="1"/>
    <s v=""/>
    <s v=""/>
    <s v=""/>
    <s v=""/>
    <s v=""/>
    <s v=""/>
    <s v="3&quot;"/>
    <n v="2"/>
    <s v=""/>
    <s v=""/>
    <s v=""/>
    <s v=""/>
    <s v=""/>
    <s v=""/>
  </r>
  <r>
    <s v="N495"/>
    <s v="N496"/>
    <n v="38.450000000000003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96"/>
    <s v="TP326"/>
    <n v="58.88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3&quot;"/>
    <n v="1"/>
  </r>
  <r>
    <s v="N496"/>
    <s v="N497"/>
    <n v="137.43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497"/>
    <s v="TP327"/>
    <n v="70"/>
    <x v="1"/>
    <x v="0"/>
    <s v=""/>
    <s v=""/>
    <s v=""/>
    <s v=""/>
    <s v=""/>
    <s v=""/>
    <s v="2&quot;"/>
    <n v="1"/>
    <s v="2&quot;"/>
    <n v="1"/>
    <s v=""/>
    <s v=""/>
    <s v=""/>
    <s v=""/>
    <s v=""/>
    <s v=""/>
    <s v=""/>
    <s v=""/>
    <s v=""/>
    <s v=""/>
    <s v="2&quot;"/>
    <n v="1"/>
  </r>
  <r>
    <s v="N495"/>
    <s v="N498"/>
    <n v="233.2"/>
    <x v="0"/>
    <x v="0"/>
    <s v="3&quot;"/>
    <n v="1"/>
    <s v=""/>
    <s v=""/>
    <s v=""/>
    <s v=""/>
    <s v="3&quot;"/>
    <n v="1"/>
    <s v=""/>
    <s v=""/>
    <s v=""/>
    <s v=""/>
    <s v=""/>
    <s v=""/>
    <s v="3&quot;"/>
    <n v="1"/>
    <s v=""/>
    <s v=""/>
    <s v=""/>
    <s v=""/>
    <s v=""/>
    <s v=""/>
  </r>
  <r>
    <s v="N498"/>
    <s v="TP328"/>
    <n v="294.70999999999998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498"/>
    <s v="N499"/>
    <n v="211.48"/>
    <x v="0"/>
    <x v="0"/>
    <s v="3&quot;"/>
    <n v="1"/>
    <s v=""/>
    <s v=""/>
    <s v=""/>
    <s v=""/>
    <s v="3&quot;"/>
    <n v="2"/>
    <s v=""/>
    <s v=""/>
    <s v=""/>
    <s v=""/>
    <s v=""/>
    <s v=""/>
    <s v=""/>
    <s v=""/>
    <s v=""/>
    <s v=""/>
    <n v="0"/>
    <n v="1"/>
    <s v=""/>
    <s v=""/>
  </r>
  <r>
    <s v="N499"/>
    <s v="N500"/>
    <n v="10.5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500"/>
    <s v=" TP329"/>
    <n v="19.32"/>
    <x v="10"/>
    <x v="0"/>
    <s v="2&quot;"/>
    <n v="1"/>
    <s v=""/>
    <s v=""/>
    <s v=""/>
    <s v=""/>
    <s v=""/>
    <s v=""/>
    <s v="1/2&quot;"/>
    <n v="1"/>
    <s v=""/>
    <s v=""/>
    <s v=""/>
    <s v=""/>
    <s v=""/>
    <s v=""/>
    <s v=""/>
    <s v=""/>
    <s v=""/>
    <s v=""/>
    <s v="1/2&quot;"/>
    <n v="1"/>
  </r>
  <r>
    <s v="N500"/>
    <s v="N501"/>
    <n v="35.06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01"/>
    <s v="TP330"/>
    <n v="64.44"/>
    <x v="12"/>
    <x v="0"/>
    <s v="2&quot;"/>
    <n v="1"/>
    <s v=""/>
    <s v=""/>
    <s v=""/>
    <s v=""/>
    <s v=""/>
    <s v=""/>
    <s v="3/4&quot;"/>
    <n v="1"/>
    <s v=""/>
    <s v=""/>
    <s v=""/>
    <s v=""/>
    <s v=""/>
    <s v=""/>
    <s v=""/>
    <s v=""/>
    <s v=""/>
    <s v=""/>
    <s v="3/4&quot;"/>
    <n v="1"/>
  </r>
  <r>
    <s v="N501"/>
    <s v="N502"/>
    <n v="51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02"/>
    <s v="TP331"/>
    <n v="93.92"/>
    <x v="12"/>
    <x v="0"/>
    <s v="2&quot;"/>
    <n v="1"/>
    <s v=""/>
    <s v=""/>
    <s v=""/>
    <s v=""/>
    <s v=""/>
    <s v=""/>
    <s v="3/4&quot;"/>
    <n v="1"/>
    <s v=""/>
    <s v=""/>
    <s v=""/>
    <s v=""/>
    <s v=""/>
    <s v=""/>
    <s v=""/>
    <s v=""/>
    <s v=""/>
    <s v=""/>
    <s v="3/4&quot;"/>
    <n v="1"/>
  </r>
  <r>
    <s v="N502"/>
    <s v="N503"/>
    <n v="8.24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03"/>
    <s v="TP332"/>
    <n v="29.13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503"/>
    <s v="TP333"/>
    <n v="140.93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499"/>
    <s v="N504"/>
    <n v="12.66"/>
    <x v="10"/>
    <x v="0"/>
    <s v="3&quot;"/>
    <n v="1"/>
    <s v=""/>
    <s v=""/>
    <s v=""/>
    <s v=""/>
    <s v=""/>
    <s v=""/>
    <s v="1/2&quot;"/>
    <n v="2"/>
    <s v=""/>
    <s v=""/>
    <s v=""/>
    <s v=""/>
    <s v=""/>
    <s v=""/>
    <s v=""/>
    <s v=""/>
    <s v=""/>
    <s v=""/>
    <s v=""/>
    <s v=""/>
  </r>
  <r>
    <s v="N504"/>
    <s v="TP334"/>
    <n v="26.43"/>
    <x v="10"/>
    <x v="0"/>
    <s v="3&quot;"/>
    <n v="1"/>
    <s v=""/>
    <s v=""/>
    <s v=""/>
    <s v=""/>
    <s v=""/>
    <s v=""/>
    <s v="1/2&quot;"/>
    <n v="1"/>
    <s v=""/>
    <s v=""/>
    <s v=""/>
    <s v=""/>
    <s v=""/>
    <s v=""/>
    <s v=""/>
    <s v=""/>
    <s v=""/>
    <s v=""/>
    <s v="1/2&quot;"/>
    <n v="1"/>
  </r>
  <r>
    <s v="N504"/>
    <s v="N487"/>
    <n v="50.7"/>
    <x v="0"/>
    <x v="0"/>
    <s v="3&quot;"/>
    <n v="1"/>
    <s v=""/>
    <s v=""/>
    <s v=""/>
    <s v=""/>
    <s v=""/>
    <s v=""/>
    <s v="3&quot;"/>
    <n v="1"/>
    <s v=""/>
    <s v=""/>
    <s v=""/>
    <s v=""/>
    <s v=""/>
    <s v=""/>
    <s v=""/>
    <s v=""/>
    <s v=""/>
    <s v=""/>
    <s v=""/>
    <s v=""/>
  </r>
  <r>
    <s v="N487"/>
    <s v="N505"/>
    <n v="30.56"/>
    <x v="8"/>
    <x v="0"/>
    <s v="6&quot;"/>
    <n v="1"/>
    <s v=""/>
    <s v=""/>
    <s v=""/>
    <s v=""/>
    <s v="4&quot;"/>
    <n v="1"/>
    <s v="4&quot;"/>
    <n v="1"/>
    <s v=""/>
    <s v=""/>
    <s v=""/>
    <s v=""/>
    <s v=""/>
    <s v=""/>
    <s v=""/>
    <s v=""/>
    <s v=""/>
    <s v=""/>
    <s v=""/>
    <s v=""/>
  </r>
  <r>
    <s v="N506"/>
    <s v="N506"/>
    <n v="49.62"/>
    <x v="8"/>
    <x v="0"/>
    <s v="4&quot;"/>
    <n v="1"/>
    <s v=""/>
    <s v=""/>
    <s v=""/>
    <s v=""/>
    <s v="4&quot;"/>
    <n v="2"/>
    <s v=""/>
    <s v=""/>
    <s v=""/>
    <s v=""/>
    <s v=""/>
    <s v=""/>
    <s v="4&quot;"/>
    <n v="1"/>
    <s v=""/>
    <s v=""/>
    <s v=""/>
    <s v=""/>
    <s v=""/>
    <s v=""/>
  </r>
  <r>
    <s v="N506"/>
    <s v="N507"/>
    <n v="70.19"/>
    <x v="0"/>
    <x v="0"/>
    <s v="4&quot;"/>
    <n v="1"/>
    <s v=""/>
    <s v=""/>
    <s v=""/>
    <s v=""/>
    <s v=""/>
    <s v=""/>
    <s v="3&quot;"/>
    <n v="1"/>
    <s v=""/>
    <s v=""/>
    <s v=""/>
    <s v=""/>
    <s v="3&quot;"/>
    <n v="1"/>
    <s v=""/>
    <s v=""/>
    <s v=""/>
    <s v=""/>
    <s v=""/>
    <s v=""/>
  </r>
  <r>
    <s v="N507"/>
    <s v="TP335"/>
    <n v="7.96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507"/>
    <s v="N508"/>
    <n v="33.4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08"/>
    <s v="N509"/>
    <n v="28.32"/>
    <x v="0"/>
    <x v="0"/>
    <s v="3&quot;"/>
    <n v="1"/>
    <s v=""/>
    <s v=""/>
    <s v=""/>
    <s v=""/>
    <s v=""/>
    <s v=""/>
    <s v="3&quot;"/>
    <n v="1"/>
    <s v=""/>
    <s v=""/>
    <s v=""/>
    <s v=""/>
    <s v="3&quot;"/>
    <n v="1"/>
    <s v=""/>
    <s v=""/>
    <s v=""/>
    <s v=""/>
    <s v=""/>
    <s v=""/>
  </r>
  <r>
    <s v="N509"/>
    <s v="TP336"/>
    <n v="6.68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4&quot;"/>
    <n v="1"/>
  </r>
  <r>
    <s v="N509"/>
    <s v="N510"/>
    <n v="95.16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10"/>
    <s v="TP337"/>
    <n v="86.48"/>
    <x v="12"/>
    <x v="0"/>
    <s v="4&quot;"/>
    <n v="1"/>
    <s v=""/>
    <s v=""/>
    <s v=""/>
    <s v=""/>
    <s v=""/>
    <s v=""/>
    <s v="3/4&quot;"/>
    <n v="1"/>
    <s v=""/>
    <s v=""/>
    <s v=""/>
    <s v=""/>
    <s v=""/>
    <s v=""/>
    <s v=""/>
    <s v=""/>
    <s v=""/>
    <s v=""/>
    <s v="3/4&quot;"/>
    <n v="1"/>
  </r>
  <r>
    <s v="N510"/>
    <s v="N511"/>
    <n v="35.46"/>
    <x v="8"/>
    <x v="1"/>
    <s v="4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11"/>
    <s v="N512"/>
    <n v="26.72"/>
    <x v="8"/>
    <x v="1"/>
    <s v="4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12"/>
    <s v="N513"/>
    <n v="38.22"/>
    <x v="8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13"/>
    <s v="TP338"/>
    <n v="81.400000000000006"/>
    <x v="1"/>
    <x v="0"/>
    <s v="4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513"/>
    <s v="N390"/>
    <n v="56.86"/>
    <x v="8"/>
    <x v="0"/>
    <s v="4&quot;"/>
    <n v="1"/>
    <s v=""/>
    <s v=""/>
    <s v=""/>
    <s v=""/>
    <s v=""/>
    <s v=""/>
    <s v=""/>
    <s v=""/>
    <s v=""/>
    <s v=""/>
    <s v=""/>
    <s v=""/>
    <s v=""/>
    <s v=""/>
    <n v="0"/>
    <n v="0"/>
    <s v=""/>
    <s v=""/>
    <s v=""/>
    <s v=""/>
  </r>
  <r>
    <s v="N506"/>
    <s v="N514"/>
    <n v="34.24"/>
    <x v="8"/>
    <x v="0"/>
    <s v="4&quot;"/>
    <n v="1"/>
    <s v=""/>
    <s v=""/>
    <s v=""/>
    <s v=""/>
    <s v=""/>
    <s v=""/>
    <s v=""/>
    <s v=""/>
    <s v=""/>
    <s v=""/>
    <s v=""/>
    <s v=""/>
    <s v="4&quot;"/>
    <n v="1"/>
    <s v=""/>
    <s v=""/>
    <s v=""/>
    <s v=""/>
    <s v=""/>
    <s v=""/>
  </r>
  <r>
    <s v="N514"/>
    <s v="TP339"/>
    <n v="78.02"/>
    <x v="1"/>
    <x v="0"/>
    <s v="4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514"/>
    <s v="N515"/>
    <n v="52.77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15"/>
    <s v="TP340"/>
    <n v="73.510000000000005"/>
    <x v="1"/>
    <x v="0"/>
    <s v="4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515"/>
    <s v="N516"/>
    <n v="24.56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16"/>
    <s v="TP341"/>
    <n v="73.66"/>
    <x v="1"/>
    <x v="0"/>
    <s v="4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516"/>
    <s v="N517"/>
    <n v="16.62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  <n v="0"/>
    <n v="1"/>
    <s v=""/>
    <s v=""/>
  </r>
  <r>
    <s v="N517"/>
    <s v="N518"/>
    <n v="50.7"/>
    <x v="0"/>
    <x v="0"/>
    <s v="4&quot;"/>
    <n v="1"/>
    <s v=""/>
    <s v=""/>
    <s v=""/>
    <s v=""/>
    <s v=""/>
    <s v=""/>
    <s v="3&quot;"/>
    <n v="1"/>
    <s v=""/>
    <s v=""/>
    <s v=""/>
    <s v=""/>
    <s v=""/>
    <s v=""/>
    <s v=""/>
    <s v=""/>
    <s v=""/>
    <s v=""/>
    <s v=""/>
    <s v=""/>
  </r>
  <r>
    <s v="N508"/>
    <s v="N518"/>
    <n v="178.8"/>
    <x v="1"/>
    <x v="0"/>
    <s v="3&quot;"/>
    <n v="1"/>
    <s v=""/>
    <s v=""/>
    <s v=""/>
    <s v=""/>
    <s v=""/>
    <s v=""/>
    <s v="2&quot;"/>
    <n v="2"/>
    <s v=""/>
    <s v=""/>
    <s v=""/>
    <s v=""/>
    <s v=""/>
    <s v=""/>
    <s v=""/>
    <s v=""/>
    <s v=""/>
    <s v=""/>
    <s v=""/>
    <s v=""/>
  </r>
  <r>
    <s v="N518"/>
    <s v="N511"/>
    <n v="88.91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17"/>
    <s v="N519"/>
    <n v="7.37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19"/>
    <s v="N646"/>
    <n v="16.100000000000001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646"/>
    <s v="TP342"/>
    <n v="139.38999999999999"/>
    <x v="1"/>
    <x v="0"/>
    <s v="4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388"/>
    <s v="N520"/>
    <n v="13.14"/>
    <x v="2"/>
    <x v="0"/>
    <s v=""/>
    <s v=""/>
    <s v="8&quot;"/>
    <n v="1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20"/>
    <s v="N521"/>
    <n v="93.84"/>
    <x v="8"/>
    <x v="1"/>
    <s v=""/>
    <s v=""/>
    <s v=""/>
    <s v=""/>
    <s v=""/>
    <s v=""/>
    <s v=""/>
    <s v=""/>
    <s v="4&quot;"/>
    <n v="1"/>
    <s v=""/>
    <s v=""/>
    <s v=""/>
    <s v=""/>
    <s v=""/>
    <s v=""/>
    <s v=""/>
    <s v=""/>
    <s v=""/>
    <s v=""/>
    <s v=""/>
    <s v=""/>
  </r>
  <r>
    <s v="N521"/>
    <s v="TP343"/>
    <n v="113.35"/>
    <x v="1"/>
    <x v="0"/>
    <s v="4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387"/>
    <s v="N522"/>
    <n v="83.15"/>
    <x v="0"/>
    <x v="0"/>
    <s v="6&quot;"/>
    <n v="1"/>
    <s v=""/>
    <s v=""/>
    <s v=""/>
    <s v=""/>
    <s v=""/>
    <s v=""/>
    <s v="3&quot;"/>
    <n v="1"/>
    <s v=""/>
    <s v=""/>
    <s v=""/>
    <s v=""/>
    <s v="3&quot;"/>
    <n v="1"/>
    <s v=""/>
    <s v=""/>
    <s v=""/>
    <s v=""/>
    <s v=""/>
    <s v=""/>
  </r>
  <r>
    <s v="N522"/>
    <s v="TP344"/>
    <n v="107.94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522"/>
    <s v="N523"/>
    <n v="21.31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83"/>
    <s v="TP345"/>
    <n v="112.94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382"/>
    <s v="N524"/>
    <n v="60.99"/>
    <x v="0"/>
    <x v="1"/>
    <s v="3&quot;"/>
    <n v="1"/>
    <s v=""/>
    <s v=""/>
    <s v=""/>
    <s v=""/>
    <s v=""/>
    <s v=""/>
    <s v=""/>
    <s v=""/>
    <s v=""/>
    <s v=""/>
    <s v=""/>
    <s v=""/>
    <s v="3&quot;"/>
    <n v="1"/>
    <s v=""/>
    <s v=""/>
    <s v=""/>
    <s v=""/>
    <s v=""/>
    <s v=""/>
  </r>
  <r>
    <s v="N524"/>
    <s v="N523"/>
    <n v="137.31"/>
    <x v="0"/>
    <x v="1"/>
    <s v="3&quot;"/>
    <n v="1"/>
    <s v=""/>
    <s v=""/>
    <s v=""/>
    <s v=""/>
    <s v="3&quot;"/>
    <n v="1"/>
    <s v=""/>
    <s v=""/>
    <s v=""/>
    <s v=""/>
    <s v=""/>
    <s v=""/>
    <s v=""/>
    <s v=""/>
    <s v=""/>
    <s v=""/>
    <s v=""/>
    <s v=""/>
    <s v=""/>
    <s v=""/>
  </r>
  <r>
    <s v="N523"/>
    <s v="N525"/>
    <n v="12.82"/>
    <x v="0"/>
    <x v="0"/>
    <s v="3&quot;"/>
    <n v="1"/>
    <s v=""/>
    <s v=""/>
    <s v=""/>
    <s v=""/>
    <s v=""/>
    <s v=""/>
    <s v=""/>
    <s v=""/>
    <s v=""/>
    <s v=""/>
    <s v=""/>
    <s v=""/>
    <s v="3&quot;"/>
    <n v="1"/>
    <s v=""/>
    <s v=""/>
    <s v=""/>
    <s v=""/>
    <s v=""/>
    <s v=""/>
  </r>
  <r>
    <s v="N519"/>
    <s v="N525"/>
    <n v="156.88"/>
    <x v="0"/>
    <x v="0"/>
    <s v="4&quot;"/>
    <n v="1"/>
    <s v=""/>
    <s v=""/>
    <s v=""/>
    <s v=""/>
    <s v=""/>
    <s v=""/>
    <s v="3&quot;"/>
    <n v="1"/>
    <s v=""/>
    <s v=""/>
    <s v=""/>
    <s v=""/>
    <s v=""/>
    <s v=""/>
    <s v=""/>
    <s v=""/>
    <s v=""/>
    <s v=""/>
    <s v=""/>
    <s v=""/>
  </r>
  <r>
    <s v="N525"/>
    <s v="N526"/>
    <n v="70.41"/>
    <x v="8"/>
    <x v="0"/>
    <s v="3&quot;"/>
    <n v="1"/>
    <s v=""/>
    <s v=""/>
    <s v=""/>
    <s v=""/>
    <s v=""/>
    <s v=""/>
    <s v=""/>
    <s v=""/>
    <s v="4&quot;"/>
    <n v="1"/>
    <s v=""/>
    <s v=""/>
    <s v="4&quot;"/>
    <n v="1"/>
    <s v=""/>
    <s v=""/>
    <s v=""/>
    <s v=""/>
    <s v=""/>
    <s v=""/>
  </r>
  <r>
    <s v="N526"/>
    <s v="TP346"/>
    <n v="107.71"/>
    <x v="6"/>
    <x v="0"/>
    <s v="4&quot;"/>
    <n v="1"/>
    <s v=""/>
    <s v=""/>
    <s v=""/>
    <s v=""/>
    <s v=""/>
    <s v=""/>
    <s v="1&quot;"/>
    <n v="1"/>
    <s v=""/>
    <s v=""/>
    <s v=""/>
    <s v=""/>
    <s v=""/>
    <s v=""/>
    <s v=""/>
    <s v=""/>
    <s v=""/>
    <s v=""/>
    <s v="1&quot;"/>
    <n v="1"/>
  </r>
  <r>
    <s v="N526"/>
    <s v="TP347"/>
    <n v="14.25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4&quot;"/>
    <n v="1"/>
  </r>
  <r>
    <s v="N492"/>
    <s v="N527"/>
    <n v="38.15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27"/>
    <s v="N528"/>
    <n v="215.8"/>
    <x v="0"/>
    <x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28"/>
    <s v="N529"/>
    <n v="111.58"/>
    <x v="1"/>
    <x v="0"/>
    <s v=""/>
    <s v=""/>
    <s v=""/>
    <s v="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529"/>
    <s v="TP348"/>
    <n v="68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529"/>
    <s v="N530"/>
    <n v="210.26"/>
    <x v="1"/>
    <x v="0"/>
    <s v="2&quot;"/>
    <n v="1"/>
    <s v=""/>
    <s v=""/>
    <s v=""/>
    <s v=""/>
    <s v="2&quot;"/>
    <n v="1"/>
    <s v=""/>
    <s v=""/>
    <s v=""/>
    <s v=""/>
    <s v=""/>
    <s v=""/>
    <s v=""/>
    <s v=""/>
    <s v=""/>
    <s v=""/>
    <s v=""/>
    <s v=""/>
    <s v=""/>
    <s v=""/>
  </r>
  <r>
    <s v="N530"/>
    <s v="TP349"/>
    <n v="47.22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530"/>
    <s v="N531"/>
    <n v="178.16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31"/>
    <s v="TP350"/>
    <n v="87.03"/>
    <x v="6"/>
    <x v="0"/>
    <s v="2&quot;"/>
    <n v="1"/>
    <s v=""/>
    <s v=""/>
    <s v=""/>
    <s v=""/>
    <s v=""/>
    <s v=""/>
    <s v="1&quot;"/>
    <n v="1"/>
    <s v=""/>
    <s v=""/>
    <s v=""/>
    <s v=""/>
    <s v=""/>
    <s v=""/>
    <s v=""/>
    <s v=""/>
    <s v=""/>
    <s v=""/>
    <s v="1&quot;"/>
    <n v="1"/>
  </r>
  <r>
    <s v="N531"/>
    <s v="N532"/>
    <n v="39.93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32"/>
    <s v="N533"/>
    <n v="56.5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33"/>
    <s v="TP351"/>
    <n v="74.849999999999994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533"/>
    <s v="TP352"/>
    <n v="57.68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532"/>
    <s v="N534"/>
    <n v="9.11"/>
    <x v="12"/>
    <x v="0"/>
    <s v="2&quot;"/>
    <n v="1"/>
    <s v=""/>
    <s v=""/>
    <s v=""/>
    <s v=""/>
    <s v=""/>
    <s v=""/>
    <s v="3/4&quot;"/>
    <n v="2"/>
    <s v=""/>
    <s v=""/>
    <s v=""/>
    <s v=""/>
    <s v=""/>
    <s v=""/>
    <s v=""/>
    <s v=""/>
    <s v=""/>
    <s v=""/>
    <s v=""/>
    <s v=""/>
  </r>
  <r>
    <s v="N534"/>
    <s v="TP353"/>
    <n v="50.51"/>
    <x v="12"/>
    <x v="0"/>
    <s v="2&quot;"/>
    <n v="1"/>
    <s v=""/>
    <s v=""/>
    <s v=""/>
    <s v=""/>
    <s v=""/>
    <s v=""/>
    <s v="3/4&quot;"/>
    <n v="1"/>
    <s v=""/>
    <s v=""/>
    <s v=""/>
    <s v=""/>
    <s v=""/>
    <s v=""/>
    <s v=""/>
    <s v=""/>
    <s v=""/>
    <s v=""/>
    <s v="3/4&quot;"/>
    <n v="1"/>
  </r>
  <r>
    <s v="N534"/>
    <s v="N535"/>
    <n v="62.85"/>
    <x v="1"/>
    <x v="0"/>
    <s v="2&quot;"/>
    <n v="1"/>
    <s v=""/>
    <s v=""/>
    <s v=""/>
    <s v=""/>
    <s v=""/>
    <s v=""/>
    <s v=""/>
    <s v=""/>
    <s v=""/>
    <s v=""/>
    <s v=""/>
    <s v=""/>
    <s v="2&quot;"/>
    <n v="1"/>
    <s v=""/>
    <s v=""/>
    <s v=""/>
    <s v=""/>
    <s v="2&quot;"/>
    <n v="1"/>
  </r>
  <r>
    <s v="N535"/>
    <s v="TP354"/>
    <n v="3.8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535"/>
    <s v="N536"/>
    <n v="31.7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36"/>
    <s v="TP355"/>
    <n v="39.049999999999997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536"/>
    <s v="TP356"/>
    <n v="178.58"/>
    <x v="1"/>
    <x v="0"/>
    <s v="2&quot;"/>
    <n v="1"/>
    <s v=""/>
    <s v=""/>
    <s v=""/>
    <s v=""/>
    <s v="2&quot;"/>
    <n v="1"/>
    <s v=""/>
    <s v=""/>
    <s v=""/>
    <s v=""/>
    <s v=""/>
    <s v=""/>
    <s v=""/>
    <s v=""/>
    <s v=""/>
    <s v=""/>
    <s v=""/>
    <s v=""/>
    <s v="2&quot;"/>
    <n v="1"/>
  </r>
  <r>
    <s v="N505"/>
    <s v="N537"/>
    <n v="16.77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37"/>
    <s v="TP357"/>
    <n v="62.5"/>
    <x v="1"/>
    <x v="0"/>
    <s v="4&quot;"/>
    <n v="1"/>
    <s v=""/>
    <s v=""/>
    <s v=""/>
    <s v=""/>
    <s v=""/>
    <s v=""/>
    <s v="2&quot;"/>
    <n v="1"/>
    <s v=""/>
    <s v=""/>
    <s v=""/>
    <s v=""/>
    <s v="2&quot;"/>
    <n v="1"/>
    <s v=""/>
    <s v=""/>
    <s v=""/>
    <s v=""/>
    <s v="2&quot;"/>
    <n v="1"/>
  </r>
  <r>
    <s v="N537"/>
    <s v="N538"/>
    <n v="45.63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38"/>
    <s v="TP358"/>
    <n v="41.43"/>
    <x v="1"/>
    <x v="0"/>
    <s v="4&quot;"/>
    <n v="1"/>
    <s v=""/>
    <s v=""/>
    <s v=""/>
    <s v=""/>
    <s v=""/>
    <s v=""/>
    <s v="2&quot;"/>
    <n v="1"/>
    <s v=""/>
    <s v=""/>
    <s v=""/>
    <s v=""/>
    <s v="2&quot;"/>
    <n v="1"/>
    <s v=""/>
    <s v=""/>
    <s v=""/>
    <s v=""/>
    <s v="2&quot;"/>
    <n v="1"/>
  </r>
  <r>
    <s v="N538"/>
    <s v="N539"/>
    <n v="39.090000000000003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39"/>
    <s v="TP359"/>
    <n v="27.27"/>
    <x v="1"/>
    <x v="0"/>
    <s v="4&quot;"/>
    <n v="1"/>
    <s v=""/>
    <s v=""/>
    <s v=""/>
    <s v=""/>
    <s v=""/>
    <s v=""/>
    <s v="2&quot;"/>
    <n v="1"/>
    <s v=""/>
    <s v=""/>
    <s v=""/>
    <s v=""/>
    <s v="2&quot;"/>
    <n v="1"/>
    <s v=""/>
    <s v=""/>
    <s v=""/>
    <s v=""/>
    <s v="2&quot;"/>
    <n v="1"/>
  </r>
  <r>
    <s v="N539"/>
    <s v="N540"/>
    <n v="52.56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40"/>
    <s v="N541"/>
    <n v="10.88"/>
    <x v="8"/>
    <x v="1"/>
    <s v="4&quot;"/>
    <n v="1"/>
    <s v=""/>
    <s v=""/>
    <s v=""/>
    <s v=""/>
    <s v=""/>
    <s v=""/>
    <s v=""/>
    <s v=""/>
    <s v=""/>
    <s v=""/>
    <s v=""/>
    <s v=""/>
    <s v="4&quot;"/>
    <n v="1"/>
    <s v=""/>
    <s v=""/>
    <s v=""/>
    <s v=""/>
    <s v=""/>
    <s v=""/>
  </r>
  <r>
    <s v="N541"/>
    <s v="N542"/>
    <n v="27.76"/>
    <x v="8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42"/>
    <s v="TP360"/>
    <n v="65.819999999999993"/>
    <x v="6"/>
    <x v="0"/>
    <s v="4&quot;"/>
    <n v="1"/>
    <s v=""/>
    <s v=""/>
    <s v=""/>
    <s v=""/>
    <s v=""/>
    <s v=""/>
    <s v="1&quot;"/>
    <n v="1"/>
    <s v=""/>
    <s v=""/>
    <s v=""/>
    <s v=""/>
    <s v=""/>
    <s v=""/>
    <s v=""/>
    <s v=""/>
    <s v=""/>
    <s v=""/>
    <s v="1&quot;"/>
    <n v="1"/>
  </r>
  <r>
    <s v="N542"/>
    <s v="TP361"/>
    <n v="8.34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4&quot;"/>
    <n v="1"/>
  </r>
  <r>
    <s v="N540"/>
    <s v="N543"/>
    <n v="13.2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43"/>
    <s v="N544"/>
    <n v="67.66"/>
    <x v="0"/>
    <x v="0"/>
    <s v="4&quot;"/>
    <n v="1"/>
    <s v=""/>
    <s v=""/>
    <s v=""/>
    <s v=""/>
    <s v=""/>
    <s v=""/>
    <s v="3&quot;"/>
    <n v="1"/>
    <s v=""/>
    <s v=""/>
    <s v=""/>
    <s v=""/>
    <s v="3&quot;"/>
    <n v="1"/>
    <s v=""/>
    <s v=""/>
    <s v=""/>
    <s v=""/>
    <s v=""/>
    <s v=""/>
  </r>
  <r>
    <s v="N544"/>
    <s v="N545"/>
    <n v="146.61000000000001"/>
    <x v="0"/>
    <x v="0"/>
    <s v="3&quot;"/>
    <n v="1"/>
    <s v=""/>
    <s v=""/>
    <s v=""/>
    <s v=""/>
    <s v="3&quot;"/>
    <n v="1"/>
    <s v=""/>
    <s v=""/>
    <s v=""/>
    <s v=""/>
    <s v=""/>
    <s v=""/>
    <s v=""/>
    <s v=""/>
    <s v=""/>
    <s v=""/>
    <s v=""/>
    <s v=""/>
    <s v=""/>
    <s v=""/>
  </r>
  <r>
    <s v="N544"/>
    <s v="N546"/>
    <n v="78.989999999999995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45"/>
    <s v="N546"/>
    <n v="103.63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46"/>
    <s v="N547"/>
    <n v="7.32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47"/>
    <s v="TP362"/>
    <n v="48.2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3&quot;"/>
    <n v="1"/>
  </r>
  <r>
    <s v="N547"/>
    <s v="N548"/>
    <n v="63.29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48"/>
    <s v="N549"/>
    <n v="53.85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49"/>
    <s v="TP363"/>
    <n v="46.27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3&quot;"/>
    <n v="1"/>
  </r>
  <r>
    <s v="N549"/>
    <s v="N550"/>
    <n v="95.93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48"/>
    <s v="N551"/>
    <n v="154.6"/>
    <x v="0"/>
    <x v="0"/>
    <s v="3&quot;"/>
    <n v="1"/>
    <s v=""/>
    <s v=""/>
    <s v=""/>
    <s v=""/>
    <s v="3&quot;"/>
    <n v="1"/>
    <s v=""/>
    <s v=""/>
    <s v=""/>
    <s v=""/>
    <s v=""/>
    <s v=""/>
    <s v=""/>
    <s v=""/>
    <s v=""/>
    <s v=""/>
    <s v=""/>
    <s v=""/>
    <s v=""/>
    <s v=""/>
  </r>
  <r>
    <s v="N551"/>
    <s v="TP364"/>
    <n v="27.73"/>
    <x v="10"/>
    <x v="0"/>
    <s v=""/>
    <s v=""/>
    <s v=""/>
    <s v=""/>
    <s v="3&quot; A 1/2&quot;"/>
    <n v="1"/>
    <s v=""/>
    <s v=""/>
    <s v=""/>
    <s v=""/>
    <s v=""/>
    <s v=""/>
    <s v=""/>
    <s v=""/>
    <s v=""/>
    <s v=""/>
    <s v=""/>
    <s v=""/>
    <s v=""/>
    <s v=""/>
    <s v="1/2&quot;"/>
    <n v="1"/>
  </r>
  <r>
    <s v="N550"/>
    <s v="N551"/>
    <n v="114.09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45"/>
    <s v="N552"/>
    <n v="86.29"/>
    <x v="0"/>
    <x v="0"/>
    <s v="3&quot;"/>
    <n v="1"/>
    <s v=""/>
    <s v=""/>
    <s v=""/>
    <s v=""/>
    <s v="3&quot;"/>
    <n v="1"/>
    <s v=""/>
    <s v=""/>
    <s v=""/>
    <s v=""/>
    <s v=""/>
    <s v=""/>
    <s v=""/>
    <s v=""/>
    <s v=""/>
    <s v=""/>
    <s v=""/>
    <s v=""/>
    <s v=""/>
    <s v=""/>
  </r>
  <r>
    <s v="N552"/>
    <s v="N553"/>
    <n v="127.58"/>
    <x v="1"/>
    <x v="0"/>
    <s v=""/>
    <s v=""/>
    <s v=""/>
    <s v="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553"/>
    <s v="TP365"/>
    <n v="55"/>
    <x v="6"/>
    <x v="0"/>
    <s v="2&quot;"/>
    <n v="1"/>
    <s v=""/>
    <s v=""/>
    <s v=""/>
    <s v=""/>
    <s v=""/>
    <s v=""/>
    <s v="1&quot;"/>
    <n v="1"/>
    <s v=""/>
    <s v=""/>
    <s v=""/>
    <s v=""/>
    <s v=""/>
    <s v=""/>
    <s v=""/>
    <s v=""/>
    <s v=""/>
    <s v=""/>
    <s v="1&quot;"/>
    <n v="1"/>
  </r>
  <r>
    <s v="N553"/>
    <s v="N554"/>
    <n v="9"/>
    <x v="1"/>
    <x v="0"/>
    <s v="2&quot;"/>
    <n v="1"/>
    <s v=""/>
    <s v=""/>
    <s v=""/>
    <s v=""/>
    <s v="2&quot;"/>
    <n v="1"/>
    <s v=""/>
    <s v=""/>
    <s v=""/>
    <s v=""/>
    <s v=""/>
    <s v=""/>
    <s v=""/>
    <s v=""/>
    <s v=""/>
    <s v=""/>
    <s v=""/>
    <s v=""/>
    <s v=""/>
    <s v=""/>
  </r>
  <r>
    <s v="N554"/>
    <s v="N550"/>
    <n v="29.78"/>
    <x v="1"/>
    <x v="0"/>
    <s v="2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554"/>
    <s v="N555"/>
    <n v="117.41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55"/>
    <s v="TP366"/>
    <n v="24.22"/>
    <x v="1"/>
    <x v="0"/>
    <s v="2&quot;"/>
    <n v="1"/>
    <s v=""/>
    <s v=""/>
    <s v=""/>
    <s v=""/>
    <s v="2&quot;"/>
    <n v="1"/>
    <s v=""/>
    <s v=""/>
    <s v=""/>
    <s v=""/>
    <s v=""/>
    <s v=""/>
    <s v=""/>
    <s v=""/>
    <s v=""/>
    <s v=""/>
    <s v=""/>
    <s v=""/>
    <s v="2&quot;"/>
    <n v="1"/>
  </r>
  <r>
    <s v="N555"/>
    <s v="TP367"/>
    <n v="65.099999999999994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543"/>
    <s v="N556"/>
    <n v="230.69"/>
    <x v="8"/>
    <x v="0"/>
    <s v="4&quot;"/>
    <n v="1"/>
    <s v=""/>
    <s v=""/>
    <s v=""/>
    <s v=""/>
    <s v=""/>
    <s v=""/>
    <s v=""/>
    <s v=""/>
    <s v=""/>
    <s v=""/>
    <s v=""/>
    <s v=""/>
    <s v="4&quot;"/>
    <n v="1"/>
    <s v=""/>
    <s v=""/>
    <s v=""/>
    <s v=""/>
    <s v=""/>
    <s v=""/>
  </r>
  <r>
    <s v="N556"/>
    <s v="TP368"/>
    <n v="21.3"/>
    <x v="6"/>
    <x v="0"/>
    <s v="4&quot;"/>
    <n v="1"/>
    <s v=""/>
    <s v=""/>
    <s v=""/>
    <s v=""/>
    <s v=""/>
    <s v=""/>
    <s v="1&quot;"/>
    <n v="1"/>
    <s v=""/>
    <s v=""/>
    <s v=""/>
    <s v=""/>
    <s v=""/>
    <s v=""/>
    <s v=""/>
    <s v=""/>
    <s v=""/>
    <s v=""/>
    <s v="1&quot;"/>
    <n v="1"/>
  </r>
  <r>
    <s v="N556"/>
    <s v="N557"/>
    <n v="70.41"/>
    <x v="8"/>
    <x v="0"/>
    <s v="4&quot;"/>
    <n v="1"/>
    <s v=""/>
    <s v=""/>
    <s v=""/>
    <s v=""/>
    <s v="4&quot;"/>
    <n v="1"/>
    <s v=""/>
    <s v=""/>
    <s v=""/>
    <s v=""/>
    <s v=""/>
    <s v=""/>
    <s v=""/>
    <s v=""/>
    <s v=""/>
    <s v=""/>
    <s v=""/>
    <s v=""/>
    <s v=""/>
    <s v=""/>
  </r>
  <r>
    <s v="N557"/>
    <s v="N558"/>
    <n v="9.9"/>
    <x v="0"/>
    <x v="1"/>
    <s v="4&quot;"/>
    <n v="1"/>
    <s v=""/>
    <s v=""/>
    <s v=""/>
    <s v=""/>
    <s v=""/>
    <s v=""/>
    <s v="3&quot;"/>
    <n v="1"/>
    <s v=""/>
    <s v=""/>
    <s v=""/>
    <s v=""/>
    <s v="3&quot;"/>
    <n v="1"/>
    <s v=""/>
    <s v=""/>
    <s v=""/>
    <s v=""/>
    <s v=""/>
    <s v=""/>
  </r>
  <r>
    <s v="N558"/>
    <s v="N559"/>
    <n v="133.34"/>
    <x v="0"/>
    <x v="1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58"/>
    <s v="N560"/>
    <n v="51.11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60"/>
    <s v="N561"/>
    <n v="21.64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561"/>
    <s v="TP369"/>
    <n v="21.51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561"/>
    <s v="N562"/>
    <n v="6.58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62"/>
    <s v="TP370"/>
    <n v="41.36"/>
    <x v="6"/>
    <x v="0"/>
    <s v="2&quot;"/>
    <n v="1"/>
    <s v=""/>
    <s v=""/>
    <s v=""/>
    <s v=""/>
    <s v=""/>
    <s v=""/>
    <s v="1&quot;"/>
    <n v="1"/>
    <s v=""/>
    <s v=""/>
    <s v=""/>
    <s v=""/>
    <s v=""/>
    <s v=""/>
    <s v=""/>
    <s v=""/>
    <s v=""/>
    <s v=""/>
    <s v="1&quot;"/>
    <n v="1"/>
  </r>
  <r>
    <s v="N562"/>
    <s v="N563"/>
    <n v="15.9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63"/>
    <s v="TP371"/>
    <n v="20.440000000000001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563"/>
    <s v="TP372"/>
    <n v="30"/>
    <x v="1"/>
    <x v="0"/>
    <s v="2&quot;"/>
    <n v="1"/>
    <s v=""/>
    <s v=""/>
    <s v=""/>
    <s v=""/>
    <s v="2&quot;"/>
    <n v="1"/>
    <s v=""/>
    <s v=""/>
    <s v=""/>
    <s v=""/>
    <s v=""/>
    <s v=""/>
    <s v=""/>
    <s v=""/>
    <s v=""/>
    <s v=""/>
    <s v=""/>
    <s v=""/>
    <s v="2&quot;"/>
    <n v="1"/>
  </r>
  <r>
    <s v="N560"/>
    <s v="N564"/>
    <n v="24.94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24"/>
    <s v="N559"/>
    <n v="42.93"/>
    <x v="0"/>
    <x v="0"/>
    <s v="3&quot;"/>
    <n v="1"/>
    <s v=""/>
    <s v=""/>
    <s v=""/>
    <s v=""/>
    <s v=""/>
    <s v=""/>
    <s v=""/>
    <s v=""/>
    <s v=""/>
    <s v=""/>
    <s v=""/>
    <s v=""/>
    <s v="3&quot;"/>
    <n v="1"/>
    <s v=""/>
    <s v=""/>
    <n v="0"/>
    <n v="1"/>
    <s v=""/>
    <s v=""/>
  </r>
  <r>
    <s v="N559"/>
    <s v="N564"/>
    <n v="112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64"/>
    <s v="N381"/>
    <n v="52.39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57"/>
    <s v="N565"/>
    <n v="104.3"/>
    <x v="0"/>
    <x v="0"/>
    <s v="4&quot;"/>
    <n v="1"/>
    <s v=""/>
    <s v=""/>
    <s v=""/>
    <s v=""/>
    <s v="3&quot;"/>
    <n v="1"/>
    <s v="3&quot;"/>
    <n v="1"/>
    <s v=""/>
    <s v=""/>
    <s v=""/>
    <s v=""/>
    <s v="3&quot;"/>
    <n v="1"/>
    <s v=""/>
    <s v=""/>
    <s v=""/>
    <s v=""/>
    <s v=""/>
    <s v=""/>
  </r>
  <r>
    <s v="N565"/>
    <s v="N566"/>
    <n v="35.07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n v="0"/>
    <n v="1"/>
    <s v=""/>
    <s v=""/>
  </r>
  <r>
    <s v="N565"/>
    <s v="TP438"/>
    <n v="153"/>
    <x v="1"/>
    <x v="0"/>
    <s v="3&quot;"/>
    <n v="1"/>
    <s v=""/>
    <s v=""/>
    <s v=""/>
    <s v=""/>
    <s v=""/>
    <s v=""/>
    <s v="2&quot;"/>
    <n v="1"/>
    <s v=""/>
    <s v=""/>
    <s v=""/>
    <s v=""/>
    <s v="2&quot;"/>
    <n v="1"/>
    <s v=""/>
    <s v=""/>
    <s v=""/>
    <s v=""/>
    <s v="2&quot;"/>
    <n v="1"/>
  </r>
  <r>
    <s v="N566"/>
    <s v="TP373"/>
    <n v="74.73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3&quot;"/>
    <n v="1"/>
  </r>
  <r>
    <s v="N566"/>
    <s v="N567"/>
    <n v="131.99"/>
    <x v="0"/>
    <x v="0"/>
    <s v="3&quot;"/>
    <n v="1"/>
    <s v=""/>
    <s v=""/>
    <s v=""/>
    <s v=""/>
    <s v="3&quot;"/>
    <n v="1"/>
    <s v=""/>
    <s v=""/>
    <s v=""/>
    <s v=""/>
    <s v=""/>
    <s v=""/>
    <s v="3&quot;"/>
    <n v="1"/>
    <s v=""/>
    <s v=""/>
    <n v="0"/>
    <n v="1"/>
    <s v=""/>
    <s v=""/>
  </r>
  <r>
    <s v="N567"/>
    <s v="TP374"/>
    <n v="19.2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3&quot;"/>
    <n v="1"/>
  </r>
  <r>
    <s v="N567"/>
    <s v="N568"/>
    <n v="19.41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68"/>
    <s v="N569"/>
    <n v="103.45"/>
    <x v="1"/>
    <x v="0"/>
    <s v=""/>
    <s v=""/>
    <s v=""/>
    <s v="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569"/>
    <s v="TP375"/>
    <n v="14.47"/>
    <x v="10"/>
    <x v="0"/>
    <s v="2&quot;"/>
    <n v="1"/>
    <s v=""/>
    <s v=""/>
    <s v=""/>
    <s v=""/>
    <s v=""/>
    <s v=""/>
    <s v="1/2&quot;"/>
    <n v="1"/>
    <s v=""/>
    <s v=""/>
    <s v=""/>
    <s v=""/>
    <s v=""/>
    <s v=""/>
    <s v=""/>
    <s v=""/>
    <s v=""/>
    <s v=""/>
    <s v="1/2&quot;"/>
    <n v="1"/>
  </r>
  <r>
    <s v="N569"/>
    <s v="N570"/>
    <n v="91.4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367"/>
    <s v="N570"/>
    <n v="56.68"/>
    <x v="1"/>
    <x v="0"/>
    <s v="2&quot;"/>
    <n v="1"/>
    <s v=""/>
    <s v=""/>
    <s v=""/>
    <s v=""/>
    <s v=""/>
    <s v=""/>
    <s v=""/>
    <s v=""/>
    <s v=""/>
    <s v=""/>
    <s v=""/>
    <s v=""/>
    <s v="2&quot;"/>
    <n v="1"/>
    <s v=""/>
    <s v=""/>
    <s v=""/>
    <s v=""/>
    <s v=""/>
    <s v=""/>
  </r>
  <r>
    <s v="N570"/>
    <s v="TP376"/>
    <n v="299.68"/>
    <x v="1"/>
    <x v="0"/>
    <s v="2&quot;"/>
    <n v="1"/>
    <s v=""/>
    <s v=""/>
    <s v=""/>
    <s v=""/>
    <s v="2&quot;"/>
    <n v="1"/>
    <s v=""/>
    <s v=""/>
    <s v=""/>
    <s v=""/>
    <s v=""/>
    <s v=""/>
    <s v=""/>
    <s v=""/>
    <s v=""/>
    <s v=""/>
    <s v=""/>
    <s v=""/>
    <s v="2&quot;"/>
    <n v="1"/>
  </r>
  <r>
    <s v="N459"/>
    <s v="N571"/>
    <n v="99.48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71"/>
    <s v="N572"/>
    <n v="347.76"/>
    <x v="2"/>
    <x v="0"/>
    <s v=""/>
    <s v=""/>
    <s v=""/>
    <s v=""/>
    <s v=""/>
    <s v=""/>
    <s v=""/>
    <s v=""/>
    <s v=""/>
    <s v=""/>
    <s v="8&quot;"/>
    <n v="1"/>
    <s v=""/>
    <s v=""/>
    <s v=""/>
    <s v=""/>
    <s v=""/>
    <s v=""/>
    <s v=""/>
    <s v=""/>
    <s v=""/>
    <s v=""/>
  </r>
  <r>
    <s v="N572"/>
    <s v="CQ7"/>
    <n v="13.75"/>
    <x v="2"/>
    <x v="0"/>
    <s v="8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CQ7"/>
    <s v="N573"/>
    <n v="57.78"/>
    <x v="0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73"/>
    <s v="N574"/>
    <n v="89.53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574"/>
    <s v="N575"/>
    <n v="275.89"/>
    <x v="0"/>
    <x v="0"/>
    <s v=""/>
    <s v=""/>
    <s v=""/>
    <s v=""/>
    <s v=""/>
    <s v=""/>
    <s v=""/>
    <s v=""/>
    <s v=""/>
    <s v=""/>
    <s v="3&quot;"/>
    <n v="1"/>
    <s v=""/>
    <s v=""/>
    <s v=""/>
    <s v=""/>
    <s v=""/>
    <s v=""/>
    <s v=""/>
    <s v=""/>
    <s v=""/>
    <s v=""/>
  </r>
  <r>
    <s v="N575"/>
    <s v="TP377"/>
    <n v="120.42"/>
    <x v="1"/>
    <x v="0"/>
    <s v=""/>
    <s v=""/>
    <s v=""/>
    <s v=""/>
    <s v=""/>
    <s v=""/>
    <s v="2&quot;"/>
    <n v="1"/>
    <s v="2&quot;"/>
    <n v="1"/>
    <s v=""/>
    <s v=""/>
    <s v=""/>
    <s v=""/>
    <s v=""/>
    <s v=""/>
    <s v=""/>
    <s v=""/>
    <s v=""/>
    <s v=""/>
    <s v="2&quot;"/>
    <n v="1"/>
  </r>
  <r>
    <s v="N573"/>
    <s v="N576"/>
    <n v="319.64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76"/>
    <s v="TP378"/>
    <n v="128.91999999999999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576"/>
    <s v="TP379"/>
    <n v="123.79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572"/>
    <s v="N577"/>
    <n v="141.53"/>
    <x v="2"/>
    <x v="0"/>
    <s v="8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77"/>
    <s v="N578"/>
    <n v="19.21"/>
    <x v="2"/>
    <x v="0"/>
    <s v="8&quot;"/>
    <n v="1"/>
    <s v=""/>
    <s v=""/>
    <s v=""/>
    <s v=""/>
    <s v=""/>
    <s v=""/>
    <s v=""/>
    <s v=""/>
    <s v=""/>
    <s v=""/>
    <s v=""/>
    <s v=""/>
    <s v="8&quot;"/>
    <n v="1"/>
    <s v=""/>
    <s v=""/>
    <s v=""/>
    <s v=""/>
    <s v=""/>
    <s v=""/>
  </r>
  <r>
    <s v="N578"/>
    <s v="N579"/>
    <n v="60.73"/>
    <x v="0"/>
    <x v="0"/>
    <s v=""/>
    <s v=""/>
    <s v=""/>
    <s v=""/>
    <s v=""/>
    <s v=""/>
    <s v=""/>
    <s v=""/>
    <s v="3&quot;"/>
    <n v="1"/>
    <s v=""/>
    <s v=""/>
    <s v=""/>
    <s v=""/>
    <s v=""/>
    <s v=""/>
    <s v=""/>
    <s v=""/>
    <n v="0"/>
    <n v="1"/>
    <s v=""/>
    <s v=""/>
  </r>
  <r>
    <s v="N579"/>
    <s v="N580"/>
    <n v="46.55"/>
    <x v="1"/>
    <x v="0"/>
    <s v=""/>
    <s v=""/>
    <s v=""/>
    <s v="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580"/>
    <s v="TP380"/>
    <n v="76.180000000000007"/>
    <x v="1"/>
    <x v="0"/>
    <s v="2&quot;"/>
    <n v="1"/>
    <s v=""/>
    <s v=""/>
    <s v=""/>
    <s v=""/>
    <s v="2&quot;"/>
    <n v="1"/>
    <s v=""/>
    <s v=""/>
    <s v=""/>
    <s v=""/>
    <s v=""/>
    <s v=""/>
    <s v=""/>
    <s v=""/>
    <s v=""/>
    <s v=""/>
    <s v=""/>
    <s v=""/>
    <s v="2&quot;"/>
    <n v="1"/>
  </r>
  <r>
    <s v="N580"/>
    <s v="TP381"/>
    <n v="126.55"/>
    <x v="1"/>
    <x v="0"/>
    <s v="2&quot;"/>
    <n v="1"/>
    <s v=""/>
    <s v=""/>
    <s v=""/>
    <s v=""/>
    <s v="2&quot;"/>
    <n v="2"/>
    <s v=""/>
    <s v=""/>
    <s v=""/>
    <s v=""/>
    <s v=""/>
    <s v=""/>
    <s v=""/>
    <s v=""/>
    <s v=""/>
    <s v=""/>
    <s v=""/>
    <s v=""/>
    <s v="2&quot;"/>
    <n v="1"/>
  </r>
  <r>
    <s v="N577"/>
    <s v="N581"/>
    <n v="142.82"/>
    <x v="2"/>
    <x v="0"/>
    <s v="8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81"/>
    <s v="N582"/>
    <n v="100.23"/>
    <x v="7"/>
    <x v="0"/>
    <s v=""/>
    <s v=""/>
    <s v=""/>
    <s v=""/>
    <s v=""/>
    <s v=""/>
    <s v=""/>
    <s v=""/>
    <s v="6&quot;"/>
    <n v="1"/>
    <s v=""/>
    <s v=""/>
    <s v=""/>
    <s v=""/>
    <s v=""/>
    <s v=""/>
    <s v=""/>
    <s v=""/>
    <s v=""/>
    <s v=""/>
    <s v=""/>
    <s v=""/>
  </r>
  <r>
    <s v="N582"/>
    <s v="N583"/>
    <n v="21.28"/>
    <x v="7"/>
    <x v="0"/>
    <s v="6&quot;"/>
    <n v="1"/>
    <s v=""/>
    <s v=""/>
    <s v=""/>
    <s v=""/>
    <s v=""/>
    <s v=""/>
    <s v=""/>
    <s v=""/>
    <s v=""/>
    <s v=""/>
    <s v=""/>
    <s v=""/>
    <s v="6&quot;"/>
    <n v="1"/>
    <s v=""/>
    <s v=""/>
    <s v=""/>
    <s v=""/>
    <s v=""/>
    <s v=""/>
  </r>
  <r>
    <s v="N583"/>
    <s v="N584"/>
    <n v="40.6"/>
    <x v="8"/>
    <x v="0"/>
    <s v=""/>
    <s v=""/>
    <s v=""/>
    <s v=""/>
    <s v=""/>
    <s v=""/>
    <s v=""/>
    <s v=""/>
    <s v="4&quot;"/>
    <n v="1"/>
    <s v=""/>
    <s v=""/>
    <s v=""/>
    <s v=""/>
    <s v=""/>
    <s v=""/>
    <s v=""/>
    <s v=""/>
    <s v=""/>
    <s v=""/>
    <s v=""/>
    <s v=""/>
  </r>
  <r>
    <s v="N584"/>
    <s v="TP382"/>
    <n v="128.65"/>
    <x v="1"/>
    <x v="0"/>
    <s v="4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584"/>
    <s v="N585"/>
    <n v="163.07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85"/>
    <s v="CQ8"/>
    <n v="54.39"/>
    <x v="8"/>
    <x v="0"/>
    <s v="4&quot;"/>
    <n v="1"/>
    <s v=""/>
    <s v=""/>
    <s v=""/>
    <s v=""/>
    <s v="4&quot;"/>
    <n v="1"/>
    <s v=""/>
    <s v=""/>
    <s v=""/>
    <s v=""/>
    <s v=""/>
    <s v=""/>
    <s v=""/>
    <s v=""/>
    <s v=""/>
    <s v=""/>
    <s v=""/>
    <s v=""/>
    <s v=""/>
    <s v=""/>
  </r>
  <r>
    <s v="CQ8"/>
    <s v="N586"/>
    <n v="66.83"/>
    <x v="0"/>
    <x v="0"/>
    <s v=""/>
    <s v=""/>
    <s v=""/>
    <s v=""/>
    <s v=""/>
    <s v=""/>
    <s v="3&quot;"/>
    <n v="1"/>
    <s v=""/>
    <s v=""/>
    <s v=""/>
    <s v=""/>
    <s v=""/>
    <s v=""/>
    <s v=""/>
    <s v=""/>
    <s v=""/>
    <s v=""/>
    <s v=""/>
    <s v=""/>
    <s v=""/>
    <s v=""/>
  </r>
  <r>
    <s v="N586"/>
    <s v="N587"/>
    <n v="128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87"/>
    <s v="TP383"/>
    <n v="139.08000000000001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587"/>
    <s v="N588"/>
    <n v="98.28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88"/>
    <s v="TP384"/>
    <n v="56.54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3&quot;"/>
    <n v="1"/>
  </r>
  <r>
    <s v="N588"/>
    <s v="TP385"/>
    <n v="241.72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586"/>
    <s v="N589"/>
    <n v="22.75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89"/>
    <s v="TP386"/>
    <n v="260.94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589"/>
    <s v="N590"/>
    <n v="126.82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590"/>
    <s v="TP387"/>
    <n v="145.91999999999999"/>
    <x v="1"/>
    <x v="0"/>
    <s v="2&quot;"/>
    <n v="1"/>
    <s v=""/>
    <s v=""/>
    <s v=""/>
    <s v=""/>
    <s v="2&quot;"/>
    <n v="1"/>
    <s v=""/>
    <s v=""/>
    <s v=""/>
    <s v=""/>
    <s v=""/>
    <s v=""/>
    <s v=""/>
    <s v=""/>
    <s v=""/>
    <s v=""/>
    <s v=""/>
    <s v=""/>
    <s v="2&quot;"/>
    <n v="1"/>
  </r>
  <r>
    <s v="N590"/>
    <s v="TP388"/>
    <n v="19.57"/>
    <x v="1"/>
    <x v="0"/>
    <s v="2&quot;"/>
    <n v="1"/>
    <s v=""/>
    <s v=""/>
    <s v=""/>
    <s v=""/>
    <s v="2&quot;"/>
    <n v="1"/>
    <s v=""/>
    <s v=""/>
    <s v=""/>
    <s v=""/>
    <s v=""/>
    <s v=""/>
    <s v=""/>
    <s v=""/>
    <s v=""/>
    <s v=""/>
    <s v=""/>
    <s v=""/>
    <s v="2&quot;"/>
    <n v="1"/>
  </r>
  <r>
    <s v="N585"/>
    <s v="N591"/>
    <n v="10.38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91"/>
    <s v="N592"/>
    <n v="290.02"/>
    <x v="0"/>
    <x v="0"/>
    <s v=""/>
    <s v=""/>
    <s v=""/>
    <s v=""/>
    <s v=""/>
    <s v=""/>
    <s v=""/>
    <s v=""/>
    <s v="3&quot;"/>
    <n v="1"/>
    <s v=""/>
    <s v=""/>
    <s v=""/>
    <s v=""/>
    <s v=""/>
    <s v=""/>
    <s v=""/>
    <s v=""/>
    <s v=""/>
    <s v=""/>
    <s v=""/>
    <s v=""/>
  </r>
  <r>
    <s v="N592"/>
    <s v="TP389"/>
    <n v="56.36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3&quot;"/>
    <n v="1"/>
  </r>
  <r>
    <s v="N592"/>
    <s v="N593"/>
    <n v="64.19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593"/>
    <s v="TP390"/>
    <n v="117"/>
    <x v="1"/>
    <x v="0"/>
    <s v="2&quot;"/>
    <n v="1"/>
    <s v=""/>
    <s v=""/>
    <s v=""/>
    <s v=""/>
    <s v="2&quot;"/>
    <n v="1"/>
    <s v=""/>
    <s v=""/>
    <s v=""/>
    <s v=""/>
    <s v=""/>
    <s v=""/>
    <s v=""/>
    <s v=""/>
    <s v=""/>
    <s v=""/>
    <s v=""/>
    <s v=""/>
    <s v="2&quot;"/>
    <n v="1"/>
  </r>
  <r>
    <s v="N593"/>
    <s v="N594"/>
    <n v="120.65"/>
    <x v="1"/>
    <x v="0"/>
    <s v="2&quot;"/>
    <n v="1"/>
    <s v=""/>
    <s v=""/>
    <s v=""/>
    <s v=""/>
    <s v="2&quot;"/>
    <n v="1"/>
    <s v=""/>
    <s v=""/>
    <s v=""/>
    <s v=""/>
    <s v=""/>
    <s v=""/>
    <s v="2&quot;"/>
    <n v="1"/>
    <s v=""/>
    <s v=""/>
    <s v=""/>
    <s v=""/>
    <s v=""/>
    <s v=""/>
  </r>
  <r>
    <s v="N594"/>
    <s v="TP391"/>
    <n v="190.13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594"/>
    <s v="TP392"/>
    <n v="204.72"/>
    <x v="1"/>
    <x v="0"/>
    <s v="2&quot;"/>
    <n v="1"/>
    <s v=""/>
    <s v=""/>
    <s v=""/>
    <s v=""/>
    <s v="2&quot;"/>
    <n v="1"/>
    <s v=""/>
    <s v=""/>
    <s v=""/>
    <s v=""/>
    <s v=""/>
    <s v=""/>
    <s v=""/>
    <s v=""/>
    <s v=""/>
    <s v=""/>
    <s v=""/>
    <s v=""/>
    <s v="2&quot;"/>
    <n v="1"/>
  </r>
  <r>
    <s v="N582"/>
    <s v="N595"/>
    <n v="11.48"/>
    <x v="7"/>
    <x v="0"/>
    <s v="6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95"/>
    <s v="N596"/>
    <n v="27"/>
    <x v="8"/>
    <x v="0"/>
    <s v=""/>
    <s v=""/>
    <s v=""/>
    <s v=""/>
    <s v=""/>
    <s v=""/>
    <s v=""/>
    <s v=""/>
    <s v="4&quot;"/>
    <n v="1"/>
    <s v=""/>
    <s v=""/>
    <s v=""/>
    <s v=""/>
    <s v="4&quot;"/>
    <n v="1"/>
    <s v=""/>
    <s v=""/>
    <s v=""/>
    <s v=""/>
    <s v=""/>
    <s v=""/>
  </r>
  <r>
    <s v="N596"/>
    <s v="TP393"/>
    <n v="59.4"/>
    <x v="6"/>
    <x v="0"/>
    <s v="4&quot;"/>
    <n v="1"/>
    <s v=""/>
    <s v=""/>
    <s v=""/>
    <s v=""/>
    <s v=""/>
    <s v=""/>
    <s v="1&quot;"/>
    <n v="1"/>
    <s v=""/>
    <s v=""/>
    <s v=""/>
    <s v=""/>
    <s v=""/>
    <s v=""/>
    <s v=""/>
    <s v=""/>
    <s v=""/>
    <s v=""/>
    <s v="1&quot;"/>
    <n v="1"/>
  </r>
  <r>
    <s v="N596"/>
    <s v="N597"/>
    <n v="168.76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97"/>
    <s v="TP394"/>
    <n v="46.93"/>
    <x v="0"/>
    <x v="0"/>
    <s v="4&quot;"/>
    <n v="1"/>
    <s v=""/>
    <s v=""/>
    <s v=""/>
    <s v=""/>
    <s v=""/>
    <s v=""/>
    <s v="3&quot;"/>
    <n v="1"/>
    <s v=""/>
    <s v=""/>
    <s v=""/>
    <s v=""/>
    <s v=""/>
    <s v=""/>
    <s v=""/>
    <s v=""/>
    <s v=""/>
    <s v=""/>
    <s v="3&quot;"/>
    <n v="1"/>
  </r>
  <r>
    <s v="N597"/>
    <s v="N598"/>
    <n v="7.12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598"/>
    <s v="N599"/>
    <n v="123.04"/>
    <x v="0"/>
    <x v="0"/>
    <s v="4&quot;"/>
    <n v="1"/>
    <s v=""/>
    <s v=""/>
    <s v=""/>
    <s v=""/>
    <s v=""/>
    <s v=""/>
    <s v="3&quot;"/>
    <n v="1"/>
    <s v=""/>
    <s v=""/>
    <s v=""/>
    <s v=""/>
    <s v=""/>
    <s v=""/>
    <s v=""/>
    <s v=""/>
    <s v=""/>
    <s v=""/>
    <s v=""/>
    <s v=""/>
  </r>
  <r>
    <s v="N599"/>
    <s v="TP395"/>
    <n v="84.67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599"/>
    <s v="N600"/>
    <n v="55.4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600"/>
    <s v="TP396"/>
    <n v="41.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600"/>
    <s v="N601"/>
    <n v="8.7200000000000006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601"/>
    <s v="TP397"/>
    <n v="156.65"/>
    <x v="1"/>
    <x v="0"/>
    <s v="2&quot;"/>
    <n v="1"/>
    <s v=""/>
    <s v=""/>
    <s v=""/>
    <s v=""/>
    <s v="2&quot;"/>
    <n v="1"/>
    <s v=""/>
    <s v=""/>
    <s v=""/>
    <s v=""/>
    <s v=""/>
    <s v=""/>
    <s v=""/>
    <s v=""/>
    <s v=""/>
    <s v=""/>
    <s v=""/>
    <s v=""/>
    <s v="2&quot;"/>
    <n v="1"/>
  </r>
  <r>
    <s v="N601"/>
    <s v="N602"/>
    <n v="37.130000000000003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602"/>
    <s v="TP398"/>
    <n v="52.37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602"/>
    <s v="TP399"/>
    <n v="30.94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598"/>
    <s v="N603"/>
    <n v="96.08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603"/>
    <s v="N604"/>
    <n v="10.19"/>
    <x v="1"/>
    <x v="0"/>
    <s v="4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604"/>
    <s v="TP400"/>
    <n v="70.53"/>
    <x v="6"/>
    <x v="0"/>
    <s v="2&quot;"/>
    <n v="1"/>
    <s v=""/>
    <s v=""/>
    <s v=""/>
    <s v=""/>
    <s v="1&quot;"/>
    <n v="1"/>
    <s v="1&quot;"/>
    <n v="1"/>
    <s v=""/>
    <s v=""/>
    <s v=""/>
    <s v=""/>
    <s v=""/>
    <s v=""/>
    <s v=""/>
    <s v=""/>
    <s v=""/>
    <s v=""/>
    <s v="1&quot;"/>
    <n v="1"/>
  </r>
  <r>
    <s v="N604"/>
    <s v="N605"/>
    <n v="135.18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605"/>
    <s v="TP401"/>
    <n v="54.63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605"/>
    <s v="TP402"/>
    <n v="64.66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603"/>
    <s v="N606"/>
    <n v="51.32"/>
    <x v="8"/>
    <x v="0"/>
    <s v="4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606"/>
    <s v="N607"/>
    <n v="92.03"/>
    <x v="1"/>
    <x v="0"/>
    <s v="4&quot;"/>
    <n v="1"/>
    <s v=""/>
    <s v=""/>
    <s v=""/>
    <s v=""/>
    <s v=""/>
    <s v=""/>
    <s v="2&quot;"/>
    <n v="1"/>
    <s v=""/>
    <s v=""/>
    <s v=""/>
    <s v=""/>
    <s v="2&quot;"/>
    <n v="1"/>
    <s v=""/>
    <s v=""/>
    <s v=""/>
    <s v=""/>
    <s v=""/>
    <s v=""/>
  </r>
  <r>
    <s v="N607"/>
    <s v="N608"/>
    <n v="68.72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608"/>
    <s v="N609"/>
    <n v="58.24"/>
    <x v="1"/>
    <x v="0"/>
    <s v="2&quot;"/>
    <n v="1"/>
    <s v=""/>
    <s v=""/>
    <s v=""/>
    <s v=""/>
    <s v="2&quot;"/>
    <n v="1"/>
    <s v=""/>
    <s v=""/>
    <s v=""/>
    <s v=""/>
    <s v=""/>
    <s v=""/>
    <s v="2&quot;"/>
    <n v="1"/>
    <s v=""/>
    <s v=""/>
    <s v=""/>
    <s v=""/>
    <s v=""/>
    <s v=""/>
  </r>
  <r>
    <s v="N609"/>
    <s v="TP403"/>
    <n v="24.9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609"/>
    <s v="TP404"/>
    <n v="49.48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608"/>
    <s v="N610"/>
    <n v="41.21"/>
    <x v="1"/>
    <x v="0"/>
    <s v="2&quot;"/>
    <n v="1"/>
    <s v=""/>
    <s v=""/>
    <s v=""/>
    <s v=""/>
    <s v="2&quot;"/>
    <n v="3"/>
    <s v=""/>
    <s v=""/>
    <s v=""/>
    <s v=""/>
    <s v=""/>
    <s v=""/>
    <s v=""/>
    <s v=""/>
    <s v=""/>
    <s v=""/>
    <s v=""/>
    <s v=""/>
    <s v=""/>
    <s v=""/>
  </r>
  <r>
    <s v="N610"/>
    <s v="N611"/>
    <n v="25.67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611"/>
    <s v="TP405"/>
    <n v="26.1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611"/>
    <s v="N612"/>
    <n v="29.11"/>
    <x v="1"/>
    <x v="0"/>
    <s v="2&quot;"/>
    <n v="1"/>
    <s v=""/>
    <s v=""/>
    <s v=""/>
    <s v=""/>
    <s v="2&quot;"/>
    <n v="1"/>
    <s v=""/>
    <s v=""/>
    <s v=""/>
    <s v=""/>
    <s v=""/>
    <s v=""/>
    <s v=""/>
    <s v=""/>
    <s v=""/>
    <s v=""/>
    <s v=""/>
    <s v=""/>
    <s v=""/>
    <s v=""/>
  </r>
  <r>
    <s v="N607"/>
    <s v="N613"/>
    <n v="30.03"/>
    <x v="1"/>
    <x v="0"/>
    <s v="2&quot;"/>
    <n v="1"/>
    <s v=""/>
    <s v=""/>
    <s v=""/>
    <s v=""/>
    <s v="2&quot;"/>
    <n v="1"/>
    <s v=""/>
    <s v=""/>
    <s v=""/>
    <s v=""/>
    <s v=""/>
    <s v=""/>
    <s v=""/>
    <s v=""/>
    <s v=""/>
    <s v=""/>
    <s v=""/>
    <s v=""/>
    <s v=""/>
    <s v=""/>
  </r>
  <r>
    <s v="N613"/>
    <s v="N610"/>
    <n v="52.51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613"/>
    <s v="N612"/>
    <n v="123.9"/>
    <x v="1"/>
    <x v="0"/>
    <s v="2&quot;"/>
    <n v="1"/>
    <s v=""/>
    <s v=""/>
    <s v=""/>
    <s v=""/>
    <s v="2&quot;"/>
    <n v="2"/>
    <s v=""/>
    <s v=""/>
    <s v=""/>
    <s v=""/>
    <s v=""/>
    <s v=""/>
    <s v=""/>
    <s v=""/>
    <s v=""/>
    <s v=""/>
    <s v=""/>
    <s v=""/>
    <s v=""/>
    <s v=""/>
  </r>
  <r>
    <s v="N612"/>
    <s v="N614"/>
    <n v="51.64"/>
    <x v="1"/>
    <x v="0"/>
    <s v="2&quot;"/>
    <n v="1"/>
    <s v=""/>
    <s v=""/>
    <s v=""/>
    <s v=""/>
    <s v="2&quot;"/>
    <n v="1"/>
    <s v=""/>
    <s v=""/>
    <s v=""/>
    <s v=""/>
    <s v=""/>
    <s v=""/>
    <s v=""/>
    <s v=""/>
    <s v=""/>
    <s v=""/>
    <s v=""/>
    <s v=""/>
    <s v=""/>
    <s v=""/>
  </r>
  <r>
    <s v="N614"/>
    <s v="N615"/>
    <n v="32.86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615"/>
    <s v="TP406"/>
    <n v="72.37"/>
    <x v="1"/>
    <x v="0"/>
    <s v="2&quot;"/>
    <n v="1"/>
    <s v=""/>
    <s v=""/>
    <s v=""/>
    <s v=""/>
    <s v="2&quot;"/>
    <n v="1"/>
    <s v=""/>
    <s v=""/>
    <s v=""/>
    <s v=""/>
    <s v=""/>
    <s v=""/>
    <s v=""/>
    <s v=""/>
    <s v=""/>
    <s v=""/>
    <s v=""/>
    <s v=""/>
    <s v="2&quot;"/>
    <n v="1"/>
  </r>
  <r>
    <s v="N615"/>
    <s v="N616"/>
    <n v="12.1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616"/>
    <s v="TP407"/>
    <n v="25.67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616"/>
    <s v="N617"/>
    <n v="28.8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617"/>
    <s v="TP408"/>
    <n v="28.71"/>
    <x v="1"/>
    <x v="0"/>
    <s v=""/>
    <s v=""/>
    <s v="2&quot;"/>
    <n v="1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617"/>
    <s v="TP409"/>
    <n v="58.09"/>
    <x v="1"/>
    <x v="0"/>
    <s v=""/>
    <s v=""/>
    <s v="2&quot;"/>
    <n v="1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617"/>
    <s v="N618"/>
    <n v="27.5"/>
    <x v="1"/>
    <x v="0"/>
    <s v=""/>
    <s v="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618"/>
    <s v="TP410"/>
    <n v="20.309999999999999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618"/>
    <s v="TP411"/>
    <n v="59.16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614"/>
    <s v="N619"/>
    <n v="103.7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619"/>
    <s v="TP412"/>
    <n v="71.7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619"/>
    <s v="N620"/>
    <n v="40.450000000000003"/>
    <x v="1"/>
    <x v="0"/>
    <s v="2&quot;"/>
    <n v="1"/>
    <s v=""/>
    <s v=""/>
    <s v=""/>
    <s v=""/>
    <s v=""/>
    <s v=""/>
    <s v=""/>
    <s v=""/>
    <s v=""/>
    <s v=""/>
    <s v=""/>
    <s v=""/>
    <s v="2&quot;"/>
    <n v="1"/>
    <s v=""/>
    <s v=""/>
    <s v=""/>
    <s v=""/>
    <s v=""/>
    <s v=""/>
  </r>
  <r>
    <s v="N620"/>
    <s v="TP413"/>
    <n v="122.76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620"/>
    <s v="N621"/>
    <n v="12.32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621"/>
    <s v="TP414"/>
    <n v="52.4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621"/>
    <s v="N622"/>
    <n v="41.68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622"/>
    <s v="TP415"/>
    <n v="110.82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622"/>
    <s v="N623"/>
    <n v="51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606"/>
    <s v="T. VILLA CRISTINA"/>
    <n v="87.63"/>
    <x v="8"/>
    <x v="0"/>
    <s v="4&quot;"/>
    <n v="1"/>
    <s v=""/>
    <s v=""/>
    <s v=""/>
    <s v=""/>
    <s v="4&quot;"/>
    <n v="1"/>
    <s v=""/>
    <s v=""/>
    <s v=""/>
    <s v=""/>
    <s v=""/>
    <s v=""/>
    <s v=""/>
    <s v=""/>
    <s v=""/>
    <s v=""/>
    <s v=""/>
    <s v=""/>
    <s v=""/>
    <s v=""/>
  </r>
  <r>
    <s v="T.VILLA CRISTINA"/>
    <s v="N624"/>
    <n v="88.33"/>
    <x v="0"/>
    <x v="0"/>
    <s v=""/>
    <s v=""/>
    <s v=""/>
    <s v=""/>
    <s v=""/>
    <s v=""/>
    <s v="3&quot;"/>
    <n v="2"/>
    <s v=""/>
    <s v=""/>
    <s v=""/>
    <s v=""/>
    <s v=""/>
    <s v=""/>
    <s v=""/>
    <s v=""/>
    <s v=""/>
    <s v=""/>
    <s v=""/>
    <s v=""/>
    <s v=""/>
    <s v=""/>
  </r>
  <r>
    <s v="N624"/>
    <s v="TP416"/>
    <n v="44.75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3&quot;"/>
    <n v="1"/>
  </r>
  <r>
    <s v="N624"/>
    <s v="N625"/>
    <n v="27.57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625"/>
    <s v="TP417"/>
    <n v="103.55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625"/>
    <s v="N626"/>
    <n v="41.18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626"/>
    <s v="N627"/>
    <n v="114.24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627"/>
    <s v="TP418"/>
    <n v="114.53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627"/>
    <s v="N628"/>
    <n v="116.68"/>
    <x v="1"/>
    <x v="0"/>
    <s v="2&quot;"/>
    <n v="1"/>
    <s v=""/>
    <s v=""/>
    <s v=""/>
    <s v=""/>
    <s v="2&quot;"/>
    <n v="2"/>
    <s v=""/>
    <s v=""/>
    <s v=""/>
    <s v=""/>
    <s v=""/>
    <s v=""/>
    <s v=""/>
    <s v=""/>
    <s v=""/>
    <s v=""/>
    <s v=""/>
    <s v=""/>
    <s v=""/>
    <s v=""/>
  </r>
  <r>
    <s v="N628"/>
    <s v="TP419"/>
    <n v="26.5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628"/>
    <s v="N629"/>
    <n v="163.7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629"/>
    <s v="TP420"/>
    <n v="29.85"/>
    <x v="1"/>
    <x v="0"/>
    <s v="2&quot;"/>
    <n v="1"/>
    <s v=""/>
    <s v=""/>
    <s v=""/>
    <s v=""/>
    <s v="2&quot;"/>
    <n v="1"/>
    <s v=""/>
    <s v=""/>
    <s v=""/>
    <s v=""/>
    <s v=""/>
    <s v=""/>
    <s v=""/>
    <s v=""/>
    <s v=""/>
    <s v=""/>
    <s v=""/>
    <s v=""/>
    <s v="2&quot;"/>
    <n v="1"/>
  </r>
  <r>
    <s v="N629"/>
    <s v="TP421"/>
    <n v="29.15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626"/>
    <s v="N630"/>
    <n v="36.04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630"/>
    <s v="TP422"/>
    <n v="241.49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630"/>
    <s v="N623"/>
    <n v="10.31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623"/>
    <s v="N637"/>
    <n v="25.56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637"/>
    <s v="N631"/>
    <n v="21.17"/>
    <x v="0"/>
    <x v="0"/>
    <s v="3&quot;"/>
    <n v="1"/>
    <s v=""/>
    <s v=""/>
    <s v=""/>
    <s v=""/>
    <s v="3&quot;"/>
    <n v="1"/>
    <s v=""/>
    <s v=""/>
    <s v=""/>
    <s v=""/>
    <s v=""/>
    <s v=""/>
    <s v=""/>
    <s v=""/>
    <s v=""/>
    <s v=""/>
    <s v=""/>
    <s v=""/>
    <s v=""/>
    <s v=""/>
  </r>
  <r>
    <s v="N631"/>
    <s v="N632"/>
    <n v="6.66"/>
    <x v="1"/>
    <x v="0"/>
    <s v="3&quot;"/>
    <n v="1"/>
    <s v=""/>
    <s v=""/>
    <s v=""/>
    <s v=""/>
    <s v=""/>
    <s v=""/>
    <s v="2&quot;"/>
    <n v="1"/>
    <s v=""/>
    <s v=""/>
    <s v=""/>
    <s v=""/>
    <s v="2&quot;"/>
    <n v="1"/>
    <s v=""/>
    <s v=""/>
    <s v=""/>
    <s v=""/>
    <s v=""/>
    <s v=""/>
  </r>
  <r>
    <s v="N632"/>
    <s v="TP423"/>
    <n v="50.88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632"/>
    <s v="N633"/>
    <n v="24.38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633"/>
    <s v="TP424"/>
    <n v="54.62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633"/>
    <s v="TP425"/>
    <n v="77.66"/>
    <x v="1"/>
    <x v="0"/>
    <s v="2&quot;"/>
    <n v="1"/>
    <s v=""/>
    <s v=""/>
    <s v=""/>
    <s v=""/>
    <s v="2&quot;"/>
    <n v="1"/>
    <s v=""/>
    <s v=""/>
    <s v=""/>
    <s v=""/>
    <s v=""/>
    <s v=""/>
    <s v=""/>
    <s v=""/>
    <s v=""/>
    <s v=""/>
    <s v=""/>
    <s v=""/>
    <s v="2&quot;"/>
    <n v="1"/>
  </r>
  <r>
    <s v="N631"/>
    <s v="N634"/>
    <n v="158.87"/>
    <x v="1"/>
    <x v="0"/>
    <s v="3&quot;"/>
    <n v="1"/>
    <s v=""/>
    <s v=""/>
    <s v=""/>
    <s v=""/>
    <s v="2&quot;"/>
    <n v="1"/>
    <s v="2&quot;"/>
    <n v="1"/>
    <s v=""/>
    <s v=""/>
    <s v=""/>
    <s v=""/>
    <s v=""/>
    <s v=""/>
    <s v=""/>
    <s v=""/>
    <s v=""/>
    <s v=""/>
    <s v=""/>
    <s v=""/>
  </r>
  <r>
    <s v="N634"/>
    <s v="TP426"/>
    <n v="43.32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634"/>
    <s v="TP427"/>
    <n v="107.14"/>
    <x v="1"/>
    <x v="0"/>
    <s v="2&quot;"/>
    <n v="1"/>
    <s v=""/>
    <s v=""/>
    <s v=""/>
    <s v=""/>
    <s v=""/>
    <s v=""/>
    <s v=""/>
    <s v=""/>
    <s v=""/>
    <s v=""/>
    <s v=""/>
    <s v=""/>
    <s v="2&quot;"/>
    <n v="1"/>
    <s v=""/>
    <s v=""/>
    <s v=""/>
    <s v=""/>
    <s v="2&quot;"/>
    <n v="1"/>
  </r>
  <r>
    <s v="T.VILLA CRISTINA"/>
    <s v="N635"/>
    <n v="336.34"/>
    <x v="0"/>
    <x v="0"/>
    <s v=""/>
    <s v=""/>
    <s v=""/>
    <s v=""/>
    <s v=""/>
    <s v=""/>
    <s v="3&quot;"/>
    <n v="5"/>
    <s v=""/>
    <s v=""/>
    <s v=""/>
    <s v=""/>
    <s v=""/>
    <s v=""/>
    <s v=""/>
    <s v=""/>
    <s v=""/>
    <s v=""/>
    <s v=""/>
    <s v=""/>
    <s v=""/>
    <s v=""/>
  </r>
  <r>
    <s v="N635"/>
    <s v="TP428"/>
    <n v="113.9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635"/>
    <s v="N636"/>
    <n v="52.17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636"/>
    <s v="TP429"/>
    <n v="111.97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636"/>
    <s v="TP430"/>
    <n v="229.81"/>
    <x v="1"/>
    <x v="0"/>
    <s v="3&quot;"/>
    <n v="1"/>
    <s v=""/>
    <s v=""/>
    <s v=""/>
    <s v=""/>
    <s v="2&quot;"/>
    <n v="2"/>
    <s v="2&quot;"/>
    <n v="1"/>
    <s v=""/>
    <s v=""/>
    <s v=""/>
    <s v=""/>
    <s v=""/>
    <s v=""/>
    <s v=""/>
    <s v=""/>
    <s v=""/>
    <s v=""/>
    <s v="2&quot;"/>
    <n v="1"/>
  </r>
  <r>
    <s v="N637"/>
    <s v="N638"/>
    <n v="214.3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638"/>
    <s v="N639"/>
    <n v="150.27000000000001"/>
    <x v="1"/>
    <x v="0"/>
    <s v="3&quot;"/>
    <n v="1"/>
    <s v=""/>
    <s v=""/>
    <s v=""/>
    <s v=""/>
    <s v="2&quot;"/>
    <n v="1"/>
    <s v="2&quot;"/>
    <n v="1"/>
    <s v=""/>
    <s v=""/>
    <s v=""/>
    <s v=""/>
    <s v=""/>
    <s v=""/>
    <s v=""/>
    <s v=""/>
    <s v=""/>
    <s v=""/>
    <s v=""/>
    <s v=""/>
  </r>
  <r>
    <s v="N639"/>
    <s v="TP431"/>
    <n v="50.66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639"/>
    <s v="N640"/>
    <n v="37.49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640"/>
    <s v="N641"/>
    <n v="42.55"/>
    <x v="1"/>
    <x v="0"/>
    <s v="2&quot;"/>
    <n v="1"/>
    <s v=""/>
    <s v=""/>
    <s v=""/>
    <s v=""/>
    <s v="2&quot;"/>
    <n v="1"/>
    <s v=""/>
    <s v=""/>
    <s v=""/>
    <s v=""/>
    <s v=""/>
    <s v=""/>
    <s v=""/>
    <s v=""/>
    <s v=""/>
    <s v=""/>
    <s v=""/>
    <s v=""/>
    <s v=""/>
    <s v=""/>
  </r>
  <r>
    <s v="N641"/>
    <s v="TP432"/>
    <n v="18.53"/>
    <x v="6"/>
    <x v="0"/>
    <s v=""/>
    <s v=""/>
    <s v=""/>
    <s v=""/>
    <s v=""/>
    <s v=""/>
    <s v=""/>
    <s v=""/>
    <s v="1&quot;"/>
    <n v="1"/>
    <s v=""/>
    <s v=""/>
    <s v=""/>
    <s v=""/>
    <s v=""/>
    <s v=""/>
    <s v=""/>
    <s v=""/>
    <s v=""/>
    <s v=""/>
    <s v="1&quot;"/>
    <n v="1"/>
  </r>
  <r>
    <s v="N640"/>
    <s v="TP433"/>
    <n v="87.68"/>
    <x v="1"/>
    <x v="0"/>
    <s v="2&quot;"/>
    <n v="1"/>
    <s v=""/>
    <s v=""/>
    <s v=""/>
    <s v=""/>
    <s v="2&quot;"/>
    <n v="1"/>
    <s v=""/>
    <s v=""/>
    <s v=""/>
    <s v=""/>
    <s v=""/>
    <s v=""/>
    <s v=""/>
    <s v=""/>
    <s v=""/>
    <s v=""/>
    <s v=""/>
    <s v=""/>
    <s v="2&quot;"/>
    <n v="1"/>
  </r>
  <r>
    <s v="N638"/>
    <s v="N642"/>
    <n v="271.32"/>
    <x v="0"/>
    <x v="0"/>
    <s v="3&quot;"/>
    <n v="1"/>
    <s v=""/>
    <s v=""/>
    <s v=""/>
    <s v=""/>
    <s v=""/>
    <s v=""/>
    <s v=""/>
    <s v=""/>
    <s v=""/>
    <s v=""/>
    <s v=""/>
    <s v=""/>
    <s v=""/>
    <s v=""/>
    <n v="0"/>
    <n v="1"/>
    <s v=""/>
    <s v=""/>
    <s v=""/>
    <s v=""/>
  </r>
  <r>
    <s v="N642"/>
    <s v="TP434"/>
    <n v="41.27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2&quot;"/>
    <n v="1"/>
  </r>
  <r>
    <s v="N642"/>
    <s v="N643"/>
    <n v="70.08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N643"/>
    <s v="TP435"/>
    <n v="7.61"/>
    <x v="0"/>
    <x v="0"/>
    <s v="3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3&quot;"/>
    <n v="1"/>
  </r>
  <r>
    <s v="N643"/>
    <s v="N644"/>
    <n v="33.06"/>
    <x v="1"/>
    <x v="0"/>
    <s v="3&quot;"/>
    <n v="1"/>
    <s v=""/>
    <s v=""/>
    <s v=""/>
    <s v=""/>
    <s v=""/>
    <s v=""/>
    <s v="2&quot;"/>
    <n v="1"/>
    <s v=""/>
    <s v=""/>
    <s v=""/>
    <s v=""/>
    <s v=""/>
    <s v=""/>
    <s v=""/>
    <s v=""/>
    <s v=""/>
    <s v=""/>
    <s v=""/>
    <s v=""/>
  </r>
  <r>
    <s v="N644"/>
    <s v="TP436"/>
    <n v="31"/>
    <x v="1"/>
    <x v="0"/>
    <s v="2&quot;"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2&quot;"/>
    <n v="1"/>
  </r>
  <r>
    <s v="N644"/>
    <s v="TP437"/>
    <n v="204.93"/>
    <x v="1"/>
    <x v="0"/>
    <s v="2&quot;"/>
    <n v="1"/>
    <s v=""/>
    <m/>
    <s v=""/>
    <s v=""/>
    <s v="2&quot;"/>
    <n v="1"/>
    <s v=""/>
    <s v=""/>
    <s v=""/>
    <s v=""/>
    <s v=""/>
    <s v=""/>
    <s v=""/>
    <s v=""/>
    <s v=""/>
    <s v=""/>
    <s v=""/>
    <s v=""/>
    <s v="2&quot;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6FE5C2-7E2D-4828-8C64-7B77853A805A}" name="TablaDiná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DIAMETRO" colHeaderCaption="MATERIAL">
  <location ref="B2:H17" firstHeaderRow="1" firstDataRow="2" firstDataCol="1"/>
  <pivotFields count="27">
    <pivotField showAll="0"/>
    <pivotField showAll="0"/>
    <pivotField dataField="1" showAll="0"/>
    <pivotField axis="axisRow" showAll="0">
      <items count="14">
        <item x="9"/>
        <item x="6"/>
        <item x="10"/>
        <item x="3"/>
        <item x="4"/>
        <item x="5"/>
        <item x="11"/>
        <item x="1"/>
        <item x="0"/>
        <item x="12"/>
        <item x="8"/>
        <item x="7"/>
        <item x="2"/>
        <item t="default"/>
      </items>
    </pivotField>
    <pivotField axis="axisCol" showAll="0">
      <items count="6">
        <item x="2"/>
        <item x="3"/>
        <item x="1"/>
        <item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AN DE TUBERÍA 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A89DDC-F8CD-4E72-903A-3AFBC941AD1B}" name="TablaDinámica3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9" rowHeaderCaption="DIAMETRO" colHeaderCaption="MATERIAL">
  <location ref="J2:X9" firstHeaderRow="1" firstDataRow="2" firstDataCol="1"/>
  <pivotFields count="27">
    <pivotField showAll="0"/>
    <pivotField showAll="0"/>
    <pivotField dataField="1" showAll="0"/>
    <pivotField axis="axisCol" showAll="0">
      <items count="14">
        <item x="9"/>
        <item x="6"/>
        <item x="10"/>
        <item x="3"/>
        <item x="4"/>
        <item x="5"/>
        <item x="11"/>
        <item x="1"/>
        <item x="0"/>
        <item x="12"/>
        <item x="8"/>
        <item x="7"/>
        <item x="2"/>
        <item t="default"/>
      </items>
    </pivotField>
    <pivotField axis="axisRow" showAll="0">
      <items count="6">
        <item x="2"/>
        <item x="3"/>
        <item x="1"/>
        <item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CAN DE TUBERÍA " fld="2" showDataAs="percentOfTotal" baseField="3" baseItem="2" numFmtId="10"/>
  </dataFields>
  <chartFormats count="44">
    <chartFormat chart="5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5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5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5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5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5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5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5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5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5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5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5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5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5" format="3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5" format="3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5" format="3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5" format="3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5" format="3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27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7" format="3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7" format="3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7" format="3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7" format="4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7" format="4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7" format="4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7" format="4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27" format="4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27" format="4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27" format="4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27" format="4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27" format="4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28" format="4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8" format="5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8" format="5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8" format="5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8" format="5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8" format="5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8" format="5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8" format="5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28" format="5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28" format="5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28" format="5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28" format="6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28" format="6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5934E2-4DB3-4E1B-BD58-048146921120}" name="TablaDinámica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0" rowHeaderCaption="DIAMETROS" colHeaderCaption="MATERIAL">
  <location ref="H3:V10" firstHeaderRow="1" firstDataRow="2" firstDataCol="1"/>
  <pivotFields count="29">
    <pivotField showAll="0"/>
    <pivotField showAll="0"/>
    <pivotField dataField="1" showAll="0"/>
    <pivotField axis="axisCol" showAll="0" sortType="ascending">
      <items count="14">
        <item x="9"/>
        <item x="6"/>
        <item x="10"/>
        <item x="3"/>
        <item x="4"/>
        <item x="5"/>
        <item x="11"/>
        <item x="1"/>
        <item x="0"/>
        <item x="12"/>
        <item x="8"/>
        <item x="7"/>
        <item x="2"/>
        <item t="default"/>
      </items>
    </pivotField>
    <pivotField axis="axisRow" showAll="0">
      <items count="6">
        <item x="2"/>
        <item x="3"/>
        <item x="1"/>
        <item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DISTRIBUCIÓN DE RED POR MATERIAL Y DIAMETRO" fld="2" showDataAs="percentOfTotal" baseField="3" baseItem="1" numFmtId="10"/>
  </dataFields>
  <formats count="1">
    <format dxfId="35">
      <pivotArea type="origin" dataOnly="0" labelOnly="1" outline="0" fieldPosition="0"/>
    </format>
  </formats>
  <chartFormats count="6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6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6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6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6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6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6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6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6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6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6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7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7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7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7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7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7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7" format="3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7" format="3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7" format="3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7" format="4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7" format="4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7" format="4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7" format="4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7" format="44">
      <pivotArea type="data" outline="0" fieldPosition="0">
        <references count="3">
          <reference field="4294967294" count="1" selected="0">
            <x v="0"/>
          </reference>
          <reference field="3" count="1" selected="0">
            <x v="12"/>
          </reference>
          <reference field="4" count="1" selected="0">
            <x v="2"/>
          </reference>
        </references>
      </pivotArea>
    </chartFormat>
  </chartFormats>
  <pivotTableStyleInfo name="PivotStyleDark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4A3A6D-3FCD-42D5-844E-E7FA4D46C536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DIAMETROS" colHeaderCaption="MATERIAL">
  <location ref="A3:G18" firstHeaderRow="1" firstDataRow="2" firstDataCol="1"/>
  <pivotFields count="23">
    <pivotField showAll="0"/>
    <pivotField showAll="0"/>
    <pivotField dataField="1" showAll="0"/>
    <pivotField axis="axisRow" showAll="0">
      <items count="14">
        <item x="9"/>
        <item x="6"/>
        <item x="10"/>
        <item x="3"/>
        <item x="4"/>
        <item x="5"/>
        <item x="11"/>
        <item x="1"/>
        <item x="0"/>
        <item x="12"/>
        <item x="8"/>
        <item x="7"/>
        <item x="2"/>
        <item t="default"/>
      </items>
    </pivotField>
    <pivotField axis="axisCol" showAll="0">
      <items count="6">
        <item x="2"/>
        <item x="3"/>
        <item x="1"/>
        <item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a de longitud" fld="2" baseField="3" baseItem="0"/>
  </dataFields>
  <pivotTableStyleInfo name="PivotStyleDark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DB4EDB-8D11-4783-BF05-04A90D38E46E}" name="accesorios" displayName="accesorios" ref="C2:C16" totalsRowShown="0" headerRowDxfId="190" dataDxfId="189">
  <autoFilter ref="C2:C16" xr:uid="{7FDB4EDB-8D11-4783-BF05-04A90D38E46E}"/>
  <tableColumns count="1">
    <tableColumn id="1" xr3:uid="{02B5090E-E36B-49FD-B038-17133F35F161}" name="accesorios" dataDxfId="18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8E2BAD-7DD8-4140-9EBA-F75427F3485F}" name="Tabla1" displayName="Tabla1" ref="B5:U1208" totalsRowShown="0" dataDxfId="187" tableBorderDxfId="186">
  <autoFilter ref="B5:U1208" xr:uid="{1B8E2BAD-7DD8-4140-9EBA-F75427F3485F}"/>
  <tableColumns count="20">
    <tableColumn id="1" xr3:uid="{F2F905A5-6E29-4376-B69C-BFE8103D863C}" name="nudo inicial" dataDxfId="185"/>
    <tableColumn id="2" xr3:uid="{B386F65A-C43F-46EB-8346-F51086384E60}" name="nudo final" dataDxfId="184"/>
    <tableColumn id="3" xr3:uid="{7484A893-EB98-44B5-B54F-F7373AAF2692}" name="longitud" dataDxfId="183">
      <calculatedColumnFormula>550.04+4173.19</calculatedColumnFormula>
    </tableColumn>
    <tableColumn id="4" xr3:uid="{E79D24BD-6AA6-40E4-81B0-7C5C347E8A4E}" name="diametro" dataDxfId="182"/>
    <tableColumn id="8" xr3:uid="{6956F554-7ECC-4BB5-85DE-77761A3E3FC0}" name="material" dataDxfId="181"/>
    <tableColumn id="5" xr3:uid="{AAE24273-89F4-43ED-82F9-B6E8B528E037}" name="5" dataDxfId="180"/>
    <tableColumn id="6" xr3:uid="{FE3A2F2E-311C-4068-B705-D5C08B97098A}" name="6" dataDxfId="179"/>
    <tableColumn id="7" xr3:uid="{C156A026-00BC-4C2A-B9B1-FF3812A98E8B}" name="7" dataDxfId="178"/>
    <tableColumn id="9" xr3:uid="{8E59B29C-3060-46A1-A894-D6B996A0DC12}" name="8" dataDxfId="177"/>
    <tableColumn id="10" xr3:uid="{5306B000-255C-401E-ABE9-50F5A38C3DA7}" name="9" dataDxfId="176"/>
    <tableColumn id="11" xr3:uid="{D32ACEAC-1BA8-4FB5-BD6D-9519A43F8AA0}" name="10" dataDxfId="175"/>
    <tableColumn id="12" xr3:uid="{3CA99BB8-7DAE-4FAA-8E2B-D103B016E9EA}" name="11" dataDxfId="174"/>
    <tableColumn id="13" xr3:uid="{3A7F949B-D2E3-4077-88EE-08994A5DEE17}" name="12" dataDxfId="173"/>
    <tableColumn id="14" xr3:uid="{22E84D3F-477E-44F5-8D84-FE95B6E54E12}" name="13" dataDxfId="172"/>
    <tableColumn id="15" xr3:uid="{CD171998-B0AE-415C-B993-91F4717AF1B2}" name="14" dataDxfId="171"/>
    <tableColumn id="16" xr3:uid="{C4112BAF-8495-4CFC-861E-C560C9BA9A64}" name="15" dataDxfId="170"/>
    <tableColumn id="17" xr3:uid="{CECBCD8E-D4E0-4C66-9972-71A66DEDB534}" name="16" dataDxfId="169"/>
    <tableColumn id="18" xr3:uid="{442C050F-CD3E-483C-A87F-1C61A4872224}" name="17" dataDxfId="168"/>
    <tableColumn id="19" xr3:uid="{BFE934D9-220F-404D-A8A1-11C90D9E204A}" name="18" dataDxfId="167"/>
    <tableColumn id="20" xr3:uid="{99103053-AF85-4EDC-816F-6ACB98451CE3}" name="19" dataDxfId="166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3D12BA-D749-4904-8FBB-CF18A012A878}" name="Tabla3" displayName="Tabla3" ref="W5:Z1208" totalsRowShown="0" headerRowDxfId="165" dataDxfId="164" tableBorderDxfId="163">
  <autoFilter ref="W5:Z1208" xr:uid="{BE3D12BA-D749-4904-8FBB-CF18A012A878}"/>
  <tableColumns count="4">
    <tableColumn id="1" xr3:uid="{844F9C7A-903D-4130-9E87-88A1800257D4}" name="n1" dataDxfId="162"/>
    <tableColumn id="2" xr3:uid="{EF971F17-6A60-4FDE-8A70-067E79BBD72E}" name="n2" dataDxfId="161"/>
    <tableColumn id="3" xr3:uid="{C857810D-3AFD-4D2E-8877-EAC9EEE90263}" name="long" dataDxfId="160"/>
    <tableColumn id="4" xr3:uid="{8E4214DD-3C64-4381-882D-BB04B31559E6}" name="comprobación " dataDxfId="159">
      <calculatedColumnFormula>IF(AND(Tabla1[[#This Row],[nudo inicial]]=Tabla3[[#This Row],[n1]],Tabla1[[#This Row],[nudo final]]=Tabla3[[#This Row],[n2]],Tabla1[[#This Row],[longitud]]=Tabla3[[#This Row],[long]]),"si","no")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B9F45F-F001-4A0D-823F-61B34071435C}" name="Tabla15" displayName="Tabla15" ref="B5:AO1208" headerRowDxfId="158" dataDxfId="157" tableBorderDxfId="156">
  <autoFilter ref="B5:AO1208" xr:uid="{A3B9F45F-F001-4A0D-823F-61B34071435C}"/>
  <tableColumns count="40">
    <tableColumn id="1" xr3:uid="{AE6032F4-CE86-4945-B5D6-5E54A5CA5B1F}" name="NI" totalsRowLabel="Total" dataDxfId="155" totalsRowDxfId="154">
      <calculatedColumnFormula>Tabla1[[#This Row],[nudo inicial]]</calculatedColumnFormula>
    </tableColumn>
    <tableColumn id="2" xr3:uid="{F9D149CB-1421-4D42-A14A-A325F94757CC}" name="NF" dataDxfId="153" totalsRowDxfId="152">
      <calculatedColumnFormula>Tabla1[[#This Row],[nudo final]]</calculatedColumnFormula>
    </tableColumn>
    <tableColumn id="3" xr3:uid="{DA67591E-0613-4642-8ECD-2DC5A539E05E}" name="Longitud" dataDxfId="151" totalsRowDxfId="150">
      <calculatedColumnFormula>Tabla1[[#This Row],[longitud]]</calculatedColumnFormula>
    </tableColumn>
    <tableColumn id="4" xr3:uid="{21CAE942-C128-4644-9230-F91155DEB897}" name="Diametro" dataDxfId="149" totalsRowDxfId="148">
      <calculatedColumnFormula>Tabla1[[#This Row],[diametro]]</calculatedColumnFormula>
    </tableColumn>
    <tableColumn id="8" xr3:uid="{89955B20-C5FC-4BE1-838E-B8AD2470B117}" name="Material" dataDxfId="147" totalsRowDxfId="146">
      <calculatedColumnFormula>Tabla1[[#This Row],[material]]</calculatedColumnFormula>
    </tableColumn>
    <tableColumn id="42" xr3:uid="{F7676519-ED0E-47C4-8392-624B48A4445F}" name="1" dataDxfId="145" totalsRowDxfId="144">
      <calculatedColumnFormula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calculatedColumnFormula>
    </tableColumn>
    <tableColumn id="6" xr3:uid="{E1ABDEC8-293F-4523-8087-FA4F60E3CEC4}" name="2" dataDxfId="143" totalsRowDxfId="142">
      <calculatedColumnFormula>IF(Tabla1[[#This Row],[5]]="TPD",Tabla1[[#This Row],[6]],"")</calculatedColumnFormula>
    </tableColumn>
    <tableColumn id="7" xr3:uid="{FBE69B6F-45D4-445E-91BC-A89B87DBF3B1}" name="3" dataDxfId="141" totalsRowDxfId="140">
      <calculatedColumnFormula>IF(OR(Tabla1[[#This Row],[5]]="TPD"),Tabla1[[#This Row],[7]],"")</calculatedColumnFormula>
    </tableColumn>
    <tableColumn id="24" xr3:uid="{70BD306C-75DC-45F7-B402-70349F26A920}" name="4" dataDxfId="139" totalsRowDxfId="138">
      <calculatedColumnFormula>IF(Tabla15[[#This Row],[2]]="",0,VLOOKUP(TRAMOS!$H$2,Tabla5[#All],3,FALSE)*Tabla15[[#This Row],[3]])</calculatedColumnFormula>
    </tableColumn>
    <tableColumn id="21" xr3:uid="{EFF14B05-ECBD-4812-93CC-C29BE3555D45}" name="5" dataDxfId="137" totalsRowDxfId="136">
      <calculatedColumnFormula>IF(Tabla1[[#This Row],[5]]="TPL",Tabla1[[#This Row],[6]],"")</calculatedColumnFormula>
    </tableColumn>
    <tableColumn id="18" xr3:uid="{5762E491-33AC-4753-8DFC-35307B825F0D}" name="6" dataDxfId="135" totalsRowDxfId="134">
      <calculatedColumnFormula>IF(OR(Tabla1[[#This Row],[5]]="TPL"),Tabla1[[#This Row],[7]],"")</calculatedColumnFormula>
    </tableColumn>
    <tableColumn id="27" xr3:uid="{E929E748-D3C2-4C38-8BBC-8E2B05CCFBDF}" name="7" dataDxfId="133" totalsRowDxfId="132">
      <calculatedColumnFormula>IF(Tabla15[[#This Row],[5]]="",0,VLOOKUP(TRAMOS!$K$2,Tabla5[#All],3,FALSE)*Tabla15[[#This Row],[6]])</calculatedColumnFormula>
    </tableColumn>
    <tableColumn id="15" xr3:uid="{58647580-A386-456C-AD1D-DB2125F44803}" name="8" dataDxfId="131" totalsRowDxfId="130"/>
    <tableColumn id="12" xr3:uid="{44C7012F-6E4E-4206-8100-0C8981E45217}" name="9" dataDxfId="129" totalsRowDxfId="128"/>
    <tableColumn id="41" xr3:uid="{CA66CA40-BDD8-4D4C-AC9F-ABD2312C1C96}" name="10" dataDxfId="127" totalsRowDxfId="126">
      <calculatedColumnFormula>IF(Tabla15[[#This Row],[8]]="",0,VLOOKUP(TRAMOS!$H$2,Tabla5[#All],3,FALSE)*Tabla15[[#This Row],[9]])</calculatedColumnFormula>
    </tableColumn>
    <tableColumn id="10" xr3:uid="{A9BD5AA3-C1E3-4631-98E3-6E19421BA7B8}" name="11" dataDxfId="125" totalsRowDxfId="124">
      <calculatedColumnFormula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calculatedColumnFormula>
    </tableColumn>
    <tableColumn id="11" xr3:uid="{8C26EC63-8E0E-426E-B50B-91EB142DF6DF}" name="12" dataDxfId="123" totalsRowDxfId="122">
      <calculatedColumnFormula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calculatedColumnFormula>
    </tableColumn>
    <tableColumn id="30" xr3:uid="{B847BBF7-1244-4153-A223-DAACEF07B39E}" name="13" dataDxfId="121" totalsRowDxfId="120">
      <calculatedColumnFormula>IF(Tabla15[[#This Row],[11]]="",0,VLOOKUP(TRAMOS!$Q$2,Tabla5[#All],3,FALSE)*Tabla15[[#This Row],[12]])</calculatedColumnFormula>
    </tableColumn>
    <tableColumn id="13" xr3:uid="{A2C59050-B8A3-4BB8-ABFD-B64BFC0C3140}" name="14" dataDxfId="119" totalsRowDxfId="118">
      <calculatedColumnFormula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calculatedColumnFormula>
    </tableColumn>
    <tableColumn id="14" xr3:uid="{817AC843-2E02-4334-8F57-63F735D862C8}" name="15" dataDxfId="117" totalsRowDxfId="116">
      <calculatedColumnFormula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calculatedColumnFormula>
    </tableColumn>
    <tableColumn id="31" xr3:uid="{BB23AA11-F72E-495C-96E8-70CA44348455}" name="16" dataDxfId="115" totalsRowDxfId="114">
      <calculatedColumnFormula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calculatedColumnFormula>
    </tableColumn>
    <tableColumn id="9" xr3:uid="{B30087CC-8B0A-4CCE-BEE0-A646154C40D8}" name="17" dataDxfId="113" totalsRowDxfId="112">
      <calculatedColumnFormula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calculatedColumnFormula>
    </tableColumn>
    <tableColumn id="5" xr3:uid="{CBB6C702-6F7D-4622-AFBA-2BEC86C4A26B}" name="18" dataDxfId="111" totalsRowDxfId="110">
      <calculatedColumnFormula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calculatedColumnFormula>
    </tableColumn>
    <tableColumn id="32" xr3:uid="{D18B81B0-F88B-4988-904B-EBD6B8DB210E}" name="19" dataDxfId="109" totalsRowDxfId="108">
      <calculatedColumnFormula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calculatedColumnFormula>
    </tableColumn>
    <tableColumn id="16" xr3:uid="{A5D8C778-D337-4655-B4DC-C4A010C9E83F}" name="20" dataDxfId="107" totalsRowDxfId="106">
      <calculatedColumnFormula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calculatedColumnFormula>
    </tableColumn>
    <tableColumn id="17" xr3:uid="{4A4389FA-AD15-4EC2-9B90-F5BFA4175353}" name="21" dataDxfId="105" totalsRowDxfId="104">
      <calculatedColumnFormula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calculatedColumnFormula>
    </tableColumn>
    <tableColumn id="33" xr3:uid="{4BB8D758-ED27-4F38-8F10-663E65425FD0}" name="22" dataDxfId="103" totalsRowDxfId="102">
      <calculatedColumnFormula>IF(Tabla15[[#This Row],[20]]="",0,VLOOKUP("VRP",Tabla5[#All],3,FALSE)*Tabla15[[#This Row],[21]])</calculatedColumnFormula>
    </tableColumn>
    <tableColumn id="19" xr3:uid="{AF7827E5-461D-4973-9DB4-C76FE4BBB1CC}" name="23" dataDxfId="101" totalsRowDxfId="100">
      <calculatedColumnFormula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calculatedColumnFormula>
    </tableColumn>
    <tableColumn id="20" xr3:uid="{31874832-5B1D-4A7C-86BE-D37EE8DAADF0}" name="24" dataDxfId="99" totalsRowDxfId="98">
      <calculatedColumnFormula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calculatedColumnFormula>
    </tableColumn>
    <tableColumn id="34" xr3:uid="{C9F74E0B-E9E3-4735-B2CE-2ED7D2FF8288}" name="25" dataDxfId="97" totalsRowDxfId="96">
      <calculatedColumnFormula>IF(Tabla15[[#This Row],[23]]="",0,VLOOKUP("VC",Tabla5[#All],3,FALSE)*Tabla15[[#This Row],[24]])</calculatedColumnFormula>
    </tableColumn>
    <tableColumn id="40" xr3:uid="{51046A85-4AA3-43B7-ACDA-035C0237ABB4}" name="26" dataDxfId="95" totalsRowDxfId="94">
      <calculatedColumnFormula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calculatedColumnFormula>
    </tableColumn>
    <tableColumn id="39" xr3:uid="{717BCCCD-F08A-4FD4-AFB7-03636169FE29}" name="27" dataDxfId="93" totalsRowDxfId="92">
      <calculatedColumnFormula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calculatedColumnFormula>
    </tableColumn>
    <tableColumn id="38" xr3:uid="{80C222DE-3A8C-4360-A6A4-00744FC2EA80}" name="28" dataDxfId="91" totalsRowDxfId="90">
      <calculatedColumnFormula>IF(Tabla15[[#This Row],[26]]="",0,VLOOKUP(TRAMOS!$K$2,Tabla5[#All],3,FALSE)*Tabla15[[#This Row],[27]])</calculatedColumnFormula>
    </tableColumn>
    <tableColumn id="22" xr3:uid="{A09A8738-7182-4D63-8E12-CD2B7CA334AD}" name="29" dataDxfId="89" totalsRowDxfId="88">
      <calculatedColumnFormula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calculatedColumnFormula>
    </tableColumn>
    <tableColumn id="23" xr3:uid="{62209701-F983-4DF4-A199-9373EAAA5614}" name="30" dataDxfId="87" totalsRowDxfId="86">
      <calculatedColumnFormula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calculatedColumnFormula>
    </tableColumn>
    <tableColumn id="25" xr3:uid="{E9118995-1632-4A9D-9783-84C132926CFB}" name="31" dataDxfId="85" totalsRowDxfId="84">
      <calculatedColumnFormula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calculatedColumnFormula>
    </tableColumn>
    <tableColumn id="26" xr3:uid="{066BDDCA-ED29-4C42-84F0-9663FC929BA6}" name="32" dataDxfId="83" totalsRowDxfId="82">
      <calculatedColumnFormula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calculatedColumnFormula>
    </tableColumn>
    <tableColumn id="28" xr3:uid="{E2518D71-2D9D-4922-85B4-BD86E5919695}" name="33" dataDxfId="81" totalsRowDxfId="80">
      <calculatedColumnFormula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calculatedColumnFormula>
    </tableColumn>
    <tableColumn id="29" xr3:uid="{757E929A-08F2-44DE-BB47-5CE24B09EEA3}" name="34" dataDxfId="79" totalsRowDxfId="78">
      <calculatedColumnFormula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calculatedColumnFormula>
    </tableColumn>
    <tableColumn id="35" xr3:uid="{41FB7F68-E1DA-40AC-8275-312B17E6EB24}" name="35" totalsRowFunction="sum" dataDxfId="77" totalsRowDxfId="76">
      <calculatedColumnFormula>SUBTOTAL(9,Tabla15[[#This Row],[4]],Tabla15[[#This Row],[7]],Tabla15[[#This Row],[10]],Tabla15[[#This Row],[13]],Tabla15[[#This Row],[16]],Tabla15[[#This Row],[19]],Tabla15[[#This Row],[22]],Tabla15[[#This Row],[25]],Tabla15[[#This Row],[28]])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ACDEAF5-9CE5-4938-ABAB-DD9ECD9B0CEB}" name="Tabla5" displayName="Tabla5" ref="F4:H18" totalsRowShown="0" headerRowDxfId="75" dataDxfId="74" headerRowBorderDxfId="0">
  <autoFilter ref="F4:H18" xr:uid="{8ACDEAF5-9CE5-4938-ABAB-DD9ECD9B0CEB}"/>
  <tableColumns count="3">
    <tableColumn id="3" xr3:uid="{5D30AE34-B359-4A10-800C-BAC0E301F301}" name="BUSC" dataDxfId="73"/>
    <tableColumn id="1" xr3:uid="{5E6E2227-2E11-443F-A140-FBE8885C315E}" name="ACCESORIO " dataDxfId="72"/>
    <tableColumn id="2" xr3:uid="{D7258CF5-DAE2-4FEB-822E-B26965AE680A}" name="Km" dataDxfId="71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B8C8606-B780-4A24-BACB-571964B869CA}" name="Tabla9" displayName="Tabla9" ref="B3:D384" totalsRowShown="0">
  <autoFilter ref="B3:D384" xr:uid="{5B8C8606-B780-4A24-BACB-571964B869CA}"/>
  <tableColumns count="3">
    <tableColumn id="1" xr3:uid="{F47AD264-9A8E-4E7A-9ACF-EECFCAE4C3EB}" name="d1/d2"/>
    <tableColumn id="2" xr3:uid="{63CF60C0-4266-49DF-A2F4-1769B75D9DB2}" name="Km AMPLIACIÓN"/>
    <tableColumn id="3" xr3:uid="{8603DA93-1566-4369-BF7E-F15C8F42D967}" name="Km REDUCCION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2760376-7C30-4CE8-894B-36B020275AE0}" name="Tabla10" displayName="Tabla10" ref="J4:K17" totalsRowShown="0">
  <autoFilter ref="J4:K17" xr:uid="{A2760376-7C30-4CE8-894B-36B020275AE0}"/>
  <tableColumns count="2">
    <tableColumn id="1" xr3:uid="{A91E8768-D0D6-4D2D-969F-6F54BF421CD1}" name="DIAMETRO" dataDxfId="70"/>
    <tableColumn id="2" xr3:uid="{53455F49-0665-4559-9EE9-DE3B34AFDCB9}" name="DIAMETRO2" dataDxfId="69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E9B137-EB95-4FC7-BD79-5B2B96E4880D}" name="Tabla156" displayName="Tabla156" ref="B3:N17" totalsRowCount="1" headerRowDxfId="68" dataDxfId="67" totalsRowDxfId="66">
  <autoFilter ref="B3:N16" xr:uid="{FCAE30AF-7381-4905-BE01-386CABE4AE4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CF490F75-C8A9-474C-B1BD-47E2581B7B2C}" name="DIAMETRO" totalsRowLabel="Total" dataDxfId="65" totalsRowDxfId="64"/>
    <tableColumn id="2" xr3:uid="{30135A16-3206-4464-B615-BF69F862B1C1}" name="AC [m]" totalsRowFunction="sum" dataDxfId="63" totalsRowDxfId="62">
      <calculatedColumnFormula>_xlfn.IFNA(IF((VLOOKUP(Tabla156[[#This Row],[DIAMETRO]],'[1]tabla dinamica para analisis'!$B$4:$H$16,2,FALSE))=0,"",VLOOKUP(Tabla156[[#This Row],[DIAMETRO]],'[1]tabla dinamica para analisis'!$B$4:$H$16,2,FALSE)),"")</calculatedColumnFormula>
    </tableColumn>
    <tableColumn id="3" xr3:uid="{EDBDB876-0B98-4A70-9AAE-3E403245B73F}" name="AP[m]" totalsRowFunction="sum" dataDxfId="61" totalsRowDxfId="60">
      <calculatedColumnFormula>_xlfn.IFNA(IF((VLOOKUP(Tabla156[[#This Row],[DIAMETRO]],'[1]tabla dinamica para analisis'!$B$4:$H$16,3,FALSE))=0,"",VLOOKUP(Tabla156[[#This Row],[DIAMETRO]],'[1]tabla dinamica para analisis'!$B$4:$H$16,3,FALSE)),"")</calculatedColumnFormula>
    </tableColumn>
    <tableColumn id="4" xr3:uid="{86271618-5577-48FA-9841-93E8C32D8AE5}" name="HF [m]" totalsRowFunction="sum" dataDxfId="59" totalsRowDxfId="58">
      <calculatedColumnFormula>_xlfn.IFNA(IF((VLOOKUP(Tabla156[[#This Row],[DIAMETRO]],'[1]tabla dinamica para analisis'!$B$4:$H$16,4,FALSE))=0,"",VLOOKUP(Tabla156[[#This Row],[DIAMETRO]],'[1]tabla dinamica para analisis'!$B$4:$H$16,4,FALSE)),"")</calculatedColumnFormula>
    </tableColumn>
    <tableColumn id="5" xr3:uid="{F1D841C0-2996-4C05-B938-DB68D09488DA}" name="HG [m]" totalsRowFunction="sum" dataDxfId="57" totalsRowDxfId="56">
      <calculatedColumnFormula>_xlfn.IFNA(IF((VLOOKUP(Tabla156[[#This Row],[DIAMETRO]],'[1]tabla dinamica para analisis'!$B$4:$H$16,5,FALSE))=0,"",VLOOKUP(Tabla156[[#This Row],[DIAMETRO]],'[1]tabla dinamica para analisis'!$B$4:$H$16,5,FALSE)),"")</calculatedColumnFormula>
    </tableColumn>
    <tableColumn id="6" xr3:uid="{B8E34B7C-1BC6-4EBE-ABF6-89B2538FF1C2}" name="PVC [m]" totalsRowFunction="sum" dataDxfId="55" totalsRowDxfId="54">
      <calculatedColumnFormula>_xlfn.IFNA(IF((VLOOKUP(Tabla156[[#This Row],[DIAMETRO]],'[1]tabla dinamica para analisis'!$B$4:$H$16,6,FALSE))=0,"",VLOOKUP(Tabla156[[#This Row],[DIAMETRO]],'[1]tabla dinamica para analisis'!$B$4:$H$16,6,FALSE)),"")</calculatedColumnFormula>
    </tableColumn>
    <tableColumn id="7" xr3:uid="{AD89C5C6-E5E1-4DDB-9017-54BE05019970}" name="SUBTOTAL" totalsRowFunction="sum" dataDxfId="53" totalsRowDxfId="52">
      <calculatedColumnFormula>SUM(Tabla156[[#This Row],[AC '[m']]:[PVC '[m']]])</calculatedColumnFormula>
    </tableColumn>
    <tableColumn id="8" xr3:uid="{A827EE3D-2B5D-43D6-A815-531E3B38080C}" name="AC" totalsRowFunction="sum" dataDxfId="51" totalsRowDxfId="50" dataCellStyle="Porcentaje">
      <calculatedColumnFormula>IF(Tabla156[[#This Row],[AC '[m']]]="","",Tabla156[[#This Row],[AC '[m']]]/Tabla156[[#Totals],[SUBTOTAL]])</calculatedColumnFormula>
    </tableColumn>
    <tableColumn id="9" xr3:uid="{C93D0BBE-15CF-4093-A834-E8D7822E3DA0}" name="AP" totalsRowFunction="sum" dataDxfId="49" totalsRowDxfId="48" dataCellStyle="Porcentaje">
      <calculatedColumnFormula>IF(Tabla156[[#This Row],[AP'[m']]]="","",Tabla156[[#This Row],[AP'[m']]]/Tabla156[[#Totals],[SUBTOTAL]])</calculatedColumnFormula>
    </tableColumn>
    <tableColumn id="10" xr3:uid="{7E1AAE03-170B-4212-A95B-88190F92FB13}" name="HF" totalsRowFunction="sum" dataDxfId="47" totalsRowDxfId="46" dataCellStyle="Porcentaje">
      <calculatedColumnFormula>IF(Tabla156[[#This Row],[HF '[m']]]="","",Tabla156[[#This Row],[HF '[m']]]/Tabla156[[#Totals],[SUBTOTAL]])</calculatedColumnFormula>
    </tableColumn>
    <tableColumn id="11" xr3:uid="{7EE5184A-DD64-48A2-9EBE-088F787C991C}" name="HG" totalsRowFunction="sum" dataDxfId="45" totalsRowDxfId="44" dataCellStyle="Porcentaje">
      <calculatedColumnFormula>IF(Tabla156[[#This Row],[HG '[m']]]="","",Tabla156[[#This Row],[HG '[m']]]/Tabla156[[#Totals],[SUBTOTAL]])</calculatedColumnFormula>
    </tableColumn>
    <tableColumn id="12" xr3:uid="{6D17DBE6-B80A-4118-98F0-26985E709E79}" name="PVC" totalsRowFunction="sum" dataDxfId="43" totalsRowDxfId="42" dataCellStyle="Porcentaje">
      <calculatedColumnFormula>IF(Tabla156[[#This Row],[PVC '[m']]]="","",Tabla156[[#This Row],[PVC '[m']]]/Tabla156[[#Totals],[SUBTOTAL]])</calculatedColumnFormula>
    </tableColumn>
    <tableColumn id="13" xr3:uid="{C327E064-0EBA-480C-B12F-FDEFD5C91E95}" name="SUBTOTAL [%]" totalsRowFunction="sum" dataDxfId="41" totalsRowDxfId="40" dataCellStyle="Porcentaje">
      <calculatedColumnFormula>SUM(Tabla156[[#This Row],[AC]:[PVC]])</calculatedColumnFormula>
    </tableColumn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4A2B29C-E86B-4373-A9DE-7DB9241C5198}" name="Tabla312" displayName="Tabla312" ref="P3:Q16" totalsRowShown="0" headerRowDxfId="39" dataDxfId="38">
  <autoFilter ref="P3:Q16" xr:uid="{D9F72208-4503-465B-B690-51EEC5EC3099}">
    <filterColumn colId="0" hiddenButton="1"/>
    <filterColumn colId="1" hiddenButton="1"/>
  </autoFilter>
  <tableColumns count="2">
    <tableColumn id="1" xr3:uid="{70B774BA-D675-45EC-9D48-E9D82483F914}" name="DIAMETRO" dataDxfId="37"/>
    <tableColumn id="2" xr3:uid="{673E8433-1462-4CC9-A427-59BD407BCFD0}" name="SUBTOTAL" dataDxfId="36" dataCellStyle="Porcentaje">
      <calculatedColumnFormula>VLOOKUP(Tabla312[[#This Row],[DIAMETRO]],Tabla156[[#Headers],[#Data]],13,FALSE)</calculatedColumnFormula>
    </tableColumn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FAF0097-F1C4-464F-ADA3-EAEEB95E5369}" name="Tabla17" displayName="Tabla17" ref="B3:N17" totalsRowCount="1" headerRowDxfId="34" dataDxfId="33" totalsRowDxfId="32">
  <autoFilter ref="B3:N16" xr:uid="{6FAF0097-F1C4-464F-ADA3-EAEEB95E536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4A5D8C91-3AD1-4A3B-9A32-8BAE92A43D02}" name="DIAMETRO" totalsRowLabel="Total" dataDxfId="31" totalsRowDxfId="30"/>
    <tableColumn id="2" xr3:uid="{654486C4-B2A3-450E-99F3-6E828478A0F1}" name="AC [m]" totalsRowFunction="sum" dataDxfId="29" totalsRowDxfId="28"/>
    <tableColumn id="3" xr3:uid="{E24F242C-5147-4C14-B4AA-C453C9098F15}" name="AP [m]" totalsRowFunction="sum" dataDxfId="27" totalsRowDxfId="26"/>
    <tableColumn id="4" xr3:uid="{BB1DC101-6684-4CEC-8127-93187B10AE6B}" name="HF [m]" totalsRowFunction="sum" dataDxfId="25" totalsRowDxfId="24"/>
    <tableColumn id="5" xr3:uid="{0D409E92-21DA-4CAD-B51D-5FD9D12183B8}" name="HG [m]" totalsRowFunction="sum" dataDxfId="23" totalsRowDxfId="22"/>
    <tableColumn id="6" xr3:uid="{AA3F337E-7F4B-42BC-A249-635E9F716AA5}" name="PVC [m]" totalsRowFunction="sum" dataDxfId="21" totalsRowDxfId="20"/>
    <tableColumn id="7" xr3:uid="{5AA30779-7D67-4CD0-AACC-FC19562D5D95}" name="SUBTOTAL" totalsRowFunction="sum" dataDxfId="19" totalsRowDxfId="18">
      <calculatedColumnFormula>SUM(Tabla17[[#This Row],[AC '[m']]:[PVC '[m']]])</calculatedColumnFormula>
    </tableColumn>
    <tableColumn id="8" xr3:uid="{C64F58E4-0C60-45C1-9A5D-D81F50D5BB90}" name="AC" totalsRowFunction="sum" dataDxfId="17" totalsRowDxfId="16" dataCellStyle="Porcentaje">
      <calculatedColumnFormula>IF(Tabla17[[#This Row],[AC '[m']]]="","",Tabla17[[#This Row],[AC '[m']]]/Tabla17[[#Totals],[SUBTOTAL]])</calculatedColumnFormula>
    </tableColumn>
    <tableColumn id="9" xr3:uid="{0C7A756C-1F72-4EF9-8604-17817912546A}" name="AP" totalsRowFunction="sum" dataDxfId="15" totalsRowDxfId="14" dataCellStyle="Porcentaje">
      <calculatedColumnFormula>IF(Tabla17[[#This Row],[AP '[m']]]="","",Tabla17[[#This Row],[AP '[m']]]/Tabla17[[#Totals],[SUBTOTAL]])</calculatedColumnFormula>
    </tableColumn>
    <tableColumn id="10" xr3:uid="{F72BC475-7BEB-4434-ACCA-38DBB3794FB5}" name="HF" totalsRowFunction="sum" dataDxfId="13" totalsRowDxfId="12" dataCellStyle="Porcentaje">
      <calculatedColumnFormula>IF(Tabla17[[#This Row],[HF '[m']]]="","",Tabla17[[#This Row],[HF '[m']]]/Tabla17[[#Totals],[SUBTOTAL]])</calculatedColumnFormula>
    </tableColumn>
    <tableColumn id="11" xr3:uid="{F3EB3F87-352C-4BBA-BBD0-27C075C3472E}" name="HG" totalsRowFunction="sum" dataDxfId="11" totalsRowDxfId="10" dataCellStyle="Porcentaje">
      <calculatedColumnFormula>IF(Tabla17[[#This Row],[HG '[m']]]="","",Tabla17[[#This Row],[HG '[m']]]/Tabla17[[#Totals],[SUBTOTAL]])</calculatedColumnFormula>
    </tableColumn>
    <tableColumn id="12" xr3:uid="{BA5320AF-30F0-4835-BE5E-DC207B06E31D}" name="PVC" totalsRowFunction="sum" dataDxfId="9" totalsRowDxfId="8" dataCellStyle="Porcentaje">
      <calculatedColumnFormula>IF(Tabla17[[#This Row],[PVC '[m']]]="","",Tabla17[[#This Row],[PVC '[m']]]/Tabla17[[#Totals],[SUBTOTAL]])</calculatedColumnFormula>
    </tableColumn>
    <tableColumn id="13" xr3:uid="{12528ACF-877B-4622-9D64-146FE1A067D4}" name="SUBTOTAL [%]" totalsRowFunction="sum" dataDxfId="7" totalsRowDxfId="6" dataCellStyle="Porcentaje">
      <calculatedColumnFormula>SUM(Tabla17[[#This Row],[AC]:[PVC]])</calculatedColumnFormula>
    </tableColumn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9C5D488-FE4D-4CEA-9CF9-3784F42DD82F}" name="Tabla38" displayName="Tabla38" ref="P3:Q16" totalsRowShown="0" headerRowDxfId="5" dataDxfId="4">
  <autoFilter ref="P3:Q16" xr:uid="{B9C5D488-FE4D-4CEA-9CF9-3784F42DD82F}"/>
  <tableColumns count="2">
    <tableColumn id="1" xr3:uid="{F4B947E1-0A55-49F0-9AA8-4436E45BBC19}" name="DIAMETRO" dataDxfId="3"/>
    <tableColumn id="2" xr3:uid="{B9A77450-C5FC-418C-B7A8-A45F47864FEC}" name="SUBTOTAL" dataDxfId="2" dataCellStyle="Porcentaje">
      <calculatedColumnFormula>VLOOKUP(Tabla38[[#This Row],[DIAMETRO]],Tabla17[[#Headers],[#Data]],13,FALSE)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72DE4-D9DF-46BD-8466-BB65AA38D626}">
  <dimension ref="C2:E16"/>
  <sheetViews>
    <sheetView workbookViewId="0">
      <selection activeCell="C8" sqref="C8"/>
    </sheetView>
  </sheetViews>
  <sheetFormatPr baseColWidth="10" defaultRowHeight="15" x14ac:dyDescent="0.25"/>
  <cols>
    <col min="3" max="3" width="27.85546875" bestFit="1" customWidth="1"/>
  </cols>
  <sheetData>
    <row r="2" spans="3:5" x14ac:dyDescent="0.25">
      <c r="C2" t="s">
        <v>14</v>
      </c>
      <c r="E2" s="11" t="s">
        <v>1166</v>
      </c>
    </row>
    <row r="3" spans="3:5" x14ac:dyDescent="0.25">
      <c r="C3" t="s">
        <v>6</v>
      </c>
      <c r="E3" s="12" t="s">
        <v>25</v>
      </c>
    </row>
    <row r="4" spans="3:5" x14ac:dyDescent="0.25">
      <c r="C4" s="7" t="s">
        <v>15</v>
      </c>
      <c r="E4" s="12" t="s">
        <v>26</v>
      </c>
    </row>
    <row r="5" spans="3:5" x14ac:dyDescent="0.25">
      <c r="C5" s="7" t="s">
        <v>57</v>
      </c>
      <c r="E5" s="12" t="s">
        <v>27</v>
      </c>
    </row>
    <row r="6" spans="3:5" x14ac:dyDescent="0.25">
      <c r="C6" s="7" t="s">
        <v>58</v>
      </c>
      <c r="E6" s="12" t="s">
        <v>28</v>
      </c>
    </row>
    <row r="7" spans="3:5" x14ac:dyDescent="0.25">
      <c r="C7" s="7" t="s">
        <v>16</v>
      </c>
      <c r="E7" s="13" t="s">
        <v>29</v>
      </c>
    </row>
    <row r="8" spans="3:5" x14ac:dyDescent="0.25">
      <c r="C8" s="7" t="s">
        <v>17</v>
      </c>
    </row>
    <row r="9" spans="3:5" ht="30" x14ac:dyDescent="0.25">
      <c r="C9" s="6" t="s">
        <v>31</v>
      </c>
    </row>
    <row r="10" spans="3:5" x14ac:dyDescent="0.25">
      <c r="C10" s="6" t="s">
        <v>32</v>
      </c>
    </row>
    <row r="11" spans="3:5" x14ac:dyDescent="0.25">
      <c r="C11" s="7" t="s">
        <v>33</v>
      </c>
    </row>
    <row r="12" spans="3:5" x14ac:dyDescent="0.25">
      <c r="C12" s="7" t="s">
        <v>34</v>
      </c>
    </row>
    <row r="13" spans="3:5" x14ac:dyDescent="0.25">
      <c r="C13" s="7" t="s">
        <v>18</v>
      </c>
    </row>
    <row r="14" spans="3:5" x14ac:dyDescent="0.25">
      <c r="C14" s="7" t="s">
        <v>19</v>
      </c>
    </row>
    <row r="15" spans="3:5" x14ac:dyDescent="0.25">
      <c r="C15" s="7" t="s">
        <v>20</v>
      </c>
    </row>
    <row r="16" spans="3:5" x14ac:dyDescent="0.25">
      <c r="C16" s="7" t="s">
        <v>536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8063-AC96-4461-93F7-A026E6145890}">
  <dimension ref="A2:Z1208"/>
  <sheetViews>
    <sheetView topLeftCell="B1032" workbookViewId="0">
      <selection activeCell="L1035" sqref="L1035"/>
    </sheetView>
  </sheetViews>
  <sheetFormatPr baseColWidth="10" defaultRowHeight="15" x14ac:dyDescent="0.25"/>
  <cols>
    <col min="2" max="2" width="16.140625" bestFit="1" customWidth="1"/>
    <col min="3" max="3" width="16.5703125" bestFit="1" customWidth="1"/>
    <col min="7" max="7" width="16" customWidth="1"/>
    <col min="8" max="9" width="11.42578125" customWidth="1"/>
    <col min="10" max="10" width="16.42578125" customWidth="1"/>
    <col min="11" max="12" width="11.42578125" customWidth="1"/>
    <col min="13" max="13" width="16.42578125" customWidth="1"/>
    <col min="14" max="15" width="11.42578125" customWidth="1"/>
    <col min="16" max="16" width="19.28515625" customWidth="1"/>
    <col min="17" max="21" width="11.42578125" customWidth="1"/>
    <col min="26" max="26" width="11.85546875" bestFit="1" customWidth="1"/>
  </cols>
  <sheetData>
    <row r="2" spans="2:26" x14ac:dyDescent="0.25">
      <c r="B2" s="85" t="s">
        <v>7</v>
      </c>
      <c r="C2" s="85"/>
      <c r="D2" s="86" t="s">
        <v>1</v>
      </c>
      <c r="E2" s="86" t="s">
        <v>2</v>
      </c>
      <c r="F2" s="86" t="s">
        <v>24</v>
      </c>
      <c r="G2" s="85" t="s">
        <v>1266</v>
      </c>
      <c r="H2" s="85"/>
      <c r="I2" s="85"/>
      <c r="J2" s="85" t="s">
        <v>1267</v>
      </c>
      <c r="K2" s="85"/>
      <c r="L2" s="85"/>
      <c r="M2" s="85" t="s">
        <v>1268</v>
      </c>
      <c r="N2" s="85"/>
      <c r="O2" s="85"/>
      <c r="P2" s="85" t="s">
        <v>1269</v>
      </c>
      <c r="Q2" s="85"/>
      <c r="R2" s="85"/>
      <c r="S2" s="85" t="s">
        <v>1270</v>
      </c>
      <c r="T2" s="85"/>
      <c r="U2" s="85"/>
    </row>
    <row r="3" spans="2:26" x14ac:dyDescent="0.25">
      <c r="B3" s="2" t="s">
        <v>0</v>
      </c>
      <c r="C3" s="2" t="s">
        <v>13</v>
      </c>
      <c r="D3" s="87"/>
      <c r="E3" s="87"/>
      <c r="F3" s="87"/>
      <c r="G3" s="1" t="s">
        <v>3</v>
      </c>
      <c r="H3" s="1" t="s">
        <v>8</v>
      </c>
      <c r="I3" s="2" t="s">
        <v>4</v>
      </c>
      <c r="J3" s="1" t="s">
        <v>3</v>
      </c>
      <c r="K3" s="1" t="s">
        <v>8</v>
      </c>
      <c r="L3" s="2" t="s">
        <v>4</v>
      </c>
      <c r="M3" s="1" t="s">
        <v>3</v>
      </c>
      <c r="N3" s="1" t="s">
        <v>8</v>
      </c>
      <c r="O3" s="2" t="s">
        <v>4</v>
      </c>
      <c r="P3" s="1" t="s">
        <v>3</v>
      </c>
      <c r="Q3" s="1" t="s">
        <v>8</v>
      </c>
      <c r="R3" s="2" t="s">
        <v>4</v>
      </c>
      <c r="S3" s="1" t="s">
        <v>3</v>
      </c>
      <c r="T3" s="1" t="s">
        <v>8</v>
      </c>
      <c r="U3" s="2" t="s">
        <v>4</v>
      </c>
    </row>
    <row r="4" spans="2:26" ht="15.75" thickBot="1" x14ac:dyDescent="0.3">
      <c r="B4" s="9"/>
      <c r="C4" s="9"/>
      <c r="D4" s="9" t="s">
        <v>38</v>
      </c>
      <c r="E4" s="9" t="s">
        <v>9</v>
      </c>
      <c r="F4" s="9"/>
      <c r="G4" s="10"/>
      <c r="H4" s="9" t="s">
        <v>9</v>
      </c>
      <c r="I4" s="9" t="s">
        <v>5</v>
      </c>
      <c r="J4" s="10"/>
      <c r="K4" s="9" t="s">
        <v>9</v>
      </c>
      <c r="L4" s="9" t="s">
        <v>5</v>
      </c>
      <c r="M4" s="10"/>
      <c r="N4" s="9" t="s">
        <v>9</v>
      </c>
      <c r="O4" s="9" t="s">
        <v>5</v>
      </c>
      <c r="P4" s="10"/>
      <c r="Q4" s="9" t="s">
        <v>9</v>
      </c>
      <c r="R4" s="9" t="s">
        <v>5</v>
      </c>
      <c r="S4" s="10"/>
      <c r="T4" s="9" t="s">
        <v>9</v>
      </c>
      <c r="U4" s="9" t="s">
        <v>5</v>
      </c>
    </row>
    <row r="5" spans="2:26" x14ac:dyDescent="0.25">
      <c r="B5" s="37" t="s">
        <v>0</v>
      </c>
      <c r="C5" s="37" t="s">
        <v>13</v>
      </c>
      <c r="D5" s="38" t="s">
        <v>1164</v>
      </c>
      <c r="E5" s="38" t="s">
        <v>1165</v>
      </c>
      <c r="F5" s="38" t="s">
        <v>1166</v>
      </c>
      <c r="G5" t="s">
        <v>10</v>
      </c>
      <c r="H5" t="s">
        <v>11</v>
      </c>
      <c r="I5" t="s">
        <v>12</v>
      </c>
      <c r="J5" t="s">
        <v>1188</v>
      </c>
      <c r="K5" t="s">
        <v>1189</v>
      </c>
      <c r="L5" t="s">
        <v>1190</v>
      </c>
      <c r="M5" t="s">
        <v>1191</v>
      </c>
      <c r="N5" t="s">
        <v>1192</v>
      </c>
      <c r="O5" t="s">
        <v>1193</v>
      </c>
      <c r="P5" t="s">
        <v>1194</v>
      </c>
      <c r="Q5" t="s">
        <v>1195</v>
      </c>
      <c r="R5" t="s">
        <v>1196</v>
      </c>
      <c r="S5" t="s">
        <v>1197</v>
      </c>
      <c r="T5" t="s">
        <v>1198</v>
      </c>
      <c r="U5" t="s">
        <v>1199</v>
      </c>
      <c r="W5" t="s">
        <v>1223</v>
      </c>
      <c r="X5" t="s">
        <v>1224</v>
      </c>
      <c r="Y5" t="s">
        <v>1225</v>
      </c>
      <c r="Z5" t="s">
        <v>1226</v>
      </c>
    </row>
    <row r="6" spans="2:26" ht="15.75" x14ac:dyDescent="0.25">
      <c r="B6" t="s">
        <v>22</v>
      </c>
      <c r="C6" t="s">
        <v>35</v>
      </c>
      <c r="D6" s="19">
        <f>183.8+4150.09</f>
        <v>4333.8900000000003</v>
      </c>
      <c r="E6" s="3" t="s">
        <v>23</v>
      </c>
      <c r="F6" s="3" t="s">
        <v>25</v>
      </c>
      <c r="G6" s="8" t="s">
        <v>58</v>
      </c>
      <c r="H6" s="4" t="s">
        <v>23</v>
      </c>
      <c r="I6" s="5">
        <v>1</v>
      </c>
      <c r="J6" s="8" t="s">
        <v>16</v>
      </c>
      <c r="K6" s="4" t="s">
        <v>23</v>
      </c>
      <c r="L6" s="5">
        <v>1</v>
      </c>
      <c r="M6" s="8"/>
      <c r="N6" s="4"/>
      <c r="O6" s="5"/>
      <c r="P6" s="8"/>
      <c r="Q6" s="4"/>
      <c r="R6" s="5"/>
      <c r="W6" s="67" t="s">
        <v>22</v>
      </c>
      <c r="X6" s="68" t="s">
        <v>35</v>
      </c>
      <c r="Y6" s="69">
        <v>4333.8900000000003</v>
      </c>
      <c r="Z6" t="str">
        <f>IF(AND(Tabla1[[#This Row],[nudo inicial]]=Tabla3[[#This Row],[n1]],Tabla1[[#This Row],[nudo final]]=Tabla3[[#This Row],[n2]],Tabla1[[#This Row],[longitud]]=Tabla3[[#This Row],[long]]),"si","no")</f>
        <v>si</v>
      </c>
    </row>
    <row r="7" spans="2:26" ht="15.75" x14ac:dyDescent="0.25">
      <c r="B7" t="s">
        <v>35</v>
      </c>
      <c r="C7" t="s">
        <v>52</v>
      </c>
      <c r="D7" s="19">
        <v>48.98</v>
      </c>
      <c r="E7" s="3" t="s">
        <v>53</v>
      </c>
      <c r="F7" s="3" t="s">
        <v>25</v>
      </c>
      <c r="G7" s="8" t="s">
        <v>58</v>
      </c>
      <c r="H7" s="4" t="s">
        <v>23</v>
      </c>
      <c r="I7" s="5">
        <v>1</v>
      </c>
      <c r="J7" s="8" t="s">
        <v>15</v>
      </c>
      <c r="K7" s="4" t="s">
        <v>53</v>
      </c>
      <c r="L7" s="5">
        <v>1</v>
      </c>
      <c r="M7" s="8" t="s">
        <v>17</v>
      </c>
      <c r="N7" s="4" t="s">
        <v>53</v>
      </c>
      <c r="O7" s="5">
        <v>1</v>
      </c>
      <c r="P7" s="8"/>
      <c r="Q7" s="4"/>
      <c r="R7" s="5"/>
      <c r="W7" s="67" t="s">
        <v>35</v>
      </c>
      <c r="X7" s="68" t="s">
        <v>52</v>
      </c>
      <c r="Y7" s="69">
        <v>48.98</v>
      </c>
      <c r="Z7" t="str">
        <f>IF(AND(Tabla1[[#This Row],[nudo inicial]]=Tabla3[[#This Row],[n1]],Tabla1[[#This Row],[nudo final]]=Tabla3[[#This Row],[n2]],Tabla1[[#This Row],[longitud]]=Tabla3[[#This Row],[long]]),"si","no")</f>
        <v>si</v>
      </c>
    </row>
    <row r="8" spans="2:26" ht="15.75" x14ac:dyDescent="0.25">
      <c r="B8" t="s">
        <v>35</v>
      </c>
      <c r="C8" t="s">
        <v>36</v>
      </c>
      <c r="D8" s="19">
        <v>17.57</v>
      </c>
      <c r="E8" s="3" t="s">
        <v>23</v>
      </c>
      <c r="F8" s="3" t="s">
        <v>25</v>
      </c>
      <c r="G8" s="8" t="s">
        <v>57</v>
      </c>
      <c r="H8" s="4" t="s">
        <v>23</v>
      </c>
      <c r="I8" s="5">
        <v>1</v>
      </c>
      <c r="J8" s="8"/>
      <c r="K8" s="4"/>
      <c r="L8" s="5"/>
      <c r="M8" s="8"/>
      <c r="N8" s="4"/>
      <c r="O8" s="5"/>
      <c r="P8" s="8"/>
      <c r="Q8" s="4"/>
      <c r="R8" s="5"/>
      <c r="W8" s="67" t="s">
        <v>35</v>
      </c>
      <c r="X8" s="68" t="s">
        <v>36</v>
      </c>
      <c r="Y8" s="69">
        <v>17.57</v>
      </c>
      <c r="Z8" t="str">
        <f>IF(AND(Tabla1[[#This Row],[nudo inicial]]=Tabla3[[#This Row],[n1]],Tabla1[[#This Row],[nudo final]]=Tabla3[[#This Row],[n2]],Tabla1[[#This Row],[longitud]]=Tabla3[[#This Row],[long]]),"si","no")</f>
        <v>si</v>
      </c>
    </row>
    <row r="9" spans="2:26" ht="15.75" x14ac:dyDescent="0.25">
      <c r="B9" t="s">
        <v>36</v>
      </c>
      <c r="C9" t="s">
        <v>54</v>
      </c>
      <c r="D9" s="19">
        <v>71.349999999999994</v>
      </c>
      <c r="E9" s="3" t="s">
        <v>53</v>
      </c>
      <c r="F9" s="3" t="s">
        <v>25</v>
      </c>
      <c r="G9" s="8" t="s">
        <v>58</v>
      </c>
      <c r="H9" s="4" t="s">
        <v>23</v>
      </c>
      <c r="I9" s="5">
        <v>1</v>
      </c>
      <c r="J9" s="8" t="s">
        <v>15</v>
      </c>
      <c r="K9" s="4" t="s">
        <v>53</v>
      </c>
      <c r="L9" s="5">
        <v>1</v>
      </c>
      <c r="M9" s="8" t="s">
        <v>17</v>
      </c>
      <c r="N9" s="4" t="s">
        <v>53</v>
      </c>
      <c r="O9" s="5">
        <v>1</v>
      </c>
      <c r="P9" s="8"/>
      <c r="Q9" s="4"/>
      <c r="R9" s="5"/>
      <c r="W9" s="67" t="s">
        <v>36</v>
      </c>
      <c r="X9" s="68" t="s">
        <v>54</v>
      </c>
      <c r="Y9" s="69">
        <v>71.349999999999994</v>
      </c>
      <c r="Z9" t="str">
        <f>IF(AND(Tabla1[[#This Row],[nudo inicial]]=Tabla3[[#This Row],[n1]],Tabla1[[#This Row],[nudo final]]=Tabla3[[#This Row],[n2]],Tabla1[[#This Row],[longitud]]=Tabla3[[#This Row],[long]]),"si","no")</f>
        <v>si</v>
      </c>
    </row>
    <row r="10" spans="2:26" ht="15.75" x14ac:dyDescent="0.25">
      <c r="B10" t="s">
        <v>36</v>
      </c>
      <c r="C10" t="s">
        <v>44</v>
      </c>
      <c r="D10" s="19">
        <v>19.600000000000001</v>
      </c>
      <c r="E10" s="3" t="s">
        <v>23</v>
      </c>
      <c r="F10" s="3" t="s">
        <v>25</v>
      </c>
      <c r="G10" s="8" t="s">
        <v>57</v>
      </c>
      <c r="H10" s="4" t="s">
        <v>23</v>
      </c>
      <c r="I10" s="5">
        <v>1</v>
      </c>
      <c r="J10" s="8"/>
      <c r="K10" s="4"/>
      <c r="L10" s="5"/>
      <c r="M10" s="8"/>
      <c r="N10" s="4"/>
      <c r="O10" s="5"/>
      <c r="P10" s="8"/>
      <c r="Q10" s="4"/>
      <c r="R10" s="5"/>
      <c r="W10" s="67" t="s">
        <v>36</v>
      </c>
      <c r="X10" s="68" t="s">
        <v>44</v>
      </c>
      <c r="Y10" s="69">
        <v>19.600000000000001</v>
      </c>
      <c r="Z10" t="str">
        <f>IF(AND(Tabla1[[#This Row],[nudo inicial]]=Tabla3[[#This Row],[n1]],Tabla1[[#This Row],[nudo final]]=Tabla3[[#This Row],[n2]],Tabla1[[#This Row],[longitud]]=Tabla3[[#This Row],[long]]),"si","no")</f>
        <v>si</v>
      </c>
    </row>
    <row r="11" spans="2:26" ht="15.75" x14ac:dyDescent="0.25">
      <c r="B11" t="s">
        <v>44</v>
      </c>
      <c r="C11" t="s">
        <v>46</v>
      </c>
      <c r="D11" s="19">
        <f>55.45+128.7</f>
        <v>184.14999999999998</v>
      </c>
      <c r="E11" s="3" t="s">
        <v>23</v>
      </c>
      <c r="F11" s="3" t="s">
        <v>25</v>
      </c>
      <c r="G11" s="8" t="s">
        <v>58</v>
      </c>
      <c r="H11" s="4" t="s">
        <v>23</v>
      </c>
      <c r="I11" s="5">
        <v>1</v>
      </c>
      <c r="J11" s="8"/>
      <c r="K11" s="4"/>
      <c r="L11" s="5"/>
      <c r="M11" s="8"/>
      <c r="N11" s="4"/>
      <c r="O11" s="5"/>
      <c r="P11" s="8"/>
      <c r="Q11" s="4"/>
      <c r="R11" s="5"/>
      <c r="W11" s="67" t="s">
        <v>44</v>
      </c>
      <c r="X11" s="68" t="s">
        <v>46</v>
      </c>
      <c r="Y11" s="69">
        <v>184.14999999999998</v>
      </c>
      <c r="Z11" t="str">
        <f>IF(AND(Tabla1[[#This Row],[nudo inicial]]=Tabla3[[#This Row],[n1]],Tabla1[[#This Row],[nudo final]]=Tabla3[[#This Row],[n2]],Tabla1[[#This Row],[longitud]]=Tabla3[[#This Row],[long]]),"si","no")</f>
        <v>si</v>
      </c>
    </row>
    <row r="12" spans="2:26" ht="15.75" x14ac:dyDescent="0.25">
      <c r="B12" t="s">
        <v>46</v>
      </c>
      <c r="C12" t="s">
        <v>59</v>
      </c>
      <c r="D12" s="19">
        <v>101.48</v>
      </c>
      <c r="E12" s="3" t="s">
        <v>53</v>
      </c>
      <c r="F12" s="3" t="s">
        <v>25</v>
      </c>
      <c r="G12" s="8" t="s">
        <v>58</v>
      </c>
      <c r="H12" s="4" t="s">
        <v>53</v>
      </c>
      <c r="I12" s="5">
        <v>1</v>
      </c>
      <c r="J12" s="8" t="s">
        <v>17</v>
      </c>
      <c r="K12" s="4" t="s">
        <v>53</v>
      </c>
      <c r="L12" s="5">
        <v>1</v>
      </c>
      <c r="M12" s="8"/>
      <c r="N12" s="4"/>
      <c r="O12" s="5"/>
      <c r="P12" s="8"/>
      <c r="Q12" s="4"/>
      <c r="R12" s="5"/>
      <c r="W12" s="67" t="s">
        <v>46</v>
      </c>
      <c r="X12" s="68" t="s">
        <v>59</v>
      </c>
      <c r="Y12" s="69">
        <v>101.48</v>
      </c>
      <c r="Z12" t="str">
        <f>IF(AND(Tabla1[[#This Row],[nudo inicial]]=Tabla3[[#This Row],[n1]],Tabla1[[#This Row],[nudo final]]=Tabla3[[#This Row],[n2]],Tabla1[[#This Row],[longitud]]=Tabla3[[#This Row],[long]]),"si","no")</f>
        <v>si</v>
      </c>
    </row>
    <row r="13" spans="2:26" ht="15.75" x14ac:dyDescent="0.25">
      <c r="B13" t="s">
        <v>46</v>
      </c>
      <c r="C13" t="s">
        <v>48</v>
      </c>
      <c r="D13" s="19">
        <v>20.43</v>
      </c>
      <c r="E13" s="3" t="s">
        <v>53</v>
      </c>
      <c r="F13" s="3" t="s">
        <v>25</v>
      </c>
      <c r="G13" s="8" t="s">
        <v>57</v>
      </c>
      <c r="H13" s="4" t="s">
        <v>53</v>
      </c>
      <c r="I13" s="5">
        <v>1</v>
      </c>
      <c r="J13" s="8"/>
      <c r="K13" s="4"/>
      <c r="L13" s="5"/>
      <c r="M13" s="8"/>
      <c r="N13" s="4"/>
      <c r="O13" s="5"/>
      <c r="P13" s="8"/>
      <c r="Q13" s="4"/>
      <c r="R13" s="5"/>
      <c r="W13" s="67" t="s">
        <v>46</v>
      </c>
      <c r="X13" s="68" t="s">
        <v>48</v>
      </c>
      <c r="Y13" s="69">
        <v>20.43</v>
      </c>
      <c r="Z13" t="str">
        <f>IF(AND(Tabla1[[#This Row],[nudo inicial]]=Tabla3[[#This Row],[n1]],Tabla1[[#This Row],[nudo final]]=Tabla3[[#This Row],[n2]],Tabla1[[#This Row],[longitud]]=Tabla3[[#This Row],[long]]),"si","no")</f>
        <v>si</v>
      </c>
    </row>
    <row r="14" spans="2:26" ht="15.75" x14ac:dyDescent="0.25">
      <c r="B14" t="s">
        <v>48</v>
      </c>
      <c r="C14" t="s">
        <v>60</v>
      </c>
      <c r="D14" s="19">
        <v>33.35</v>
      </c>
      <c r="E14" s="3" t="s">
        <v>53</v>
      </c>
      <c r="F14" s="3" t="s">
        <v>25</v>
      </c>
      <c r="G14" s="8" t="s">
        <v>58</v>
      </c>
      <c r="H14" s="4" t="s">
        <v>53</v>
      </c>
      <c r="I14" s="5">
        <v>1</v>
      </c>
      <c r="J14" s="8" t="s">
        <v>17</v>
      </c>
      <c r="K14" s="4" t="s">
        <v>53</v>
      </c>
      <c r="L14" s="5">
        <v>1</v>
      </c>
      <c r="M14" s="8"/>
      <c r="N14" s="4"/>
      <c r="O14" s="5"/>
      <c r="P14" s="8"/>
      <c r="Q14" s="4"/>
      <c r="R14" s="5"/>
      <c r="W14" s="67" t="s">
        <v>48</v>
      </c>
      <c r="X14" s="68" t="s">
        <v>60</v>
      </c>
      <c r="Y14" s="69">
        <v>33.35</v>
      </c>
      <c r="Z14" t="str">
        <f>IF(AND(Tabla1[[#This Row],[nudo inicial]]=Tabla3[[#This Row],[n1]],Tabla1[[#This Row],[nudo final]]=Tabla3[[#This Row],[n2]],Tabla1[[#This Row],[longitud]]=Tabla3[[#This Row],[long]]),"si","no")</f>
        <v>si</v>
      </c>
    </row>
    <row r="15" spans="2:26" ht="15.75" x14ac:dyDescent="0.25">
      <c r="B15" t="s">
        <v>48</v>
      </c>
      <c r="C15" t="s">
        <v>49</v>
      </c>
      <c r="D15" s="19">
        <v>10.85</v>
      </c>
      <c r="E15" s="3" t="s">
        <v>53</v>
      </c>
      <c r="F15" s="3" t="s">
        <v>25</v>
      </c>
      <c r="G15" s="8" t="s">
        <v>57</v>
      </c>
      <c r="H15" s="4" t="s">
        <v>53</v>
      </c>
      <c r="I15" s="5">
        <v>1</v>
      </c>
      <c r="J15" s="8"/>
      <c r="K15" s="4"/>
      <c r="L15" s="5"/>
      <c r="M15" s="8"/>
      <c r="N15" s="4"/>
      <c r="O15" s="5"/>
      <c r="P15" s="8"/>
      <c r="Q15" s="4"/>
      <c r="R15" s="5"/>
      <c r="W15" s="67" t="s">
        <v>48</v>
      </c>
      <c r="X15" s="68" t="s">
        <v>49</v>
      </c>
      <c r="Y15" s="69">
        <v>10.85</v>
      </c>
      <c r="Z15" t="str">
        <f>IF(AND(Tabla1[[#This Row],[nudo inicial]]=Tabla3[[#This Row],[n1]],Tabla1[[#This Row],[nudo final]]=Tabla3[[#This Row],[n2]],Tabla1[[#This Row],[longitud]]=Tabla3[[#This Row],[long]]),"si","no")</f>
        <v>si</v>
      </c>
    </row>
    <row r="16" spans="2:26" ht="15.75" x14ac:dyDescent="0.25">
      <c r="B16" t="s">
        <v>49</v>
      </c>
      <c r="C16" t="s">
        <v>50</v>
      </c>
      <c r="D16" s="19">
        <v>12.56</v>
      </c>
      <c r="E16" s="3" t="s">
        <v>53</v>
      </c>
      <c r="F16" s="3" t="s">
        <v>25</v>
      </c>
      <c r="G16" s="8" t="s">
        <v>57</v>
      </c>
      <c r="H16" s="4" t="s">
        <v>53</v>
      </c>
      <c r="I16" s="5">
        <v>1</v>
      </c>
      <c r="J16" s="8"/>
      <c r="K16" s="4"/>
      <c r="L16" s="5"/>
      <c r="M16" s="8"/>
      <c r="N16" s="4"/>
      <c r="O16" s="5"/>
      <c r="P16" s="8"/>
      <c r="Q16" s="4"/>
      <c r="R16" s="5"/>
      <c r="W16" s="67" t="s">
        <v>49</v>
      </c>
      <c r="X16" s="68" t="s">
        <v>50</v>
      </c>
      <c r="Y16" s="69">
        <v>12.56</v>
      </c>
      <c r="Z16" t="str">
        <f>IF(AND(Tabla1[[#This Row],[nudo inicial]]=Tabla3[[#This Row],[n1]],Tabla1[[#This Row],[nudo final]]=Tabla3[[#This Row],[n2]],Tabla1[[#This Row],[longitud]]=Tabla3[[#This Row],[long]]),"si","no")</f>
        <v>si</v>
      </c>
    </row>
    <row r="17" spans="2:26" ht="15.75" x14ac:dyDescent="0.25">
      <c r="B17" t="s">
        <v>50</v>
      </c>
      <c r="C17" t="s">
        <v>61</v>
      </c>
      <c r="D17" s="19">
        <v>79.92</v>
      </c>
      <c r="E17" s="3" t="s">
        <v>53</v>
      </c>
      <c r="F17" s="3" t="s">
        <v>25</v>
      </c>
      <c r="G17" s="8" t="s">
        <v>57</v>
      </c>
      <c r="H17" s="4" t="s">
        <v>53</v>
      </c>
      <c r="I17" s="5">
        <v>1</v>
      </c>
      <c r="J17" s="8" t="s">
        <v>16</v>
      </c>
      <c r="K17" s="4" t="s">
        <v>53</v>
      </c>
      <c r="L17" s="5">
        <v>1</v>
      </c>
      <c r="M17" s="8" t="s">
        <v>17</v>
      </c>
      <c r="N17" s="4" t="s">
        <v>53</v>
      </c>
      <c r="O17" s="5">
        <v>1</v>
      </c>
      <c r="P17" s="8"/>
      <c r="Q17" s="4"/>
      <c r="R17" s="5"/>
      <c r="W17" s="67" t="s">
        <v>50</v>
      </c>
      <c r="X17" s="68" t="s">
        <v>61</v>
      </c>
      <c r="Y17" s="69">
        <v>79.92</v>
      </c>
      <c r="Z17" t="str">
        <f>IF(AND(Tabla1[[#This Row],[nudo inicial]]=Tabla3[[#This Row],[n1]],Tabla1[[#This Row],[nudo final]]=Tabla3[[#This Row],[n2]],Tabla1[[#This Row],[longitud]]=Tabla3[[#This Row],[long]]),"si","no")</f>
        <v>si</v>
      </c>
    </row>
    <row r="18" spans="2:26" ht="15.75" x14ac:dyDescent="0.25">
      <c r="B18" t="s">
        <v>50</v>
      </c>
      <c r="C18" t="s">
        <v>51</v>
      </c>
      <c r="D18" s="19">
        <v>24.97</v>
      </c>
      <c r="E18" s="3" t="s">
        <v>53</v>
      </c>
      <c r="F18" s="3" t="s">
        <v>25</v>
      </c>
      <c r="G18" s="8" t="s">
        <v>58</v>
      </c>
      <c r="H18" s="4" t="s">
        <v>53</v>
      </c>
      <c r="I18" s="5">
        <v>1</v>
      </c>
      <c r="J18" s="8"/>
      <c r="K18" s="4"/>
      <c r="L18" s="5"/>
      <c r="M18" s="8"/>
      <c r="N18" s="4"/>
      <c r="O18" s="5"/>
      <c r="P18" s="8"/>
      <c r="Q18" s="4"/>
      <c r="R18" s="5"/>
      <c r="W18" s="67" t="s">
        <v>50</v>
      </c>
      <c r="X18" s="68" t="s">
        <v>51</v>
      </c>
      <c r="Y18" s="69">
        <v>24.97</v>
      </c>
      <c r="Z18" t="str">
        <f>IF(AND(Tabla1[[#This Row],[nudo inicial]]=Tabla3[[#This Row],[n1]],Tabla1[[#This Row],[nudo final]]=Tabla3[[#This Row],[n2]],Tabla1[[#This Row],[longitud]]=Tabla3[[#This Row],[long]]),"si","no")</f>
        <v>si</v>
      </c>
    </row>
    <row r="19" spans="2:26" ht="15.75" x14ac:dyDescent="0.25">
      <c r="B19" t="s">
        <v>51</v>
      </c>
      <c r="C19" t="s">
        <v>62</v>
      </c>
      <c r="D19" s="19">
        <v>18.55</v>
      </c>
      <c r="E19" s="3" t="s">
        <v>53</v>
      </c>
      <c r="F19" s="3" t="s">
        <v>25</v>
      </c>
      <c r="G19" s="8" t="s">
        <v>57</v>
      </c>
      <c r="H19" s="4" t="s">
        <v>53</v>
      </c>
      <c r="I19" s="5">
        <v>1</v>
      </c>
      <c r="J19" s="8" t="s">
        <v>17</v>
      </c>
      <c r="K19" s="4" t="s">
        <v>53</v>
      </c>
      <c r="L19" s="5">
        <v>1</v>
      </c>
      <c r="M19" s="8"/>
      <c r="N19" s="4"/>
      <c r="O19" s="5"/>
      <c r="P19" s="8"/>
      <c r="Q19" s="4"/>
      <c r="R19" s="5"/>
      <c r="W19" s="67" t="s">
        <v>51</v>
      </c>
      <c r="X19" s="68" t="s">
        <v>62</v>
      </c>
      <c r="Y19" s="69">
        <v>18.55</v>
      </c>
      <c r="Z19" t="str">
        <f>IF(AND(Tabla1[[#This Row],[nudo inicial]]=Tabla3[[#This Row],[n1]],Tabla1[[#This Row],[nudo final]]=Tabla3[[#This Row],[n2]],Tabla1[[#This Row],[longitud]]=Tabla3[[#This Row],[long]]),"si","no")</f>
        <v>si</v>
      </c>
    </row>
    <row r="20" spans="2:26" ht="15.75" x14ac:dyDescent="0.25">
      <c r="B20" t="s">
        <v>51</v>
      </c>
      <c r="C20" t="s">
        <v>63</v>
      </c>
      <c r="D20" s="19">
        <v>12.45</v>
      </c>
      <c r="E20" s="3" t="s">
        <v>53</v>
      </c>
      <c r="F20" s="3" t="s">
        <v>25</v>
      </c>
      <c r="G20" s="8" t="s">
        <v>58</v>
      </c>
      <c r="H20" s="4" t="s">
        <v>53</v>
      </c>
      <c r="I20" s="5">
        <v>1</v>
      </c>
      <c r="J20" s="8"/>
      <c r="K20" s="4"/>
      <c r="L20" s="5"/>
      <c r="M20" s="8"/>
      <c r="N20" s="4"/>
      <c r="O20" s="5"/>
      <c r="P20" s="8"/>
      <c r="Q20" s="4"/>
      <c r="R20" s="5"/>
      <c r="W20" s="67" t="s">
        <v>51</v>
      </c>
      <c r="X20" s="68" t="s">
        <v>63</v>
      </c>
      <c r="Y20" s="69">
        <v>12.45</v>
      </c>
      <c r="Z20" t="str">
        <f>IF(AND(Tabla1[[#This Row],[nudo inicial]]=Tabla3[[#This Row],[n1]],Tabla1[[#This Row],[nudo final]]=Tabla3[[#This Row],[n2]],Tabla1[[#This Row],[longitud]]=Tabla3[[#This Row],[long]]),"si","no")</f>
        <v>si</v>
      </c>
    </row>
    <row r="21" spans="2:26" ht="15.75" x14ac:dyDescent="0.25">
      <c r="B21" t="s">
        <v>63</v>
      </c>
      <c r="C21" t="s">
        <v>64</v>
      </c>
      <c r="D21" s="19">
        <v>13.77</v>
      </c>
      <c r="E21" s="3" t="s">
        <v>53</v>
      </c>
      <c r="F21" s="3" t="s">
        <v>25</v>
      </c>
      <c r="G21" s="8" t="s">
        <v>58</v>
      </c>
      <c r="H21" s="4" t="s">
        <v>53</v>
      </c>
      <c r="I21" s="5">
        <v>1</v>
      </c>
      <c r="J21" s="8" t="s">
        <v>17</v>
      </c>
      <c r="K21" s="4" t="s">
        <v>53</v>
      </c>
      <c r="L21" s="5">
        <v>1</v>
      </c>
      <c r="M21" s="8"/>
      <c r="N21" s="4"/>
      <c r="O21" s="5"/>
      <c r="P21" s="8"/>
      <c r="Q21" s="4"/>
      <c r="R21" s="5"/>
      <c r="W21" s="67" t="s">
        <v>63</v>
      </c>
      <c r="X21" s="68" t="s">
        <v>64</v>
      </c>
      <c r="Y21" s="69">
        <v>13.77</v>
      </c>
      <c r="Z21" t="str">
        <f>IF(AND(Tabla1[[#This Row],[nudo inicial]]=Tabla3[[#This Row],[n1]],Tabla1[[#This Row],[nudo final]]=Tabla3[[#This Row],[n2]],Tabla1[[#This Row],[longitud]]=Tabla3[[#This Row],[long]]),"si","no")</f>
        <v>si</v>
      </c>
    </row>
    <row r="22" spans="2:26" ht="15.75" x14ac:dyDescent="0.25">
      <c r="B22" t="s">
        <v>63</v>
      </c>
      <c r="C22" t="s">
        <v>65</v>
      </c>
      <c r="D22" s="19">
        <v>12.3</v>
      </c>
      <c r="E22" s="3" t="s">
        <v>53</v>
      </c>
      <c r="F22" s="3" t="s">
        <v>25</v>
      </c>
      <c r="G22" s="8" t="s">
        <v>58</v>
      </c>
      <c r="H22" s="4" t="s">
        <v>53</v>
      </c>
      <c r="I22" s="5">
        <v>1</v>
      </c>
      <c r="J22" s="8" t="s">
        <v>17</v>
      </c>
      <c r="K22" s="4" t="s">
        <v>53</v>
      </c>
      <c r="L22" s="5">
        <v>1</v>
      </c>
      <c r="M22" s="8"/>
      <c r="N22" s="4"/>
      <c r="O22" s="5"/>
      <c r="P22" s="8"/>
      <c r="Q22" s="4"/>
      <c r="R22" s="5"/>
      <c r="W22" s="67" t="s">
        <v>63</v>
      </c>
      <c r="X22" s="68" t="s">
        <v>65</v>
      </c>
      <c r="Y22" s="69">
        <v>12.3</v>
      </c>
      <c r="Z22" t="str">
        <f>IF(AND(Tabla1[[#This Row],[nudo inicial]]=Tabla3[[#This Row],[n1]],Tabla1[[#This Row],[nudo final]]=Tabla3[[#This Row],[n2]],Tabla1[[#This Row],[longitud]]=Tabla3[[#This Row],[long]]),"si","no")</f>
        <v>si</v>
      </c>
    </row>
    <row r="23" spans="2:26" ht="15.75" x14ac:dyDescent="0.25">
      <c r="B23" t="s">
        <v>63</v>
      </c>
      <c r="C23" t="s">
        <v>66</v>
      </c>
      <c r="D23" s="19">
        <v>34.11</v>
      </c>
      <c r="E23" s="3" t="s">
        <v>53</v>
      </c>
      <c r="F23" s="3" t="s">
        <v>25</v>
      </c>
      <c r="G23" s="8" t="s">
        <v>57</v>
      </c>
      <c r="H23" s="4" t="s">
        <v>53</v>
      </c>
      <c r="I23" s="5">
        <v>1</v>
      </c>
      <c r="J23" s="8" t="s">
        <v>16</v>
      </c>
      <c r="K23" s="4" t="s">
        <v>53</v>
      </c>
      <c r="L23" s="5">
        <v>1</v>
      </c>
      <c r="M23" s="8" t="s">
        <v>17</v>
      </c>
      <c r="N23" s="4" t="s">
        <v>53</v>
      </c>
      <c r="O23" s="5">
        <v>1</v>
      </c>
      <c r="P23" s="8"/>
      <c r="Q23" s="4"/>
      <c r="R23" s="5"/>
      <c r="W23" s="67" t="s">
        <v>63</v>
      </c>
      <c r="X23" s="68" t="s">
        <v>66</v>
      </c>
      <c r="Y23" s="69">
        <v>34.11</v>
      </c>
      <c r="Z23" t="str">
        <f>IF(AND(Tabla1[[#This Row],[nudo inicial]]=Tabla3[[#This Row],[n1]],Tabla1[[#This Row],[nudo final]]=Tabla3[[#This Row],[n2]],Tabla1[[#This Row],[longitud]]=Tabla3[[#This Row],[long]]),"si","no")</f>
        <v>si</v>
      </c>
    </row>
    <row r="24" spans="2:26" ht="15.75" x14ac:dyDescent="0.25">
      <c r="B24" t="s">
        <v>49</v>
      </c>
      <c r="C24" t="s">
        <v>67</v>
      </c>
      <c r="D24" s="19">
        <v>359.44</v>
      </c>
      <c r="E24" s="3" t="s">
        <v>53</v>
      </c>
      <c r="F24" s="3" t="s">
        <v>25</v>
      </c>
      <c r="G24" s="8" t="s">
        <v>58</v>
      </c>
      <c r="H24" s="4" t="s">
        <v>53</v>
      </c>
      <c r="I24" s="5">
        <v>1</v>
      </c>
      <c r="J24" s="8"/>
      <c r="K24" s="4"/>
      <c r="L24" s="5"/>
      <c r="M24" s="8"/>
      <c r="N24" s="4"/>
      <c r="O24" s="5"/>
      <c r="P24" s="8"/>
      <c r="Q24" s="4"/>
      <c r="R24" s="5"/>
      <c r="W24" s="67" t="s">
        <v>49</v>
      </c>
      <c r="X24" s="68" t="s">
        <v>67</v>
      </c>
      <c r="Y24" s="69">
        <v>359.44</v>
      </c>
      <c r="Z24" t="str">
        <f>IF(AND(Tabla1[[#This Row],[nudo inicial]]=Tabla3[[#This Row],[n1]],Tabla1[[#This Row],[nudo final]]=Tabla3[[#This Row],[n2]],Tabla1[[#This Row],[longitud]]=Tabla3[[#This Row],[long]]),"si","no")</f>
        <v>si</v>
      </c>
    </row>
    <row r="25" spans="2:26" ht="15.75" x14ac:dyDescent="0.25">
      <c r="B25" t="s">
        <v>67</v>
      </c>
      <c r="C25" t="s">
        <v>68</v>
      </c>
      <c r="D25" s="19">
        <v>62.04</v>
      </c>
      <c r="E25" s="3" t="s">
        <v>53</v>
      </c>
      <c r="F25" s="3" t="s">
        <v>25</v>
      </c>
      <c r="G25" s="8" t="s">
        <v>58</v>
      </c>
      <c r="H25" s="4" t="s">
        <v>53</v>
      </c>
      <c r="I25" s="5">
        <v>1</v>
      </c>
      <c r="J25" s="8" t="s">
        <v>17</v>
      </c>
      <c r="K25" s="4" t="s">
        <v>53</v>
      </c>
      <c r="L25" s="5">
        <v>1</v>
      </c>
      <c r="M25" s="8"/>
      <c r="N25" s="4"/>
      <c r="O25" s="5"/>
      <c r="P25" s="8"/>
      <c r="Q25" s="4"/>
      <c r="R25" s="5"/>
      <c r="W25" s="67" t="s">
        <v>67</v>
      </c>
      <c r="X25" s="68" t="s">
        <v>68</v>
      </c>
      <c r="Y25" s="69">
        <v>62.04</v>
      </c>
      <c r="Z25" t="str">
        <f>IF(AND(Tabla1[[#This Row],[nudo inicial]]=Tabla3[[#This Row],[n1]],Tabla1[[#This Row],[nudo final]]=Tabla3[[#This Row],[n2]],Tabla1[[#This Row],[longitud]]=Tabla3[[#This Row],[long]]),"si","no")</f>
        <v>si</v>
      </c>
    </row>
    <row r="26" spans="2:26" ht="15.75" x14ac:dyDescent="0.25">
      <c r="B26" t="s">
        <v>67</v>
      </c>
      <c r="C26" t="s">
        <v>69</v>
      </c>
      <c r="D26" s="19">
        <v>55.35</v>
      </c>
      <c r="E26" s="3" t="s">
        <v>53</v>
      </c>
      <c r="F26" s="3" t="s">
        <v>25</v>
      </c>
      <c r="G26" s="8" t="s">
        <v>57</v>
      </c>
      <c r="H26" s="4" t="s">
        <v>53</v>
      </c>
      <c r="I26" s="5">
        <v>1</v>
      </c>
      <c r="J26" s="8" t="s">
        <v>17</v>
      </c>
      <c r="K26" s="4" t="s">
        <v>53</v>
      </c>
      <c r="L26" s="5">
        <v>1</v>
      </c>
      <c r="M26" s="8"/>
      <c r="N26" s="4"/>
      <c r="O26" s="5"/>
      <c r="P26" s="8"/>
      <c r="Q26" s="4"/>
      <c r="R26" s="5"/>
      <c r="W26" s="67" t="s">
        <v>67</v>
      </c>
      <c r="X26" s="68" t="s">
        <v>69</v>
      </c>
      <c r="Y26" s="69">
        <v>55.35</v>
      </c>
      <c r="Z26" t="str">
        <f>IF(AND(Tabla1[[#This Row],[nudo inicial]]=Tabla3[[#This Row],[n1]],Tabla1[[#This Row],[nudo final]]=Tabla3[[#This Row],[n2]],Tabla1[[#This Row],[longitud]]=Tabla3[[#This Row],[long]]),"si","no")</f>
        <v>si</v>
      </c>
    </row>
    <row r="27" spans="2:26" ht="15.75" x14ac:dyDescent="0.25">
      <c r="B27" t="s">
        <v>44</v>
      </c>
      <c r="C27" t="s">
        <v>70</v>
      </c>
      <c r="D27" s="19">
        <v>329.06</v>
      </c>
      <c r="E27" s="3" t="s">
        <v>23</v>
      </c>
      <c r="F27" s="3" t="s">
        <v>25</v>
      </c>
      <c r="G27" s="8" t="s">
        <v>58</v>
      </c>
      <c r="H27" s="4" t="s">
        <v>23</v>
      </c>
      <c r="I27" s="5">
        <v>1</v>
      </c>
      <c r="J27" s="8"/>
      <c r="K27" s="4"/>
      <c r="L27" s="5"/>
      <c r="M27" s="8"/>
      <c r="N27" s="4"/>
      <c r="O27" s="5"/>
      <c r="P27" s="8"/>
      <c r="Q27" s="4"/>
      <c r="R27" s="5"/>
      <c r="W27" s="67" t="s">
        <v>44</v>
      </c>
      <c r="X27" s="68" t="s">
        <v>70</v>
      </c>
      <c r="Y27" s="69">
        <v>329.06</v>
      </c>
      <c r="Z27" t="str">
        <f>IF(AND(Tabla1[[#This Row],[nudo inicial]]=Tabla3[[#This Row],[n1]],Tabla1[[#This Row],[nudo final]]=Tabla3[[#This Row],[n2]],Tabla1[[#This Row],[longitud]]=Tabla3[[#This Row],[long]]),"si","no")</f>
        <v>si</v>
      </c>
    </row>
    <row r="28" spans="2:26" ht="30" x14ac:dyDescent="0.25">
      <c r="B28" t="s">
        <v>22</v>
      </c>
      <c r="C28" t="s">
        <v>132</v>
      </c>
      <c r="D28" s="19">
        <v>2580</v>
      </c>
      <c r="E28" s="3" t="s">
        <v>30</v>
      </c>
      <c r="F28" s="3" t="s">
        <v>25</v>
      </c>
      <c r="G28" s="8" t="s">
        <v>57</v>
      </c>
      <c r="H28" s="4" t="s">
        <v>30</v>
      </c>
      <c r="I28" s="5">
        <v>1</v>
      </c>
      <c r="J28" s="8" t="s">
        <v>32</v>
      </c>
      <c r="K28" s="4" t="s">
        <v>30</v>
      </c>
      <c r="L28" s="5">
        <v>1</v>
      </c>
      <c r="M28" s="8" t="s">
        <v>19</v>
      </c>
      <c r="N28" s="4" t="s">
        <v>30</v>
      </c>
      <c r="O28" s="5">
        <v>1</v>
      </c>
      <c r="P28" s="8" t="s">
        <v>31</v>
      </c>
      <c r="Q28" s="4" t="s">
        <v>30</v>
      </c>
      <c r="R28" s="5">
        <v>3</v>
      </c>
      <c r="W28" s="67" t="s">
        <v>22</v>
      </c>
      <c r="X28" s="68" t="s">
        <v>132</v>
      </c>
      <c r="Y28" s="69">
        <v>2580</v>
      </c>
      <c r="Z28" t="str">
        <f>IF(AND(Tabla1[[#This Row],[nudo inicial]]=Tabla3[[#This Row],[n1]],Tabla1[[#This Row],[nudo final]]=Tabla3[[#This Row],[n2]],Tabla1[[#This Row],[longitud]]=Tabla3[[#This Row],[long]]),"si","no")</f>
        <v>si</v>
      </c>
    </row>
    <row r="29" spans="2:26" ht="15.75" x14ac:dyDescent="0.25">
      <c r="B29" t="s">
        <v>22</v>
      </c>
      <c r="C29" t="s">
        <v>37</v>
      </c>
      <c r="D29" s="19">
        <v>254</v>
      </c>
      <c r="E29" s="3" t="s">
        <v>30</v>
      </c>
      <c r="F29" s="3" t="s">
        <v>25</v>
      </c>
      <c r="G29" s="8"/>
      <c r="H29" s="4"/>
      <c r="I29" s="5"/>
      <c r="J29" s="8"/>
      <c r="K29" s="4"/>
      <c r="L29" s="5"/>
      <c r="M29" s="8"/>
      <c r="N29" s="4"/>
      <c r="O29" s="5"/>
      <c r="P29" s="8"/>
      <c r="Q29" s="4"/>
      <c r="R29" s="5"/>
      <c r="W29" s="67" t="s">
        <v>22</v>
      </c>
      <c r="X29" s="68" t="s">
        <v>37</v>
      </c>
      <c r="Y29" s="69">
        <v>254</v>
      </c>
      <c r="Z29" t="str">
        <f>IF(AND(Tabla1[[#This Row],[nudo inicial]]=Tabla3[[#This Row],[n1]],Tabla1[[#This Row],[nudo final]]=Tabla3[[#This Row],[n2]],Tabla1[[#This Row],[longitud]]=Tabla3[[#This Row],[long]]),"si","no")</f>
        <v>si</v>
      </c>
    </row>
    <row r="30" spans="2:26" ht="15.75" x14ac:dyDescent="0.25">
      <c r="B30" t="s">
        <v>37</v>
      </c>
      <c r="C30" t="s">
        <v>21</v>
      </c>
      <c r="D30" s="19">
        <v>2252.69</v>
      </c>
      <c r="E30" s="3" t="s">
        <v>30</v>
      </c>
      <c r="F30" s="3" t="s">
        <v>25</v>
      </c>
      <c r="G30" s="8"/>
      <c r="H30" s="4"/>
      <c r="I30" s="5"/>
      <c r="J30" s="8"/>
      <c r="K30" s="4"/>
      <c r="L30" s="5"/>
      <c r="M30" s="8"/>
      <c r="N30" s="4"/>
      <c r="O30" s="5"/>
      <c r="P30" s="8"/>
      <c r="Q30" s="4"/>
      <c r="R30" s="5"/>
      <c r="W30" s="67" t="s">
        <v>37</v>
      </c>
      <c r="X30" s="68" t="s">
        <v>21</v>
      </c>
      <c r="Y30" s="69">
        <v>2252.69</v>
      </c>
      <c r="Z30" t="str">
        <f>IF(AND(Tabla1[[#This Row],[nudo inicial]]=Tabla3[[#This Row],[n1]],Tabla1[[#This Row],[nudo final]]=Tabla3[[#This Row],[n2]],Tabla1[[#This Row],[longitud]]=Tabla3[[#This Row],[long]]),"si","no")</f>
        <v>si</v>
      </c>
    </row>
    <row r="31" spans="2:26" ht="15.75" x14ac:dyDescent="0.25">
      <c r="B31" t="s">
        <v>70</v>
      </c>
      <c r="C31" t="s">
        <v>78</v>
      </c>
      <c r="D31" s="19">
        <v>1.87</v>
      </c>
      <c r="E31" s="3" t="s">
        <v>23</v>
      </c>
      <c r="F31" s="3" t="s">
        <v>25</v>
      </c>
      <c r="G31" s="8" t="s">
        <v>20</v>
      </c>
      <c r="H31" s="4" t="s">
        <v>23</v>
      </c>
      <c r="I31" s="5">
        <v>1</v>
      </c>
      <c r="J31" s="8"/>
      <c r="K31" s="4"/>
      <c r="L31" s="5"/>
      <c r="M31" s="8"/>
      <c r="N31" s="4"/>
      <c r="O31" s="5"/>
      <c r="P31" s="8"/>
      <c r="Q31" s="4"/>
      <c r="R31" s="5"/>
      <c r="W31" s="67" t="s">
        <v>70</v>
      </c>
      <c r="X31" s="68" t="s">
        <v>78</v>
      </c>
      <c r="Y31" s="69">
        <v>1.87</v>
      </c>
      <c r="Z31" t="str">
        <f>IF(AND(Tabla1[[#This Row],[nudo inicial]]=Tabla3[[#This Row],[n1]],Tabla1[[#This Row],[nudo final]]=Tabla3[[#This Row],[n2]],Tabla1[[#This Row],[longitud]]=Tabla3[[#This Row],[long]]),"si","no")</f>
        <v>si</v>
      </c>
    </row>
    <row r="32" spans="2:26" ht="47.25" x14ac:dyDescent="0.25">
      <c r="B32" t="s">
        <v>78</v>
      </c>
      <c r="C32" t="s">
        <v>39</v>
      </c>
      <c r="D32" s="19">
        <f>4.62+29.5</f>
        <v>34.119999999999997</v>
      </c>
      <c r="E32" s="3" t="s">
        <v>23</v>
      </c>
      <c r="F32" s="3" t="s">
        <v>25</v>
      </c>
      <c r="G32" s="8" t="s">
        <v>58</v>
      </c>
      <c r="H32" s="4" t="s">
        <v>23</v>
      </c>
      <c r="I32" s="5">
        <v>1</v>
      </c>
      <c r="J32" s="8" t="s">
        <v>32</v>
      </c>
      <c r="K32" s="4" t="s">
        <v>23</v>
      </c>
      <c r="L32" s="5">
        <v>1</v>
      </c>
      <c r="M32" s="8"/>
      <c r="N32" s="4"/>
      <c r="O32" s="5"/>
      <c r="P32" s="8"/>
      <c r="Q32" s="4"/>
      <c r="R32" s="5"/>
      <c r="W32" s="67" t="s">
        <v>78</v>
      </c>
      <c r="X32" s="68" t="s">
        <v>39</v>
      </c>
      <c r="Y32" s="69">
        <v>34.119999999999997</v>
      </c>
      <c r="Z32" t="str">
        <f>IF(AND(Tabla1[[#This Row],[nudo inicial]]=Tabla3[[#This Row],[n1]],Tabla1[[#This Row],[nudo final]]=Tabla3[[#This Row],[n2]],Tabla1[[#This Row],[longitud]]=Tabla3[[#This Row],[long]]),"si","no")</f>
        <v>si</v>
      </c>
    </row>
    <row r="33" spans="2:26" ht="15.75" x14ac:dyDescent="0.25">
      <c r="B33" s="14" t="s">
        <v>70</v>
      </c>
      <c r="C33" s="14" t="s">
        <v>21</v>
      </c>
      <c r="D33" s="20">
        <v>19</v>
      </c>
      <c r="E33" s="15" t="s">
        <v>23</v>
      </c>
      <c r="F33" s="15" t="s">
        <v>25</v>
      </c>
      <c r="G33" s="16" t="s">
        <v>20</v>
      </c>
      <c r="H33" s="17" t="s">
        <v>30</v>
      </c>
      <c r="I33" s="18">
        <v>1</v>
      </c>
      <c r="J33" s="16"/>
      <c r="K33" s="17"/>
      <c r="L33" s="18"/>
      <c r="M33" s="16"/>
      <c r="N33" s="17"/>
      <c r="O33" s="18"/>
      <c r="P33" s="16"/>
      <c r="Q33" s="17"/>
      <c r="R33" s="18"/>
      <c r="W33" s="67" t="s">
        <v>70</v>
      </c>
      <c r="X33" s="68" t="s">
        <v>21</v>
      </c>
      <c r="Y33" s="69">
        <v>19</v>
      </c>
      <c r="Z33" t="str">
        <f>IF(AND(Tabla1[[#This Row],[nudo inicial]]=Tabla3[[#This Row],[n1]],Tabla1[[#This Row],[nudo final]]=Tabla3[[#This Row],[n2]],Tabla1[[#This Row],[longitud]]=Tabla3[[#This Row],[long]]),"si","no")</f>
        <v>si</v>
      </c>
    </row>
    <row r="34" spans="2:26" ht="31.5" x14ac:dyDescent="0.25">
      <c r="B34" t="s">
        <v>39</v>
      </c>
      <c r="C34" t="s">
        <v>388</v>
      </c>
      <c r="D34" s="19">
        <f>45.2+18+8+33+39</f>
        <v>143.19999999999999</v>
      </c>
      <c r="E34" s="3" t="s">
        <v>41</v>
      </c>
      <c r="F34" s="3" t="s">
        <v>25</v>
      </c>
      <c r="G34" s="8"/>
      <c r="H34" s="4"/>
      <c r="I34" s="5"/>
      <c r="J34" s="8"/>
      <c r="K34" s="4"/>
      <c r="L34" s="5"/>
      <c r="M34" s="8"/>
      <c r="N34" s="4"/>
      <c r="O34" s="5"/>
      <c r="P34" s="8"/>
      <c r="Q34" s="4"/>
      <c r="R34" s="5"/>
      <c r="W34" s="67" t="s">
        <v>40</v>
      </c>
      <c r="X34" s="68" t="s">
        <v>388</v>
      </c>
      <c r="Y34" s="69">
        <v>143.19999999999999</v>
      </c>
      <c r="Z34" t="str">
        <f>IF(AND(Tabla1[[#This Row],[nudo inicial]]=Tabla3[[#This Row],[n1]],Tabla1[[#This Row],[nudo final]]=Tabla3[[#This Row],[n2]],Tabla1[[#This Row],[longitud]]=Tabla3[[#This Row],[long]]),"si","no")</f>
        <v>no</v>
      </c>
    </row>
    <row r="35" spans="2:26" ht="15.75" x14ac:dyDescent="0.25">
      <c r="B35" t="s">
        <v>21</v>
      </c>
      <c r="C35" t="s">
        <v>42</v>
      </c>
      <c r="D35" s="19">
        <f>73</f>
        <v>73</v>
      </c>
      <c r="E35" s="3" t="s">
        <v>43</v>
      </c>
      <c r="F35" s="3" t="s">
        <v>26</v>
      </c>
      <c r="G35" s="8"/>
      <c r="H35" s="4"/>
      <c r="I35" s="5"/>
      <c r="J35" s="8"/>
      <c r="K35" s="4"/>
      <c r="L35" s="5"/>
      <c r="M35" s="8"/>
      <c r="N35" s="4"/>
      <c r="O35" s="5"/>
      <c r="P35" s="8"/>
      <c r="Q35" s="4"/>
      <c r="R35" s="5"/>
      <c r="W35" s="67" t="s">
        <v>21</v>
      </c>
      <c r="X35" s="68" t="s">
        <v>42</v>
      </c>
      <c r="Y35" s="69">
        <v>73</v>
      </c>
      <c r="Z35" t="str">
        <f>IF(AND(Tabla1[[#This Row],[nudo inicial]]=Tabla3[[#This Row],[n1]],Tabla1[[#This Row],[nudo final]]=Tabla3[[#This Row],[n2]],Tabla1[[#This Row],[longitud]]=Tabla3[[#This Row],[long]]),"si","no")</f>
        <v>si</v>
      </c>
    </row>
    <row r="36" spans="2:26" ht="15.75" x14ac:dyDescent="0.25">
      <c r="B36" t="s">
        <v>21</v>
      </c>
      <c r="C36" t="s">
        <v>72</v>
      </c>
      <c r="D36" s="19">
        <v>64.88</v>
      </c>
      <c r="E36" s="3" t="s">
        <v>30</v>
      </c>
      <c r="F36" s="3" t="s">
        <v>28</v>
      </c>
      <c r="G36" s="8"/>
      <c r="H36" s="4" t="s">
        <v>30</v>
      </c>
      <c r="I36" s="5">
        <v>1</v>
      </c>
      <c r="J36" s="8"/>
      <c r="K36" s="4"/>
      <c r="L36" s="5"/>
      <c r="M36" s="8"/>
      <c r="N36" s="4"/>
      <c r="O36" s="5"/>
      <c r="P36" s="8"/>
      <c r="Q36" s="4"/>
      <c r="R36" s="5"/>
      <c r="W36" s="67" t="s">
        <v>21</v>
      </c>
      <c r="X36" s="68" t="s">
        <v>72</v>
      </c>
      <c r="Y36" s="69">
        <v>64.88</v>
      </c>
      <c r="Z36" t="str">
        <f>IF(AND(Tabla1[[#This Row],[nudo inicial]]=Tabla3[[#This Row],[n1]],Tabla1[[#This Row],[nudo final]]=Tabla3[[#This Row],[n2]],Tabla1[[#This Row],[longitud]]=Tabla3[[#This Row],[long]]),"si","no")</f>
        <v>si</v>
      </c>
    </row>
    <row r="37" spans="2:26" ht="15.75" x14ac:dyDescent="0.25">
      <c r="B37" t="s">
        <v>72</v>
      </c>
      <c r="C37" t="s">
        <v>45</v>
      </c>
      <c r="D37" s="19">
        <v>16.21</v>
      </c>
      <c r="E37" s="3" t="s">
        <v>30</v>
      </c>
      <c r="F37" s="3" t="s">
        <v>28</v>
      </c>
      <c r="G37" s="8" t="s">
        <v>58</v>
      </c>
      <c r="H37" s="4" t="s">
        <v>30</v>
      </c>
      <c r="I37" s="5">
        <v>1</v>
      </c>
      <c r="J37" s="8" t="s">
        <v>16</v>
      </c>
      <c r="K37" s="4" t="s">
        <v>30</v>
      </c>
      <c r="L37" s="5">
        <v>1</v>
      </c>
      <c r="M37" s="8"/>
      <c r="N37" s="4"/>
      <c r="O37" s="5"/>
      <c r="P37" s="8"/>
      <c r="Q37" s="4"/>
      <c r="R37" s="5"/>
      <c r="W37" s="67" t="s">
        <v>72</v>
      </c>
      <c r="X37" s="68" t="s">
        <v>45</v>
      </c>
      <c r="Y37" s="69">
        <v>16.21</v>
      </c>
      <c r="Z37" t="str">
        <f>IF(AND(Tabla1[[#This Row],[nudo inicial]]=Tabla3[[#This Row],[n1]],Tabla1[[#This Row],[nudo final]]=Tabla3[[#This Row],[n2]],Tabla1[[#This Row],[longitud]]=Tabla3[[#This Row],[long]]),"si","no")</f>
        <v>si</v>
      </c>
    </row>
    <row r="38" spans="2:26" ht="15.75" x14ac:dyDescent="0.25">
      <c r="B38" t="s">
        <v>21</v>
      </c>
      <c r="C38" t="s">
        <v>73</v>
      </c>
      <c r="D38" s="19">
        <v>66.099999999999994</v>
      </c>
      <c r="E38" s="3" t="s">
        <v>47</v>
      </c>
      <c r="F38" s="3" t="s">
        <v>29</v>
      </c>
      <c r="G38" s="8"/>
      <c r="H38" s="4" t="s">
        <v>47</v>
      </c>
      <c r="I38" s="5">
        <v>1</v>
      </c>
      <c r="J38" s="8"/>
      <c r="K38" s="4"/>
      <c r="L38" s="5"/>
      <c r="M38" s="8"/>
      <c r="N38" s="4"/>
      <c r="O38" s="5"/>
      <c r="P38" s="8"/>
      <c r="Q38" s="4"/>
      <c r="R38" s="5"/>
      <c r="W38" s="67" t="s">
        <v>21</v>
      </c>
      <c r="X38" s="68" t="s">
        <v>73</v>
      </c>
      <c r="Y38" s="69">
        <v>66.099999999999994</v>
      </c>
      <c r="Z38" t="str">
        <f>IF(AND(Tabla1[[#This Row],[nudo inicial]]=Tabla3[[#This Row],[n1]],Tabla1[[#This Row],[nudo final]]=Tabla3[[#This Row],[n2]],Tabla1[[#This Row],[longitud]]=Tabla3[[#This Row],[long]]),"si","no")</f>
        <v>si</v>
      </c>
    </row>
    <row r="39" spans="2:26" ht="15.75" x14ac:dyDescent="0.25">
      <c r="B39" t="s">
        <v>73</v>
      </c>
      <c r="C39" t="s">
        <v>42</v>
      </c>
      <c r="D39" s="19">
        <v>6.95</v>
      </c>
      <c r="E39" s="3" t="s">
        <v>30</v>
      </c>
      <c r="F39" s="3" t="s">
        <v>25</v>
      </c>
      <c r="G39" s="8" t="s">
        <v>58</v>
      </c>
      <c r="H39" s="4" t="s">
        <v>47</v>
      </c>
      <c r="I39" s="5">
        <v>1</v>
      </c>
      <c r="J39" s="8" t="s">
        <v>15</v>
      </c>
      <c r="K39" s="4" t="s">
        <v>30</v>
      </c>
      <c r="L39" s="5">
        <v>1</v>
      </c>
      <c r="M39" s="8" t="s">
        <v>16</v>
      </c>
      <c r="N39" s="4" t="s">
        <v>30</v>
      </c>
      <c r="O39" s="5">
        <v>1</v>
      </c>
      <c r="P39" s="8"/>
      <c r="Q39" s="4"/>
      <c r="R39" s="5"/>
      <c r="W39" s="67" t="s">
        <v>73</v>
      </c>
      <c r="X39" s="68" t="s">
        <v>42</v>
      </c>
      <c r="Y39" s="69">
        <v>6.95</v>
      </c>
      <c r="Z39" t="str">
        <f>IF(AND(Tabla1[[#This Row],[nudo inicial]]=Tabla3[[#This Row],[n1]],Tabla1[[#This Row],[nudo final]]=Tabla3[[#This Row],[n2]],Tabla1[[#This Row],[longitud]]=Tabla3[[#This Row],[long]]),"si","no")</f>
        <v>si</v>
      </c>
    </row>
    <row r="40" spans="2:26" ht="15.75" x14ac:dyDescent="0.25">
      <c r="B40" t="s">
        <v>73</v>
      </c>
      <c r="C40" t="s">
        <v>74</v>
      </c>
      <c r="D40" s="19">
        <v>24</v>
      </c>
      <c r="E40" s="3" t="s">
        <v>30</v>
      </c>
      <c r="F40" s="3" t="s">
        <v>25</v>
      </c>
      <c r="G40" s="8" t="s">
        <v>57</v>
      </c>
      <c r="H40" s="4" t="s">
        <v>47</v>
      </c>
      <c r="I40" s="5">
        <v>1</v>
      </c>
      <c r="J40" s="8" t="s">
        <v>15</v>
      </c>
      <c r="K40" s="4" t="s">
        <v>30</v>
      </c>
      <c r="L40" s="5">
        <v>2</v>
      </c>
      <c r="M40" s="8" t="s">
        <v>16</v>
      </c>
      <c r="N40" s="4" t="s">
        <v>30</v>
      </c>
      <c r="O40" s="5">
        <v>1</v>
      </c>
      <c r="P40" s="8"/>
      <c r="Q40" s="4"/>
      <c r="R40" s="5"/>
      <c r="W40" s="67" t="s">
        <v>73</v>
      </c>
      <c r="X40" s="68" t="s">
        <v>74</v>
      </c>
      <c r="Y40" s="69">
        <v>24</v>
      </c>
      <c r="Z40" t="str">
        <f>IF(AND(Tabla1[[#This Row],[nudo inicial]]=Tabla3[[#This Row],[n1]],Tabla1[[#This Row],[nudo final]]=Tabla3[[#This Row],[n2]],Tabla1[[#This Row],[longitud]]=Tabla3[[#This Row],[long]]),"si","no")</f>
        <v>si</v>
      </c>
    </row>
    <row r="41" spans="2:26" ht="15.75" x14ac:dyDescent="0.25">
      <c r="B41" t="s">
        <v>42</v>
      </c>
      <c r="C41" t="s">
        <v>74</v>
      </c>
      <c r="D41" s="19">
        <v>4.5</v>
      </c>
      <c r="E41" s="3" t="s">
        <v>47</v>
      </c>
      <c r="F41" s="3" t="s">
        <v>29</v>
      </c>
      <c r="G41" s="8"/>
      <c r="H41" s="4" t="s">
        <v>47</v>
      </c>
      <c r="I41" s="5">
        <v>1</v>
      </c>
      <c r="J41" s="8"/>
      <c r="K41" s="4"/>
      <c r="L41" s="5"/>
      <c r="M41" s="8"/>
      <c r="N41" s="4"/>
      <c r="O41" s="5"/>
      <c r="P41" s="8"/>
      <c r="Q41" s="4"/>
      <c r="R41" s="5"/>
      <c r="W41" s="67" t="s">
        <v>42</v>
      </c>
      <c r="X41" s="68" t="s">
        <v>74</v>
      </c>
      <c r="Y41" s="69">
        <v>4.5</v>
      </c>
      <c r="Z41" t="str">
        <f>IF(AND(Tabla1[[#This Row],[nudo inicial]]=Tabla3[[#This Row],[n1]],Tabla1[[#This Row],[nudo final]]=Tabla3[[#This Row],[n2]],Tabla1[[#This Row],[longitud]]=Tabla3[[#This Row],[long]]),"si","no")</f>
        <v>si</v>
      </c>
    </row>
    <row r="42" spans="2:26" ht="15.75" x14ac:dyDescent="0.25">
      <c r="B42" t="s">
        <v>74</v>
      </c>
      <c r="C42" t="s">
        <v>75</v>
      </c>
      <c r="D42" s="19">
        <v>7.95</v>
      </c>
      <c r="E42" s="3" t="s">
        <v>47</v>
      </c>
      <c r="F42" s="3" t="s">
        <v>29</v>
      </c>
      <c r="G42" s="8" t="s">
        <v>57</v>
      </c>
      <c r="H42" s="4" t="s">
        <v>47</v>
      </c>
      <c r="I42" s="5">
        <v>1</v>
      </c>
      <c r="J42" s="8"/>
      <c r="K42" s="4"/>
      <c r="L42" s="5"/>
      <c r="M42" s="8"/>
      <c r="N42" s="4"/>
      <c r="O42" s="5"/>
      <c r="P42" s="8"/>
      <c r="Q42" s="4"/>
      <c r="R42" s="5"/>
      <c r="W42" s="67" t="s">
        <v>74</v>
      </c>
      <c r="X42" s="68" t="s">
        <v>75</v>
      </c>
      <c r="Y42" s="69">
        <v>7.95</v>
      </c>
      <c r="Z42" t="str">
        <f>IF(AND(Tabla1[[#This Row],[nudo inicial]]=Tabla3[[#This Row],[n1]],Tabla1[[#This Row],[nudo final]]=Tabla3[[#This Row],[n2]],Tabla1[[#This Row],[longitud]]=Tabla3[[#This Row],[long]]),"si","no")</f>
        <v>si</v>
      </c>
    </row>
    <row r="43" spans="2:26" ht="15.75" x14ac:dyDescent="0.25">
      <c r="B43" t="s">
        <v>42</v>
      </c>
      <c r="C43" t="s">
        <v>75</v>
      </c>
      <c r="D43" s="19">
        <v>11.42</v>
      </c>
      <c r="E43" s="3" t="s">
        <v>43</v>
      </c>
      <c r="F43" s="3" t="s">
        <v>26</v>
      </c>
      <c r="G43" s="8"/>
      <c r="H43" s="4"/>
      <c r="I43" s="5"/>
      <c r="J43" s="8"/>
      <c r="K43" s="4"/>
      <c r="L43" s="5"/>
      <c r="M43" s="8"/>
      <c r="N43" s="4"/>
      <c r="O43" s="5"/>
      <c r="P43" s="8"/>
      <c r="Q43" s="4"/>
      <c r="R43" s="5"/>
      <c r="W43" s="67" t="s">
        <v>42</v>
      </c>
      <c r="X43" s="68" t="s">
        <v>75</v>
      </c>
      <c r="Y43" s="69">
        <v>11.42</v>
      </c>
      <c r="Z43" t="str">
        <f>IF(AND(Tabla1[[#This Row],[nudo inicial]]=Tabla3[[#This Row],[n1]],Tabla1[[#This Row],[nudo final]]=Tabla3[[#This Row],[n2]],Tabla1[[#This Row],[longitud]]=Tabla3[[#This Row],[long]]),"si","no")</f>
        <v>si</v>
      </c>
    </row>
    <row r="44" spans="2:26" ht="15.75" x14ac:dyDescent="0.25">
      <c r="B44" t="s">
        <v>42</v>
      </c>
      <c r="C44" t="s">
        <v>45</v>
      </c>
      <c r="D44" s="19">
        <v>7.15</v>
      </c>
      <c r="E44" s="3" t="s">
        <v>30</v>
      </c>
      <c r="F44" s="3" t="s">
        <v>25</v>
      </c>
      <c r="G44" s="8"/>
      <c r="H44" s="4"/>
      <c r="I44" s="5"/>
      <c r="J44" s="8"/>
      <c r="K44" s="4"/>
      <c r="L44" s="5"/>
      <c r="M44" s="8"/>
      <c r="N44" s="4"/>
      <c r="O44" s="5"/>
      <c r="P44" s="8"/>
      <c r="Q44" s="4"/>
      <c r="R44" s="5"/>
      <c r="W44" s="67" t="s">
        <v>42</v>
      </c>
      <c r="X44" s="68" t="s">
        <v>45</v>
      </c>
      <c r="Y44" s="69">
        <v>7.15</v>
      </c>
      <c r="Z44" t="str">
        <f>IF(AND(Tabla1[[#This Row],[nudo inicial]]=Tabla3[[#This Row],[n1]],Tabla1[[#This Row],[nudo final]]=Tabla3[[#This Row],[n2]],Tabla1[[#This Row],[longitud]]=Tabla3[[#This Row],[long]]),"si","no")</f>
        <v>si</v>
      </c>
    </row>
    <row r="45" spans="2:26" ht="15.75" x14ac:dyDescent="0.25">
      <c r="B45" t="s">
        <v>45</v>
      </c>
      <c r="C45" t="s">
        <v>76</v>
      </c>
      <c r="D45" s="19">
        <v>16.82</v>
      </c>
      <c r="E45" s="3" t="s">
        <v>30</v>
      </c>
      <c r="F45" s="3" t="s">
        <v>28</v>
      </c>
      <c r="G45" s="8"/>
      <c r="H45" s="4" t="s">
        <v>30</v>
      </c>
      <c r="I45" s="5">
        <v>1</v>
      </c>
      <c r="J45" s="8" t="s">
        <v>16</v>
      </c>
      <c r="K45" s="4" t="s">
        <v>30</v>
      </c>
      <c r="L45" s="5">
        <v>1</v>
      </c>
      <c r="M45" s="8"/>
      <c r="N45" s="4"/>
      <c r="O45" s="5"/>
      <c r="P45" s="8"/>
      <c r="Q45" s="4"/>
      <c r="R45" s="5"/>
      <c r="W45" s="67" t="s">
        <v>45</v>
      </c>
      <c r="X45" s="68" t="s">
        <v>76</v>
      </c>
      <c r="Y45" s="69">
        <v>16.82</v>
      </c>
      <c r="Z45" t="str">
        <f>IF(AND(Tabla1[[#This Row],[nudo inicial]]=Tabla3[[#This Row],[n1]],Tabla1[[#This Row],[nudo final]]=Tabla3[[#This Row],[n2]],Tabla1[[#This Row],[longitud]]=Tabla3[[#This Row],[long]]),"si","no")</f>
        <v>si</v>
      </c>
    </row>
    <row r="46" spans="2:26" ht="15.75" x14ac:dyDescent="0.25">
      <c r="B46" t="s">
        <v>76</v>
      </c>
      <c r="C46" t="s">
        <v>77</v>
      </c>
      <c r="D46" s="19">
        <v>6.68</v>
      </c>
      <c r="E46" s="3" t="s">
        <v>30</v>
      </c>
      <c r="F46" s="3" t="s">
        <v>28</v>
      </c>
      <c r="G46" s="8" t="s">
        <v>57</v>
      </c>
      <c r="H46" s="4" t="s">
        <v>30</v>
      </c>
      <c r="I46" s="5">
        <v>1</v>
      </c>
      <c r="J46" s="8"/>
      <c r="K46" s="4"/>
      <c r="L46" s="5"/>
      <c r="M46" s="8"/>
      <c r="N46" s="4"/>
      <c r="O46" s="5"/>
      <c r="P46" s="8"/>
      <c r="Q46" s="4"/>
      <c r="R46" s="5"/>
      <c r="W46" s="67" t="s">
        <v>76</v>
      </c>
      <c r="X46" s="68" t="s">
        <v>77</v>
      </c>
      <c r="Y46" s="69">
        <v>6.68</v>
      </c>
      <c r="Z46" t="str">
        <f>IF(AND(Tabla1[[#This Row],[nudo inicial]]=Tabla3[[#This Row],[n1]],Tabla1[[#This Row],[nudo final]]=Tabla3[[#This Row],[n2]],Tabla1[[#This Row],[longitud]]=Tabla3[[#This Row],[long]]),"si","no")</f>
        <v>si</v>
      </c>
    </row>
    <row r="47" spans="2:26" ht="15.75" x14ac:dyDescent="0.25">
      <c r="B47" t="s">
        <v>77</v>
      </c>
      <c r="C47" t="s">
        <v>75</v>
      </c>
      <c r="D47" s="19">
        <v>7.32</v>
      </c>
      <c r="E47" s="3" t="s">
        <v>30</v>
      </c>
      <c r="F47" s="3" t="s">
        <v>28</v>
      </c>
      <c r="G47" s="8" t="s">
        <v>58</v>
      </c>
      <c r="H47" s="4" t="s">
        <v>30</v>
      </c>
      <c r="I47" s="5">
        <v>1</v>
      </c>
      <c r="J47" s="8"/>
      <c r="K47" s="4"/>
      <c r="L47" s="5"/>
      <c r="M47" s="8"/>
      <c r="N47" s="4"/>
      <c r="O47" s="5"/>
      <c r="P47" s="8"/>
      <c r="Q47" s="4"/>
      <c r="R47" s="5"/>
      <c r="W47" s="67" t="s">
        <v>77</v>
      </c>
      <c r="X47" s="68" t="s">
        <v>75</v>
      </c>
      <c r="Y47" s="69">
        <v>7.32</v>
      </c>
      <c r="Z47" t="str">
        <f>IF(AND(Tabla1[[#This Row],[nudo inicial]]=Tabla3[[#This Row],[n1]],Tabla1[[#This Row],[nudo final]]=Tabla3[[#This Row],[n2]],Tabla1[[#This Row],[longitud]]=Tabla3[[#This Row],[long]]),"si","no")</f>
        <v>si</v>
      </c>
    </row>
    <row r="48" spans="2:26" ht="45" x14ac:dyDescent="0.25">
      <c r="B48" t="s">
        <v>78</v>
      </c>
      <c r="C48" t="s">
        <v>79</v>
      </c>
      <c r="D48" s="19">
        <v>914.17</v>
      </c>
      <c r="E48" s="3" t="s">
        <v>23</v>
      </c>
      <c r="F48" s="3" t="s">
        <v>25</v>
      </c>
      <c r="G48" s="8" t="s">
        <v>57</v>
      </c>
      <c r="H48" s="4" t="s">
        <v>23</v>
      </c>
      <c r="I48" s="5">
        <v>1</v>
      </c>
      <c r="J48" s="8" t="s">
        <v>31</v>
      </c>
      <c r="K48" s="4" t="s">
        <v>23</v>
      </c>
      <c r="L48" s="5">
        <v>1</v>
      </c>
      <c r="M48" s="8"/>
      <c r="N48" s="4"/>
      <c r="O48" s="5"/>
      <c r="P48" s="8"/>
      <c r="Q48" s="4"/>
      <c r="R48" s="5"/>
      <c r="W48" s="67" t="s">
        <v>78</v>
      </c>
      <c r="X48" s="68" t="s">
        <v>79</v>
      </c>
      <c r="Y48" s="69">
        <v>914.17</v>
      </c>
      <c r="Z48" t="str">
        <f>IF(AND(Tabla1[[#This Row],[nudo inicial]]=Tabla3[[#This Row],[n1]],Tabla1[[#This Row],[nudo final]]=Tabla3[[#This Row],[n2]],Tabla1[[#This Row],[longitud]]=Tabla3[[#This Row],[long]]),"si","no")</f>
        <v>si</v>
      </c>
    </row>
    <row r="49" spans="2:26" ht="15.75" x14ac:dyDescent="0.25">
      <c r="B49" t="s">
        <v>79</v>
      </c>
      <c r="C49" t="s">
        <v>80</v>
      </c>
      <c r="D49" s="19">
        <v>52.82</v>
      </c>
      <c r="E49" s="3" t="s">
        <v>23</v>
      </c>
      <c r="F49" s="3" t="s">
        <v>25</v>
      </c>
      <c r="G49" s="8" t="s">
        <v>58</v>
      </c>
      <c r="H49" s="4" t="s">
        <v>23</v>
      </c>
      <c r="I49" s="5">
        <v>1</v>
      </c>
      <c r="J49" s="8"/>
      <c r="K49" s="4"/>
      <c r="L49" s="5"/>
      <c r="M49" s="8"/>
      <c r="N49" s="4"/>
      <c r="O49" s="5"/>
      <c r="P49" s="8"/>
      <c r="Q49" s="4"/>
      <c r="R49" s="5"/>
      <c r="W49" s="67" t="s">
        <v>79</v>
      </c>
      <c r="X49" s="68" t="s">
        <v>80</v>
      </c>
      <c r="Y49" s="69">
        <v>52.82</v>
      </c>
      <c r="Z49" t="str">
        <f>IF(AND(Tabla1[[#This Row],[nudo inicial]]=Tabla3[[#This Row],[n1]],Tabla1[[#This Row],[nudo final]]=Tabla3[[#This Row],[n2]],Tabla1[[#This Row],[longitud]]=Tabla3[[#This Row],[long]]),"si","no")</f>
        <v>si</v>
      </c>
    </row>
    <row r="50" spans="2:26" ht="15.75" x14ac:dyDescent="0.25">
      <c r="B50" t="s">
        <v>80</v>
      </c>
      <c r="C50" t="s">
        <v>81</v>
      </c>
      <c r="D50" s="19">
        <v>36.78</v>
      </c>
      <c r="E50" s="3" t="s">
        <v>23</v>
      </c>
      <c r="F50" s="3" t="s">
        <v>25</v>
      </c>
      <c r="G50" s="8" t="s">
        <v>58</v>
      </c>
      <c r="H50" s="4" t="s">
        <v>23</v>
      </c>
      <c r="I50" s="5">
        <v>1</v>
      </c>
      <c r="J50" s="8"/>
      <c r="K50" s="4"/>
      <c r="L50" s="5"/>
      <c r="M50" s="8"/>
      <c r="N50" s="4"/>
      <c r="O50" s="5"/>
      <c r="P50" s="8"/>
      <c r="Q50" s="4"/>
      <c r="R50" s="5"/>
      <c r="W50" s="67" t="s">
        <v>80</v>
      </c>
      <c r="X50" s="68" t="s">
        <v>81</v>
      </c>
      <c r="Y50" s="69">
        <v>36.78</v>
      </c>
      <c r="Z50" t="str">
        <f>IF(AND(Tabla1[[#This Row],[nudo inicial]]=Tabla3[[#This Row],[n1]],Tabla1[[#This Row],[nudo final]]=Tabla3[[#This Row],[n2]],Tabla1[[#This Row],[longitud]]=Tabla3[[#This Row],[long]]),"si","no")</f>
        <v>si</v>
      </c>
    </row>
    <row r="51" spans="2:26" ht="15.75" x14ac:dyDescent="0.25">
      <c r="B51" t="s">
        <v>81</v>
      </c>
      <c r="C51" t="s">
        <v>82</v>
      </c>
      <c r="D51" s="19">
        <v>74.11</v>
      </c>
      <c r="E51" s="3" t="s">
        <v>23</v>
      </c>
      <c r="F51" s="3" t="s">
        <v>25</v>
      </c>
      <c r="G51" s="8" t="s">
        <v>58</v>
      </c>
      <c r="H51" s="4" t="s">
        <v>23</v>
      </c>
      <c r="I51" s="5">
        <v>1</v>
      </c>
      <c r="J51" s="8"/>
      <c r="K51" s="4"/>
      <c r="L51" s="5"/>
      <c r="M51" s="8"/>
      <c r="N51" s="4"/>
      <c r="O51" s="5"/>
      <c r="P51" s="8"/>
      <c r="Q51" s="4"/>
      <c r="R51" s="5"/>
      <c r="W51" s="67" t="s">
        <v>81</v>
      </c>
      <c r="X51" s="68" t="s">
        <v>82</v>
      </c>
      <c r="Y51" s="69">
        <v>74.11</v>
      </c>
      <c r="Z51" t="str">
        <f>IF(AND(Tabla1[[#This Row],[nudo inicial]]=Tabla3[[#This Row],[n1]],Tabla1[[#This Row],[nudo final]]=Tabla3[[#This Row],[n2]],Tabla1[[#This Row],[longitud]]=Tabla3[[#This Row],[long]]),"si","no")</f>
        <v>si</v>
      </c>
    </row>
    <row r="52" spans="2:26" ht="15.75" x14ac:dyDescent="0.25">
      <c r="B52" t="s">
        <v>82</v>
      </c>
      <c r="C52" t="s">
        <v>83</v>
      </c>
      <c r="D52" s="19">
        <v>16.75</v>
      </c>
      <c r="E52" s="3" t="s">
        <v>23</v>
      </c>
      <c r="F52" s="3" t="s">
        <v>25</v>
      </c>
      <c r="G52" s="8" t="s">
        <v>57</v>
      </c>
      <c r="H52" s="4" t="s">
        <v>23</v>
      </c>
      <c r="I52" s="5">
        <v>1</v>
      </c>
      <c r="J52" s="8" t="s">
        <v>17</v>
      </c>
      <c r="K52" s="4"/>
      <c r="L52" s="5"/>
      <c r="M52" s="8"/>
      <c r="N52" s="4"/>
      <c r="O52" s="5"/>
      <c r="P52" s="8"/>
      <c r="Q52" s="4"/>
      <c r="R52" s="5"/>
      <c r="W52" s="67" t="s">
        <v>82</v>
      </c>
      <c r="X52" s="68" t="s">
        <v>83</v>
      </c>
      <c r="Y52" s="69">
        <v>16.75</v>
      </c>
      <c r="Z52" t="str">
        <f>IF(AND(Tabla1[[#This Row],[nudo inicial]]=Tabla3[[#This Row],[n1]],Tabla1[[#This Row],[nudo final]]=Tabla3[[#This Row],[n2]],Tabla1[[#This Row],[longitud]]=Tabla3[[#This Row],[long]]),"si","no")</f>
        <v>si</v>
      </c>
    </row>
    <row r="53" spans="2:26" ht="15.75" x14ac:dyDescent="0.25">
      <c r="B53" t="s">
        <v>81</v>
      </c>
      <c r="C53" t="s">
        <v>84</v>
      </c>
      <c r="D53" s="19">
        <v>4.9800000000000004</v>
      </c>
      <c r="E53" s="3" t="s">
        <v>23</v>
      </c>
      <c r="F53" s="3" t="s">
        <v>25</v>
      </c>
      <c r="G53" s="8" t="s">
        <v>57</v>
      </c>
      <c r="H53" s="4" t="s">
        <v>23</v>
      </c>
      <c r="I53" s="5">
        <v>1</v>
      </c>
      <c r="J53" s="8"/>
      <c r="K53" s="4"/>
      <c r="L53" s="5"/>
      <c r="M53" s="8"/>
      <c r="N53" s="4"/>
      <c r="O53" s="5"/>
      <c r="P53" s="8"/>
      <c r="Q53" s="4"/>
      <c r="R53" s="5"/>
      <c r="W53" s="67" t="s">
        <v>81</v>
      </c>
      <c r="X53" s="68" t="s">
        <v>84</v>
      </c>
      <c r="Y53" s="69">
        <v>4.9800000000000004</v>
      </c>
      <c r="Z53" t="str">
        <f>IF(AND(Tabla1[[#This Row],[nudo inicial]]=Tabla3[[#This Row],[n1]],Tabla1[[#This Row],[nudo final]]=Tabla3[[#This Row],[n2]],Tabla1[[#This Row],[longitud]]=Tabla3[[#This Row],[long]]),"si","no")</f>
        <v>si</v>
      </c>
    </row>
    <row r="54" spans="2:26" ht="15.75" x14ac:dyDescent="0.25">
      <c r="B54" t="s">
        <v>84</v>
      </c>
      <c r="C54" t="s">
        <v>85</v>
      </c>
      <c r="D54" s="19">
        <v>26.33</v>
      </c>
      <c r="E54" s="3" t="s">
        <v>23</v>
      </c>
      <c r="F54" s="3" t="s">
        <v>25</v>
      </c>
      <c r="G54" s="8" t="s">
        <v>57</v>
      </c>
      <c r="H54" s="4" t="s">
        <v>23</v>
      </c>
      <c r="I54" s="5">
        <v>1</v>
      </c>
      <c r="J54" s="8" t="s">
        <v>17</v>
      </c>
      <c r="K54" s="4" t="s">
        <v>23</v>
      </c>
      <c r="L54" s="5">
        <v>1</v>
      </c>
      <c r="M54" s="8"/>
      <c r="N54" s="4"/>
      <c r="O54" s="5"/>
      <c r="P54" s="8"/>
      <c r="Q54" s="4"/>
      <c r="R54" s="5"/>
      <c r="W54" s="67" t="s">
        <v>84</v>
      </c>
      <c r="X54" s="68" t="s">
        <v>85</v>
      </c>
      <c r="Y54" s="69">
        <v>26.33</v>
      </c>
      <c r="Z54" t="str">
        <f>IF(AND(Tabla1[[#This Row],[nudo inicial]]=Tabla3[[#This Row],[n1]],Tabla1[[#This Row],[nudo final]]=Tabla3[[#This Row],[n2]],Tabla1[[#This Row],[longitud]]=Tabla3[[#This Row],[long]]),"si","no")</f>
        <v>si</v>
      </c>
    </row>
    <row r="55" spans="2:26" ht="15.75" x14ac:dyDescent="0.25">
      <c r="B55" t="s">
        <v>84</v>
      </c>
      <c r="C55" t="s">
        <v>86</v>
      </c>
      <c r="D55" s="19">
        <f>54.25+12.27</f>
        <v>66.52</v>
      </c>
      <c r="E55" s="3" t="s">
        <v>23</v>
      </c>
      <c r="F55" s="3" t="s">
        <v>25</v>
      </c>
      <c r="G55" s="8" t="s">
        <v>58</v>
      </c>
      <c r="H55" s="4" t="s">
        <v>23</v>
      </c>
      <c r="I55" s="5">
        <v>1</v>
      </c>
      <c r="J55" s="8"/>
      <c r="K55" s="4"/>
      <c r="L55" s="5"/>
      <c r="M55" s="8"/>
      <c r="N55" s="4"/>
      <c r="O55" s="5"/>
      <c r="P55" s="8"/>
      <c r="Q55" s="4"/>
      <c r="R55" s="5"/>
      <c r="W55" s="67" t="s">
        <v>84</v>
      </c>
      <c r="X55" s="68" t="s">
        <v>86</v>
      </c>
      <c r="Y55" s="69">
        <v>66.52</v>
      </c>
      <c r="Z55" t="str">
        <f>IF(AND(Tabla1[[#This Row],[nudo inicial]]=Tabla3[[#This Row],[n1]],Tabla1[[#This Row],[nudo final]]=Tabla3[[#This Row],[n2]],Tabla1[[#This Row],[longitud]]=Tabla3[[#This Row],[long]]),"si","no")</f>
        <v>si</v>
      </c>
    </row>
    <row r="56" spans="2:26" ht="15.75" x14ac:dyDescent="0.25">
      <c r="B56" t="s">
        <v>86</v>
      </c>
      <c r="C56" t="s">
        <v>87</v>
      </c>
      <c r="D56" s="19">
        <v>33.57</v>
      </c>
      <c r="E56" s="3" t="s">
        <v>23</v>
      </c>
      <c r="F56" s="3" t="s">
        <v>25</v>
      </c>
      <c r="G56" s="8" t="s">
        <v>57</v>
      </c>
      <c r="H56" s="4" t="s">
        <v>23</v>
      </c>
      <c r="I56" s="5">
        <v>1</v>
      </c>
      <c r="J56" s="8" t="s">
        <v>17</v>
      </c>
      <c r="K56" s="4" t="s">
        <v>23</v>
      </c>
      <c r="L56" s="5">
        <v>1</v>
      </c>
      <c r="M56" s="8"/>
      <c r="N56" s="4"/>
      <c r="O56" s="5"/>
      <c r="P56" s="8"/>
      <c r="Q56" s="4"/>
      <c r="R56" s="5"/>
      <c r="W56" s="67" t="s">
        <v>86</v>
      </c>
      <c r="X56" s="68" t="s">
        <v>87</v>
      </c>
      <c r="Y56" s="69">
        <v>33.57</v>
      </c>
      <c r="Z56" t="str">
        <f>IF(AND(Tabla1[[#This Row],[nudo inicial]]=Tabla3[[#This Row],[n1]],Tabla1[[#This Row],[nudo final]]=Tabla3[[#This Row],[n2]],Tabla1[[#This Row],[longitud]]=Tabla3[[#This Row],[long]]),"si","no")</f>
        <v>si</v>
      </c>
    </row>
    <row r="57" spans="2:26" ht="15.75" x14ac:dyDescent="0.25">
      <c r="B57" t="s">
        <v>86</v>
      </c>
      <c r="C57" t="s">
        <v>88</v>
      </c>
      <c r="D57" s="19">
        <f>10.41+23.42</f>
        <v>33.83</v>
      </c>
      <c r="E57" s="3" t="s">
        <v>23</v>
      </c>
      <c r="F57" s="3" t="s">
        <v>25</v>
      </c>
      <c r="G57" s="8" t="s">
        <v>58</v>
      </c>
      <c r="H57" s="4" t="s">
        <v>23</v>
      </c>
      <c r="I57" s="5">
        <v>1</v>
      </c>
      <c r="J57" s="8" t="s">
        <v>17</v>
      </c>
      <c r="K57" s="4" t="s">
        <v>23</v>
      </c>
      <c r="L57" s="5">
        <v>1</v>
      </c>
      <c r="M57" s="8"/>
      <c r="N57" s="4"/>
      <c r="O57" s="5"/>
      <c r="P57" s="8"/>
      <c r="Q57" s="4"/>
      <c r="R57" s="5"/>
      <c r="W57" s="67" t="s">
        <v>86</v>
      </c>
      <c r="X57" s="68" t="s">
        <v>88</v>
      </c>
      <c r="Y57" s="69">
        <v>33.83</v>
      </c>
      <c r="Z57" t="str">
        <f>IF(AND(Tabla1[[#This Row],[nudo inicial]]=Tabla3[[#This Row],[n1]],Tabla1[[#This Row],[nudo final]]=Tabla3[[#This Row],[n2]],Tabla1[[#This Row],[longitud]]=Tabla3[[#This Row],[long]]),"si","no")</f>
        <v>si</v>
      </c>
    </row>
    <row r="58" spans="2:26" ht="15.75" x14ac:dyDescent="0.25">
      <c r="B58" t="s">
        <v>80</v>
      </c>
      <c r="C58" t="s">
        <v>89</v>
      </c>
      <c r="D58" s="19">
        <v>104.34</v>
      </c>
      <c r="E58" s="3" t="s">
        <v>23</v>
      </c>
      <c r="F58" s="3" t="s">
        <v>25</v>
      </c>
      <c r="G58" s="8" t="s">
        <v>57</v>
      </c>
      <c r="H58" s="4" t="s">
        <v>23</v>
      </c>
      <c r="I58" s="5"/>
      <c r="J58" s="8"/>
      <c r="K58" s="4"/>
      <c r="L58" s="5"/>
      <c r="M58" s="8"/>
      <c r="N58" s="4"/>
      <c r="O58" s="5"/>
      <c r="P58" s="8"/>
      <c r="Q58" s="4"/>
      <c r="R58" s="5"/>
      <c r="W58" s="67" t="s">
        <v>80</v>
      </c>
      <c r="X58" s="68" t="s">
        <v>89</v>
      </c>
      <c r="Y58" s="69">
        <v>104.34</v>
      </c>
      <c r="Z58" t="str">
        <f>IF(AND(Tabla1[[#This Row],[nudo inicial]]=Tabla3[[#This Row],[n1]],Tabla1[[#This Row],[nudo final]]=Tabla3[[#This Row],[n2]],Tabla1[[#This Row],[longitud]]=Tabla3[[#This Row],[long]]),"si","no")</f>
        <v>si</v>
      </c>
    </row>
    <row r="59" spans="2:26" ht="15.75" x14ac:dyDescent="0.25">
      <c r="B59" t="s">
        <v>89</v>
      </c>
      <c r="C59" t="s">
        <v>98</v>
      </c>
      <c r="D59" s="19">
        <v>90.81</v>
      </c>
      <c r="E59" s="3" t="s">
        <v>53</v>
      </c>
      <c r="F59" s="3" t="s">
        <v>25</v>
      </c>
      <c r="G59" s="8" t="s">
        <v>58</v>
      </c>
      <c r="H59" s="4" t="s">
        <v>23</v>
      </c>
      <c r="I59" s="5">
        <v>1</v>
      </c>
      <c r="J59" s="8" t="s">
        <v>15</v>
      </c>
      <c r="K59" s="4" t="s">
        <v>53</v>
      </c>
      <c r="L59" s="5">
        <v>1</v>
      </c>
      <c r="M59" s="8"/>
      <c r="N59" s="4"/>
      <c r="O59" s="5"/>
      <c r="P59" s="8"/>
      <c r="Q59" s="4"/>
      <c r="R59" s="5"/>
      <c r="W59" s="67" t="s">
        <v>89</v>
      </c>
      <c r="X59" s="68" t="s">
        <v>98</v>
      </c>
      <c r="Y59" s="69">
        <v>90.81</v>
      </c>
      <c r="Z59" t="str">
        <f>IF(AND(Tabla1[[#This Row],[nudo inicial]]=Tabla3[[#This Row],[n1]],Tabla1[[#This Row],[nudo final]]=Tabla3[[#This Row],[n2]],Tabla1[[#This Row],[longitud]]=Tabla3[[#This Row],[long]]),"si","no")</f>
        <v>si</v>
      </c>
    </row>
    <row r="60" spans="2:26" ht="31.5" x14ac:dyDescent="0.25">
      <c r="B60" t="s">
        <v>98</v>
      </c>
      <c r="C60" t="s">
        <v>92</v>
      </c>
      <c r="D60" s="19">
        <f>242.14+7.62</f>
        <v>249.76</v>
      </c>
      <c r="E60" s="3" t="s">
        <v>56</v>
      </c>
      <c r="F60" s="3" t="s">
        <v>25</v>
      </c>
      <c r="G60" s="7" t="s">
        <v>15</v>
      </c>
      <c r="H60" s="4" t="s">
        <v>56</v>
      </c>
      <c r="I60" s="5">
        <v>1</v>
      </c>
      <c r="J60" s="8" t="s">
        <v>16</v>
      </c>
      <c r="K60" s="4" t="s">
        <v>56</v>
      </c>
      <c r="L60" s="5">
        <v>2</v>
      </c>
      <c r="M60" s="8"/>
      <c r="N60" s="4"/>
      <c r="O60" s="5"/>
      <c r="P60" s="8"/>
      <c r="Q60" s="4"/>
      <c r="R60" s="5"/>
      <c r="W60" s="67" t="s">
        <v>98</v>
      </c>
      <c r="X60" s="68" t="s">
        <v>92</v>
      </c>
      <c r="Y60" s="69">
        <v>249.76</v>
      </c>
      <c r="Z60" t="str">
        <f>IF(AND(Tabla1[[#This Row],[nudo inicial]]=Tabla3[[#This Row],[n1]],Tabla1[[#This Row],[nudo final]]=Tabla3[[#This Row],[n2]],Tabla1[[#This Row],[longitud]]=Tabla3[[#This Row],[long]]),"si","no")</f>
        <v>si</v>
      </c>
    </row>
    <row r="61" spans="2:26" ht="31.5" x14ac:dyDescent="0.25">
      <c r="B61" t="s">
        <v>92</v>
      </c>
      <c r="C61" t="s">
        <v>90</v>
      </c>
      <c r="D61" s="19">
        <v>298.44</v>
      </c>
      <c r="E61" s="3" t="s">
        <v>53</v>
      </c>
      <c r="F61" s="3" t="s">
        <v>25</v>
      </c>
      <c r="G61" s="8" t="s">
        <v>16</v>
      </c>
      <c r="H61" s="4" t="s">
        <v>53</v>
      </c>
      <c r="I61" s="5">
        <v>6</v>
      </c>
      <c r="J61" s="8" t="s">
        <v>17</v>
      </c>
      <c r="K61" s="4" t="s">
        <v>53</v>
      </c>
      <c r="L61" s="5">
        <v>1</v>
      </c>
      <c r="M61" s="8"/>
      <c r="N61" s="4"/>
      <c r="O61" s="5"/>
      <c r="P61" s="8"/>
      <c r="Q61" s="4"/>
      <c r="R61" s="5"/>
      <c r="W61" s="67" t="s">
        <v>92</v>
      </c>
      <c r="X61" s="68" t="s">
        <v>90</v>
      </c>
      <c r="Y61" s="69">
        <v>298.44</v>
      </c>
      <c r="Z61" t="str">
        <f>IF(AND(Tabla1[[#This Row],[nudo inicial]]=Tabla3[[#This Row],[n1]],Tabla1[[#This Row],[nudo final]]=Tabla3[[#This Row],[n2]],Tabla1[[#This Row],[longitud]]=Tabla3[[#This Row],[long]]),"si","no")</f>
        <v>si</v>
      </c>
    </row>
    <row r="62" spans="2:26" ht="15.75" x14ac:dyDescent="0.25">
      <c r="B62" t="s">
        <v>89</v>
      </c>
      <c r="C62" t="s">
        <v>93</v>
      </c>
      <c r="D62" s="19">
        <f>9.21</f>
        <v>9.2100000000000009</v>
      </c>
      <c r="E62" s="3" t="s">
        <v>23</v>
      </c>
      <c r="F62" s="3" t="s">
        <v>25</v>
      </c>
      <c r="G62" s="8" t="s">
        <v>57</v>
      </c>
      <c r="H62" s="4" t="s">
        <v>23</v>
      </c>
      <c r="I62" s="5">
        <v>1</v>
      </c>
      <c r="J62" s="8" t="s">
        <v>32</v>
      </c>
      <c r="K62" s="4" t="s">
        <v>23</v>
      </c>
      <c r="L62" s="5">
        <v>1</v>
      </c>
      <c r="M62" s="8"/>
      <c r="N62" s="4"/>
      <c r="O62" s="5"/>
      <c r="P62" s="8"/>
      <c r="Q62" s="4"/>
      <c r="R62" s="5"/>
      <c r="W62" s="67" t="s">
        <v>89</v>
      </c>
      <c r="X62" s="68" t="s">
        <v>93</v>
      </c>
      <c r="Y62" s="69">
        <v>9.2100000000000009</v>
      </c>
      <c r="Z62" t="str">
        <f>IF(AND(Tabla1[[#This Row],[nudo inicial]]=Tabla3[[#This Row],[n1]],Tabla1[[#This Row],[nudo final]]=Tabla3[[#This Row],[n2]],Tabla1[[#This Row],[longitud]]=Tabla3[[#This Row],[long]]),"si","no")</f>
        <v>si</v>
      </c>
    </row>
    <row r="63" spans="2:26" ht="15.75" x14ac:dyDescent="0.25">
      <c r="B63" t="s">
        <v>93</v>
      </c>
      <c r="C63" t="s">
        <v>94</v>
      </c>
      <c r="D63" s="19">
        <v>122.57</v>
      </c>
      <c r="E63" s="3" t="s">
        <v>53</v>
      </c>
      <c r="F63" s="3" t="s">
        <v>25</v>
      </c>
      <c r="G63" s="8" t="s">
        <v>58</v>
      </c>
      <c r="H63" s="4" t="s">
        <v>23</v>
      </c>
      <c r="I63" s="5">
        <v>1</v>
      </c>
      <c r="J63" s="8" t="s">
        <v>15</v>
      </c>
      <c r="K63" s="4" t="s">
        <v>53</v>
      </c>
      <c r="L63" s="5">
        <v>1</v>
      </c>
      <c r="M63" s="8" t="s">
        <v>16</v>
      </c>
      <c r="N63" s="4" t="s">
        <v>53</v>
      </c>
      <c r="O63" s="5">
        <v>1</v>
      </c>
      <c r="P63" s="8"/>
      <c r="Q63" s="4"/>
      <c r="R63" s="5"/>
      <c r="W63" s="67" t="s">
        <v>93</v>
      </c>
      <c r="X63" s="68" t="s">
        <v>94</v>
      </c>
      <c r="Y63" s="69">
        <v>122.57</v>
      </c>
      <c r="Z63" t="str">
        <f>IF(AND(Tabla1[[#This Row],[nudo inicial]]=Tabla3[[#This Row],[n1]],Tabla1[[#This Row],[nudo final]]=Tabla3[[#This Row],[n2]],Tabla1[[#This Row],[longitud]]=Tabla3[[#This Row],[long]]),"si","no")</f>
        <v>si</v>
      </c>
    </row>
    <row r="64" spans="2:26" ht="15.75" x14ac:dyDescent="0.25">
      <c r="B64" t="s">
        <v>94</v>
      </c>
      <c r="C64" t="s">
        <v>95</v>
      </c>
      <c r="D64" s="19">
        <v>22.87</v>
      </c>
      <c r="E64" s="3" t="s">
        <v>53</v>
      </c>
      <c r="F64" s="3" t="s">
        <v>25</v>
      </c>
      <c r="G64" s="8" t="s">
        <v>58</v>
      </c>
      <c r="H64" s="4" t="s">
        <v>53</v>
      </c>
      <c r="I64" s="5">
        <v>1</v>
      </c>
      <c r="J64" s="8" t="s">
        <v>17</v>
      </c>
      <c r="K64" s="4" t="s">
        <v>53</v>
      </c>
      <c r="L64" s="5">
        <v>1</v>
      </c>
      <c r="M64" s="8"/>
      <c r="N64" s="4"/>
      <c r="O64" s="5"/>
      <c r="P64" s="8"/>
      <c r="Q64" s="4"/>
      <c r="R64" s="5"/>
      <c r="W64" s="67" t="s">
        <v>94</v>
      </c>
      <c r="X64" s="68" t="s">
        <v>95</v>
      </c>
      <c r="Y64" s="69">
        <v>22.87</v>
      </c>
      <c r="Z64" t="str">
        <f>IF(AND(Tabla1[[#This Row],[nudo inicial]]=Tabla3[[#This Row],[n1]],Tabla1[[#This Row],[nudo final]]=Tabla3[[#This Row],[n2]],Tabla1[[#This Row],[longitud]]=Tabla3[[#This Row],[long]]),"si","no")</f>
        <v>si</v>
      </c>
    </row>
    <row r="65" spans="2:26" ht="15.75" x14ac:dyDescent="0.25">
      <c r="B65" t="s">
        <v>94</v>
      </c>
      <c r="C65" t="s">
        <v>96</v>
      </c>
      <c r="D65" s="19">
        <v>41.33</v>
      </c>
      <c r="E65" s="3" t="s">
        <v>53</v>
      </c>
      <c r="F65" s="3" t="s">
        <v>25</v>
      </c>
      <c r="G65" s="8" t="s">
        <v>58</v>
      </c>
      <c r="H65" s="4" t="s">
        <v>53</v>
      </c>
      <c r="I65" s="5">
        <v>1</v>
      </c>
      <c r="J65" s="8" t="s">
        <v>17</v>
      </c>
      <c r="K65" s="4" t="s">
        <v>53</v>
      </c>
      <c r="L65" s="5">
        <v>1</v>
      </c>
      <c r="M65" s="8"/>
      <c r="N65" s="4"/>
      <c r="O65" s="5"/>
      <c r="P65" s="8"/>
      <c r="Q65" s="4"/>
      <c r="R65" s="5"/>
      <c r="W65" s="67" t="s">
        <v>94</v>
      </c>
      <c r="X65" s="68" t="s">
        <v>96</v>
      </c>
      <c r="Y65" s="69">
        <v>41.33</v>
      </c>
      <c r="Z65" t="str">
        <f>IF(AND(Tabla1[[#This Row],[nudo inicial]]=Tabla3[[#This Row],[n1]],Tabla1[[#This Row],[nudo final]]=Tabla3[[#This Row],[n2]],Tabla1[[#This Row],[longitud]]=Tabla3[[#This Row],[long]]),"si","no")</f>
        <v>si</v>
      </c>
    </row>
    <row r="66" spans="2:26" ht="15.75" x14ac:dyDescent="0.25">
      <c r="B66" t="s">
        <v>93</v>
      </c>
      <c r="C66" t="s">
        <v>97</v>
      </c>
      <c r="D66" s="19">
        <v>57.44</v>
      </c>
      <c r="E66" s="3" t="s">
        <v>23</v>
      </c>
      <c r="F66" s="3" t="s">
        <v>25</v>
      </c>
      <c r="G66" s="8" t="s">
        <v>57</v>
      </c>
      <c r="H66" s="4" t="s">
        <v>23</v>
      </c>
      <c r="I66" s="5"/>
      <c r="J66" s="8"/>
      <c r="K66" s="4"/>
      <c r="L66" s="5"/>
      <c r="M66" s="8"/>
      <c r="N66" s="4"/>
      <c r="O66" s="5"/>
      <c r="P66" s="8"/>
      <c r="Q66" s="4"/>
      <c r="R66" s="5"/>
      <c r="W66" s="67" t="s">
        <v>93</v>
      </c>
      <c r="X66" s="68" t="s">
        <v>97</v>
      </c>
      <c r="Y66" s="69">
        <v>57.44</v>
      </c>
      <c r="Z66" t="str">
        <f>IF(AND(Tabla1[[#This Row],[nudo inicial]]=Tabla3[[#This Row],[n1]],Tabla1[[#This Row],[nudo final]]=Tabla3[[#This Row],[n2]],Tabla1[[#This Row],[longitud]]=Tabla3[[#This Row],[long]]),"si","no")</f>
        <v>si</v>
      </c>
    </row>
    <row r="67" spans="2:26" ht="15.75" x14ac:dyDescent="0.25">
      <c r="B67" t="s">
        <v>97</v>
      </c>
      <c r="C67" t="s">
        <v>99</v>
      </c>
      <c r="D67" s="19">
        <v>31.13</v>
      </c>
      <c r="E67" s="3" t="s">
        <v>53</v>
      </c>
      <c r="F67" s="3" t="s">
        <v>25</v>
      </c>
      <c r="G67" s="8" t="s">
        <v>15</v>
      </c>
      <c r="H67" s="4" t="s">
        <v>53</v>
      </c>
      <c r="I67" s="5">
        <v>1</v>
      </c>
      <c r="J67" s="8" t="s">
        <v>16</v>
      </c>
      <c r="K67" s="4" t="s">
        <v>53</v>
      </c>
      <c r="L67" s="5">
        <v>1</v>
      </c>
      <c r="M67" s="8"/>
      <c r="N67" s="4"/>
      <c r="O67" s="5"/>
      <c r="P67" s="8"/>
      <c r="Q67" s="4"/>
      <c r="R67" s="5"/>
      <c r="W67" s="67" t="s">
        <v>97</v>
      </c>
      <c r="X67" s="68" t="s">
        <v>99</v>
      </c>
      <c r="Y67" s="69">
        <v>31.13</v>
      </c>
      <c r="Z67" t="str">
        <f>IF(AND(Tabla1[[#This Row],[nudo inicial]]=Tabla3[[#This Row],[n1]],Tabla1[[#This Row],[nudo final]]=Tabla3[[#This Row],[n2]],Tabla1[[#This Row],[longitud]]=Tabla3[[#This Row],[long]]),"si","no")</f>
        <v>si</v>
      </c>
    </row>
    <row r="68" spans="2:26" ht="15.75" x14ac:dyDescent="0.25">
      <c r="B68" t="s">
        <v>99</v>
      </c>
      <c r="C68" t="s">
        <v>100</v>
      </c>
      <c r="D68" s="19">
        <v>71.34</v>
      </c>
      <c r="E68" s="3" t="s">
        <v>53</v>
      </c>
      <c r="F68" s="3" t="s">
        <v>25</v>
      </c>
      <c r="G68" s="8" t="s">
        <v>57</v>
      </c>
      <c r="H68" s="4" t="s">
        <v>53</v>
      </c>
      <c r="I68" s="5">
        <v>1</v>
      </c>
      <c r="J68" s="8" t="s">
        <v>17</v>
      </c>
      <c r="K68" s="4" t="s">
        <v>53</v>
      </c>
      <c r="L68" s="5">
        <v>1</v>
      </c>
      <c r="M68" s="8"/>
      <c r="N68" s="4"/>
      <c r="O68" s="5"/>
      <c r="P68" s="8"/>
      <c r="Q68" s="4"/>
      <c r="R68" s="5"/>
      <c r="W68" s="67" t="s">
        <v>99</v>
      </c>
      <c r="X68" s="68" t="s">
        <v>100</v>
      </c>
      <c r="Y68" s="69">
        <v>71.34</v>
      </c>
      <c r="Z68" t="str">
        <f>IF(AND(Tabla1[[#This Row],[nudo inicial]]=Tabla3[[#This Row],[n1]],Tabla1[[#This Row],[nudo final]]=Tabla3[[#This Row],[n2]],Tabla1[[#This Row],[longitud]]=Tabla3[[#This Row],[long]]),"si","no")</f>
        <v>si</v>
      </c>
    </row>
    <row r="69" spans="2:26" ht="15.75" x14ac:dyDescent="0.25">
      <c r="B69" t="s">
        <v>99</v>
      </c>
      <c r="C69" t="s">
        <v>101</v>
      </c>
      <c r="D69" s="19">
        <v>25.75</v>
      </c>
      <c r="E69" s="3" t="s">
        <v>53</v>
      </c>
      <c r="F69" s="3" t="s">
        <v>25</v>
      </c>
      <c r="G69" s="8" t="s">
        <v>58</v>
      </c>
      <c r="H69" s="4" t="s">
        <v>53</v>
      </c>
      <c r="I69" s="5">
        <v>1</v>
      </c>
      <c r="J69" s="8"/>
      <c r="K69" s="4"/>
      <c r="L69" s="5"/>
      <c r="M69" s="8"/>
      <c r="N69" s="4"/>
      <c r="O69" s="5"/>
      <c r="P69" s="8"/>
      <c r="Q69" s="4"/>
      <c r="R69" s="5"/>
      <c r="W69" s="67" t="s">
        <v>99</v>
      </c>
      <c r="X69" s="68" t="s">
        <v>101</v>
      </c>
      <c r="Y69" s="69">
        <v>25.75</v>
      </c>
      <c r="Z69" t="str">
        <f>IF(AND(Tabla1[[#This Row],[nudo inicial]]=Tabla3[[#This Row],[n1]],Tabla1[[#This Row],[nudo final]]=Tabla3[[#This Row],[n2]],Tabla1[[#This Row],[longitud]]=Tabla3[[#This Row],[long]]),"si","no")</f>
        <v>si</v>
      </c>
    </row>
    <row r="70" spans="2:26" ht="15.75" x14ac:dyDescent="0.25">
      <c r="B70" t="s">
        <v>101</v>
      </c>
      <c r="C70" t="s">
        <v>102</v>
      </c>
      <c r="D70" s="19">
        <v>70.459999999999994</v>
      </c>
      <c r="E70" s="3" t="s">
        <v>53</v>
      </c>
      <c r="F70" s="3" t="s">
        <v>25</v>
      </c>
      <c r="G70" s="8" t="s">
        <v>58</v>
      </c>
      <c r="H70" s="4" t="s">
        <v>53</v>
      </c>
      <c r="I70" s="5">
        <v>1</v>
      </c>
      <c r="J70" s="8" t="s">
        <v>17</v>
      </c>
      <c r="K70" s="4" t="s">
        <v>53</v>
      </c>
      <c r="L70" s="5">
        <v>1</v>
      </c>
      <c r="M70" s="8"/>
      <c r="N70" s="4"/>
      <c r="O70" s="5"/>
      <c r="P70" s="8"/>
      <c r="Q70" s="4"/>
      <c r="R70" s="5"/>
      <c r="W70" s="67" t="s">
        <v>101</v>
      </c>
      <c r="X70" s="68" t="s">
        <v>102</v>
      </c>
      <c r="Y70" s="69">
        <v>70.459999999999994</v>
      </c>
      <c r="Z70" t="str">
        <f>IF(AND(Tabla1[[#This Row],[nudo inicial]]=Tabla3[[#This Row],[n1]],Tabla1[[#This Row],[nudo final]]=Tabla3[[#This Row],[n2]],Tabla1[[#This Row],[longitud]]=Tabla3[[#This Row],[long]]),"si","no")</f>
        <v>si</v>
      </c>
    </row>
    <row r="71" spans="2:26" ht="15.75" x14ac:dyDescent="0.25">
      <c r="B71" t="s">
        <v>101</v>
      </c>
      <c r="C71" t="s">
        <v>103</v>
      </c>
      <c r="D71" s="19">
        <v>25.95</v>
      </c>
      <c r="E71" s="3" t="s">
        <v>53</v>
      </c>
      <c r="F71" s="3" t="s">
        <v>25</v>
      </c>
      <c r="G71" s="8" t="s">
        <v>57</v>
      </c>
      <c r="H71" s="4" t="s">
        <v>53</v>
      </c>
      <c r="I71" s="5">
        <v>1</v>
      </c>
      <c r="J71" s="8"/>
      <c r="K71" s="4"/>
      <c r="L71" s="5"/>
      <c r="M71" s="8"/>
      <c r="N71" s="4"/>
      <c r="O71" s="5"/>
      <c r="P71" s="8"/>
      <c r="Q71" s="4"/>
      <c r="R71" s="5"/>
      <c r="W71" s="67" t="s">
        <v>101</v>
      </c>
      <c r="X71" s="68" t="s">
        <v>103</v>
      </c>
      <c r="Y71" s="69">
        <v>25.95</v>
      </c>
      <c r="Z71" t="str">
        <f>IF(AND(Tabla1[[#This Row],[nudo inicial]]=Tabla3[[#This Row],[n1]],Tabla1[[#This Row],[nudo final]]=Tabla3[[#This Row],[n2]],Tabla1[[#This Row],[longitud]]=Tabla3[[#This Row],[long]]),"si","no")</f>
        <v>si</v>
      </c>
    </row>
    <row r="72" spans="2:26" ht="15.75" x14ac:dyDescent="0.25">
      <c r="B72" t="s">
        <v>103</v>
      </c>
      <c r="C72" t="s">
        <v>104</v>
      </c>
      <c r="D72" s="19">
        <v>68.569999999999993</v>
      </c>
      <c r="E72" s="3" t="s">
        <v>53</v>
      </c>
      <c r="F72" s="3" t="s">
        <v>25</v>
      </c>
      <c r="G72" s="8" t="s">
        <v>58</v>
      </c>
      <c r="H72" s="4" t="s">
        <v>53</v>
      </c>
      <c r="I72" s="5">
        <v>1</v>
      </c>
      <c r="J72" s="8" t="s">
        <v>17</v>
      </c>
      <c r="K72" s="4" t="s">
        <v>53</v>
      </c>
      <c r="L72" s="5">
        <v>1</v>
      </c>
      <c r="M72" s="8"/>
      <c r="N72" s="4"/>
      <c r="O72" s="5"/>
      <c r="P72" s="8"/>
      <c r="Q72" s="4"/>
      <c r="R72" s="5"/>
      <c r="W72" s="67" t="s">
        <v>103</v>
      </c>
      <c r="X72" s="68" t="s">
        <v>104</v>
      </c>
      <c r="Y72" s="69">
        <v>68.569999999999993</v>
      </c>
      <c r="Z72" t="str">
        <f>IF(AND(Tabla1[[#This Row],[nudo inicial]]=Tabla3[[#This Row],[n1]],Tabla1[[#This Row],[nudo final]]=Tabla3[[#This Row],[n2]],Tabla1[[#This Row],[longitud]]=Tabla3[[#This Row],[long]]),"si","no")</f>
        <v>si</v>
      </c>
    </row>
    <row r="73" spans="2:26" ht="15.75" x14ac:dyDescent="0.25">
      <c r="B73" t="s">
        <v>103</v>
      </c>
      <c r="C73" t="s">
        <v>91</v>
      </c>
      <c r="D73" s="19">
        <v>35.24</v>
      </c>
      <c r="E73" s="3" t="s">
        <v>53</v>
      </c>
      <c r="F73" s="3" t="s">
        <v>25</v>
      </c>
      <c r="G73" s="8" t="s">
        <v>57</v>
      </c>
      <c r="H73" s="4" t="s">
        <v>53</v>
      </c>
      <c r="I73" s="5">
        <v>1</v>
      </c>
      <c r="J73" s="8" t="s">
        <v>16</v>
      </c>
      <c r="K73" s="4" t="s">
        <v>53</v>
      </c>
      <c r="L73" s="5">
        <v>1</v>
      </c>
      <c r="M73" s="8"/>
      <c r="N73" s="4"/>
      <c r="O73" s="5"/>
      <c r="P73" s="8"/>
      <c r="Q73" s="4"/>
      <c r="R73" s="5"/>
      <c r="W73" s="67" t="s">
        <v>103</v>
      </c>
      <c r="X73" s="68" t="s">
        <v>91</v>
      </c>
      <c r="Y73" s="69">
        <v>35.24</v>
      </c>
      <c r="Z73" t="str">
        <f>IF(AND(Tabla1[[#This Row],[nudo inicial]]=Tabla3[[#This Row],[n1]],Tabla1[[#This Row],[nudo final]]=Tabla3[[#This Row],[n2]],Tabla1[[#This Row],[longitud]]=Tabla3[[#This Row],[long]]),"si","no")</f>
        <v>si</v>
      </c>
    </row>
    <row r="74" spans="2:26" ht="15.75" x14ac:dyDescent="0.25">
      <c r="B74" t="s">
        <v>91</v>
      </c>
      <c r="C74" t="s">
        <v>105</v>
      </c>
      <c r="D74" s="19">
        <v>84.34</v>
      </c>
      <c r="E74" s="3" t="s">
        <v>53</v>
      </c>
      <c r="F74" s="3" t="s">
        <v>25</v>
      </c>
      <c r="G74" s="8" t="s">
        <v>57</v>
      </c>
      <c r="H74" s="4" t="s">
        <v>53</v>
      </c>
      <c r="I74" s="5">
        <v>1</v>
      </c>
      <c r="J74" s="8" t="s">
        <v>16</v>
      </c>
      <c r="K74" s="4" t="s">
        <v>53</v>
      </c>
      <c r="L74" s="5">
        <v>1</v>
      </c>
      <c r="M74" s="8" t="s">
        <v>17</v>
      </c>
      <c r="N74" s="4" t="s">
        <v>53</v>
      </c>
      <c r="O74" s="5">
        <v>1</v>
      </c>
      <c r="P74" s="8"/>
      <c r="Q74" s="4"/>
      <c r="R74" s="5"/>
      <c r="W74" s="67" t="s">
        <v>91</v>
      </c>
      <c r="X74" s="68" t="s">
        <v>105</v>
      </c>
      <c r="Y74" s="69">
        <v>84.34</v>
      </c>
      <c r="Z74" t="str">
        <f>IF(AND(Tabla1[[#This Row],[nudo inicial]]=Tabla3[[#This Row],[n1]],Tabla1[[#This Row],[nudo final]]=Tabla3[[#This Row],[n2]],Tabla1[[#This Row],[longitud]]=Tabla3[[#This Row],[long]]),"si","no")</f>
        <v>si</v>
      </c>
    </row>
    <row r="75" spans="2:26" ht="15.75" x14ac:dyDescent="0.25">
      <c r="B75" t="s">
        <v>91</v>
      </c>
      <c r="C75" t="s">
        <v>106</v>
      </c>
      <c r="D75" s="19">
        <v>135.04</v>
      </c>
      <c r="E75" s="3" t="s">
        <v>53</v>
      </c>
      <c r="F75" s="3" t="s">
        <v>25</v>
      </c>
      <c r="G75" s="8" t="s">
        <v>58</v>
      </c>
      <c r="H75" s="4" t="s">
        <v>53</v>
      </c>
      <c r="I75" s="5">
        <v>1</v>
      </c>
      <c r="J75" s="8" t="s">
        <v>16</v>
      </c>
      <c r="K75" s="4" t="s">
        <v>53</v>
      </c>
      <c r="L75" s="5">
        <v>1</v>
      </c>
      <c r="M75" s="8"/>
      <c r="N75" s="4"/>
      <c r="O75" s="5"/>
      <c r="P75" s="8"/>
      <c r="Q75" s="4"/>
      <c r="R75" s="5"/>
      <c r="W75" s="67" t="s">
        <v>91</v>
      </c>
      <c r="X75" s="68" t="s">
        <v>106</v>
      </c>
      <c r="Y75" s="69">
        <v>135.04</v>
      </c>
      <c r="Z75" t="str">
        <f>IF(AND(Tabla1[[#This Row],[nudo inicial]]=Tabla3[[#This Row],[n1]],Tabla1[[#This Row],[nudo final]]=Tabla3[[#This Row],[n2]],Tabla1[[#This Row],[longitud]]=Tabla3[[#This Row],[long]]),"si","no")</f>
        <v>si</v>
      </c>
    </row>
    <row r="76" spans="2:26" ht="15.75" x14ac:dyDescent="0.25">
      <c r="B76" t="s">
        <v>86</v>
      </c>
      <c r="C76" t="s">
        <v>107</v>
      </c>
      <c r="D76" s="19">
        <v>31.98</v>
      </c>
      <c r="E76" s="3" t="s">
        <v>53</v>
      </c>
      <c r="F76" s="3" t="s">
        <v>25</v>
      </c>
      <c r="G76" s="8" t="s">
        <v>57</v>
      </c>
      <c r="H76" s="4" t="s">
        <v>53</v>
      </c>
      <c r="I76" s="5">
        <v>1</v>
      </c>
      <c r="J76" s="8" t="s">
        <v>17</v>
      </c>
      <c r="K76" s="4" t="s">
        <v>53</v>
      </c>
      <c r="L76" s="5">
        <v>1</v>
      </c>
      <c r="M76" s="8"/>
      <c r="N76" s="4"/>
      <c r="O76" s="5"/>
      <c r="P76" s="8"/>
      <c r="Q76" s="4"/>
      <c r="R76" s="5"/>
      <c r="W76" s="67" t="s">
        <v>86</v>
      </c>
      <c r="X76" s="68" t="s">
        <v>107</v>
      </c>
      <c r="Y76" s="69">
        <v>31.98</v>
      </c>
      <c r="Z76" t="str">
        <f>IF(AND(Tabla1[[#This Row],[nudo inicial]]=Tabla3[[#This Row],[n1]],Tabla1[[#This Row],[nudo final]]=Tabla3[[#This Row],[n2]],Tabla1[[#This Row],[longitud]]=Tabla3[[#This Row],[long]]),"si","no")</f>
        <v>si</v>
      </c>
    </row>
    <row r="77" spans="2:26" ht="15.75" x14ac:dyDescent="0.25">
      <c r="B77" t="s">
        <v>106</v>
      </c>
      <c r="C77" t="s">
        <v>108</v>
      </c>
      <c r="D77" s="19">
        <v>14</v>
      </c>
      <c r="E77" s="3" t="s">
        <v>53</v>
      </c>
      <c r="F77" s="3" t="s">
        <v>25</v>
      </c>
      <c r="G77" s="8" t="s">
        <v>58</v>
      </c>
      <c r="H77" s="4" t="s">
        <v>53</v>
      </c>
      <c r="I77" s="5">
        <v>1</v>
      </c>
      <c r="J77" s="8"/>
      <c r="K77" s="4"/>
      <c r="L77" s="5"/>
      <c r="M77" s="8"/>
      <c r="N77" s="4"/>
      <c r="O77" s="5"/>
      <c r="P77" s="8"/>
      <c r="Q77" s="4"/>
      <c r="R77" s="5"/>
      <c r="W77" s="67" t="s">
        <v>106</v>
      </c>
      <c r="X77" s="68" t="s">
        <v>108</v>
      </c>
      <c r="Y77" s="69">
        <v>14</v>
      </c>
      <c r="Z77" t="str">
        <f>IF(AND(Tabla1[[#This Row],[nudo inicial]]=Tabla3[[#This Row],[n1]],Tabla1[[#This Row],[nudo final]]=Tabla3[[#This Row],[n2]],Tabla1[[#This Row],[longitud]]=Tabla3[[#This Row],[long]]),"si","no")</f>
        <v>si</v>
      </c>
    </row>
    <row r="78" spans="2:26" ht="15.75" x14ac:dyDescent="0.25">
      <c r="B78" t="s">
        <v>108</v>
      </c>
      <c r="C78" t="s">
        <v>109</v>
      </c>
      <c r="D78" s="19">
        <v>32.340000000000003</v>
      </c>
      <c r="E78" s="3" t="s">
        <v>53</v>
      </c>
      <c r="F78" s="3" t="s">
        <v>25</v>
      </c>
      <c r="G78" s="8" t="s">
        <v>58</v>
      </c>
      <c r="H78" s="4" t="s">
        <v>53</v>
      </c>
      <c r="I78" s="5">
        <v>1</v>
      </c>
      <c r="J78" s="8" t="s">
        <v>17</v>
      </c>
      <c r="K78" s="4" t="s">
        <v>53</v>
      </c>
      <c r="L78" s="5">
        <v>1</v>
      </c>
      <c r="M78" s="8"/>
      <c r="N78" s="4"/>
      <c r="O78" s="5"/>
      <c r="P78" s="8"/>
      <c r="Q78" s="4"/>
      <c r="R78" s="5"/>
      <c r="W78" s="67" t="s">
        <v>108</v>
      </c>
      <c r="X78" s="68" t="s">
        <v>109</v>
      </c>
      <c r="Y78" s="69">
        <v>32.340000000000003</v>
      </c>
      <c r="Z78" t="str">
        <f>IF(AND(Tabla1[[#This Row],[nudo inicial]]=Tabla3[[#This Row],[n1]],Tabla1[[#This Row],[nudo final]]=Tabla3[[#This Row],[n2]],Tabla1[[#This Row],[longitud]]=Tabla3[[#This Row],[long]]),"si","no")</f>
        <v>si</v>
      </c>
    </row>
    <row r="79" spans="2:26" ht="15.75" x14ac:dyDescent="0.25">
      <c r="B79" t="s">
        <v>108</v>
      </c>
      <c r="C79" t="s">
        <v>110</v>
      </c>
      <c r="D79" s="19">
        <v>1.9</v>
      </c>
      <c r="E79" s="3" t="s">
        <v>53</v>
      </c>
      <c r="F79" s="3" t="s">
        <v>25</v>
      </c>
      <c r="G79" s="8" t="s">
        <v>57</v>
      </c>
      <c r="H79" s="4" t="s">
        <v>53</v>
      </c>
      <c r="I79" s="5">
        <v>1</v>
      </c>
      <c r="J79" s="8"/>
      <c r="K79" s="4"/>
      <c r="L79" s="5"/>
      <c r="M79" s="8"/>
      <c r="N79" s="4"/>
      <c r="O79" s="5"/>
      <c r="P79" s="8"/>
      <c r="Q79" s="4"/>
      <c r="R79" s="5"/>
      <c r="W79" s="67" t="s">
        <v>108</v>
      </c>
      <c r="X79" s="68" t="s">
        <v>110</v>
      </c>
      <c r="Y79" s="69">
        <v>1.9</v>
      </c>
      <c r="Z79" t="str">
        <f>IF(AND(Tabla1[[#This Row],[nudo inicial]]=Tabla3[[#This Row],[n1]],Tabla1[[#This Row],[nudo final]]=Tabla3[[#This Row],[n2]],Tabla1[[#This Row],[longitud]]=Tabla3[[#This Row],[long]]),"si","no")</f>
        <v>si</v>
      </c>
    </row>
    <row r="80" spans="2:26" ht="15.75" x14ac:dyDescent="0.25">
      <c r="B80" t="s">
        <v>110</v>
      </c>
      <c r="C80" t="s">
        <v>111</v>
      </c>
      <c r="D80" s="19">
        <v>32.520000000000003</v>
      </c>
      <c r="E80" s="3" t="s">
        <v>53</v>
      </c>
      <c r="F80" s="3" t="s">
        <v>25</v>
      </c>
      <c r="G80" s="8" t="s">
        <v>58</v>
      </c>
      <c r="H80" s="4" t="s">
        <v>53</v>
      </c>
      <c r="I80" s="5">
        <v>1</v>
      </c>
      <c r="J80" s="8" t="s">
        <v>17</v>
      </c>
      <c r="K80" s="4" t="s">
        <v>53</v>
      </c>
      <c r="L80" s="5">
        <v>1</v>
      </c>
      <c r="M80" s="8"/>
      <c r="N80" s="4"/>
      <c r="O80" s="5"/>
      <c r="P80" s="8"/>
      <c r="Q80" s="4"/>
      <c r="R80" s="5"/>
      <c r="W80" s="67" t="s">
        <v>110</v>
      </c>
      <c r="X80" s="68" t="s">
        <v>111</v>
      </c>
      <c r="Y80" s="69">
        <v>32.520000000000003</v>
      </c>
      <c r="Z80" t="str">
        <f>IF(AND(Tabla1[[#This Row],[nudo inicial]]=Tabla3[[#This Row],[n1]],Tabla1[[#This Row],[nudo final]]=Tabla3[[#This Row],[n2]],Tabla1[[#This Row],[longitud]]=Tabla3[[#This Row],[long]]),"si","no")</f>
        <v>si</v>
      </c>
    </row>
    <row r="81" spans="2:26" ht="15.75" x14ac:dyDescent="0.25">
      <c r="B81" t="s">
        <v>110</v>
      </c>
      <c r="C81" t="s">
        <v>112</v>
      </c>
      <c r="D81" s="19">
        <v>12.8</v>
      </c>
      <c r="E81" s="3" t="s">
        <v>53</v>
      </c>
      <c r="F81" s="3" t="s">
        <v>25</v>
      </c>
      <c r="G81" s="8" t="s">
        <v>57</v>
      </c>
      <c r="H81" s="4" t="s">
        <v>53</v>
      </c>
      <c r="I81" s="5">
        <v>1</v>
      </c>
      <c r="J81" s="8" t="s">
        <v>17</v>
      </c>
      <c r="K81" s="4" t="s">
        <v>53</v>
      </c>
      <c r="L81" s="5">
        <v>1</v>
      </c>
      <c r="M81" s="8"/>
      <c r="N81" s="4"/>
      <c r="O81" s="5"/>
      <c r="P81" s="8"/>
      <c r="Q81" s="4"/>
      <c r="R81" s="5"/>
      <c r="W81" s="67" t="s">
        <v>110</v>
      </c>
      <c r="X81" s="68" t="s">
        <v>112</v>
      </c>
      <c r="Y81" s="69">
        <v>12.8</v>
      </c>
      <c r="Z81" t="str">
        <f>IF(AND(Tabla1[[#This Row],[nudo inicial]]=Tabla3[[#This Row],[n1]],Tabla1[[#This Row],[nudo final]]=Tabla3[[#This Row],[n2]],Tabla1[[#This Row],[longitud]]=Tabla3[[#This Row],[long]]),"si","no")</f>
        <v>si</v>
      </c>
    </row>
    <row r="82" spans="2:26" ht="15.75" x14ac:dyDescent="0.25">
      <c r="B82" t="s">
        <v>79</v>
      </c>
      <c r="C82" t="s">
        <v>113</v>
      </c>
      <c r="D82" s="19">
        <v>8.15</v>
      </c>
      <c r="E82" s="3" t="s">
        <v>23</v>
      </c>
      <c r="F82" s="3" t="s">
        <v>25</v>
      </c>
      <c r="G82" s="8" t="s">
        <v>58</v>
      </c>
      <c r="H82" s="4" t="s">
        <v>23</v>
      </c>
      <c r="I82" s="5">
        <v>1</v>
      </c>
      <c r="J82" s="8"/>
      <c r="K82" s="4"/>
      <c r="L82" s="5"/>
      <c r="M82" s="8"/>
      <c r="N82" s="4"/>
      <c r="O82" s="5"/>
      <c r="P82" s="8"/>
      <c r="Q82" s="4"/>
      <c r="R82" s="5"/>
      <c r="W82" s="67" t="s">
        <v>79</v>
      </c>
      <c r="X82" s="68" t="s">
        <v>113</v>
      </c>
      <c r="Y82" s="69">
        <v>8.15</v>
      </c>
      <c r="Z82" t="str">
        <f>IF(AND(Tabla1[[#This Row],[nudo inicial]]=Tabla3[[#This Row],[n1]],Tabla1[[#This Row],[nudo final]]=Tabla3[[#This Row],[n2]],Tabla1[[#This Row],[longitud]]=Tabla3[[#This Row],[long]]),"si","no")</f>
        <v>si</v>
      </c>
    </row>
    <row r="83" spans="2:26" ht="15.75" x14ac:dyDescent="0.25">
      <c r="B83" t="s">
        <v>113</v>
      </c>
      <c r="C83" t="s">
        <v>82</v>
      </c>
      <c r="D83" s="19">
        <v>49.1</v>
      </c>
      <c r="E83" s="3" t="s">
        <v>23</v>
      </c>
      <c r="F83" s="3" t="s">
        <v>25</v>
      </c>
      <c r="G83" s="8" t="s">
        <v>58</v>
      </c>
      <c r="H83" s="4" t="s">
        <v>23</v>
      </c>
      <c r="I83" s="5">
        <v>1</v>
      </c>
      <c r="J83" s="8"/>
      <c r="K83" s="4"/>
      <c r="L83" s="5"/>
      <c r="M83" s="8"/>
      <c r="N83" s="4"/>
      <c r="O83" s="5"/>
      <c r="P83" s="8"/>
      <c r="Q83" s="4"/>
      <c r="R83" s="5"/>
      <c r="W83" s="67" t="s">
        <v>113</v>
      </c>
      <c r="X83" s="68" t="s">
        <v>82</v>
      </c>
      <c r="Y83" s="69">
        <v>49.1</v>
      </c>
      <c r="Z83" t="str">
        <f>IF(AND(Tabla1[[#This Row],[nudo inicial]]=Tabla3[[#This Row],[n1]],Tabla1[[#This Row],[nudo final]]=Tabla3[[#This Row],[n2]],Tabla1[[#This Row],[longitud]]=Tabla3[[#This Row],[long]]),"si","no")</f>
        <v>si</v>
      </c>
    </row>
    <row r="84" spans="2:26" ht="15.75" x14ac:dyDescent="0.25">
      <c r="B84" t="s">
        <v>113</v>
      </c>
      <c r="C84" t="s">
        <v>114</v>
      </c>
      <c r="D84" s="19">
        <v>56.99</v>
      </c>
      <c r="E84" s="3" t="s">
        <v>23</v>
      </c>
      <c r="F84" s="3" t="s">
        <v>25</v>
      </c>
      <c r="G84" s="8" t="s">
        <v>57</v>
      </c>
      <c r="H84" s="4" t="s">
        <v>23</v>
      </c>
      <c r="I84" s="5">
        <v>1</v>
      </c>
      <c r="J84" s="8" t="s">
        <v>16</v>
      </c>
      <c r="K84" s="4" t="s">
        <v>23</v>
      </c>
      <c r="L84" s="5">
        <v>2</v>
      </c>
      <c r="M84" s="8"/>
      <c r="N84" s="4"/>
      <c r="O84" s="5"/>
      <c r="P84" s="8"/>
      <c r="Q84" s="4"/>
      <c r="R84" s="5"/>
      <c r="W84" s="67" t="s">
        <v>113</v>
      </c>
      <c r="X84" s="68" t="s">
        <v>114</v>
      </c>
      <c r="Y84" s="69">
        <v>56.99</v>
      </c>
      <c r="Z84" t="str">
        <f>IF(AND(Tabla1[[#This Row],[nudo inicial]]=Tabla3[[#This Row],[n1]],Tabla1[[#This Row],[nudo final]]=Tabla3[[#This Row],[n2]],Tabla1[[#This Row],[longitud]]=Tabla3[[#This Row],[long]]),"si","no")</f>
        <v>si</v>
      </c>
    </row>
    <row r="85" spans="2:26" ht="15.75" x14ac:dyDescent="0.25">
      <c r="B85" t="s">
        <v>114</v>
      </c>
      <c r="C85" t="s">
        <v>115</v>
      </c>
      <c r="D85" s="19">
        <v>41.18</v>
      </c>
      <c r="E85" s="3" t="s">
        <v>23</v>
      </c>
      <c r="F85" s="3" t="s">
        <v>28</v>
      </c>
      <c r="G85" s="8"/>
      <c r="H85" s="4"/>
      <c r="I85" s="5"/>
      <c r="J85" s="8"/>
      <c r="K85" s="4"/>
      <c r="L85" s="5"/>
      <c r="M85" s="8"/>
      <c r="N85" s="4"/>
      <c r="O85" s="5"/>
      <c r="P85" s="8"/>
      <c r="Q85" s="4"/>
      <c r="R85" s="5"/>
      <c r="W85" s="67" t="s">
        <v>114</v>
      </c>
      <c r="X85" s="68" t="s">
        <v>115</v>
      </c>
      <c r="Y85" s="69">
        <v>41.18</v>
      </c>
      <c r="Z85" t="str">
        <f>IF(AND(Tabla1[[#This Row],[nudo inicial]]=Tabla3[[#This Row],[n1]],Tabla1[[#This Row],[nudo final]]=Tabla3[[#This Row],[n2]],Tabla1[[#This Row],[longitud]]=Tabla3[[#This Row],[long]]),"si","no")</f>
        <v>si</v>
      </c>
    </row>
    <row r="86" spans="2:26" ht="15.75" x14ac:dyDescent="0.25">
      <c r="B86" t="s">
        <v>115</v>
      </c>
      <c r="C86" t="s">
        <v>116</v>
      </c>
      <c r="D86" s="19">
        <v>54.75</v>
      </c>
      <c r="E86" s="3" t="s">
        <v>53</v>
      </c>
      <c r="F86" s="3" t="s">
        <v>25</v>
      </c>
      <c r="G86" s="8" t="s">
        <v>58</v>
      </c>
      <c r="H86" s="4" t="s">
        <v>23</v>
      </c>
      <c r="I86" s="5">
        <v>1</v>
      </c>
      <c r="J86" s="8" t="s">
        <v>15</v>
      </c>
      <c r="K86" s="4" t="s">
        <v>53</v>
      </c>
      <c r="L86" s="5">
        <v>1</v>
      </c>
      <c r="M86" s="8"/>
      <c r="N86" s="4"/>
      <c r="O86" s="5"/>
      <c r="P86" s="8"/>
      <c r="Q86" s="4"/>
      <c r="R86" s="5"/>
      <c r="W86" s="67" t="s">
        <v>115</v>
      </c>
      <c r="X86" s="68" t="s">
        <v>116</v>
      </c>
      <c r="Y86" s="69">
        <v>54.75</v>
      </c>
      <c r="Z86" t="str">
        <f>IF(AND(Tabla1[[#This Row],[nudo inicial]]=Tabla3[[#This Row],[n1]],Tabla1[[#This Row],[nudo final]]=Tabla3[[#This Row],[n2]],Tabla1[[#This Row],[longitud]]=Tabla3[[#This Row],[long]]),"si","no")</f>
        <v>si</v>
      </c>
    </row>
    <row r="87" spans="2:26" ht="15.75" x14ac:dyDescent="0.25">
      <c r="B87" t="s">
        <v>116</v>
      </c>
      <c r="C87" t="s">
        <v>117</v>
      </c>
      <c r="D87" s="19">
        <v>61.81</v>
      </c>
      <c r="E87" s="3" t="s">
        <v>53</v>
      </c>
      <c r="F87" s="3" t="s">
        <v>25</v>
      </c>
      <c r="G87" s="8" t="s">
        <v>58</v>
      </c>
      <c r="H87" s="4" t="s">
        <v>53</v>
      </c>
      <c r="I87" s="5">
        <v>1</v>
      </c>
      <c r="J87" s="8" t="s">
        <v>17</v>
      </c>
      <c r="K87" s="4" t="s">
        <v>53</v>
      </c>
      <c r="L87" s="5">
        <v>1</v>
      </c>
      <c r="M87" s="8"/>
      <c r="N87" s="4"/>
      <c r="O87" s="5"/>
      <c r="P87" s="8"/>
      <c r="Q87" s="4"/>
      <c r="R87" s="5"/>
      <c r="W87" s="67" t="s">
        <v>116</v>
      </c>
      <c r="X87" s="68" t="s">
        <v>117</v>
      </c>
      <c r="Y87" s="69">
        <v>61.81</v>
      </c>
      <c r="Z87" t="str">
        <f>IF(AND(Tabla1[[#This Row],[nudo inicial]]=Tabla3[[#This Row],[n1]],Tabla1[[#This Row],[nudo final]]=Tabla3[[#This Row],[n2]],Tabla1[[#This Row],[longitud]]=Tabla3[[#This Row],[long]]),"si","no")</f>
        <v>si</v>
      </c>
    </row>
    <row r="88" spans="2:26" ht="15.75" x14ac:dyDescent="0.25">
      <c r="B88" t="s">
        <v>116</v>
      </c>
      <c r="C88" t="s">
        <v>118</v>
      </c>
      <c r="D88" s="19">
        <v>273</v>
      </c>
      <c r="E88" s="3" t="s">
        <v>53</v>
      </c>
      <c r="F88" s="3" t="s">
        <v>25</v>
      </c>
      <c r="G88" s="8" t="s">
        <v>58</v>
      </c>
      <c r="H88" s="4" t="s">
        <v>53</v>
      </c>
      <c r="I88" s="5">
        <v>1</v>
      </c>
      <c r="J88" s="8" t="s">
        <v>16</v>
      </c>
      <c r="K88" s="4" t="s">
        <v>53</v>
      </c>
      <c r="L88" s="5">
        <v>1</v>
      </c>
      <c r="M88" s="8"/>
      <c r="N88" s="4"/>
      <c r="O88" s="5"/>
      <c r="P88" s="8"/>
      <c r="Q88" s="4"/>
      <c r="R88" s="5"/>
      <c r="W88" s="67" t="s">
        <v>116</v>
      </c>
      <c r="X88" s="68" t="s">
        <v>118</v>
      </c>
      <c r="Y88" s="69">
        <v>273</v>
      </c>
      <c r="Z88" t="str">
        <f>IF(AND(Tabla1[[#This Row],[nudo inicial]]=Tabla3[[#This Row],[n1]],Tabla1[[#This Row],[nudo final]]=Tabla3[[#This Row],[n2]],Tabla1[[#This Row],[longitud]]=Tabla3[[#This Row],[long]]),"si","no")</f>
        <v>si</v>
      </c>
    </row>
    <row r="89" spans="2:26" ht="15.75" x14ac:dyDescent="0.25">
      <c r="B89" t="s">
        <v>118</v>
      </c>
      <c r="C89" t="s">
        <v>119</v>
      </c>
      <c r="D89" s="19">
        <v>30</v>
      </c>
      <c r="E89" s="3" t="s">
        <v>53</v>
      </c>
      <c r="F89" s="3" t="s">
        <v>25</v>
      </c>
      <c r="G89" s="8" t="s">
        <v>58</v>
      </c>
      <c r="H89" s="4" t="s">
        <v>53</v>
      </c>
      <c r="I89" s="5">
        <v>1</v>
      </c>
      <c r="J89" s="8" t="s">
        <v>17</v>
      </c>
      <c r="K89" s="4" t="s">
        <v>53</v>
      </c>
      <c r="L89" s="5">
        <v>1</v>
      </c>
      <c r="M89" s="8"/>
      <c r="N89" s="4"/>
      <c r="O89" s="5"/>
      <c r="P89" s="8"/>
      <c r="Q89" s="4"/>
      <c r="R89" s="5"/>
      <c r="W89" s="67" t="s">
        <v>118</v>
      </c>
      <c r="X89" s="68" t="s">
        <v>119</v>
      </c>
      <c r="Y89" s="69">
        <v>30</v>
      </c>
      <c r="Z89" t="str">
        <f>IF(AND(Tabla1[[#This Row],[nudo inicial]]=Tabla3[[#This Row],[n1]],Tabla1[[#This Row],[nudo final]]=Tabla3[[#This Row],[n2]],Tabla1[[#This Row],[longitud]]=Tabla3[[#This Row],[long]]),"si","no")</f>
        <v>si</v>
      </c>
    </row>
    <row r="90" spans="2:26" ht="15.75" x14ac:dyDescent="0.25">
      <c r="B90" t="s">
        <v>118</v>
      </c>
      <c r="C90" t="s">
        <v>120</v>
      </c>
      <c r="D90" s="19">
        <v>143.97999999999999</v>
      </c>
      <c r="E90" s="3" t="s">
        <v>53</v>
      </c>
      <c r="F90" s="3" t="s">
        <v>25</v>
      </c>
      <c r="G90" s="8" t="s">
        <v>58</v>
      </c>
      <c r="H90" s="4" t="s">
        <v>53</v>
      </c>
      <c r="I90" s="5">
        <v>1</v>
      </c>
      <c r="J90" s="8" t="s">
        <v>17</v>
      </c>
      <c r="K90" s="4" t="s">
        <v>53</v>
      </c>
      <c r="L90" s="5">
        <v>1</v>
      </c>
      <c r="M90" s="8"/>
      <c r="N90" s="4"/>
      <c r="O90" s="5"/>
      <c r="P90" s="8"/>
      <c r="Q90" s="4"/>
      <c r="R90" s="5"/>
      <c r="W90" s="67" t="s">
        <v>118</v>
      </c>
      <c r="X90" s="68" t="s">
        <v>120</v>
      </c>
      <c r="Y90" s="69">
        <v>143.97999999999999</v>
      </c>
      <c r="Z90" t="str">
        <f>IF(AND(Tabla1[[#This Row],[nudo inicial]]=Tabla3[[#This Row],[n1]],Tabla1[[#This Row],[nudo final]]=Tabla3[[#This Row],[n2]],Tabla1[[#This Row],[longitud]]=Tabla3[[#This Row],[long]]),"si","no")</f>
        <v>si</v>
      </c>
    </row>
    <row r="91" spans="2:26" ht="15.75" x14ac:dyDescent="0.25">
      <c r="B91" t="s">
        <v>115</v>
      </c>
      <c r="C91" t="s">
        <v>121</v>
      </c>
      <c r="D91" s="19">
        <v>30.44</v>
      </c>
      <c r="E91" s="3" t="s">
        <v>23</v>
      </c>
      <c r="F91" s="3" t="s">
        <v>28</v>
      </c>
      <c r="G91" s="8" t="s">
        <v>57</v>
      </c>
      <c r="H91" s="4" t="s">
        <v>23</v>
      </c>
      <c r="I91" s="5">
        <v>1</v>
      </c>
      <c r="J91" s="8"/>
      <c r="K91" s="4"/>
      <c r="L91" s="5"/>
      <c r="M91" s="8"/>
      <c r="N91" s="4"/>
      <c r="O91" s="5"/>
      <c r="P91" s="8"/>
      <c r="Q91" s="4"/>
      <c r="R91" s="5"/>
      <c r="W91" s="67" t="s">
        <v>115</v>
      </c>
      <c r="X91" s="68" t="s">
        <v>121</v>
      </c>
      <c r="Y91" s="69">
        <v>30.44</v>
      </c>
      <c r="Z91" t="str">
        <f>IF(AND(Tabla1[[#This Row],[nudo inicial]]=Tabla3[[#This Row],[n1]],Tabla1[[#This Row],[nudo final]]=Tabla3[[#This Row],[n2]],Tabla1[[#This Row],[longitud]]=Tabla3[[#This Row],[long]]),"si","no")</f>
        <v>si</v>
      </c>
    </row>
    <row r="92" spans="2:26" ht="15.75" x14ac:dyDescent="0.25">
      <c r="B92" t="s">
        <v>121</v>
      </c>
      <c r="C92" t="s">
        <v>122</v>
      </c>
      <c r="D92" s="19">
        <v>32.5</v>
      </c>
      <c r="E92" s="3" t="s">
        <v>53</v>
      </c>
      <c r="F92" s="3" t="s">
        <v>25</v>
      </c>
      <c r="G92" s="8" t="s">
        <v>58</v>
      </c>
      <c r="H92" s="4" t="s">
        <v>23</v>
      </c>
      <c r="I92" s="5">
        <v>1</v>
      </c>
      <c r="J92" s="8" t="s">
        <v>15</v>
      </c>
      <c r="K92" s="4" t="s">
        <v>53</v>
      </c>
      <c r="L92" s="5">
        <v>1</v>
      </c>
      <c r="M92" s="8" t="s">
        <v>17</v>
      </c>
      <c r="N92" s="4" t="s">
        <v>53</v>
      </c>
      <c r="O92" s="5">
        <v>1</v>
      </c>
      <c r="P92" s="8"/>
      <c r="Q92" s="4"/>
      <c r="R92" s="5"/>
      <c r="W92" s="67" t="s">
        <v>121</v>
      </c>
      <c r="X92" s="68" t="s">
        <v>122</v>
      </c>
      <c r="Y92" s="69">
        <v>32.5</v>
      </c>
      <c r="Z92" t="str">
        <f>IF(AND(Tabla1[[#This Row],[nudo inicial]]=Tabla3[[#This Row],[n1]],Tabla1[[#This Row],[nudo final]]=Tabla3[[#This Row],[n2]],Tabla1[[#This Row],[longitud]]=Tabla3[[#This Row],[long]]),"si","no")</f>
        <v>si</v>
      </c>
    </row>
    <row r="93" spans="2:26" ht="15.75" x14ac:dyDescent="0.25">
      <c r="B93" t="s">
        <v>71</v>
      </c>
      <c r="C93" t="s">
        <v>123</v>
      </c>
      <c r="D93" s="19">
        <v>1038.51</v>
      </c>
      <c r="E93" s="3" t="s">
        <v>55</v>
      </c>
      <c r="F93" s="3" t="s">
        <v>27</v>
      </c>
      <c r="G93" s="8" t="s">
        <v>15</v>
      </c>
      <c r="H93" s="4" t="s">
        <v>55</v>
      </c>
      <c r="I93" s="5">
        <v>1</v>
      </c>
      <c r="J93" s="8"/>
      <c r="K93" s="4"/>
      <c r="L93" s="5"/>
      <c r="M93" s="8"/>
      <c r="N93" s="4"/>
      <c r="O93" s="5"/>
      <c r="P93" s="8"/>
      <c r="Q93" s="4"/>
      <c r="R93" s="5"/>
      <c r="W93" s="67" t="s">
        <v>71</v>
      </c>
      <c r="X93" s="68" t="s">
        <v>123</v>
      </c>
      <c r="Y93" s="69">
        <v>1038.51</v>
      </c>
      <c r="Z93" t="str">
        <f>IF(AND(Tabla1[[#This Row],[nudo inicial]]=Tabla3[[#This Row],[n1]],Tabla1[[#This Row],[nudo final]]=Tabla3[[#This Row],[n2]],Tabla1[[#This Row],[longitud]]=Tabla3[[#This Row],[long]]),"si","no")</f>
        <v>si</v>
      </c>
    </row>
    <row r="94" spans="2:26" ht="15.75" x14ac:dyDescent="0.25">
      <c r="B94" t="s">
        <v>123</v>
      </c>
      <c r="C94" t="s">
        <v>124</v>
      </c>
      <c r="D94" s="19">
        <v>1051.9100000000001</v>
      </c>
      <c r="E94" s="3" t="s">
        <v>55</v>
      </c>
      <c r="F94" s="3" t="s">
        <v>25</v>
      </c>
      <c r="G94" s="8"/>
      <c r="H94" s="4"/>
      <c r="I94" s="5"/>
      <c r="J94" s="8"/>
      <c r="K94" s="4"/>
      <c r="L94" s="5"/>
      <c r="M94" s="8"/>
      <c r="N94" s="4"/>
      <c r="O94" s="5"/>
      <c r="P94" s="8"/>
      <c r="Q94" s="4"/>
      <c r="R94" s="5"/>
      <c r="W94" s="67" t="s">
        <v>123</v>
      </c>
      <c r="X94" s="68" t="s">
        <v>124</v>
      </c>
      <c r="Y94" s="69">
        <v>1051.9100000000001</v>
      </c>
      <c r="Z94" t="str">
        <f>IF(AND(Tabla1[[#This Row],[nudo inicial]]=Tabla3[[#This Row],[n1]],Tabla1[[#This Row],[nudo final]]=Tabla3[[#This Row],[n2]],Tabla1[[#This Row],[longitud]]=Tabla3[[#This Row],[long]]),"si","no")</f>
        <v>si</v>
      </c>
    </row>
    <row r="95" spans="2:26" ht="31.5" x14ac:dyDescent="0.25">
      <c r="B95" t="s">
        <v>124</v>
      </c>
      <c r="C95" t="s">
        <v>733</v>
      </c>
      <c r="D95" s="19">
        <v>21.31</v>
      </c>
      <c r="E95" s="3" t="s">
        <v>126</v>
      </c>
      <c r="F95" s="3" t="s">
        <v>26</v>
      </c>
      <c r="G95" s="8" t="s">
        <v>58</v>
      </c>
      <c r="H95" s="4" t="s">
        <v>55</v>
      </c>
      <c r="I95" s="5">
        <v>1</v>
      </c>
      <c r="J95" s="8" t="s">
        <v>15</v>
      </c>
      <c r="K95" s="4" t="s">
        <v>126</v>
      </c>
      <c r="L95" s="5">
        <v>1</v>
      </c>
      <c r="M95" s="8" t="s">
        <v>32</v>
      </c>
      <c r="N95" s="4" t="s">
        <v>126</v>
      </c>
      <c r="O95" s="5">
        <v>1</v>
      </c>
      <c r="P95" s="8"/>
      <c r="Q95" s="4"/>
      <c r="R95" s="5"/>
      <c r="W95" s="67" t="s">
        <v>124</v>
      </c>
      <c r="X95" s="68" t="s">
        <v>733</v>
      </c>
      <c r="Y95" s="69">
        <v>21.31</v>
      </c>
      <c r="Z95" t="str">
        <f>IF(AND(Tabla1[[#This Row],[nudo inicial]]=Tabla3[[#This Row],[n1]],Tabla1[[#This Row],[nudo final]]=Tabla3[[#This Row],[n2]],Tabla1[[#This Row],[longitud]]=Tabla3[[#This Row],[long]]),"si","no")</f>
        <v>si</v>
      </c>
    </row>
    <row r="96" spans="2:26" ht="15.75" x14ac:dyDescent="0.25">
      <c r="B96" t="s">
        <v>75</v>
      </c>
      <c r="C96" t="s">
        <v>127</v>
      </c>
      <c r="D96" s="19">
        <f>202.14+99.26+554.76+864.27</f>
        <v>1720.4299999999998</v>
      </c>
      <c r="E96" s="3" t="s">
        <v>47</v>
      </c>
      <c r="F96" s="3" t="s">
        <v>29</v>
      </c>
      <c r="G96" s="8" t="s">
        <v>16</v>
      </c>
      <c r="H96" s="4" t="s">
        <v>47</v>
      </c>
      <c r="I96" s="5">
        <v>1</v>
      </c>
      <c r="J96" s="8" t="s">
        <v>18</v>
      </c>
      <c r="K96" s="4" t="s">
        <v>47</v>
      </c>
      <c r="L96" s="5">
        <v>1</v>
      </c>
      <c r="M96" s="8"/>
      <c r="N96" s="4"/>
      <c r="O96" s="5"/>
      <c r="P96" s="8"/>
      <c r="Q96" s="4"/>
      <c r="R96" s="5"/>
      <c r="W96" s="67" t="s">
        <v>75</v>
      </c>
      <c r="X96" s="68" t="s">
        <v>127</v>
      </c>
      <c r="Y96" s="69">
        <v>1720.4299999999998</v>
      </c>
      <c r="Z96" t="str">
        <f>IF(AND(Tabla1[[#This Row],[nudo inicial]]=Tabla3[[#This Row],[n1]],Tabla1[[#This Row],[nudo final]]=Tabla3[[#This Row],[n2]],Tabla1[[#This Row],[longitud]]=Tabla3[[#This Row],[long]]),"si","no")</f>
        <v>si</v>
      </c>
    </row>
    <row r="97" spans="2:26" ht="15.75" x14ac:dyDescent="0.25">
      <c r="B97" t="s">
        <v>75</v>
      </c>
      <c r="C97" t="s">
        <v>128</v>
      </c>
      <c r="D97" s="19">
        <f>204.3+181.12</f>
        <v>385.42</v>
      </c>
      <c r="E97" s="3" t="s">
        <v>43</v>
      </c>
      <c r="F97" s="3" t="s">
        <v>26</v>
      </c>
      <c r="G97" s="8"/>
      <c r="H97" s="4"/>
      <c r="I97" s="5"/>
      <c r="J97" s="8"/>
      <c r="K97" s="4"/>
      <c r="L97" s="5"/>
      <c r="M97" s="8"/>
      <c r="N97" s="4"/>
      <c r="O97" s="5"/>
      <c r="P97" s="8"/>
      <c r="Q97" s="4"/>
      <c r="R97" s="5"/>
      <c r="W97" s="67" t="s">
        <v>75</v>
      </c>
      <c r="X97" s="68" t="s">
        <v>128</v>
      </c>
      <c r="Y97" s="69">
        <v>385.42</v>
      </c>
      <c r="Z97" t="str">
        <f>IF(AND(Tabla1[[#This Row],[nudo inicial]]=Tabla3[[#This Row],[n1]],Tabla1[[#This Row],[nudo final]]=Tabla3[[#This Row],[n2]],Tabla1[[#This Row],[longitud]]=Tabla3[[#This Row],[long]]),"si","no")</f>
        <v>si</v>
      </c>
    </row>
    <row r="98" spans="2:26" ht="15.75" x14ac:dyDescent="0.25">
      <c r="B98" t="s">
        <v>128</v>
      </c>
      <c r="C98" t="s">
        <v>129</v>
      </c>
      <c r="D98" s="19">
        <v>326.60000000000002</v>
      </c>
      <c r="E98" s="3" t="s">
        <v>43</v>
      </c>
      <c r="F98" s="3" t="s">
        <v>26</v>
      </c>
      <c r="G98" s="8"/>
      <c r="H98" s="4"/>
      <c r="I98" s="5"/>
      <c r="J98" s="8"/>
      <c r="K98" s="4"/>
      <c r="L98" s="5"/>
      <c r="M98" s="8"/>
      <c r="N98" s="4"/>
      <c r="O98" s="5"/>
      <c r="P98" s="8"/>
      <c r="Q98" s="4"/>
      <c r="R98" s="5"/>
      <c r="W98" s="67" t="s">
        <v>128</v>
      </c>
      <c r="X98" s="68" t="s">
        <v>129</v>
      </c>
      <c r="Y98" s="69">
        <v>326.60000000000002</v>
      </c>
      <c r="Z98" t="str">
        <f>IF(AND(Tabla1[[#This Row],[nudo inicial]]=Tabla3[[#This Row],[n1]],Tabla1[[#This Row],[nudo final]]=Tabla3[[#This Row],[n2]],Tabla1[[#This Row],[longitud]]=Tabla3[[#This Row],[long]]),"si","no")</f>
        <v>si</v>
      </c>
    </row>
    <row r="99" spans="2:26" ht="30" x14ac:dyDescent="0.25">
      <c r="B99" t="s">
        <v>129</v>
      </c>
      <c r="C99" t="s">
        <v>130</v>
      </c>
      <c r="D99" s="19">
        <f>427.77+844.2</f>
        <v>1271.97</v>
      </c>
      <c r="E99" s="3" t="s">
        <v>43</v>
      </c>
      <c r="F99" s="3" t="s">
        <v>26</v>
      </c>
      <c r="G99" s="8" t="s">
        <v>57</v>
      </c>
      <c r="H99" s="4" t="s">
        <v>43</v>
      </c>
      <c r="I99" s="5">
        <v>1</v>
      </c>
      <c r="J99" s="8" t="s">
        <v>16</v>
      </c>
      <c r="K99" s="4" t="s">
        <v>43</v>
      </c>
      <c r="L99" s="5">
        <v>1</v>
      </c>
      <c r="M99" s="8" t="s">
        <v>34</v>
      </c>
      <c r="N99" s="4"/>
      <c r="O99" s="5">
        <v>1</v>
      </c>
      <c r="P99" s="8"/>
      <c r="Q99" s="4"/>
      <c r="R99" s="5"/>
      <c r="W99" s="67" t="s">
        <v>129</v>
      </c>
      <c r="X99" s="68" t="s">
        <v>130</v>
      </c>
      <c r="Y99" s="69">
        <v>1271.97</v>
      </c>
      <c r="Z99" t="str">
        <f>IF(AND(Tabla1[[#This Row],[nudo inicial]]=Tabla3[[#This Row],[n1]],Tabla1[[#This Row],[nudo final]]=Tabla3[[#This Row],[n2]],Tabla1[[#This Row],[longitud]]=Tabla3[[#This Row],[long]]),"si","no")</f>
        <v>si</v>
      </c>
    </row>
    <row r="100" spans="2:26" ht="15.75" x14ac:dyDescent="0.25">
      <c r="B100" t="s">
        <v>77</v>
      </c>
      <c r="C100" t="s">
        <v>131</v>
      </c>
      <c r="D100" s="19">
        <f>831.39+204.8</f>
        <v>1036.19</v>
      </c>
      <c r="E100" s="3" t="s">
        <v>30</v>
      </c>
      <c r="F100" s="3" t="s">
        <v>28</v>
      </c>
      <c r="G100" s="8"/>
      <c r="H100" s="4"/>
      <c r="I100" s="5"/>
      <c r="J100" s="8"/>
      <c r="K100" s="4"/>
      <c r="L100" s="5"/>
      <c r="M100" s="8"/>
      <c r="N100" s="4"/>
      <c r="O100" s="5"/>
      <c r="P100" s="8"/>
      <c r="Q100" s="4"/>
      <c r="R100" s="5"/>
      <c r="W100" s="67" t="s">
        <v>77</v>
      </c>
      <c r="X100" s="68" t="s">
        <v>131</v>
      </c>
      <c r="Y100" s="69">
        <v>1036.19</v>
      </c>
      <c r="Z100" t="str">
        <f>IF(AND(Tabla1[[#This Row],[nudo inicial]]=Tabla3[[#This Row],[n1]],Tabla1[[#This Row],[nudo final]]=Tabla3[[#This Row],[n2]],Tabla1[[#This Row],[longitud]]=Tabla3[[#This Row],[long]]),"si","no")</f>
        <v>si</v>
      </c>
    </row>
    <row r="101" spans="2:26" ht="15.75" x14ac:dyDescent="0.25">
      <c r="B101" t="s">
        <v>132</v>
      </c>
      <c r="C101" t="s">
        <v>71</v>
      </c>
      <c r="D101" s="19">
        <v>242</v>
      </c>
      <c r="E101" s="3" t="s">
        <v>30</v>
      </c>
      <c r="F101" s="3" t="s">
        <v>25</v>
      </c>
      <c r="G101" s="8" t="s">
        <v>57</v>
      </c>
      <c r="H101" s="4"/>
      <c r="I101" s="5"/>
      <c r="J101" s="8"/>
      <c r="K101" s="4"/>
      <c r="L101" s="5"/>
      <c r="M101" s="8"/>
      <c r="N101" s="4"/>
      <c r="O101" s="5"/>
      <c r="P101" s="8"/>
      <c r="Q101" s="4"/>
      <c r="R101" s="5"/>
      <c r="W101" s="67" t="s">
        <v>132</v>
      </c>
      <c r="X101" s="68" t="s">
        <v>71</v>
      </c>
      <c r="Y101" s="69">
        <v>242</v>
      </c>
      <c r="Z101" t="str">
        <f>IF(AND(Tabla1[[#This Row],[nudo inicial]]=Tabla3[[#This Row],[n1]],Tabla1[[#This Row],[nudo final]]=Tabla3[[#This Row],[n2]],Tabla1[[#This Row],[longitud]]=Tabla3[[#This Row],[long]]),"si","no")</f>
        <v>si</v>
      </c>
    </row>
    <row r="102" spans="2:26" ht="15.75" x14ac:dyDescent="0.25">
      <c r="B102" t="s">
        <v>132</v>
      </c>
      <c r="C102" t="s">
        <v>133</v>
      </c>
      <c r="D102" s="19">
        <v>302.12</v>
      </c>
      <c r="E102" s="3" t="s">
        <v>126</v>
      </c>
      <c r="F102" s="3" t="s">
        <v>27</v>
      </c>
      <c r="G102" s="8" t="s">
        <v>58</v>
      </c>
      <c r="H102" s="4" t="s">
        <v>55</v>
      </c>
      <c r="I102" s="5">
        <v>1</v>
      </c>
      <c r="J102" s="8" t="s">
        <v>15</v>
      </c>
      <c r="K102" s="4" t="s">
        <v>126</v>
      </c>
      <c r="L102" s="5">
        <v>1</v>
      </c>
      <c r="M102" s="8" t="s">
        <v>32</v>
      </c>
      <c r="N102" s="4" t="s">
        <v>126</v>
      </c>
      <c r="O102" s="5">
        <v>1</v>
      </c>
      <c r="P102" s="8" t="s">
        <v>19</v>
      </c>
      <c r="Q102" s="4" t="s">
        <v>126</v>
      </c>
      <c r="R102" s="5">
        <v>1</v>
      </c>
      <c r="S102" t="s">
        <v>16</v>
      </c>
      <c r="T102" t="s">
        <v>126</v>
      </c>
      <c r="U102">
        <v>1</v>
      </c>
      <c r="W102" s="67" t="s">
        <v>132</v>
      </c>
      <c r="X102" s="68" t="s">
        <v>133</v>
      </c>
      <c r="Y102" s="69">
        <v>302.12</v>
      </c>
      <c r="Z102" t="str">
        <f>IF(AND(Tabla1[[#This Row],[nudo inicial]]=Tabla3[[#This Row],[n1]],Tabla1[[#This Row],[nudo final]]=Tabla3[[#This Row],[n2]],Tabla1[[#This Row],[longitud]]=Tabla3[[#This Row],[long]]),"si","no")</f>
        <v>si</v>
      </c>
    </row>
    <row r="103" spans="2:26" ht="15.75" x14ac:dyDescent="0.25">
      <c r="B103" t="s">
        <v>133</v>
      </c>
      <c r="C103" t="s">
        <v>134</v>
      </c>
      <c r="D103" s="19">
        <v>735.52</v>
      </c>
      <c r="E103" s="3" t="s">
        <v>23</v>
      </c>
      <c r="F103" s="3" t="s">
        <v>25</v>
      </c>
      <c r="G103" s="8" t="s">
        <v>15</v>
      </c>
      <c r="H103" s="4" t="s">
        <v>23</v>
      </c>
      <c r="I103" s="5">
        <v>1</v>
      </c>
      <c r="J103" s="8" t="s">
        <v>18</v>
      </c>
      <c r="K103" s="4" t="s">
        <v>23</v>
      </c>
      <c r="L103" s="5">
        <v>1</v>
      </c>
      <c r="M103" s="8"/>
      <c r="N103" s="4"/>
      <c r="O103" s="5"/>
      <c r="P103" s="8"/>
      <c r="Q103" s="4"/>
      <c r="R103" s="5"/>
      <c r="W103" s="67" t="s">
        <v>133</v>
      </c>
      <c r="X103" s="68" t="s">
        <v>134</v>
      </c>
      <c r="Y103" s="69">
        <v>735.52</v>
      </c>
      <c r="Z103" t="str">
        <f>IF(AND(Tabla1[[#This Row],[nudo inicial]]=Tabla3[[#This Row],[n1]],Tabla1[[#This Row],[nudo final]]=Tabla3[[#This Row],[n2]],Tabla1[[#This Row],[longitud]]=Tabla3[[#This Row],[long]]),"si","no")</f>
        <v>si</v>
      </c>
    </row>
    <row r="104" spans="2:26" ht="47.25" x14ac:dyDescent="0.25">
      <c r="B104" t="s">
        <v>134</v>
      </c>
      <c r="C104" t="s">
        <v>135</v>
      </c>
      <c r="D104" s="19">
        <v>64.400000000000006</v>
      </c>
      <c r="E104" s="3" t="s">
        <v>23</v>
      </c>
      <c r="F104" s="3" t="s">
        <v>25</v>
      </c>
      <c r="G104" s="8" t="s">
        <v>58</v>
      </c>
      <c r="H104" s="4" t="s">
        <v>23</v>
      </c>
      <c r="I104" s="5">
        <v>1</v>
      </c>
      <c r="J104" s="8"/>
      <c r="K104" s="4"/>
      <c r="L104" s="5"/>
      <c r="M104" s="8"/>
      <c r="N104" s="4"/>
      <c r="O104" s="5"/>
      <c r="P104" s="8"/>
      <c r="Q104" s="4"/>
      <c r="R104" s="5"/>
      <c r="W104" s="67" t="s">
        <v>134</v>
      </c>
      <c r="X104" s="68" t="s">
        <v>135</v>
      </c>
      <c r="Y104" s="69">
        <v>64.400000000000006</v>
      </c>
      <c r="Z104" t="str">
        <f>IF(AND(Tabla1[[#This Row],[nudo inicial]]=Tabla3[[#This Row],[n1]],Tabla1[[#This Row],[nudo final]]=Tabla3[[#This Row],[n2]],Tabla1[[#This Row],[longitud]]=Tabla3[[#This Row],[long]]),"si","no")</f>
        <v>si</v>
      </c>
    </row>
    <row r="105" spans="2:26" ht="31.5" x14ac:dyDescent="0.25">
      <c r="B105" t="s">
        <v>134</v>
      </c>
      <c r="C105" t="s">
        <v>136</v>
      </c>
      <c r="D105" s="19">
        <v>2379.85</v>
      </c>
      <c r="E105" s="3" t="s">
        <v>23</v>
      </c>
      <c r="F105" s="3" t="s">
        <v>25</v>
      </c>
      <c r="G105" s="8" t="s">
        <v>57</v>
      </c>
      <c r="H105" s="4" t="s">
        <v>23</v>
      </c>
      <c r="I105" s="5">
        <v>1</v>
      </c>
      <c r="J105" s="8" t="s">
        <v>16</v>
      </c>
      <c r="K105" s="4" t="s">
        <v>23</v>
      </c>
      <c r="L105" s="5">
        <v>2</v>
      </c>
      <c r="M105" s="8"/>
      <c r="N105" s="4"/>
      <c r="O105" s="5"/>
      <c r="P105" s="8"/>
      <c r="Q105" s="4"/>
      <c r="R105" s="5"/>
      <c r="W105" s="67" t="s">
        <v>134</v>
      </c>
      <c r="X105" s="68" t="s">
        <v>136</v>
      </c>
      <c r="Y105" s="69">
        <v>2379.85</v>
      </c>
      <c r="Z105" t="str">
        <f>IF(AND(Tabla1[[#This Row],[nudo inicial]]=Tabla3[[#This Row],[n1]],Tabla1[[#This Row],[nudo final]]=Tabla3[[#This Row],[n2]],Tabla1[[#This Row],[longitud]]=Tabla3[[#This Row],[long]]),"si","no")</f>
        <v>si</v>
      </c>
    </row>
    <row r="106" spans="2:26" ht="31.5" x14ac:dyDescent="0.25">
      <c r="B106" t="s">
        <v>388</v>
      </c>
      <c r="C106" t="s">
        <v>137</v>
      </c>
      <c r="D106" s="19">
        <v>980.04</v>
      </c>
      <c r="E106" s="3" t="s">
        <v>41</v>
      </c>
      <c r="F106" s="3" t="s">
        <v>25</v>
      </c>
      <c r="G106" s="8" t="s">
        <v>19</v>
      </c>
      <c r="H106" s="4" t="s">
        <v>41</v>
      </c>
      <c r="I106" s="5">
        <v>1</v>
      </c>
      <c r="J106" s="8"/>
      <c r="K106" s="4"/>
      <c r="L106" s="5"/>
      <c r="M106" s="8"/>
      <c r="N106" s="4"/>
      <c r="O106" s="5"/>
      <c r="P106" s="8"/>
      <c r="Q106" s="4"/>
      <c r="R106" s="5"/>
      <c r="W106" s="67" t="s">
        <v>388</v>
      </c>
      <c r="X106" s="68" t="s">
        <v>137</v>
      </c>
      <c r="Y106" s="69">
        <v>980.04</v>
      </c>
      <c r="Z106" t="str">
        <f>IF(AND(Tabla1[[#This Row],[nudo inicial]]=Tabla3[[#This Row],[n1]],Tabla1[[#This Row],[nudo final]]=Tabla3[[#This Row],[n2]],Tabla1[[#This Row],[longitud]]=Tabla3[[#This Row],[long]]),"si","no")</f>
        <v>si</v>
      </c>
    </row>
    <row r="107" spans="2:26" ht="15.75" x14ac:dyDescent="0.25">
      <c r="B107" t="s">
        <v>129</v>
      </c>
      <c r="C107" t="s">
        <v>138</v>
      </c>
      <c r="D107" s="19">
        <v>8.56</v>
      </c>
      <c r="E107" s="3" t="s">
        <v>53</v>
      </c>
      <c r="F107" s="3" t="s">
        <v>26</v>
      </c>
      <c r="G107" s="8" t="s">
        <v>58</v>
      </c>
      <c r="H107" s="4" t="s">
        <v>43</v>
      </c>
      <c r="I107" s="5">
        <v>1</v>
      </c>
      <c r="J107" s="8" t="s">
        <v>15</v>
      </c>
      <c r="K107" s="4" t="s">
        <v>53</v>
      </c>
      <c r="L107" s="5">
        <v>1</v>
      </c>
      <c r="M107" s="8"/>
      <c r="N107" s="4"/>
      <c r="O107" s="5"/>
      <c r="P107" s="8"/>
      <c r="Q107" s="4"/>
      <c r="R107" s="5"/>
      <c r="W107" s="67" t="s">
        <v>129</v>
      </c>
      <c r="X107" s="68" t="s">
        <v>138</v>
      </c>
      <c r="Y107" s="69">
        <v>8.56</v>
      </c>
      <c r="Z107" t="str">
        <f>IF(AND(Tabla1[[#This Row],[nudo inicial]]=Tabla3[[#This Row],[n1]],Tabla1[[#This Row],[nudo final]]=Tabla3[[#This Row],[n2]],Tabla1[[#This Row],[longitud]]=Tabla3[[#This Row],[long]]),"si","no")</f>
        <v>si</v>
      </c>
    </row>
    <row r="108" spans="2:26" ht="15.75" x14ac:dyDescent="0.25">
      <c r="B108" t="s">
        <v>138</v>
      </c>
      <c r="C108" t="s">
        <v>139</v>
      </c>
      <c r="D108" s="19">
        <v>103.22</v>
      </c>
      <c r="E108" s="3" t="s">
        <v>53</v>
      </c>
      <c r="F108" s="3" t="s">
        <v>25</v>
      </c>
      <c r="G108" s="8" t="s">
        <v>32</v>
      </c>
      <c r="H108" s="4" t="s">
        <v>53</v>
      </c>
      <c r="I108" s="5">
        <v>1</v>
      </c>
      <c r="J108" s="8"/>
      <c r="K108" s="4"/>
      <c r="L108" s="5"/>
      <c r="M108" s="8"/>
      <c r="N108" s="4"/>
      <c r="O108" s="5"/>
      <c r="P108" s="8"/>
      <c r="Q108" s="4"/>
      <c r="R108" s="5"/>
      <c r="W108" s="67" t="s">
        <v>138</v>
      </c>
      <c r="X108" s="68" t="s">
        <v>139</v>
      </c>
      <c r="Y108" s="69">
        <v>103.22</v>
      </c>
      <c r="Z108" t="str">
        <f>IF(AND(Tabla1[[#This Row],[nudo inicial]]=Tabla3[[#This Row],[n1]],Tabla1[[#This Row],[nudo final]]=Tabla3[[#This Row],[n2]],Tabla1[[#This Row],[longitud]]=Tabla3[[#This Row],[long]]),"si","no")</f>
        <v>si</v>
      </c>
    </row>
    <row r="109" spans="2:26" ht="15.75" x14ac:dyDescent="0.25">
      <c r="B109" t="s">
        <v>139</v>
      </c>
      <c r="C109" t="s">
        <v>140</v>
      </c>
      <c r="D109" s="19">
        <v>164.61</v>
      </c>
      <c r="E109" s="3" t="s">
        <v>53</v>
      </c>
      <c r="F109" s="3" t="s">
        <v>25</v>
      </c>
      <c r="G109" s="8" t="s">
        <v>58</v>
      </c>
      <c r="H109" s="4" t="s">
        <v>53</v>
      </c>
      <c r="I109" s="5">
        <v>1</v>
      </c>
      <c r="J109" s="8" t="s">
        <v>16</v>
      </c>
      <c r="K109" s="4" t="s">
        <v>53</v>
      </c>
      <c r="L109" s="5">
        <v>3</v>
      </c>
      <c r="M109" s="8"/>
      <c r="N109" s="4"/>
      <c r="O109" s="5"/>
      <c r="P109" s="8"/>
      <c r="Q109" s="4"/>
      <c r="R109" s="5"/>
      <c r="W109" s="67" t="s">
        <v>139</v>
      </c>
      <c r="X109" s="68" t="s">
        <v>140</v>
      </c>
      <c r="Y109" s="69">
        <v>164.61</v>
      </c>
      <c r="Z109" t="str">
        <f>IF(AND(Tabla1[[#This Row],[nudo inicial]]=Tabla3[[#This Row],[n1]],Tabla1[[#This Row],[nudo final]]=Tabla3[[#This Row],[n2]],Tabla1[[#This Row],[longitud]]=Tabla3[[#This Row],[long]]),"si","no")</f>
        <v>si</v>
      </c>
    </row>
    <row r="110" spans="2:26" ht="15.75" x14ac:dyDescent="0.25">
      <c r="B110" t="s">
        <v>140</v>
      </c>
      <c r="C110" t="s">
        <v>141</v>
      </c>
      <c r="D110" s="19">
        <v>35.14</v>
      </c>
      <c r="E110" s="3" t="s">
        <v>53</v>
      </c>
      <c r="F110" s="3" t="s">
        <v>25</v>
      </c>
      <c r="G110" s="8" t="s">
        <v>57</v>
      </c>
      <c r="H110" s="4" t="s">
        <v>53</v>
      </c>
      <c r="I110" s="5">
        <v>1</v>
      </c>
      <c r="J110" s="8" t="s">
        <v>17</v>
      </c>
      <c r="K110" s="4" t="s">
        <v>53</v>
      </c>
      <c r="L110" s="5">
        <v>1</v>
      </c>
      <c r="M110" s="8"/>
      <c r="N110" s="4"/>
      <c r="O110" s="5"/>
      <c r="P110" s="8"/>
      <c r="Q110" s="4"/>
      <c r="R110" s="5"/>
      <c r="W110" s="67" t="s">
        <v>140</v>
      </c>
      <c r="X110" s="68" t="s">
        <v>141</v>
      </c>
      <c r="Y110" s="69">
        <v>35.14</v>
      </c>
      <c r="Z110" t="str">
        <f>IF(AND(Tabla1[[#This Row],[nudo inicial]]=Tabla3[[#This Row],[n1]],Tabla1[[#This Row],[nudo final]]=Tabla3[[#This Row],[n2]],Tabla1[[#This Row],[longitud]]=Tabla3[[#This Row],[long]]),"si","no")</f>
        <v>si</v>
      </c>
    </row>
    <row r="111" spans="2:26" ht="15.75" x14ac:dyDescent="0.25">
      <c r="B111" t="s">
        <v>140</v>
      </c>
      <c r="C111" t="s">
        <v>142</v>
      </c>
      <c r="D111" s="19">
        <v>35.07</v>
      </c>
      <c r="E111" s="3" t="s">
        <v>53</v>
      </c>
      <c r="F111" s="3" t="s">
        <v>25</v>
      </c>
      <c r="G111" s="8" t="s">
        <v>58</v>
      </c>
      <c r="H111" s="4" t="s">
        <v>53</v>
      </c>
      <c r="I111" s="5">
        <v>1</v>
      </c>
      <c r="J111" s="8" t="s">
        <v>17</v>
      </c>
      <c r="K111" s="4" t="s">
        <v>53</v>
      </c>
      <c r="L111" s="5">
        <v>1</v>
      </c>
      <c r="M111" s="8"/>
      <c r="N111" s="4"/>
      <c r="O111" s="5"/>
      <c r="P111" s="8"/>
      <c r="Q111" s="4"/>
      <c r="R111" s="5"/>
      <c r="W111" s="67" t="s">
        <v>140</v>
      </c>
      <c r="X111" s="68" t="s">
        <v>142</v>
      </c>
      <c r="Y111" s="69">
        <v>35.07</v>
      </c>
      <c r="Z111" t="str">
        <f>IF(AND(Tabla1[[#This Row],[nudo inicial]]=Tabla3[[#This Row],[n1]],Tabla1[[#This Row],[nudo final]]=Tabla3[[#This Row],[n2]],Tabla1[[#This Row],[longitud]]=Tabla3[[#This Row],[long]]),"si","no")</f>
        <v>si</v>
      </c>
    </row>
    <row r="112" spans="2:26" ht="15.75" x14ac:dyDescent="0.25">
      <c r="B112" t="s">
        <v>139</v>
      </c>
      <c r="C112" t="s">
        <v>143</v>
      </c>
      <c r="D112" s="19">
        <v>11.3</v>
      </c>
      <c r="E112" s="3" t="s">
        <v>53</v>
      </c>
      <c r="F112" s="3" t="s">
        <v>25</v>
      </c>
      <c r="G112" s="8" t="s">
        <v>58</v>
      </c>
      <c r="H112" s="4" t="s">
        <v>53</v>
      </c>
      <c r="I112" s="5">
        <v>1</v>
      </c>
      <c r="J112" s="8" t="s">
        <v>32</v>
      </c>
      <c r="K112" s="4" t="s">
        <v>53</v>
      </c>
      <c r="L112" s="5">
        <v>1</v>
      </c>
      <c r="M112" s="8"/>
      <c r="N112" s="4"/>
      <c r="O112" s="5"/>
      <c r="P112" s="8"/>
      <c r="Q112" s="4"/>
      <c r="R112" s="5"/>
      <c r="W112" s="67" t="s">
        <v>139</v>
      </c>
      <c r="X112" s="68" t="s">
        <v>143</v>
      </c>
      <c r="Y112" s="69">
        <v>11.3</v>
      </c>
      <c r="Z112" t="str">
        <f>IF(AND(Tabla1[[#This Row],[nudo inicial]]=Tabla3[[#This Row],[n1]],Tabla1[[#This Row],[nudo final]]=Tabla3[[#This Row],[n2]],Tabla1[[#This Row],[longitud]]=Tabla3[[#This Row],[long]]),"si","no")</f>
        <v>si</v>
      </c>
    </row>
    <row r="113" spans="2:26" ht="15.75" x14ac:dyDescent="0.25">
      <c r="B113" t="s">
        <v>143</v>
      </c>
      <c r="C113" t="s">
        <v>144</v>
      </c>
      <c r="D113" s="19">
        <v>59.56</v>
      </c>
      <c r="E113" s="3" t="s">
        <v>53</v>
      </c>
      <c r="F113" s="3" t="s">
        <v>25</v>
      </c>
      <c r="G113" s="8" t="s">
        <v>58</v>
      </c>
      <c r="H113" s="4" t="s">
        <v>53</v>
      </c>
      <c r="I113" s="5">
        <v>1</v>
      </c>
      <c r="J113" s="8" t="s">
        <v>17</v>
      </c>
      <c r="K113" s="4" t="s">
        <v>53</v>
      </c>
      <c r="L113" s="5">
        <v>1</v>
      </c>
      <c r="M113" s="8"/>
      <c r="N113" s="4"/>
      <c r="O113" s="5"/>
      <c r="P113" s="8"/>
      <c r="Q113" s="4"/>
      <c r="R113" s="5"/>
      <c r="W113" s="67" t="s">
        <v>143</v>
      </c>
      <c r="X113" s="68" t="s">
        <v>144</v>
      </c>
      <c r="Y113" s="69">
        <v>59.56</v>
      </c>
      <c r="Z113" t="str">
        <f>IF(AND(Tabla1[[#This Row],[nudo inicial]]=Tabla3[[#This Row],[n1]],Tabla1[[#This Row],[nudo final]]=Tabla3[[#This Row],[n2]],Tabla1[[#This Row],[longitud]]=Tabla3[[#This Row],[long]]),"si","no")</f>
        <v>si</v>
      </c>
    </row>
    <row r="114" spans="2:26" ht="15.75" x14ac:dyDescent="0.25">
      <c r="B114" t="s">
        <v>143</v>
      </c>
      <c r="C114" t="s">
        <v>145</v>
      </c>
      <c r="D114" s="19">
        <v>43.62</v>
      </c>
      <c r="E114" s="3" t="s">
        <v>53</v>
      </c>
      <c r="F114" s="3" t="s">
        <v>25</v>
      </c>
      <c r="G114" s="8" t="s">
        <v>57</v>
      </c>
      <c r="H114" s="4" t="s">
        <v>53</v>
      </c>
      <c r="I114" s="5">
        <v>1</v>
      </c>
      <c r="J114" s="8"/>
      <c r="K114" s="4"/>
      <c r="L114" s="5"/>
      <c r="M114" s="8"/>
      <c r="N114" s="4"/>
      <c r="O114" s="5"/>
      <c r="P114" s="8"/>
      <c r="Q114" s="4"/>
      <c r="R114" s="5"/>
      <c r="W114" s="67" t="s">
        <v>143</v>
      </c>
      <c r="X114" s="68" t="s">
        <v>145</v>
      </c>
      <c r="Y114" s="69">
        <v>43.62</v>
      </c>
      <c r="Z114" t="str">
        <f>IF(AND(Tabla1[[#This Row],[nudo inicial]]=Tabla3[[#This Row],[n1]],Tabla1[[#This Row],[nudo final]]=Tabla3[[#This Row],[n2]],Tabla1[[#This Row],[longitud]]=Tabla3[[#This Row],[long]]),"si","no")</f>
        <v>si</v>
      </c>
    </row>
    <row r="115" spans="2:26" ht="15.75" x14ac:dyDescent="0.25">
      <c r="B115" t="s">
        <v>145</v>
      </c>
      <c r="C115" t="s">
        <v>146</v>
      </c>
      <c r="D115" s="19">
        <v>50.02</v>
      </c>
      <c r="E115" s="3" t="s">
        <v>53</v>
      </c>
      <c r="F115" s="3" t="s">
        <v>25</v>
      </c>
      <c r="G115" s="8" t="s">
        <v>58</v>
      </c>
      <c r="H115" s="4" t="s">
        <v>53</v>
      </c>
      <c r="I115" s="5">
        <v>1</v>
      </c>
      <c r="J115" s="8" t="s">
        <v>17</v>
      </c>
      <c r="K115" s="4" t="s">
        <v>53</v>
      </c>
      <c r="L115" s="5"/>
      <c r="M115" s="8"/>
      <c r="N115" s="4"/>
      <c r="O115" s="5"/>
      <c r="P115" s="8"/>
      <c r="Q115" s="4"/>
      <c r="R115" s="5"/>
      <c r="W115" s="67" t="s">
        <v>145</v>
      </c>
      <c r="X115" s="68" t="s">
        <v>146</v>
      </c>
      <c r="Y115" s="69">
        <v>50.02</v>
      </c>
      <c r="Z115" t="str">
        <f>IF(AND(Tabla1[[#This Row],[nudo inicial]]=Tabla3[[#This Row],[n1]],Tabla1[[#This Row],[nudo final]]=Tabla3[[#This Row],[n2]],Tabla1[[#This Row],[longitud]]=Tabla3[[#This Row],[long]]),"si","no")</f>
        <v>si</v>
      </c>
    </row>
    <row r="116" spans="2:26" ht="15.75" x14ac:dyDescent="0.25">
      <c r="B116" t="s">
        <v>145</v>
      </c>
      <c r="C116" t="s">
        <v>147</v>
      </c>
      <c r="D116" s="19">
        <v>44</v>
      </c>
      <c r="E116" s="3" t="s">
        <v>53</v>
      </c>
      <c r="F116" s="3" t="s">
        <v>25</v>
      </c>
      <c r="G116" s="8" t="s">
        <v>57</v>
      </c>
      <c r="H116" s="4" t="s">
        <v>53</v>
      </c>
      <c r="I116" s="5">
        <v>1</v>
      </c>
      <c r="J116" s="8"/>
      <c r="K116" s="4"/>
      <c r="L116" s="5"/>
      <c r="M116" s="8"/>
      <c r="N116" s="4"/>
      <c r="O116" s="5"/>
      <c r="P116" s="8"/>
      <c r="Q116" s="4"/>
      <c r="R116" s="5"/>
      <c r="W116" s="67" t="s">
        <v>145</v>
      </c>
      <c r="X116" s="68" t="s">
        <v>147</v>
      </c>
      <c r="Y116" s="69">
        <v>44</v>
      </c>
      <c r="Z116" t="str">
        <f>IF(AND(Tabla1[[#This Row],[nudo inicial]]=Tabla3[[#This Row],[n1]],Tabla1[[#This Row],[nudo final]]=Tabla3[[#This Row],[n2]],Tabla1[[#This Row],[longitud]]=Tabla3[[#This Row],[long]]),"si","no")</f>
        <v>si</v>
      </c>
    </row>
    <row r="117" spans="2:26" ht="15.75" x14ac:dyDescent="0.25">
      <c r="B117" t="s">
        <v>147</v>
      </c>
      <c r="C117" t="s">
        <v>148</v>
      </c>
      <c r="D117" s="19">
        <v>71.45</v>
      </c>
      <c r="E117" s="3" t="s">
        <v>53</v>
      </c>
      <c r="F117" s="3" t="s">
        <v>25</v>
      </c>
      <c r="G117" s="8" t="s">
        <v>57</v>
      </c>
      <c r="H117" s="4" t="s">
        <v>53</v>
      </c>
      <c r="I117" s="5">
        <v>1</v>
      </c>
      <c r="J117" s="8" t="s">
        <v>17</v>
      </c>
      <c r="K117" s="4" t="s">
        <v>53</v>
      </c>
      <c r="L117" s="5">
        <v>1</v>
      </c>
      <c r="M117" s="8"/>
      <c r="N117" s="4"/>
      <c r="O117" s="5"/>
      <c r="P117" s="8"/>
      <c r="Q117" s="4"/>
      <c r="R117" s="5"/>
      <c r="W117" s="67" t="s">
        <v>147</v>
      </c>
      <c r="X117" s="68" t="s">
        <v>148</v>
      </c>
      <c r="Y117" s="69">
        <v>71.45</v>
      </c>
      <c r="Z117" t="str">
        <f>IF(AND(Tabla1[[#This Row],[nudo inicial]]=Tabla3[[#This Row],[n1]],Tabla1[[#This Row],[nudo final]]=Tabla3[[#This Row],[n2]],Tabla1[[#This Row],[longitud]]=Tabla3[[#This Row],[long]]),"si","no")</f>
        <v>si</v>
      </c>
    </row>
    <row r="118" spans="2:26" ht="15.75" x14ac:dyDescent="0.25">
      <c r="B118" t="s">
        <v>147</v>
      </c>
      <c r="C118" t="s">
        <v>149</v>
      </c>
      <c r="D118" s="19">
        <v>17.36</v>
      </c>
      <c r="E118" s="3" t="s">
        <v>53</v>
      </c>
      <c r="F118" s="3" t="s">
        <v>25</v>
      </c>
      <c r="G118" s="8" t="s">
        <v>58</v>
      </c>
      <c r="H118" s="4" t="s">
        <v>53</v>
      </c>
      <c r="I118" s="5">
        <v>1</v>
      </c>
      <c r="J118" s="8" t="s">
        <v>32</v>
      </c>
      <c r="K118" s="4" t="s">
        <v>53</v>
      </c>
      <c r="L118" s="5">
        <v>1</v>
      </c>
      <c r="M118" s="8"/>
      <c r="N118" s="4"/>
      <c r="O118" s="5"/>
      <c r="P118" s="8"/>
      <c r="Q118" s="4"/>
      <c r="R118" s="5"/>
      <c r="W118" s="67" t="s">
        <v>147</v>
      </c>
      <c r="X118" s="68" t="s">
        <v>149</v>
      </c>
      <c r="Y118" s="69">
        <v>17.36</v>
      </c>
      <c r="Z118" t="str">
        <f>IF(AND(Tabla1[[#This Row],[nudo inicial]]=Tabla3[[#This Row],[n1]],Tabla1[[#This Row],[nudo final]]=Tabla3[[#This Row],[n2]],Tabla1[[#This Row],[longitud]]=Tabla3[[#This Row],[long]]),"si","no")</f>
        <v>si</v>
      </c>
    </row>
    <row r="119" spans="2:26" ht="15.75" x14ac:dyDescent="0.25">
      <c r="B119" t="s">
        <v>149</v>
      </c>
      <c r="C119" t="s">
        <v>150</v>
      </c>
      <c r="D119" s="19">
        <v>76.17</v>
      </c>
      <c r="E119" s="3" t="s">
        <v>53</v>
      </c>
      <c r="F119" s="3" t="s">
        <v>25</v>
      </c>
      <c r="G119" s="8" t="s">
        <v>57</v>
      </c>
      <c r="H119" s="4" t="s">
        <v>53</v>
      </c>
      <c r="I119" s="5">
        <v>1</v>
      </c>
      <c r="J119" s="8" t="s">
        <v>17</v>
      </c>
      <c r="K119" s="4" t="s">
        <v>53</v>
      </c>
      <c r="L119" s="5">
        <v>1</v>
      </c>
      <c r="M119" s="8"/>
      <c r="N119" s="4"/>
      <c r="O119" s="5"/>
      <c r="P119" s="8"/>
      <c r="Q119" s="4"/>
      <c r="R119" s="5"/>
      <c r="W119" s="67" t="s">
        <v>149</v>
      </c>
      <c r="X119" s="68" t="s">
        <v>150</v>
      </c>
      <c r="Y119" s="69">
        <v>76.17</v>
      </c>
      <c r="Z119" t="str">
        <f>IF(AND(Tabla1[[#This Row],[nudo inicial]]=Tabla3[[#This Row],[n1]],Tabla1[[#This Row],[nudo final]]=Tabla3[[#This Row],[n2]],Tabla1[[#This Row],[longitud]]=Tabla3[[#This Row],[long]]),"si","no")</f>
        <v>si</v>
      </c>
    </row>
    <row r="120" spans="2:26" ht="15.75" x14ac:dyDescent="0.25">
      <c r="B120" t="s">
        <v>149</v>
      </c>
      <c r="C120" t="s">
        <v>151</v>
      </c>
      <c r="D120" s="19">
        <v>18.09</v>
      </c>
      <c r="E120" s="3" t="s">
        <v>53</v>
      </c>
      <c r="F120" s="3" t="s">
        <v>25</v>
      </c>
      <c r="G120" s="8" t="s">
        <v>58</v>
      </c>
      <c r="H120" s="4" t="s">
        <v>53</v>
      </c>
      <c r="I120" s="5">
        <v>1</v>
      </c>
      <c r="J120" s="8"/>
      <c r="K120" s="4"/>
      <c r="L120" s="5"/>
      <c r="M120" s="8"/>
      <c r="N120" s="4"/>
      <c r="O120" s="5"/>
      <c r="P120" s="8"/>
      <c r="Q120" s="4"/>
      <c r="R120" s="5"/>
      <c r="W120" s="67" t="s">
        <v>149</v>
      </c>
      <c r="X120" s="68" t="s">
        <v>151</v>
      </c>
      <c r="Y120" s="69">
        <v>18.09</v>
      </c>
      <c r="Z120" t="str">
        <f>IF(AND(Tabla1[[#This Row],[nudo inicial]]=Tabla3[[#This Row],[n1]],Tabla1[[#This Row],[nudo final]]=Tabla3[[#This Row],[n2]],Tabla1[[#This Row],[longitud]]=Tabla3[[#This Row],[long]]),"si","no")</f>
        <v>si</v>
      </c>
    </row>
    <row r="121" spans="2:26" ht="15.75" x14ac:dyDescent="0.25">
      <c r="B121" t="s">
        <v>151</v>
      </c>
      <c r="C121" t="s">
        <v>152</v>
      </c>
      <c r="D121" s="19">
        <v>78.680000000000007</v>
      </c>
      <c r="E121" s="3" t="s">
        <v>53</v>
      </c>
      <c r="F121" s="3" t="s">
        <v>25</v>
      </c>
      <c r="G121" s="8" t="s">
        <v>58</v>
      </c>
      <c r="H121" s="4" t="s">
        <v>53</v>
      </c>
      <c r="I121" s="5">
        <v>1</v>
      </c>
      <c r="J121" s="8" t="s">
        <v>17</v>
      </c>
      <c r="K121" s="4" t="s">
        <v>53</v>
      </c>
      <c r="L121" s="5">
        <v>1</v>
      </c>
      <c r="M121" s="8"/>
      <c r="N121" s="4"/>
      <c r="O121" s="5"/>
      <c r="P121" s="8"/>
      <c r="Q121" s="4"/>
      <c r="R121" s="5"/>
      <c r="W121" s="67" t="s">
        <v>151</v>
      </c>
      <c r="X121" s="68" t="s">
        <v>152</v>
      </c>
      <c r="Y121" s="69">
        <v>78.680000000000007</v>
      </c>
      <c r="Z121" t="str">
        <f>IF(AND(Tabla1[[#This Row],[nudo inicial]]=Tabla3[[#This Row],[n1]],Tabla1[[#This Row],[nudo final]]=Tabla3[[#This Row],[n2]],Tabla1[[#This Row],[longitud]]=Tabla3[[#This Row],[long]]),"si","no")</f>
        <v>si</v>
      </c>
    </row>
    <row r="122" spans="2:26" ht="15.75" x14ac:dyDescent="0.25">
      <c r="B122" t="s">
        <v>151</v>
      </c>
      <c r="C122" t="s">
        <v>153</v>
      </c>
      <c r="D122" s="19">
        <v>93.48</v>
      </c>
      <c r="E122" s="3" t="s">
        <v>53</v>
      </c>
      <c r="F122" s="3" t="s">
        <v>25</v>
      </c>
      <c r="G122" s="8" t="s">
        <v>57</v>
      </c>
      <c r="H122" s="4" t="s">
        <v>53</v>
      </c>
      <c r="I122" s="5">
        <v>1</v>
      </c>
      <c r="J122" s="8" t="s">
        <v>16</v>
      </c>
      <c r="K122" s="4" t="s">
        <v>53</v>
      </c>
      <c r="L122" s="5">
        <v>1</v>
      </c>
      <c r="M122" s="8" t="s">
        <v>17</v>
      </c>
      <c r="N122" s="4" t="s">
        <v>53</v>
      </c>
      <c r="O122" s="5">
        <v>1</v>
      </c>
      <c r="P122" s="8"/>
      <c r="Q122" s="4"/>
      <c r="R122" s="5"/>
      <c r="W122" s="67" t="s">
        <v>151</v>
      </c>
      <c r="X122" s="68" t="s">
        <v>153</v>
      </c>
      <c r="Y122" s="69">
        <v>93.48</v>
      </c>
      <c r="Z122" t="str">
        <f>IF(AND(Tabla1[[#This Row],[nudo inicial]]=Tabla3[[#This Row],[n1]],Tabla1[[#This Row],[nudo final]]=Tabla3[[#This Row],[n2]],Tabla1[[#This Row],[longitud]]=Tabla3[[#This Row],[long]]),"si","no")</f>
        <v>si</v>
      </c>
    </row>
    <row r="123" spans="2:26" ht="15.75" x14ac:dyDescent="0.25">
      <c r="B123" t="s">
        <v>149</v>
      </c>
      <c r="C123" t="s">
        <v>154</v>
      </c>
      <c r="D123" s="19">
        <v>47.82</v>
      </c>
      <c r="E123" s="3" t="s">
        <v>53</v>
      </c>
      <c r="F123" s="3" t="s">
        <v>25</v>
      </c>
      <c r="G123" s="8" t="s">
        <v>58</v>
      </c>
      <c r="H123" s="4" t="s">
        <v>53</v>
      </c>
      <c r="I123" s="5">
        <v>1</v>
      </c>
      <c r="J123" s="8" t="s">
        <v>16</v>
      </c>
      <c r="K123" s="4" t="s">
        <v>53</v>
      </c>
      <c r="L123" s="5">
        <v>3</v>
      </c>
      <c r="M123" s="8"/>
      <c r="N123" s="4"/>
      <c r="O123" s="5"/>
      <c r="P123" s="8"/>
      <c r="Q123" s="4"/>
      <c r="R123" s="5"/>
      <c r="W123" s="67" t="s">
        <v>149</v>
      </c>
      <c r="X123" s="68" t="s">
        <v>154</v>
      </c>
      <c r="Y123" s="69">
        <v>47.82</v>
      </c>
      <c r="Z123" t="str">
        <f>IF(AND(Tabla1[[#This Row],[nudo inicial]]=Tabla3[[#This Row],[n1]],Tabla1[[#This Row],[nudo final]]=Tabla3[[#This Row],[n2]],Tabla1[[#This Row],[longitud]]=Tabla3[[#This Row],[long]]),"si","no")</f>
        <v>si</v>
      </c>
    </row>
    <row r="124" spans="2:26" ht="15.75" x14ac:dyDescent="0.25">
      <c r="B124" t="s">
        <v>154</v>
      </c>
      <c r="C124" t="s">
        <v>155</v>
      </c>
      <c r="D124" s="19">
        <v>18.73</v>
      </c>
      <c r="E124" s="3" t="s">
        <v>53</v>
      </c>
      <c r="F124" s="3" t="s">
        <v>25</v>
      </c>
      <c r="G124" s="8" t="s">
        <v>58</v>
      </c>
      <c r="H124" s="4" t="s">
        <v>53</v>
      </c>
      <c r="I124" s="5">
        <v>1</v>
      </c>
      <c r="J124" s="8" t="s">
        <v>17</v>
      </c>
      <c r="K124" s="4" t="s">
        <v>53</v>
      </c>
      <c r="L124" s="5">
        <v>1</v>
      </c>
      <c r="M124" s="8"/>
      <c r="N124" s="4"/>
      <c r="O124" s="5"/>
      <c r="P124" s="8"/>
      <c r="Q124" s="4"/>
      <c r="R124" s="5"/>
      <c r="W124" s="67" t="s">
        <v>154</v>
      </c>
      <c r="X124" s="68" t="s">
        <v>155</v>
      </c>
      <c r="Y124" s="69">
        <v>18.73</v>
      </c>
      <c r="Z124" t="str">
        <f>IF(AND(Tabla1[[#This Row],[nudo inicial]]=Tabla3[[#This Row],[n1]],Tabla1[[#This Row],[nudo final]]=Tabla3[[#This Row],[n2]],Tabla1[[#This Row],[longitud]]=Tabla3[[#This Row],[long]]),"si","no")</f>
        <v>si</v>
      </c>
    </row>
    <row r="125" spans="2:26" ht="15.75" x14ac:dyDescent="0.25">
      <c r="B125" t="s">
        <v>154</v>
      </c>
      <c r="C125" t="s">
        <v>156</v>
      </c>
      <c r="D125" s="19">
        <v>52.94</v>
      </c>
      <c r="E125" s="3" t="s">
        <v>53</v>
      </c>
      <c r="F125" s="3" t="s">
        <v>25</v>
      </c>
      <c r="G125" s="8" t="s">
        <v>57</v>
      </c>
      <c r="H125" s="4" t="s">
        <v>53</v>
      </c>
      <c r="I125" s="5">
        <v>1</v>
      </c>
      <c r="J125" s="8" t="s">
        <v>17</v>
      </c>
      <c r="K125" s="4" t="s">
        <v>53</v>
      </c>
      <c r="L125" s="5">
        <v>1</v>
      </c>
      <c r="M125" s="8"/>
      <c r="N125" s="4"/>
      <c r="O125" s="5"/>
      <c r="P125" s="8"/>
      <c r="Q125" s="4"/>
      <c r="R125" s="5"/>
      <c r="W125" s="67" t="s">
        <v>154</v>
      </c>
      <c r="X125" s="68" t="s">
        <v>156</v>
      </c>
      <c r="Y125" s="69">
        <v>52.94</v>
      </c>
      <c r="Z125" t="str">
        <f>IF(AND(Tabla1[[#This Row],[nudo inicial]]=Tabla3[[#This Row],[n1]],Tabla1[[#This Row],[nudo final]]=Tabla3[[#This Row],[n2]],Tabla1[[#This Row],[longitud]]=Tabla3[[#This Row],[long]]),"si","no")</f>
        <v>si</v>
      </c>
    </row>
    <row r="126" spans="2:26" ht="15.75" x14ac:dyDescent="0.25">
      <c r="B126" t="s">
        <v>121</v>
      </c>
      <c r="C126" t="s">
        <v>157</v>
      </c>
      <c r="D126" s="19">
        <v>112.52</v>
      </c>
      <c r="E126" s="3" t="s">
        <v>23</v>
      </c>
      <c r="F126" s="3" t="s">
        <v>28</v>
      </c>
      <c r="G126" s="8" t="s">
        <v>57</v>
      </c>
      <c r="H126" s="4" t="s">
        <v>23</v>
      </c>
      <c r="I126" s="5">
        <v>1</v>
      </c>
      <c r="J126" s="8"/>
      <c r="K126" s="4"/>
      <c r="L126" s="5"/>
      <c r="M126" s="8"/>
      <c r="N126" s="4"/>
      <c r="O126" s="5"/>
      <c r="P126" s="8"/>
      <c r="Q126" s="4"/>
      <c r="R126" s="5"/>
      <c r="W126" s="67" t="s">
        <v>121</v>
      </c>
      <c r="X126" s="68" t="s">
        <v>157</v>
      </c>
      <c r="Y126" s="69">
        <v>112.52</v>
      </c>
      <c r="Z126" t="str">
        <f>IF(AND(Tabla1[[#This Row],[nudo inicial]]=Tabla3[[#This Row],[n1]],Tabla1[[#This Row],[nudo final]]=Tabla3[[#This Row],[n2]],Tabla1[[#This Row],[longitud]]=Tabla3[[#This Row],[long]]),"si","no")</f>
        <v>si</v>
      </c>
    </row>
    <row r="127" spans="2:26" ht="15.75" x14ac:dyDescent="0.25">
      <c r="B127" t="s">
        <v>157</v>
      </c>
      <c r="C127" t="s">
        <v>158</v>
      </c>
      <c r="D127" s="19">
        <v>43.89</v>
      </c>
      <c r="E127" s="3" t="s">
        <v>23</v>
      </c>
      <c r="F127" s="3" t="s">
        <v>25</v>
      </c>
      <c r="G127" s="8" t="s">
        <v>58</v>
      </c>
      <c r="H127" s="4" t="s">
        <v>23</v>
      </c>
      <c r="I127" s="5">
        <v>1</v>
      </c>
      <c r="J127" s="8" t="s">
        <v>32</v>
      </c>
      <c r="K127" s="4" t="s">
        <v>23</v>
      </c>
      <c r="L127" s="5">
        <v>1</v>
      </c>
      <c r="M127" s="8"/>
      <c r="N127" s="4"/>
      <c r="O127" s="5"/>
      <c r="P127" s="8"/>
      <c r="Q127" s="4"/>
      <c r="R127" s="5"/>
      <c r="W127" s="67" t="s">
        <v>157</v>
      </c>
      <c r="X127" s="68" t="s">
        <v>158</v>
      </c>
      <c r="Y127" s="69">
        <v>43.89</v>
      </c>
      <c r="Z127" t="str">
        <f>IF(AND(Tabla1[[#This Row],[nudo inicial]]=Tabla3[[#This Row],[n1]],Tabla1[[#This Row],[nudo final]]=Tabla3[[#This Row],[n2]],Tabla1[[#This Row],[longitud]]=Tabla3[[#This Row],[long]]),"si","no")</f>
        <v>si</v>
      </c>
    </row>
    <row r="128" spans="2:26" ht="15.75" x14ac:dyDescent="0.25">
      <c r="B128" t="s">
        <v>158</v>
      </c>
      <c r="C128" t="s">
        <v>159</v>
      </c>
      <c r="D128" s="19">
        <v>30.69</v>
      </c>
      <c r="E128" s="3" t="s">
        <v>23</v>
      </c>
      <c r="F128" s="3" t="s">
        <v>25</v>
      </c>
      <c r="G128" s="8" t="s">
        <v>58</v>
      </c>
      <c r="H128" s="4" t="s">
        <v>23</v>
      </c>
      <c r="I128" s="5">
        <v>1</v>
      </c>
      <c r="J128" s="8" t="s">
        <v>16</v>
      </c>
      <c r="K128" s="4" t="s">
        <v>23</v>
      </c>
      <c r="L128" s="5">
        <v>1</v>
      </c>
      <c r="M128" s="8" t="s">
        <v>17</v>
      </c>
      <c r="N128" s="4" t="s">
        <v>23</v>
      </c>
      <c r="O128" s="5"/>
      <c r="P128" s="8"/>
      <c r="Q128" s="4"/>
      <c r="R128" s="5"/>
      <c r="W128" s="67" t="s">
        <v>158</v>
      </c>
      <c r="X128" s="68" t="s">
        <v>159</v>
      </c>
      <c r="Y128" s="69">
        <v>30.69</v>
      </c>
      <c r="Z128" t="str">
        <f>IF(AND(Tabla1[[#This Row],[nudo inicial]]=Tabla3[[#This Row],[n1]],Tabla1[[#This Row],[nudo final]]=Tabla3[[#This Row],[n2]],Tabla1[[#This Row],[longitud]]=Tabla3[[#This Row],[long]]),"si","no")</f>
        <v>si</v>
      </c>
    </row>
    <row r="129" spans="2:26" ht="15.75" x14ac:dyDescent="0.25">
      <c r="B129" t="s">
        <v>158</v>
      </c>
      <c r="C129" t="s">
        <v>160</v>
      </c>
      <c r="D129" s="19">
        <v>18.73</v>
      </c>
      <c r="E129" s="3" t="s">
        <v>23</v>
      </c>
      <c r="F129" s="3" t="s">
        <v>25</v>
      </c>
      <c r="G129" s="8" t="s">
        <v>57</v>
      </c>
      <c r="H129" s="4" t="s">
        <v>23</v>
      </c>
      <c r="I129" s="5">
        <v>1</v>
      </c>
      <c r="J129" s="8" t="s">
        <v>17</v>
      </c>
      <c r="K129" s="4" t="s">
        <v>23</v>
      </c>
      <c r="L129" s="5">
        <v>1</v>
      </c>
      <c r="M129" s="8"/>
      <c r="N129" s="4"/>
      <c r="O129" s="5"/>
      <c r="P129" s="8"/>
      <c r="Q129" s="4"/>
      <c r="R129" s="5"/>
      <c r="W129" s="67" t="s">
        <v>158</v>
      </c>
      <c r="X129" s="68" t="s">
        <v>160</v>
      </c>
      <c r="Y129" s="69">
        <v>18.73</v>
      </c>
      <c r="Z129" t="str">
        <f>IF(AND(Tabla1[[#This Row],[nudo inicial]]=Tabla3[[#This Row],[n1]],Tabla1[[#This Row],[nudo final]]=Tabla3[[#This Row],[n2]],Tabla1[[#This Row],[longitud]]=Tabla3[[#This Row],[long]]),"si","no")</f>
        <v>si</v>
      </c>
    </row>
    <row r="130" spans="2:26" ht="15.75" x14ac:dyDescent="0.25">
      <c r="B130" t="s">
        <v>131</v>
      </c>
      <c r="C130" t="s">
        <v>161</v>
      </c>
      <c r="D130" s="19">
        <v>30.29</v>
      </c>
      <c r="E130" s="3" t="s">
        <v>126</v>
      </c>
      <c r="F130" s="3" t="s">
        <v>28</v>
      </c>
      <c r="G130" s="8" t="s">
        <v>58</v>
      </c>
      <c r="H130" s="4" t="s">
        <v>30</v>
      </c>
      <c r="I130" s="5">
        <v>1</v>
      </c>
      <c r="J130" s="8" t="s">
        <v>15</v>
      </c>
      <c r="K130" s="4" t="s">
        <v>126</v>
      </c>
      <c r="L130" s="5">
        <v>1</v>
      </c>
      <c r="M130" s="8" t="s">
        <v>32</v>
      </c>
      <c r="N130" s="4" t="s">
        <v>126</v>
      </c>
      <c r="O130" s="5">
        <v>1</v>
      </c>
      <c r="P130" s="8"/>
      <c r="Q130" s="4"/>
      <c r="R130" s="5"/>
      <c r="W130" s="67" t="s">
        <v>131</v>
      </c>
      <c r="X130" s="68" t="s">
        <v>161</v>
      </c>
      <c r="Y130" s="69">
        <v>30.29</v>
      </c>
      <c r="Z130" t="str">
        <f>IF(AND(Tabla1[[#This Row],[nudo inicial]]=Tabla3[[#This Row],[n1]],Tabla1[[#This Row],[nudo final]]=Tabla3[[#This Row],[n2]],Tabla1[[#This Row],[longitud]]=Tabla3[[#This Row],[long]]),"si","no")</f>
        <v>si</v>
      </c>
    </row>
    <row r="131" spans="2:26" ht="15.75" x14ac:dyDescent="0.25">
      <c r="B131" t="s">
        <v>161</v>
      </c>
      <c r="C131" t="s">
        <v>162</v>
      </c>
      <c r="D131" s="19">
        <v>71.48</v>
      </c>
      <c r="E131" s="3" t="s">
        <v>53</v>
      </c>
      <c r="F131" s="3" t="s">
        <v>25</v>
      </c>
      <c r="G131" s="8" t="s">
        <v>58</v>
      </c>
      <c r="H131" s="4" t="s">
        <v>126</v>
      </c>
      <c r="I131" s="5">
        <v>1</v>
      </c>
      <c r="J131" s="8" t="s">
        <v>15</v>
      </c>
      <c r="K131" s="4" t="s">
        <v>53</v>
      </c>
      <c r="L131" s="5">
        <v>1</v>
      </c>
      <c r="M131" s="8" t="s">
        <v>32</v>
      </c>
      <c r="N131" s="4" t="s">
        <v>53</v>
      </c>
      <c r="O131" s="5">
        <v>1</v>
      </c>
      <c r="P131" s="8" t="s">
        <v>16</v>
      </c>
      <c r="Q131" s="4" t="s">
        <v>53</v>
      </c>
      <c r="R131" s="5">
        <v>2</v>
      </c>
      <c r="W131" s="67" t="s">
        <v>161</v>
      </c>
      <c r="X131" s="68" t="s">
        <v>162</v>
      </c>
      <c r="Y131" s="69">
        <v>71.48</v>
      </c>
      <c r="Z131" t="str">
        <f>IF(AND(Tabla1[[#This Row],[nudo inicial]]=Tabla3[[#This Row],[n1]],Tabla1[[#This Row],[nudo final]]=Tabla3[[#This Row],[n2]],Tabla1[[#This Row],[longitud]]=Tabla3[[#This Row],[long]]),"si","no")</f>
        <v>si</v>
      </c>
    </row>
    <row r="132" spans="2:26" ht="15.75" x14ac:dyDescent="0.25">
      <c r="B132" t="s">
        <v>162</v>
      </c>
      <c r="C132" t="s">
        <v>163</v>
      </c>
      <c r="D132" s="19">
        <v>19.079999999999998</v>
      </c>
      <c r="E132" s="3" t="s">
        <v>53</v>
      </c>
      <c r="F132" s="3" t="s">
        <v>25</v>
      </c>
      <c r="G132" s="8" t="s">
        <v>57</v>
      </c>
      <c r="H132" s="4" t="s">
        <v>53</v>
      </c>
      <c r="I132" s="5">
        <v>1</v>
      </c>
      <c r="J132" s="8" t="s">
        <v>17</v>
      </c>
      <c r="K132" s="4" t="s">
        <v>53</v>
      </c>
      <c r="L132" s="5">
        <v>1</v>
      </c>
      <c r="M132" s="8"/>
      <c r="N132" s="4"/>
      <c r="O132" s="5"/>
      <c r="P132" s="8"/>
      <c r="Q132" s="4"/>
      <c r="R132" s="5"/>
      <c r="W132" s="67" t="s">
        <v>162</v>
      </c>
      <c r="X132" s="68" t="s">
        <v>163</v>
      </c>
      <c r="Y132" s="69">
        <v>19.079999999999998</v>
      </c>
      <c r="Z132" t="str">
        <f>IF(AND(Tabla1[[#This Row],[nudo inicial]]=Tabla3[[#This Row],[n1]],Tabla1[[#This Row],[nudo final]]=Tabla3[[#This Row],[n2]],Tabla1[[#This Row],[longitud]]=Tabla3[[#This Row],[long]]),"si","no")</f>
        <v>si</v>
      </c>
    </row>
    <row r="133" spans="2:26" ht="15.75" x14ac:dyDescent="0.25">
      <c r="B133" t="s">
        <v>162</v>
      </c>
      <c r="C133" t="s">
        <v>164</v>
      </c>
      <c r="D133" s="19">
        <v>49.76</v>
      </c>
      <c r="E133" s="3" t="s">
        <v>53</v>
      </c>
      <c r="F133" s="3" t="s">
        <v>25</v>
      </c>
      <c r="G133" s="8" t="s">
        <v>58</v>
      </c>
      <c r="H133" s="4" t="s">
        <v>53</v>
      </c>
      <c r="I133" s="5">
        <v>1</v>
      </c>
      <c r="J133" s="8" t="s">
        <v>17</v>
      </c>
      <c r="K133" s="4" t="s">
        <v>53</v>
      </c>
      <c r="L133" s="5">
        <v>1</v>
      </c>
      <c r="M133" s="8"/>
      <c r="N133" s="4"/>
      <c r="O133" s="5"/>
      <c r="P133" s="8"/>
      <c r="Q133" s="4"/>
      <c r="R133" s="5"/>
      <c r="W133" s="67" t="s">
        <v>162</v>
      </c>
      <c r="X133" s="68" t="s">
        <v>164</v>
      </c>
      <c r="Y133" s="69">
        <v>49.76</v>
      </c>
      <c r="Z133" t="str">
        <f>IF(AND(Tabla1[[#This Row],[nudo inicial]]=Tabla3[[#This Row],[n1]],Tabla1[[#This Row],[nudo final]]=Tabla3[[#This Row],[n2]],Tabla1[[#This Row],[longitud]]=Tabla3[[#This Row],[long]]),"si","no")</f>
        <v>si</v>
      </c>
    </row>
    <row r="134" spans="2:26" ht="15.75" x14ac:dyDescent="0.25">
      <c r="B134" t="s">
        <v>161</v>
      </c>
      <c r="C134" t="s">
        <v>157</v>
      </c>
      <c r="D134" s="19">
        <v>26.27</v>
      </c>
      <c r="E134" s="3" t="s">
        <v>126</v>
      </c>
      <c r="F134" s="3" t="s">
        <v>28</v>
      </c>
      <c r="G134" s="8" t="s">
        <v>57</v>
      </c>
      <c r="H134" s="4" t="s">
        <v>126</v>
      </c>
      <c r="I134" s="5">
        <v>1</v>
      </c>
      <c r="J134" s="8"/>
      <c r="K134" s="4"/>
      <c r="L134" s="5"/>
      <c r="M134" s="8"/>
      <c r="N134" s="4"/>
      <c r="O134" s="5"/>
      <c r="P134" s="8"/>
      <c r="Q134" s="4"/>
      <c r="R134" s="5"/>
      <c r="W134" s="67" t="s">
        <v>161</v>
      </c>
      <c r="X134" s="68" t="s">
        <v>157</v>
      </c>
      <c r="Y134" s="69">
        <v>26.27</v>
      </c>
      <c r="Z134" t="str">
        <f>IF(AND(Tabla1[[#This Row],[nudo inicial]]=Tabla3[[#This Row],[n1]],Tabla1[[#This Row],[nudo final]]=Tabla3[[#This Row],[n2]],Tabla1[[#This Row],[longitud]]=Tabla3[[#This Row],[long]]),"si","no")</f>
        <v>si</v>
      </c>
    </row>
    <row r="135" spans="2:26" ht="15.75" x14ac:dyDescent="0.25">
      <c r="B135" t="s">
        <v>131</v>
      </c>
      <c r="C135" t="s">
        <v>165</v>
      </c>
      <c r="D135" s="19">
        <v>169.41</v>
      </c>
      <c r="E135" s="3" t="s">
        <v>30</v>
      </c>
      <c r="F135" s="3" t="s">
        <v>28</v>
      </c>
      <c r="G135" s="8" t="s">
        <v>58</v>
      </c>
      <c r="H135" s="4" t="s">
        <v>30</v>
      </c>
      <c r="I135" s="5">
        <v>1</v>
      </c>
      <c r="J135" s="8" t="s">
        <v>32</v>
      </c>
      <c r="K135" s="4" t="s">
        <v>30</v>
      </c>
      <c r="L135" s="5">
        <v>1</v>
      </c>
      <c r="M135" s="8"/>
      <c r="N135" s="4"/>
      <c r="O135" s="5"/>
      <c r="P135" s="8"/>
      <c r="Q135" s="4"/>
      <c r="R135" s="5"/>
      <c r="W135" s="67" t="s">
        <v>131</v>
      </c>
      <c r="X135" s="68" t="s">
        <v>165</v>
      </c>
      <c r="Y135" s="69">
        <v>169.41</v>
      </c>
      <c r="Z135" t="str">
        <f>IF(AND(Tabla1[[#This Row],[nudo inicial]]=Tabla3[[#This Row],[n1]],Tabla1[[#This Row],[nudo final]]=Tabla3[[#This Row],[n2]],Tabla1[[#This Row],[longitud]]=Tabla3[[#This Row],[long]]),"si","no")</f>
        <v>si</v>
      </c>
    </row>
    <row r="136" spans="2:26" ht="15.75" x14ac:dyDescent="0.25">
      <c r="B136" t="s">
        <v>165</v>
      </c>
      <c r="C136" t="s">
        <v>166</v>
      </c>
      <c r="D136" s="19">
        <v>85.1</v>
      </c>
      <c r="E136" s="3" t="s">
        <v>23</v>
      </c>
      <c r="F136" s="3" t="s">
        <v>25</v>
      </c>
      <c r="G136" s="8" t="s">
        <v>58</v>
      </c>
      <c r="H136" s="4" t="s">
        <v>30</v>
      </c>
      <c r="I136" s="5">
        <v>1</v>
      </c>
      <c r="J136" s="8" t="s">
        <v>15</v>
      </c>
      <c r="K136" s="4" t="s">
        <v>23</v>
      </c>
      <c r="L136" s="5">
        <v>1</v>
      </c>
      <c r="M136" s="8"/>
      <c r="N136" s="4"/>
      <c r="O136" s="5"/>
      <c r="P136" s="8"/>
      <c r="Q136" s="4"/>
      <c r="R136" s="5"/>
      <c r="W136" s="67" t="s">
        <v>165</v>
      </c>
      <c r="X136" s="68" t="s">
        <v>166</v>
      </c>
      <c r="Y136" s="69">
        <v>85.1</v>
      </c>
      <c r="Z136" t="str">
        <f>IF(AND(Tabla1[[#This Row],[nudo inicial]]=Tabla3[[#This Row],[n1]],Tabla1[[#This Row],[nudo final]]=Tabla3[[#This Row],[n2]],Tabla1[[#This Row],[longitud]]=Tabla3[[#This Row],[long]]),"si","no")</f>
        <v>si</v>
      </c>
    </row>
    <row r="137" spans="2:26" ht="15.75" x14ac:dyDescent="0.25">
      <c r="B137" t="s">
        <v>166</v>
      </c>
      <c r="C137" t="s">
        <v>167</v>
      </c>
      <c r="D137" s="19">
        <v>151.55000000000001</v>
      </c>
      <c r="E137" s="3" t="s">
        <v>53</v>
      </c>
      <c r="F137" s="3" t="s">
        <v>25</v>
      </c>
      <c r="G137" s="8" t="s">
        <v>57</v>
      </c>
      <c r="H137" s="4" t="s">
        <v>23</v>
      </c>
      <c r="I137" s="5">
        <v>1</v>
      </c>
      <c r="J137" s="8" t="s">
        <v>15</v>
      </c>
      <c r="K137" s="4" t="s">
        <v>53</v>
      </c>
      <c r="L137" s="5">
        <v>1</v>
      </c>
      <c r="M137" s="8" t="s">
        <v>32</v>
      </c>
      <c r="N137" s="4" t="s">
        <v>53</v>
      </c>
      <c r="O137" s="5"/>
      <c r="P137" s="8"/>
      <c r="Q137" s="4"/>
      <c r="R137" s="5"/>
      <c r="W137" s="67" t="s">
        <v>166</v>
      </c>
      <c r="X137" s="68" t="s">
        <v>167</v>
      </c>
      <c r="Y137" s="69">
        <v>151.55000000000001</v>
      </c>
      <c r="Z137" t="str">
        <f>IF(AND(Tabla1[[#This Row],[nudo inicial]]=Tabla3[[#This Row],[n1]],Tabla1[[#This Row],[nudo final]]=Tabla3[[#This Row],[n2]],Tabla1[[#This Row],[longitud]]=Tabla3[[#This Row],[long]]),"si","no")</f>
        <v>si</v>
      </c>
    </row>
    <row r="138" spans="2:26" ht="15.75" x14ac:dyDescent="0.25">
      <c r="B138" t="s">
        <v>167</v>
      </c>
      <c r="C138" t="s">
        <v>168</v>
      </c>
      <c r="D138" s="19">
        <v>50.6</v>
      </c>
      <c r="E138" s="3" t="s">
        <v>53</v>
      </c>
      <c r="F138" s="3" t="s">
        <v>25</v>
      </c>
      <c r="G138" s="8" t="s">
        <v>58</v>
      </c>
      <c r="H138" s="4" t="s">
        <v>53</v>
      </c>
      <c r="I138" s="5">
        <v>1</v>
      </c>
      <c r="J138" s="8" t="s">
        <v>17</v>
      </c>
      <c r="K138" s="4" t="s">
        <v>53</v>
      </c>
      <c r="L138" s="5">
        <v>1</v>
      </c>
      <c r="M138" s="8"/>
      <c r="N138" s="4"/>
      <c r="O138" s="5"/>
      <c r="P138" s="8"/>
      <c r="Q138" s="4"/>
      <c r="R138" s="5"/>
      <c r="W138" s="67" t="s">
        <v>167</v>
      </c>
      <c r="X138" s="68" t="s">
        <v>168</v>
      </c>
      <c r="Y138" s="69">
        <v>50.6</v>
      </c>
      <c r="Z138" t="str">
        <f>IF(AND(Tabla1[[#This Row],[nudo inicial]]=Tabla3[[#This Row],[n1]],Tabla1[[#This Row],[nudo final]]=Tabla3[[#This Row],[n2]],Tabla1[[#This Row],[longitud]]=Tabla3[[#This Row],[long]]),"si","no")</f>
        <v>si</v>
      </c>
    </row>
    <row r="139" spans="2:26" ht="15.75" x14ac:dyDescent="0.25">
      <c r="B139" t="s">
        <v>167</v>
      </c>
      <c r="C139" t="s">
        <v>169</v>
      </c>
      <c r="D139" s="19">
        <v>66.7</v>
      </c>
      <c r="E139" s="3" t="s">
        <v>53</v>
      </c>
      <c r="F139" s="3" t="s">
        <v>25</v>
      </c>
      <c r="G139" s="8" t="s">
        <v>58</v>
      </c>
      <c r="H139" s="4" t="s">
        <v>53</v>
      </c>
      <c r="I139" s="5">
        <v>1</v>
      </c>
      <c r="J139" s="8" t="s">
        <v>17</v>
      </c>
      <c r="K139" s="4" t="s">
        <v>53</v>
      </c>
      <c r="L139" s="5">
        <v>1</v>
      </c>
      <c r="M139" s="8"/>
      <c r="N139" s="4"/>
      <c r="O139" s="5"/>
      <c r="P139" s="8"/>
      <c r="Q139" s="4"/>
      <c r="R139" s="5"/>
      <c r="W139" s="67" t="s">
        <v>167</v>
      </c>
      <c r="X139" s="68" t="s">
        <v>169</v>
      </c>
      <c r="Y139" s="69">
        <v>66.7</v>
      </c>
      <c r="Z139" t="str">
        <f>IF(AND(Tabla1[[#This Row],[nudo inicial]]=Tabla3[[#This Row],[n1]],Tabla1[[#This Row],[nudo final]]=Tabla3[[#This Row],[n2]],Tabla1[[#This Row],[longitud]]=Tabla3[[#This Row],[long]]),"si","no")</f>
        <v>si</v>
      </c>
    </row>
    <row r="140" spans="2:26" ht="15.75" x14ac:dyDescent="0.25">
      <c r="B140" t="s">
        <v>166</v>
      </c>
      <c r="C140" t="s">
        <v>170</v>
      </c>
      <c r="D140" s="19">
        <v>107.51</v>
      </c>
      <c r="E140" s="3" t="s">
        <v>23</v>
      </c>
      <c r="F140" s="3" t="s">
        <v>25</v>
      </c>
      <c r="G140" s="8" t="s">
        <v>58</v>
      </c>
      <c r="H140" s="4" t="s">
        <v>23</v>
      </c>
      <c r="I140" s="5">
        <v>1</v>
      </c>
      <c r="J140" s="8"/>
      <c r="K140" s="4"/>
      <c r="L140" s="5"/>
      <c r="M140" s="8"/>
      <c r="N140" s="4"/>
      <c r="O140" s="5"/>
      <c r="P140" s="8"/>
      <c r="Q140" s="4"/>
      <c r="R140" s="5"/>
      <c r="W140" s="67" t="s">
        <v>166</v>
      </c>
      <c r="X140" s="68" t="s">
        <v>170</v>
      </c>
      <c r="Y140" s="69">
        <v>107.51</v>
      </c>
      <c r="Z140" t="str">
        <f>IF(AND(Tabla1[[#This Row],[nudo inicial]]=Tabla3[[#This Row],[n1]],Tabla1[[#This Row],[nudo final]]=Tabla3[[#This Row],[n2]],Tabla1[[#This Row],[longitud]]=Tabla3[[#This Row],[long]]),"si","no")</f>
        <v>si</v>
      </c>
    </row>
    <row r="141" spans="2:26" ht="15.75" x14ac:dyDescent="0.25">
      <c r="B141" t="s">
        <v>170</v>
      </c>
      <c r="C141" t="s">
        <v>171</v>
      </c>
      <c r="D141" s="19">
        <v>71.98</v>
      </c>
      <c r="E141" s="3" t="s">
        <v>23</v>
      </c>
      <c r="F141" s="3" t="s">
        <v>25</v>
      </c>
      <c r="G141" s="8" t="s">
        <v>58</v>
      </c>
      <c r="H141" s="4" t="s">
        <v>23</v>
      </c>
      <c r="I141" s="5">
        <v>1</v>
      </c>
      <c r="J141" s="8"/>
      <c r="K141" s="4"/>
      <c r="L141" s="5"/>
      <c r="M141" s="8"/>
      <c r="N141" s="4"/>
      <c r="O141" s="5"/>
      <c r="P141" s="8"/>
      <c r="Q141" s="4"/>
      <c r="R141" s="5"/>
      <c r="W141" s="67" t="s">
        <v>170</v>
      </c>
      <c r="X141" s="68" t="s">
        <v>171</v>
      </c>
      <c r="Y141" s="69">
        <v>71.98</v>
      </c>
      <c r="Z141" t="str">
        <f>IF(AND(Tabla1[[#This Row],[nudo inicial]]=Tabla3[[#This Row],[n1]],Tabla1[[#This Row],[nudo final]]=Tabla3[[#This Row],[n2]],Tabla1[[#This Row],[longitud]]=Tabla3[[#This Row],[long]]),"si","no")</f>
        <v>si</v>
      </c>
    </row>
    <row r="142" spans="2:26" ht="15.75" x14ac:dyDescent="0.25">
      <c r="B142" t="s">
        <v>171</v>
      </c>
      <c r="C142" t="s">
        <v>172</v>
      </c>
      <c r="D142" s="19">
        <v>121.81</v>
      </c>
      <c r="E142" s="3" t="s">
        <v>53</v>
      </c>
      <c r="F142" s="3" t="s">
        <v>25</v>
      </c>
      <c r="G142" s="8" t="s">
        <v>58</v>
      </c>
      <c r="H142" s="4" t="s">
        <v>23</v>
      </c>
      <c r="I142" s="5">
        <v>1</v>
      </c>
      <c r="J142" s="8" t="s">
        <v>15</v>
      </c>
      <c r="K142" s="4" t="s">
        <v>53</v>
      </c>
      <c r="L142" s="5">
        <v>1</v>
      </c>
      <c r="M142" s="8" t="s">
        <v>16</v>
      </c>
      <c r="N142" s="4" t="s">
        <v>53</v>
      </c>
      <c r="O142" s="5">
        <v>2</v>
      </c>
      <c r="P142" s="8" t="s">
        <v>17</v>
      </c>
      <c r="Q142" s="4" t="s">
        <v>53</v>
      </c>
      <c r="R142" s="5">
        <v>1</v>
      </c>
      <c r="W142" s="67" t="s">
        <v>171</v>
      </c>
      <c r="X142" s="68" t="s">
        <v>172</v>
      </c>
      <c r="Y142" s="69">
        <v>121.81</v>
      </c>
      <c r="Z142" t="str">
        <f>IF(AND(Tabla1[[#This Row],[nudo inicial]]=Tabla3[[#This Row],[n1]],Tabla1[[#This Row],[nudo final]]=Tabla3[[#This Row],[n2]],Tabla1[[#This Row],[longitud]]=Tabla3[[#This Row],[long]]),"si","no")</f>
        <v>si</v>
      </c>
    </row>
    <row r="143" spans="2:26" ht="15.75" x14ac:dyDescent="0.25">
      <c r="B143" t="s">
        <v>171</v>
      </c>
      <c r="C143" t="s">
        <v>173</v>
      </c>
      <c r="D143" s="19">
        <v>19.2</v>
      </c>
      <c r="E143" s="3" t="s">
        <v>23</v>
      </c>
      <c r="F143" s="3" t="s">
        <v>25</v>
      </c>
      <c r="G143" s="8" t="s">
        <v>57</v>
      </c>
      <c r="H143" s="4" t="s">
        <v>23</v>
      </c>
      <c r="I143" s="5">
        <v>1</v>
      </c>
      <c r="J143" s="8" t="s">
        <v>16</v>
      </c>
      <c r="K143" s="4" t="s">
        <v>23</v>
      </c>
      <c r="L143" s="5">
        <v>1</v>
      </c>
      <c r="M143" s="8" t="s">
        <v>17</v>
      </c>
      <c r="N143" s="4" t="s">
        <v>23</v>
      </c>
      <c r="O143" s="5">
        <v>1</v>
      </c>
      <c r="P143" s="8"/>
      <c r="Q143" s="4"/>
      <c r="R143" s="5"/>
      <c r="W143" s="67" t="s">
        <v>171</v>
      </c>
      <c r="X143" s="68" t="s">
        <v>173</v>
      </c>
      <c r="Y143" s="69">
        <v>19.2</v>
      </c>
      <c r="Z143" t="str">
        <f>IF(AND(Tabla1[[#This Row],[nudo inicial]]=Tabla3[[#This Row],[n1]],Tabla1[[#This Row],[nudo final]]=Tabla3[[#This Row],[n2]],Tabla1[[#This Row],[longitud]]=Tabla3[[#This Row],[long]]),"si","no")</f>
        <v>si</v>
      </c>
    </row>
    <row r="144" spans="2:26" ht="15.75" x14ac:dyDescent="0.25">
      <c r="B144" t="s">
        <v>174</v>
      </c>
      <c r="C144" t="s">
        <v>170</v>
      </c>
      <c r="D144" s="19">
        <v>88.58</v>
      </c>
      <c r="E144" s="3" t="s">
        <v>23</v>
      </c>
      <c r="F144" s="3" t="s">
        <v>25</v>
      </c>
      <c r="G144" s="8" t="s">
        <v>58</v>
      </c>
      <c r="H144" s="4" t="s">
        <v>30</v>
      </c>
      <c r="I144" s="5">
        <v>1</v>
      </c>
      <c r="J144" s="8" t="s">
        <v>15</v>
      </c>
      <c r="K144" s="4" t="s">
        <v>23</v>
      </c>
      <c r="L144" s="5">
        <v>1</v>
      </c>
      <c r="M144" s="8" t="s">
        <v>32</v>
      </c>
      <c r="N144" s="4" t="s">
        <v>23</v>
      </c>
      <c r="O144" s="5">
        <v>1</v>
      </c>
      <c r="P144" s="8"/>
      <c r="Q144" s="4"/>
      <c r="R144" s="5"/>
      <c r="W144" s="67" t="s">
        <v>174</v>
      </c>
      <c r="X144" s="68" t="s">
        <v>170</v>
      </c>
      <c r="Y144" s="69">
        <v>88.58</v>
      </c>
      <c r="Z144" t="str">
        <f>IF(AND(Tabla1[[#This Row],[nudo inicial]]=Tabla3[[#This Row],[n1]],Tabla1[[#This Row],[nudo final]]=Tabla3[[#This Row],[n2]],Tabla1[[#This Row],[longitud]]=Tabla3[[#This Row],[long]]),"si","no")</f>
        <v>si</v>
      </c>
    </row>
    <row r="145" spans="2:26" ht="15.75" x14ac:dyDescent="0.25">
      <c r="B145" t="s">
        <v>174</v>
      </c>
      <c r="C145" t="s">
        <v>175</v>
      </c>
      <c r="D145" s="19">
        <v>128.53</v>
      </c>
      <c r="E145" s="3" t="s">
        <v>30</v>
      </c>
      <c r="F145" s="3" t="s">
        <v>28</v>
      </c>
      <c r="G145" s="8" t="s">
        <v>57</v>
      </c>
      <c r="H145" s="4" t="s">
        <v>30</v>
      </c>
      <c r="I145" s="5">
        <v>1</v>
      </c>
      <c r="J145" s="8"/>
      <c r="K145" s="4"/>
      <c r="L145" s="5"/>
      <c r="M145" s="8"/>
      <c r="N145" s="4"/>
      <c r="O145" s="5"/>
      <c r="P145" s="8"/>
      <c r="Q145" s="4"/>
      <c r="R145" s="5"/>
      <c r="W145" s="67" t="s">
        <v>174</v>
      </c>
      <c r="X145" s="68" t="s">
        <v>175</v>
      </c>
      <c r="Y145" s="69">
        <v>128.53</v>
      </c>
      <c r="Z145" t="str">
        <f>IF(AND(Tabla1[[#This Row],[nudo inicial]]=Tabla3[[#This Row],[n1]],Tabla1[[#This Row],[nudo final]]=Tabla3[[#This Row],[n2]],Tabla1[[#This Row],[longitud]]=Tabla3[[#This Row],[long]]),"si","no")</f>
        <v>si</v>
      </c>
    </row>
    <row r="146" spans="2:26" ht="15.75" x14ac:dyDescent="0.25">
      <c r="B146" t="s">
        <v>175</v>
      </c>
      <c r="C146" t="s">
        <v>176</v>
      </c>
      <c r="D146" s="19">
        <f>66.69</f>
        <v>66.69</v>
      </c>
      <c r="E146" s="3" t="s">
        <v>53</v>
      </c>
      <c r="F146" s="3" t="s">
        <v>25</v>
      </c>
      <c r="G146" s="8" t="s">
        <v>20</v>
      </c>
      <c r="H146" s="4" t="s">
        <v>30</v>
      </c>
      <c r="I146" s="5">
        <v>1</v>
      </c>
      <c r="J146" s="8" t="s">
        <v>17</v>
      </c>
      <c r="K146" s="4" t="s">
        <v>53</v>
      </c>
      <c r="L146" s="5">
        <v>1</v>
      </c>
      <c r="M146" s="8" t="s">
        <v>15</v>
      </c>
      <c r="N146" s="4" t="s">
        <v>53</v>
      </c>
      <c r="O146" s="5">
        <v>1</v>
      </c>
      <c r="P146" s="8"/>
      <c r="Q146" s="4"/>
      <c r="R146" s="5"/>
      <c r="W146" s="67" t="s">
        <v>175</v>
      </c>
      <c r="X146" s="68" t="s">
        <v>176</v>
      </c>
      <c r="Y146" s="69">
        <v>66.69</v>
      </c>
      <c r="Z146" t="str">
        <f>IF(AND(Tabla1[[#This Row],[nudo inicial]]=Tabla3[[#This Row],[n1]],Tabla1[[#This Row],[nudo final]]=Tabla3[[#This Row],[n2]],Tabla1[[#This Row],[longitud]]=Tabla3[[#This Row],[long]]),"si","no")</f>
        <v>si</v>
      </c>
    </row>
    <row r="147" spans="2:26" ht="15.75" x14ac:dyDescent="0.25">
      <c r="B147" t="s">
        <v>175</v>
      </c>
      <c r="C147" t="s">
        <v>177</v>
      </c>
      <c r="D147" s="19">
        <v>4.25</v>
      </c>
      <c r="E147" s="3" t="s">
        <v>30</v>
      </c>
      <c r="F147" s="3" t="s">
        <v>28</v>
      </c>
      <c r="G147" s="8" t="s">
        <v>20</v>
      </c>
      <c r="H147" s="4" t="s">
        <v>30</v>
      </c>
      <c r="I147" s="5">
        <v>1</v>
      </c>
      <c r="J147" s="8"/>
      <c r="K147" s="4"/>
      <c r="L147" s="5"/>
      <c r="M147" s="8"/>
      <c r="N147" s="4"/>
      <c r="O147" s="5"/>
      <c r="P147" s="8"/>
      <c r="Q147" s="4"/>
      <c r="R147" s="5"/>
      <c r="W147" s="67" t="s">
        <v>175</v>
      </c>
      <c r="X147" s="68" t="s">
        <v>177</v>
      </c>
      <c r="Y147" s="69">
        <v>4.25</v>
      </c>
      <c r="Z147" t="str">
        <f>IF(AND(Tabla1[[#This Row],[nudo inicial]]=Tabla3[[#This Row],[n1]],Tabla1[[#This Row],[nudo final]]=Tabla3[[#This Row],[n2]],Tabla1[[#This Row],[longitud]]=Tabla3[[#This Row],[long]]),"si","no")</f>
        <v>si</v>
      </c>
    </row>
    <row r="148" spans="2:26" ht="15.75" x14ac:dyDescent="0.25">
      <c r="B148" t="s">
        <v>177</v>
      </c>
      <c r="C148" t="s">
        <v>178</v>
      </c>
      <c r="D148" s="19">
        <v>52</v>
      </c>
      <c r="E148" s="3" t="s">
        <v>23</v>
      </c>
      <c r="F148" s="3" t="s">
        <v>25</v>
      </c>
      <c r="G148" s="8" t="s">
        <v>20</v>
      </c>
      <c r="H148" s="4" t="s">
        <v>30</v>
      </c>
      <c r="I148" s="5">
        <v>1</v>
      </c>
      <c r="J148" s="8" t="s">
        <v>17</v>
      </c>
      <c r="K148" s="4" t="s">
        <v>23</v>
      </c>
      <c r="L148" s="5">
        <v>1</v>
      </c>
      <c r="M148" s="8" t="s">
        <v>15</v>
      </c>
      <c r="N148" s="4" t="s">
        <v>23</v>
      </c>
      <c r="O148" s="5">
        <v>1</v>
      </c>
      <c r="P148" s="8"/>
      <c r="Q148" s="4"/>
      <c r="R148" s="5"/>
      <c r="W148" s="67" t="s">
        <v>177</v>
      </c>
      <c r="X148" s="68" t="s">
        <v>178</v>
      </c>
      <c r="Y148" s="69">
        <v>52</v>
      </c>
      <c r="Z148" t="str">
        <f>IF(AND(Tabla1[[#This Row],[nudo inicial]]=Tabla3[[#This Row],[n1]],Tabla1[[#This Row],[nudo final]]=Tabla3[[#This Row],[n2]],Tabla1[[#This Row],[longitud]]=Tabla3[[#This Row],[long]]),"si","no")</f>
        <v>si</v>
      </c>
    </row>
    <row r="149" spans="2:26" ht="15.75" x14ac:dyDescent="0.25">
      <c r="B149" t="s">
        <v>177</v>
      </c>
      <c r="C149" t="s">
        <v>179</v>
      </c>
      <c r="D149" s="19">
        <v>161.16999999999999</v>
      </c>
      <c r="E149" s="3" t="s">
        <v>30</v>
      </c>
      <c r="F149" s="3" t="s">
        <v>28</v>
      </c>
      <c r="G149" s="8" t="s">
        <v>20</v>
      </c>
      <c r="H149" s="4" t="s">
        <v>30</v>
      </c>
      <c r="I149" s="5">
        <v>1</v>
      </c>
      <c r="J149" s="8" t="s">
        <v>19</v>
      </c>
      <c r="K149" s="4" t="s">
        <v>30</v>
      </c>
      <c r="L149" s="5">
        <v>1</v>
      </c>
      <c r="M149" s="8" t="s">
        <v>32</v>
      </c>
      <c r="N149" s="4" t="s">
        <v>30</v>
      </c>
      <c r="O149" s="5">
        <v>1</v>
      </c>
      <c r="P149" s="8"/>
      <c r="Q149" s="4"/>
      <c r="R149" s="5"/>
      <c r="W149" s="67" t="s">
        <v>177</v>
      </c>
      <c r="X149" s="68" t="s">
        <v>179</v>
      </c>
      <c r="Y149" s="69">
        <v>161.16999999999999</v>
      </c>
      <c r="Z149" t="str">
        <f>IF(AND(Tabla1[[#This Row],[nudo inicial]]=Tabla3[[#This Row],[n1]],Tabla1[[#This Row],[nudo final]]=Tabla3[[#This Row],[n2]],Tabla1[[#This Row],[longitud]]=Tabla3[[#This Row],[long]]),"si","no")</f>
        <v>si</v>
      </c>
    </row>
    <row r="150" spans="2:26" ht="15.75" x14ac:dyDescent="0.25">
      <c r="B150" t="s">
        <v>179</v>
      </c>
      <c r="C150" t="s">
        <v>180</v>
      </c>
      <c r="D150" s="19">
        <v>48.87</v>
      </c>
      <c r="E150" s="3" t="s">
        <v>53</v>
      </c>
      <c r="F150" s="3" t="s">
        <v>25</v>
      </c>
      <c r="G150" s="8" t="s">
        <v>58</v>
      </c>
      <c r="H150" s="4" t="s">
        <v>30</v>
      </c>
      <c r="I150" s="5">
        <v>1</v>
      </c>
      <c r="J150" s="8" t="s">
        <v>15</v>
      </c>
      <c r="K150" s="4" t="s">
        <v>53</v>
      </c>
      <c r="L150" s="5">
        <v>1</v>
      </c>
      <c r="M150" s="8" t="s">
        <v>17</v>
      </c>
      <c r="N150" s="4" t="s">
        <v>53</v>
      </c>
      <c r="O150" s="5">
        <v>1</v>
      </c>
      <c r="P150" s="8"/>
      <c r="Q150" s="4"/>
      <c r="R150" s="5"/>
      <c r="W150" s="67" t="s">
        <v>179</v>
      </c>
      <c r="X150" s="68" t="s">
        <v>180</v>
      </c>
      <c r="Y150" s="69">
        <v>48.87</v>
      </c>
      <c r="Z150" t="str">
        <f>IF(AND(Tabla1[[#This Row],[nudo inicial]]=Tabla3[[#This Row],[n1]],Tabla1[[#This Row],[nudo final]]=Tabla3[[#This Row],[n2]],Tabla1[[#This Row],[longitud]]=Tabla3[[#This Row],[long]]),"si","no")</f>
        <v>si</v>
      </c>
    </row>
    <row r="151" spans="2:26" ht="15.75" x14ac:dyDescent="0.25">
      <c r="B151" t="s">
        <v>179</v>
      </c>
      <c r="C151" t="s">
        <v>181</v>
      </c>
      <c r="D151" s="19">
        <v>68.87</v>
      </c>
      <c r="E151" s="3" t="s">
        <v>30</v>
      </c>
      <c r="F151" s="3" t="s">
        <v>28</v>
      </c>
      <c r="G151" s="8" t="s">
        <v>57</v>
      </c>
      <c r="H151" s="4" t="s">
        <v>30</v>
      </c>
      <c r="I151" s="5">
        <v>1</v>
      </c>
      <c r="J151" s="8"/>
      <c r="K151" s="4"/>
      <c r="L151" s="5"/>
      <c r="M151" s="8"/>
      <c r="N151" s="4"/>
      <c r="O151" s="5"/>
      <c r="P151" s="8"/>
      <c r="Q151" s="4"/>
      <c r="R151" s="5"/>
      <c r="W151" s="67" t="s">
        <v>179</v>
      </c>
      <c r="X151" s="68" t="s">
        <v>181</v>
      </c>
      <c r="Y151" s="69">
        <v>68.87</v>
      </c>
      <c r="Z151" t="str">
        <f>IF(AND(Tabla1[[#This Row],[nudo inicial]]=Tabla3[[#This Row],[n1]],Tabla1[[#This Row],[nudo final]]=Tabla3[[#This Row],[n2]],Tabla1[[#This Row],[longitud]]=Tabla3[[#This Row],[long]]),"si","no")</f>
        <v>si</v>
      </c>
    </row>
    <row r="152" spans="2:26" ht="15.75" x14ac:dyDescent="0.25">
      <c r="B152" t="s">
        <v>181</v>
      </c>
      <c r="C152" t="s">
        <v>182</v>
      </c>
      <c r="D152" s="19">
        <v>199</v>
      </c>
      <c r="E152" s="3" t="s">
        <v>30</v>
      </c>
      <c r="F152" s="3" t="s">
        <v>28</v>
      </c>
      <c r="G152" s="8" t="s">
        <v>57</v>
      </c>
      <c r="H152" s="4" t="s">
        <v>30</v>
      </c>
      <c r="I152" s="5">
        <v>1</v>
      </c>
      <c r="J152" s="8" t="s">
        <v>16</v>
      </c>
      <c r="K152" s="4" t="s">
        <v>30</v>
      </c>
      <c r="L152" s="5">
        <v>1</v>
      </c>
      <c r="M152" s="8" t="s">
        <v>32</v>
      </c>
      <c r="N152" s="4" t="s">
        <v>30</v>
      </c>
      <c r="O152" s="5">
        <v>1</v>
      </c>
      <c r="P152" s="8"/>
      <c r="Q152" s="4"/>
      <c r="R152" s="5"/>
      <c r="W152" s="67" t="s">
        <v>181</v>
      </c>
      <c r="X152" s="68" t="s">
        <v>182</v>
      </c>
      <c r="Y152" s="69">
        <v>199</v>
      </c>
      <c r="Z152" t="str">
        <f>IF(AND(Tabla1[[#This Row],[nudo inicial]]=Tabla3[[#This Row],[n1]],Tabla1[[#This Row],[nudo final]]=Tabla3[[#This Row],[n2]],Tabla1[[#This Row],[longitud]]=Tabla3[[#This Row],[long]]),"si","no")</f>
        <v>si</v>
      </c>
    </row>
    <row r="153" spans="2:26" ht="47.25" x14ac:dyDescent="0.25">
      <c r="B153" t="s">
        <v>135</v>
      </c>
      <c r="C153" t="s">
        <v>183</v>
      </c>
      <c r="D153" s="19">
        <v>554.01</v>
      </c>
      <c r="E153" s="3" t="s">
        <v>55</v>
      </c>
      <c r="F153" s="3" t="s">
        <v>25</v>
      </c>
      <c r="G153" s="8" t="s">
        <v>16</v>
      </c>
      <c r="H153" s="4" t="s">
        <v>55</v>
      </c>
      <c r="I153" s="5">
        <v>4</v>
      </c>
      <c r="J153" s="8"/>
      <c r="K153" s="4"/>
      <c r="L153" s="5"/>
      <c r="M153" s="8"/>
      <c r="N153" s="4"/>
      <c r="O153" s="5"/>
      <c r="P153" s="8"/>
      <c r="Q153" s="4"/>
      <c r="R153" s="5"/>
      <c r="W153" s="67" t="s">
        <v>135</v>
      </c>
      <c r="X153" s="68" t="s">
        <v>183</v>
      </c>
      <c r="Y153" s="69">
        <v>554.01</v>
      </c>
      <c r="Z153" t="str">
        <f>IF(AND(Tabla1[[#This Row],[nudo inicial]]=Tabla3[[#This Row],[n1]],Tabla1[[#This Row],[nudo final]]=Tabla3[[#This Row],[n2]],Tabla1[[#This Row],[longitud]]=Tabla3[[#This Row],[long]]),"si","no")</f>
        <v>si</v>
      </c>
    </row>
    <row r="154" spans="2:26" ht="15.75" x14ac:dyDescent="0.25">
      <c r="B154" t="s">
        <v>183</v>
      </c>
      <c r="C154" t="s">
        <v>184</v>
      </c>
      <c r="D154" s="19">
        <v>79.45</v>
      </c>
      <c r="E154" s="3" t="s">
        <v>126</v>
      </c>
      <c r="F154" s="3" t="s">
        <v>25</v>
      </c>
      <c r="G154" s="8"/>
      <c r="H154" s="4"/>
      <c r="I154" s="5"/>
      <c r="J154" s="8"/>
      <c r="K154" s="4"/>
      <c r="L154" s="5"/>
      <c r="M154" s="8"/>
      <c r="N154" s="4"/>
      <c r="O154" s="5"/>
      <c r="P154" s="8"/>
      <c r="Q154" s="4"/>
      <c r="R154" s="5"/>
      <c r="W154" s="67" t="s">
        <v>183</v>
      </c>
      <c r="X154" s="68" t="s">
        <v>184</v>
      </c>
      <c r="Y154" s="69">
        <v>79.45</v>
      </c>
      <c r="Z154" t="str">
        <f>IF(AND(Tabla1[[#This Row],[nudo inicial]]=Tabla3[[#This Row],[n1]],Tabla1[[#This Row],[nudo final]]=Tabla3[[#This Row],[n2]],Tabla1[[#This Row],[longitud]]=Tabla3[[#This Row],[long]]),"si","no")</f>
        <v>si</v>
      </c>
    </row>
    <row r="155" spans="2:26" ht="15.75" x14ac:dyDescent="0.25">
      <c r="B155" t="s">
        <v>184</v>
      </c>
      <c r="C155" t="s">
        <v>1220</v>
      </c>
      <c r="D155" s="19">
        <v>111.03</v>
      </c>
      <c r="E155" s="3" t="s">
        <v>53</v>
      </c>
      <c r="F155" s="3" t="s">
        <v>25</v>
      </c>
      <c r="G155" s="8" t="s">
        <v>58</v>
      </c>
      <c r="H155" s="4" t="s">
        <v>126</v>
      </c>
      <c r="I155" s="5">
        <v>1</v>
      </c>
      <c r="J155" s="8" t="s">
        <v>15</v>
      </c>
      <c r="K155" s="4" t="s">
        <v>53</v>
      </c>
      <c r="L155" s="5">
        <v>1</v>
      </c>
      <c r="M155" s="8"/>
      <c r="N155" s="4"/>
      <c r="O155" s="5"/>
      <c r="P155" s="8"/>
      <c r="Q155" s="4"/>
      <c r="R155" s="5"/>
      <c r="W155" s="67" t="s">
        <v>184</v>
      </c>
      <c r="X155" s="68" t="s">
        <v>1220</v>
      </c>
      <c r="Y155" s="69">
        <v>111.03</v>
      </c>
      <c r="Z155" t="str">
        <f>IF(AND(Tabla1[[#This Row],[nudo inicial]]=Tabla3[[#This Row],[n1]],Tabla1[[#This Row],[nudo final]]=Tabla3[[#This Row],[n2]],Tabla1[[#This Row],[longitud]]=Tabla3[[#This Row],[long]]),"si","no")</f>
        <v>si</v>
      </c>
    </row>
    <row r="156" spans="2:26" ht="15.75" x14ac:dyDescent="0.25">
      <c r="B156" t="s">
        <v>1220</v>
      </c>
      <c r="C156" t="s">
        <v>186</v>
      </c>
      <c r="D156" s="19">
        <v>49.06</v>
      </c>
      <c r="E156" s="3" t="s">
        <v>53</v>
      </c>
      <c r="F156" s="3" t="s">
        <v>25</v>
      </c>
      <c r="G156" s="8" t="s">
        <v>58</v>
      </c>
      <c r="H156" s="4" t="s">
        <v>53</v>
      </c>
      <c r="I156" s="5">
        <v>1</v>
      </c>
      <c r="J156" s="8" t="s">
        <v>17</v>
      </c>
      <c r="K156" s="4" t="s">
        <v>53</v>
      </c>
      <c r="L156" s="5">
        <v>1</v>
      </c>
      <c r="M156" s="8"/>
      <c r="N156" s="4"/>
      <c r="O156" s="5"/>
      <c r="P156" s="8"/>
      <c r="Q156" s="4"/>
      <c r="R156" s="5"/>
      <c r="W156" s="67" t="s">
        <v>1220</v>
      </c>
      <c r="X156" s="68" t="s">
        <v>186</v>
      </c>
      <c r="Y156" s="69">
        <v>49.06</v>
      </c>
      <c r="Z156" t="str">
        <f>IF(AND(Tabla1[[#This Row],[nudo inicial]]=Tabla3[[#This Row],[n1]],Tabla1[[#This Row],[nudo final]]=Tabla3[[#This Row],[n2]],Tabla1[[#This Row],[longitud]]=Tabla3[[#This Row],[long]]),"si","no")</f>
        <v>si</v>
      </c>
    </row>
    <row r="157" spans="2:26" ht="15.75" x14ac:dyDescent="0.25">
      <c r="B157" t="s">
        <v>1220</v>
      </c>
      <c r="C157" t="s">
        <v>187</v>
      </c>
      <c r="D157" s="19">
        <v>422.07</v>
      </c>
      <c r="E157" s="3" t="s">
        <v>53</v>
      </c>
      <c r="F157" s="3" t="s">
        <v>25</v>
      </c>
      <c r="G157" s="8" t="s">
        <v>58</v>
      </c>
      <c r="H157" s="4" t="s">
        <v>53</v>
      </c>
      <c r="I157" s="5">
        <v>1</v>
      </c>
      <c r="J157" s="8" t="s">
        <v>17</v>
      </c>
      <c r="K157" s="4" t="s">
        <v>53</v>
      </c>
      <c r="L157" s="5">
        <v>1</v>
      </c>
      <c r="M157" s="8"/>
      <c r="N157" s="4"/>
      <c r="O157" s="5"/>
      <c r="P157" s="8"/>
      <c r="Q157" s="4"/>
      <c r="R157" s="5"/>
      <c r="W157" s="67" t="s">
        <v>1220</v>
      </c>
      <c r="X157" s="68" t="s">
        <v>187</v>
      </c>
      <c r="Y157" s="69">
        <v>422.07</v>
      </c>
      <c r="Z157" t="str">
        <f>IF(AND(Tabla1[[#This Row],[nudo inicial]]=Tabla3[[#This Row],[n1]],Tabla1[[#This Row],[nudo final]]=Tabla3[[#This Row],[n2]],Tabla1[[#This Row],[longitud]]=Tabla3[[#This Row],[long]]),"si","no")</f>
        <v>si</v>
      </c>
    </row>
    <row r="158" spans="2:26" ht="15.75" x14ac:dyDescent="0.25">
      <c r="B158" t="s">
        <v>184</v>
      </c>
      <c r="C158" t="s">
        <v>185</v>
      </c>
      <c r="D158" s="19">
        <v>221.86</v>
      </c>
      <c r="E158" s="3" t="s">
        <v>53</v>
      </c>
      <c r="F158" s="3" t="s">
        <v>25</v>
      </c>
      <c r="G158" s="8" t="s">
        <v>58</v>
      </c>
      <c r="H158" s="4" t="s">
        <v>126</v>
      </c>
      <c r="I158" s="5">
        <v>1</v>
      </c>
      <c r="J158" s="8" t="s">
        <v>15</v>
      </c>
      <c r="K158" s="4" t="s">
        <v>53</v>
      </c>
      <c r="L158" s="5">
        <v>1</v>
      </c>
      <c r="M158" s="8"/>
      <c r="N158" s="4"/>
      <c r="O158" s="5"/>
      <c r="P158" s="8"/>
      <c r="Q158" s="4"/>
      <c r="R158" s="5"/>
      <c r="W158" s="67" t="s">
        <v>184</v>
      </c>
      <c r="X158" s="68" t="s">
        <v>185</v>
      </c>
      <c r="Y158" s="69">
        <v>221.86</v>
      </c>
      <c r="Z158" t="str">
        <f>IF(AND(Tabla1[[#This Row],[nudo inicial]]=Tabla3[[#This Row],[n1]],Tabla1[[#This Row],[nudo final]]=Tabla3[[#This Row],[n2]],Tabla1[[#This Row],[longitud]]=Tabla3[[#This Row],[long]]),"si","no")</f>
        <v>si</v>
      </c>
    </row>
    <row r="159" spans="2:26" ht="15.75" x14ac:dyDescent="0.25">
      <c r="B159" s="14" t="s">
        <v>185</v>
      </c>
      <c r="C159" s="14" t="s">
        <v>189</v>
      </c>
      <c r="D159" s="20">
        <v>71.5</v>
      </c>
      <c r="E159" s="15" t="s">
        <v>126</v>
      </c>
      <c r="F159" s="15" t="s">
        <v>25</v>
      </c>
      <c r="G159" s="16" t="s">
        <v>58</v>
      </c>
      <c r="H159" s="17" t="s">
        <v>53</v>
      </c>
      <c r="I159" s="18">
        <v>1</v>
      </c>
      <c r="J159" s="16" t="s">
        <v>6</v>
      </c>
      <c r="K159" s="17" t="s">
        <v>126</v>
      </c>
      <c r="L159" s="18">
        <v>1</v>
      </c>
      <c r="M159" s="16" t="s">
        <v>16</v>
      </c>
      <c r="N159" s="17" t="s">
        <v>126</v>
      </c>
      <c r="O159" s="18">
        <v>2</v>
      </c>
      <c r="P159" s="16"/>
      <c r="Q159" s="17"/>
      <c r="R159" s="18"/>
      <c r="S159" s="14"/>
      <c r="T159" s="14"/>
      <c r="U159" s="14"/>
      <c r="W159" s="67" t="s">
        <v>185</v>
      </c>
      <c r="X159" s="68" t="s">
        <v>189</v>
      </c>
      <c r="Y159" s="69">
        <v>71.5</v>
      </c>
      <c r="Z159" t="str">
        <f>IF(AND(Tabla1[[#This Row],[nudo inicial]]=Tabla3[[#This Row],[n1]],Tabla1[[#This Row],[nudo final]]=Tabla3[[#This Row],[n2]],Tabla1[[#This Row],[longitud]]=Tabla3[[#This Row],[long]]),"si","no")</f>
        <v>si</v>
      </c>
    </row>
    <row r="160" spans="2:26" ht="15.75" x14ac:dyDescent="0.25">
      <c r="B160" t="s">
        <v>189</v>
      </c>
      <c r="C160" t="s">
        <v>190</v>
      </c>
      <c r="D160" s="19">
        <f>44.7+39.27+1.57</f>
        <v>85.539999999999992</v>
      </c>
      <c r="E160" s="3" t="s">
        <v>55</v>
      </c>
      <c r="F160" s="3" t="s">
        <v>25</v>
      </c>
      <c r="G160" s="8" t="s">
        <v>6</v>
      </c>
      <c r="H160" s="4" t="s">
        <v>55</v>
      </c>
      <c r="I160" s="5">
        <v>1</v>
      </c>
      <c r="J160" s="8"/>
      <c r="K160" s="4"/>
      <c r="L160" s="5"/>
      <c r="M160" s="8"/>
      <c r="N160" s="4"/>
      <c r="O160" s="5"/>
      <c r="P160" s="8"/>
      <c r="Q160" s="4"/>
      <c r="R160" s="5"/>
      <c r="W160" s="67" t="s">
        <v>189</v>
      </c>
      <c r="X160" s="68" t="s">
        <v>190</v>
      </c>
      <c r="Y160" s="69">
        <v>85.539999999999992</v>
      </c>
      <c r="Z160" t="str">
        <f>IF(AND(Tabla1[[#This Row],[nudo inicial]]=Tabla3[[#This Row],[n1]],Tabla1[[#This Row],[nudo final]]=Tabla3[[#This Row],[n2]],Tabla1[[#This Row],[longitud]]=Tabla3[[#This Row],[long]]),"si","no")</f>
        <v>si</v>
      </c>
    </row>
    <row r="161" spans="2:26" ht="15.75" x14ac:dyDescent="0.25">
      <c r="B161" t="s">
        <v>190</v>
      </c>
      <c r="C161" t="s">
        <v>191</v>
      </c>
      <c r="D161" s="19">
        <v>57.15</v>
      </c>
      <c r="E161" s="3" t="s">
        <v>53</v>
      </c>
      <c r="F161" s="3" t="s">
        <v>25</v>
      </c>
      <c r="G161" s="8" t="s">
        <v>58</v>
      </c>
      <c r="H161" s="4" t="s">
        <v>55</v>
      </c>
      <c r="I161" s="5">
        <v>1</v>
      </c>
      <c r="J161" s="8" t="s">
        <v>15</v>
      </c>
      <c r="K161" s="4" t="s">
        <v>53</v>
      </c>
      <c r="L161" s="5">
        <v>1</v>
      </c>
      <c r="M161" s="8" t="s">
        <v>32</v>
      </c>
      <c r="N161" s="4" t="s">
        <v>53</v>
      </c>
      <c r="O161" s="5">
        <v>1</v>
      </c>
      <c r="P161" s="8"/>
      <c r="Q161" s="4"/>
      <c r="R161" s="5"/>
      <c r="W161" s="67" t="s">
        <v>190</v>
      </c>
      <c r="X161" s="68" t="s">
        <v>191</v>
      </c>
      <c r="Y161" s="69">
        <v>57.15</v>
      </c>
      <c r="Z161" t="str">
        <f>IF(AND(Tabla1[[#This Row],[nudo inicial]]=Tabla3[[#This Row],[n1]],Tabla1[[#This Row],[nudo final]]=Tabla3[[#This Row],[n2]],Tabla1[[#This Row],[longitud]]=Tabla3[[#This Row],[long]]),"si","no")</f>
        <v>si</v>
      </c>
    </row>
    <row r="162" spans="2:26" ht="15.75" x14ac:dyDescent="0.25">
      <c r="B162" t="s">
        <v>191</v>
      </c>
      <c r="C162" t="s">
        <v>192</v>
      </c>
      <c r="D162" s="19">
        <v>65.010000000000005</v>
      </c>
      <c r="E162" s="3" t="s">
        <v>53</v>
      </c>
      <c r="F162" s="3" t="s">
        <v>25</v>
      </c>
      <c r="G162" s="8" t="s">
        <v>58</v>
      </c>
      <c r="H162" s="4" t="s">
        <v>53</v>
      </c>
      <c r="I162" s="5">
        <v>1</v>
      </c>
      <c r="J162" s="8" t="s">
        <v>17</v>
      </c>
      <c r="K162" s="4" t="s">
        <v>53</v>
      </c>
      <c r="L162" s="5">
        <v>1</v>
      </c>
      <c r="M162" s="8"/>
      <c r="N162" s="4"/>
      <c r="O162" s="5"/>
      <c r="P162" s="8"/>
      <c r="Q162" s="4"/>
      <c r="R162" s="5"/>
      <c r="W162" s="67" t="s">
        <v>191</v>
      </c>
      <c r="X162" s="68" t="s">
        <v>192</v>
      </c>
      <c r="Y162" s="69">
        <v>65.010000000000005</v>
      </c>
      <c r="Z162" t="str">
        <f>IF(AND(Tabla1[[#This Row],[nudo inicial]]=Tabla3[[#This Row],[n1]],Tabla1[[#This Row],[nudo final]]=Tabla3[[#This Row],[n2]],Tabla1[[#This Row],[longitud]]=Tabla3[[#This Row],[long]]),"si","no")</f>
        <v>si</v>
      </c>
    </row>
    <row r="163" spans="2:26" ht="15.75" x14ac:dyDescent="0.25">
      <c r="B163" t="s">
        <v>191</v>
      </c>
      <c r="C163" t="s">
        <v>193</v>
      </c>
      <c r="D163" s="19">
        <v>28.81</v>
      </c>
      <c r="E163" s="3" t="s">
        <v>53</v>
      </c>
      <c r="F163" s="3" t="s">
        <v>25</v>
      </c>
      <c r="G163" s="8" t="s">
        <v>57</v>
      </c>
      <c r="H163" s="4" t="s">
        <v>53</v>
      </c>
      <c r="I163" s="5">
        <v>1</v>
      </c>
      <c r="J163" s="8"/>
      <c r="K163" s="4"/>
      <c r="L163" s="5"/>
      <c r="M163" s="8"/>
      <c r="N163" s="4"/>
      <c r="O163" s="5"/>
      <c r="P163" s="8"/>
      <c r="Q163" s="4"/>
      <c r="R163" s="5"/>
      <c r="W163" s="67" t="s">
        <v>191</v>
      </c>
      <c r="X163" s="68" t="s">
        <v>193</v>
      </c>
      <c r="Y163" s="69">
        <v>28.81</v>
      </c>
      <c r="Z163" t="str">
        <f>IF(AND(Tabla1[[#This Row],[nudo inicial]]=Tabla3[[#This Row],[n1]],Tabla1[[#This Row],[nudo final]]=Tabla3[[#This Row],[n2]],Tabla1[[#This Row],[longitud]]=Tabla3[[#This Row],[long]]),"si","no")</f>
        <v>si</v>
      </c>
    </row>
    <row r="164" spans="2:26" ht="15.75" x14ac:dyDescent="0.25">
      <c r="B164" t="s">
        <v>193</v>
      </c>
      <c r="C164" t="s">
        <v>194</v>
      </c>
      <c r="D164" s="19">
        <v>73.430000000000007</v>
      </c>
      <c r="E164" s="3" t="s">
        <v>53</v>
      </c>
      <c r="F164" s="3" t="s">
        <v>25</v>
      </c>
      <c r="G164" s="8" t="s">
        <v>58</v>
      </c>
      <c r="H164" s="4" t="s">
        <v>53</v>
      </c>
      <c r="I164" s="5">
        <v>1</v>
      </c>
      <c r="J164" s="8" t="s">
        <v>17</v>
      </c>
      <c r="K164" s="4" t="s">
        <v>53</v>
      </c>
      <c r="L164" s="5">
        <v>1</v>
      </c>
      <c r="M164" s="8"/>
      <c r="N164" s="4"/>
      <c r="O164" s="5"/>
      <c r="P164" s="8"/>
      <c r="Q164" s="4"/>
      <c r="R164" s="5"/>
      <c r="W164" s="67" t="s">
        <v>193</v>
      </c>
      <c r="X164" s="68" t="s">
        <v>194</v>
      </c>
      <c r="Y164" s="69">
        <v>73.430000000000007</v>
      </c>
      <c r="Z164" t="str">
        <f>IF(AND(Tabla1[[#This Row],[nudo inicial]]=Tabla3[[#This Row],[n1]],Tabla1[[#This Row],[nudo final]]=Tabla3[[#This Row],[n2]],Tabla1[[#This Row],[longitud]]=Tabla3[[#This Row],[long]]),"si","no")</f>
        <v>si</v>
      </c>
    </row>
    <row r="165" spans="2:26" ht="15.75" x14ac:dyDescent="0.25">
      <c r="B165" t="s">
        <v>193</v>
      </c>
      <c r="C165" t="s">
        <v>195</v>
      </c>
      <c r="D165" s="19">
        <v>28.58</v>
      </c>
      <c r="E165" s="3" t="s">
        <v>53</v>
      </c>
      <c r="F165" s="3" t="s">
        <v>25</v>
      </c>
      <c r="G165" s="8" t="s">
        <v>57</v>
      </c>
      <c r="H165" s="4" t="s">
        <v>53</v>
      </c>
      <c r="I165" s="5">
        <v>1</v>
      </c>
      <c r="J165" s="8"/>
      <c r="K165" s="4"/>
      <c r="L165" s="5"/>
      <c r="M165" s="8"/>
      <c r="N165" s="4"/>
      <c r="O165" s="5"/>
      <c r="P165" s="8"/>
      <c r="Q165" s="4"/>
      <c r="R165" s="5"/>
      <c r="W165" s="67" t="s">
        <v>193</v>
      </c>
      <c r="X165" s="68" t="s">
        <v>195</v>
      </c>
      <c r="Y165" s="69">
        <v>28.58</v>
      </c>
      <c r="Z165" t="str">
        <f>IF(AND(Tabla1[[#This Row],[nudo inicial]]=Tabla3[[#This Row],[n1]],Tabla1[[#This Row],[nudo final]]=Tabla3[[#This Row],[n2]],Tabla1[[#This Row],[longitud]]=Tabla3[[#This Row],[long]]),"si","no")</f>
        <v>si</v>
      </c>
    </row>
    <row r="166" spans="2:26" ht="15.75" x14ac:dyDescent="0.25">
      <c r="B166" t="s">
        <v>195</v>
      </c>
      <c r="C166" t="s">
        <v>196</v>
      </c>
      <c r="D166" s="19">
        <v>31.07</v>
      </c>
      <c r="E166" s="3" t="s">
        <v>53</v>
      </c>
      <c r="F166" s="3" t="s">
        <v>25</v>
      </c>
      <c r="G166" s="8" t="s">
        <v>58</v>
      </c>
      <c r="H166" s="4" t="s">
        <v>53</v>
      </c>
      <c r="I166" s="5">
        <v>1</v>
      </c>
      <c r="J166" s="8" t="s">
        <v>17</v>
      </c>
      <c r="K166" s="4" t="s">
        <v>53</v>
      </c>
      <c r="L166" s="5">
        <v>1</v>
      </c>
      <c r="M166" s="8"/>
      <c r="N166" s="4"/>
      <c r="O166" s="5"/>
      <c r="P166" s="8"/>
      <c r="Q166" s="4"/>
      <c r="R166" s="5"/>
      <c r="W166" s="67" t="s">
        <v>195</v>
      </c>
      <c r="X166" s="68" t="s">
        <v>196</v>
      </c>
      <c r="Y166" s="69">
        <v>31.07</v>
      </c>
      <c r="Z166" t="str">
        <f>IF(AND(Tabla1[[#This Row],[nudo inicial]]=Tabla3[[#This Row],[n1]],Tabla1[[#This Row],[nudo final]]=Tabla3[[#This Row],[n2]],Tabla1[[#This Row],[longitud]]=Tabla3[[#This Row],[long]]),"si","no")</f>
        <v>si</v>
      </c>
    </row>
    <row r="167" spans="2:26" ht="15.75" x14ac:dyDescent="0.25">
      <c r="B167" t="s">
        <v>195</v>
      </c>
      <c r="C167" t="s">
        <v>197</v>
      </c>
      <c r="D167" s="19">
        <v>1.35</v>
      </c>
      <c r="E167" s="3" t="s">
        <v>53</v>
      </c>
      <c r="F167" s="3" t="s">
        <v>25</v>
      </c>
      <c r="G167" s="8" t="s">
        <v>57</v>
      </c>
      <c r="H167" s="4" t="s">
        <v>53</v>
      </c>
      <c r="I167" s="5">
        <v>1</v>
      </c>
      <c r="J167" s="8"/>
      <c r="K167" s="4"/>
      <c r="L167" s="5"/>
      <c r="M167" s="8"/>
      <c r="N167" s="4"/>
      <c r="O167" s="5"/>
      <c r="P167" s="8"/>
      <c r="Q167" s="4"/>
      <c r="R167" s="5"/>
      <c r="W167" s="67" t="s">
        <v>195</v>
      </c>
      <c r="X167" s="68" t="s">
        <v>197</v>
      </c>
      <c r="Y167" s="69">
        <v>1.35</v>
      </c>
      <c r="Z167" t="str">
        <f>IF(AND(Tabla1[[#This Row],[nudo inicial]]=Tabla3[[#This Row],[n1]],Tabla1[[#This Row],[nudo final]]=Tabla3[[#This Row],[n2]],Tabla1[[#This Row],[longitud]]=Tabla3[[#This Row],[long]]),"si","no")</f>
        <v>si</v>
      </c>
    </row>
    <row r="168" spans="2:26" ht="15.75" x14ac:dyDescent="0.25">
      <c r="B168" t="s">
        <v>197</v>
      </c>
      <c r="C168" t="s">
        <v>198</v>
      </c>
      <c r="D168" s="19">
        <v>75.19</v>
      </c>
      <c r="E168" s="3" t="s">
        <v>53</v>
      </c>
      <c r="F168" s="3" t="s">
        <v>25</v>
      </c>
      <c r="G168" s="8" t="s">
        <v>58</v>
      </c>
      <c r="H168" s="4" t="s">
        <v>53</v>
      </c>
      <c r="I168" s="5">
        <v>1</v>
      </c>
      <c r="J168" s="8" t="s">
        <v>17</v>
      </c>
      <c r="K168" s="4" t="s">
        <v>53</v>
      </c>
      <c r="L168" s="5">
        <v>1</v>
      </c>
      <c r="M168" s="8"/>
      <c r="N168" s="4"/>
      <c r="O168" s="5"/>
      <c r="P168" s="8"/>
      <c r="Q168" s="4"/>
      <c r="R168" s="5"/>
      <c r="W168" s="67" t="s">
        <v>197</v>
      </c>
      <c r="X168" s="68" t="s">
        <v>198</v>
      </c>
      <c r="Y168" s="69">
        <v>75.19</v>
      </c>
      <c r="Z168" t="str">
        <f>IF(AND(Tabla1[[#This Row],[nudo inicial]]=Tabla3[[#This Row],[n1]],Tabla1[[#This Row],[nudo final]]=Tabla3[[#This Row],[n2]],Tabla1[[#This Row],[longitud]]=Tabla3[[#This Row],[long]]),"si","no")</f>
        <v>si</v>
      </c>
    </row>
    <row r="169" spans="2:26" ht="15.75" x14ac:dyDescent="0.25">
      <c r="B169" t="s">
        <v>197</v>
      </c>
      <c r="C169" t="s">
        <v>199</v>
      </c>
      <c r="D169" s="19">
        <v>45.03</v>
      </c>
      <c r="E169" s="3" t="s">
        <v>53</v>
      </c>
      <c r="F169" s="3" t="s">
        <v>25</v>
      </c>
      <c r="G169" s="8" t="s">
        <v>57</v>
      </c>
      <c r="H169" s="4" t="s">
        <v>53</v>
      </c>
      <c r="I169" s="5">
        <v>1</v>
      </c>
      <c r="J169" s="8" t="s">
        <v>16</v>
      </c>
      <c r="K169" s="4" t="s">
        <v>53</v>
      </c>
      <c r="L169" s="5">
        <v>1</v>
      </c>
      <c r="M169" s="8" t="s">
        <v>17</v>
      </c>
      <c r="N169" s="4" t="s">
        <v>53</v>
      </c>
      <c r="O169" s="5">
        <v>1</v>
      </c>
      <c r="P169" s="8"/>
      <c r="Q169" s="4"/>
      <c r="R169" s="5"/>
      <c r="W169" s="67" t="s">
        <v>197</v>
      </c>
      <c r="X169" s="68" t="s">
        <v>199</v>
      </c>
      <c r="Y169" s="69">
        <v>45.03</v>
      </c>
      <c r="Z169" t="str">
        <f>IF(AND(Tabla1[[#This Row],[nudo inicial]]=Tabla3[[#This Row],[n1]],Tabla1[[#This Row],[nudo final]]=Tabla3[[#This Row],[n2]],Tabla1[[#This Row],[longitud]]=Tabla3[[#This Row],[long]]),"si","no")</f>
        <v>si</v>
      </c>
    </row>
    <row r="170" spans="2:26" ht="15.75" x14ac:dyDescent="0.25">
      <c r="B170" t="s">
        <v>190</v>
      </c>
      <c r="C170" t="s">
        <v>200</v>
      </c>
      <c r="D170" s="19">
        <v>48.97</v>
      </c>
      <c r="E170" s="3" t="s">
        <v>55</v>
      </c>
      <c r="F170" s="3" t="s">
        <v>25</v>
      </c>
      <c r="G170" s="8" t="s">
        <v>57</v>
      </c>
      <c r="H170" s="4" t="s">
        <v>55</v>
      </c>
      <c r="I170" s="5">
        <v>1</v>
      </c>
      <c r="J170" s="8"/>
      <c r="K170" s="4"/>
      <c r="L170" s="5"/>
      <c r="M170" s="8"/>
      <c r="N170" s="4"/>
      <c r="O170" s="5"/>
      <c r="P170" s="8"/>
      <c r="Q170" s="4"/>
      <c r="R170" s="5"/>
      <c r="W170" s="67" t="s">
        <v>190</v>
      </c>
      <c r="X170" s="68" t="s">
        <v>200</v>
      </c>
      <c r="Y170" s="69">
        <v>48.97</v>
      </c>
      <c r="Z170" t="str">
        <f>IF(AND(Tabla1[[#This Row],[nudo inicial]]=Tabla3[[#This Row],[n1]],Tabla1[[#This Row],[nudo final]]=Tabla3[[#This Row],[n2]],Tabla1[[#This Row],[longitud]]=Tabla3[[#This Row],[long]]),"si","no")</f>
        <v>si</v>
      </c>
    </row>
    <row r="171" spans="2:26" ht="15.75" x14ac:dyDescent="0.25">
      <c r="B171" t="s">
        <v>200</v>
      </c>
      <c r="C171" t="s">
        <v>201</v>
      </c>
      <c r="D171" s="19">
        <v>267.11</v>
      </c>
      <c r="E171" s="3" t="s">
        <v>53</v>
      </c>
      <c r="F171" s="3" t="s">
        <v>25</v>
      </c>
      <c r="G171" s="8" t="s">
        <v>58</v>
      </c>
      <c r="H171" s="4" t="s">
        <v>55</v>
      </c>
      <c r="I171" s="5">
        <v>1</v>
      </c>
      <c r="J171" s="8" t="s">
        <v>15</v>
      </c>
      <c r="K171" s="4" t="s">
        <v>53</v>
      </c>
      <c r="L171" s="5">
        <v>1</v>
      </c>
      <c r="M171" s="8" t="s">
        <v>17</v>
      </c>
      <c r="N171" s="4" t="s">
        <v>53</v>
      </c>
      <c r="O171" s="5">
        <v>1</v>
      </c>
      <c r="P171" s="8"/>
      <c r="Q171" s="4"/>
      <c r="R171" s="5"/>
      <c r="W171" s="67" t="s">
        <v>200</v>
      </c>
      <c r="X171" s="68" t="s">
        <v>201</v>
      </c>
      <c r="Y171" s="69">
        <v>267.11</v>
      </c>
      <c r="Z171" t="str">
        <f>IF(AND(Tabla1[[#This Row],[nudo inicial]]=Tabla3[[#This Row],[n1]],Tabla1[[#This Row],[nudo final]]=Tabla3[[#This Row],[n2]],Tabla1[[#This Row],[longitud]]=Tabla3[[#This Row],[long]]),"si","no")</f>
        <v>si</v>
      </c>
    </row>
    <row r="172" spans="2:26" ht="15.75" x14ac:dyDescent="0.25">
      <c r="B172" t="s">
        <v>200</v>
      </c>
      <c r="C172" t="s">
        <v>202</v>
      </c>
      <c r="D172" s="19">
        <v>7.86</v>
      </c>
      <c r="E172" s="3" t="s">
        <v>55</v>
      </c>
      <c r="F172" s="3" t="s">
        <v>25</v>
      </c>
      <c r="G172" s="8" t="s">
        <v>58</v>
      </c>
      <c r="H172" s="4" t="s">
        <v>55</v>
      </c>
      <c r="I172" s="5">
        <v>1</v>
      </c>
      <c r="J172" s="8"/>
      <c r="K172" s="4"/>
      <c r="L172" s="5"/>
      <c r="M172" s="8"/>
      <c r="N172" s="4"/>
      <c r="O172" s="5"/>
      <c r="P172" s="8"/>
      <c r="Q172" s="4"/>
      <c r="R172" s="5"/>
      <c r="W172" s="67" t="s">
        <v>200</v>
      </c>
      <c r="X172" s="68" t="s">
        <v>202</v>
      </c>
      <c r="Y172" s="69">
        <v>7.86</v>
      </c>
      <c r="Z172" t="str">
        <f>IF(AND(Tabla1[[#This Row],[nudo inicial]]=Tabla3[[#This Row],[n1]],Tabla1[[#This Row],[nudo final]]=Tabla3[[#This Row],[n2]],Tabla1[[#This Row],[longitud]]=Tabla3[[#This Row],[long]]),"si","no")</f>
        <v>si</v>
      </c>
    </row>
    <row r="173" spans="2:26" ht="15.75" x14ac:dyDescent="0.25">
      <c r="B173" t="s">
        <v>202</v>
      </c>
      <c r="C173" t="s">
        <v>203</v>
      </c>
      <c r="D173" s="19">
        <v>102.27</v>
      </c>
      <c r="E173" s="3" t="s">
        <v>53</v>
      </c>
      <c r="F173" s="3" t="s">
        <v>25</v>
      </c>
      <c r="G173" s="8" t="s">
        <v>57</v>
      </c>
      <c r="H173" s="4" t="s">
        <v>55</v>
      </c>
      <c r="I173" s="5">
        <v>1</v>
      </c>
      <c r="J173" s="8" t="s">
        <v>15</v>
      </c>
      <c r="K173" s="4" t="s">
        <v>53</v>
      </c>
      <c r="L173" s="5">
        <v>1</v>
      </c>
      <c r="M173" s="8" t="s">
        <v>17</v>
      </c>
      <c r="N173" s="4" t="s">
        <v>53</v>
      </c>
      <c r="O173" s="5">
        <v>1</v>
      </c>
      <c r="P173" s="8"/>
      <c r="Q173" s="4"/>
      <c r="R173" s="5"/>
      <c r="W173" s="67" t="s">
        <v>202</v>
      </c>
      <c r="X173" s="68" t="s">
        <v>203</v>
      </c>
      <c r="Y173" s="69">
        <v>102.27</v>
      </c>
      <c r="Z173" t="str">
        <f>IF(AND(Tabla1[[#This Row],[nudo inicial]]=Tabla3[[#This Row],[n1]],Tabla1[[#This Row],[nudo final]]=Tabla3[[#This Row],[n2]],Tabla1[[#This Row],[longitud]]=Tabla3[[#This Row],[long]]),"si","no")</f>
        <v>si</v>
      </c>
    </row>
    <row r="174" spans="2:26" ht="15.75" x14ac:dyDescent="0.25">
      <c r="B174" t="s">
        <v>202</v>
      </c>
      <c r="C174" t="s">
        <v>204</v>
      </c>
      <c r="D174" s="19">
        <v>359.28</v>
      </c>
      <c r="E174" s="3" t="s">
        <v>55</v>
      </c>
      <c r="F174" s="3" t="s">
        <v>25</v>
      </c>
      <c r="G174" s="8" t="s">
        <v>58</v>
      </c>
      <c r="H174" s="4" t="s">
        <v>55</v>
      </c>
      <c r="I174" s="5">
        <v>1</v>
      </c>
      <c r="J174" s="8" t="s">
        <v>16</v>
      </c>
      <c r="K174" s="4" t="s">
        <v>55</v>
      </c>
      <c r="L174" s="5">
        <v>2</v>
      </c>
      <c r="M174" s="8" t="s">
        <v>32</v>
      </c>
      <c r="N174" s="4" t="s">
        <v>55</v>
      </c>
      <c r="O174" s="5">
        <v>1</v>
      </c>
      <c r="P174" s="8"/>
      <c r="Q174" s="4"/>
      <c r="R174" s="5"/>
      <c r="W174" s="67" t="s">
        <v>202</v>
      </c>
      <c r="X174" s="68" t="s">
        <v>204</v>
      </c>
      <c r="Y174" s="69">
        <v>359.28</v>
      </c>
      <c r="Z174" t="str">
        <f>IF(AND(Tabla1[[#This Row],[nudo inicial]]=Tabla3[[#This Row],[n1]],Tabla1[[#This Row],[nudo final]]=Tabla3[[#This Row],[n2]],Tabla1[[#This Row],[longitud]]=Tabla3[[#This Row],[long]]),"si","no")</f>
        <v>si</v>
      </c>
    </row>
    <row r="175" spans="2:26" ht="15.75" x14ac:dyDescent="0.25">
      <c r="B175" t="s">
        <v>204</v>
      </c>
      <c r="C175" t="s">
        <v>205</v>
      </c>
      <c r="D175" s="19">
        <v>61.97</v>
      </c>
      <c r="E175" s="3" t="s">
        <v>23</v>
      </c>
      <c r="F175" s="3" t="s">
        <v>25</v>
      </c>
      <c r="G175" s="8" t="s">
        <v>58</v>
      </c>
      <c r="H175" s="4" t="s">
        <v>55</v>
      </c>
      <c r="I175" s="5">
        <v>1</v>
      </c>
      <c r="J175" s="8" t="s">
        <v>15</v>
      </c>
      <c r="K175" s="4" t="s">
        <v>23</v>
      </c>
      <c r="L175" s="5">
        <v>1</v>
      </c>
      <c r="M175" s="8"/>
      <c r="N175" s="4"/>
      <c r="O175" s="5"/>
      <c r="P175" s="8"/>
      <c r="Q175" s="4"/>
      <c r="R175" s="5"/>
      <c r="W175" s="67" t="s">
        <v>204</v>
      </c>
      <c r="X175" s="68" t="s">
        <v>205</v>
      </c>
      <c r="Y175" s="69">
        <v>61.97</v>
      </c>
      <c r="Z175" t="str">
        <f>IF(AND(Tabla1[[#This Row],[nudo inicial]]=Tabla3[[#This Row],[n1]],Tabla1[[#This Row],[nudo final]]=Tabla3[[#This Row],[n2]],Tabla1[[#This Row],[longitud]]=Tabla3[[#This Row],[long]]),"si","no")</f>
        <v>si</v>
      </c>
    </row>
    <row r="176" spans="2:26" ht="15.75" x14ac:dyDescent="0.25">
      <c r="B176" t="s">
        <v>205</v>
      </c>
      <c r="C176" t="s">
        <v>206</v>
      </c>
      <c r="D176" s="19">
        <v>164.5</v>
      </c>
      <c r="E176" s="3" t="s">
        <v>23</v>
      </c>
      <c r="F176" s="3" t="s">
        <v>25</v>
      </c>
      <c r="G176" s="8" t="s">
        <v>58</v>
      </c>
      <c r="H176" s="4" t="s">
        <v>23</v>
      </c>
      <c r="I176" s="5">
        <v>1</v>
      </c>
      <c r="J176" s="8" t="s">
        <v>17</v>
      </c>
      <c r="K176" s="4" t="s">
        <v>23</v>
      </c>
      <c r="L176" s="5">
        <v>1</v>
      </c>
      <c r="M176" s="8"/>
      <c r="N176" s="4"/>
      <c r="O176" s="5"/>
      <c r="P176" s="8"/>
      <c r="Q176" s="4"/>
      <c r="R176" s="5"/>
      <c r="W176" s="67" t="s">
        <v>205</v>
      </c>
      <c r="X176" s="68" t="s">
        <v>206</v>
      </c>
      <c r="Y176" s="69">
        <v>164.5</v>
      </c>
      <c r="Z176" t="str">
        <f>IF(AND(Tabla1[[#This Row],[nudo inicial]]=Tabla3[[#This Row],[n1]],Tabla1[[#This Row],[nudo final]]=Tabla3[[#This Row],[n2]],Tabla1[[#This Row],[longitud]]=Tabla3[[#This Row],[long]]),"si","no")</f>
        <v>si</v>
      </c>
    </row>
    <row r="177" spans="2:26" ht="15.75" x14ac:dyDescent="0.25">
      <c r="B177" t="s">
        <v>205</v>
      </c>
      <c r="C177" t="s">
        <v>207</v>
      </c>
      <c r="D177" s="19">
        <v>232.28</v>
      </c>
      <c r="E177" s="3" t="s">
        <v>23</v>
      </c>
      <c r="F177" s="3" t="s">
        <v>25</v>
      </c>
      <c r="G177" s="8" t="s">
        <v>57</v>
      </c>
      <c r="H177" s="4" t="s">
        <v>23</v>
      </c>
      <c r="I177" s="5">
        <v>1</v>
      </c>
      <c r="J177" s="8" t="s">
        <v>16</v>
      </c>
      <c r="K177" s="4" t="s">
        <v>23</v>
      </c>
      <c r="L177" s="5">
        <v>1</v>
      </c>
      <c r="M177" s="8"/>
      <c r="N177" s="4"/>
      <c r="O177" s="5"/>
      <c r="P177" s="8"/>
      <c r="Q177" s="4"/>
      <c r="R177" s="5"/>
      <c r="W177" s="67" t="s">
        <v>205</v>
      </c>
      <c r="X177" s="68" t="s">
        <v>207</v>
      </c>
      <c r="Y177" s="69">
        <v>232.28</v>
      </c>
      <c r="Z177" t="str">
        <f>IF(AND(Tabla1[[#This Row],[nudo inicial]]=Tabla3[[#This Row],[n1]],Tabla1[[#This Row],[nudo final]]=Tabla3[[#This Row],[n2]],Tabla1[[#This Row],[longitud]]=Tabla3[[#This Row],[long]]),"si","no")</f>
        <v>si</v>
      </c>
    </row>
    <row r="178" spans="2:26" ht="15.75" x14ac:dyDescent="0.25">
      <c r="B178" t="s">
        <v>207</v>
      </c>
      <c r="C178" t="s">
        <v>208</v>
      </c>
      <c r="D178" s="19">
        <v>86.45</v>
      </c>
      <c r="E178" s="3" t="s">
        <v>53</v>
      </c>
      <c r="F178" s="3" t="s">
        <v>25</v>
      </c>
      <c r="G178" s="8" t="s">
        <v>58</v>
      </c>
      <c r="H178" s="4" t="s">
        <v>23</v>
      </c>
      <c r="I178" s="5">
        <v>1</v>
      </c>
      <c r="J178" s="8" t="s">
        <v>15</v>
      </c>
      <c r="K178" s="4" t="s">
        <v>53</v>
      </c>
      <c r="L178" s="5">
        <v>1</v>
      </c>
      <c r="M178" s="8" t="s">
        <v>17</v>
      </c>
      <c r="N178" s="4" t="s">
        <v>23</v>
      </c>
      <c r="O178" s="5">
        <v>1</v>
      </c>
      <c r="P178" s="8"/>
      <c r="Q178" s="4"/>
      <c r="R178" s="5"/>
      <c r="W178" s="67" t="s">
        <v>207</v>
      </c>
      <c r="X178" s="68" t="s">
        <v>208</v>
      </c>
      <c r="Y178" s="69">
        <v>86.45</v>
      </c>
      <c r="Z178" t="str">
        <f>IF(AND(Tabla1[[#This Row],[nudo inicial]]=Tabla3[[#This Row],[n1]],Tabla1[[#This Row],[nudo final]]=Tabla3[[#This Row],[n2]],Tabla1[[#This Row],[longitud]]=Tabla3[[#This Row],[long]]),"si","no")</f>
        <v>si</v>
      </c>
    </row>
    <row r="179" spans="2:26" ht="15.75" x14ac:dyDescent="0.25">
      <c r="B179" t="s">
        <v>207</v>
      </c>
      <c r="C179" t="s">
        <v>209</v>
      </c>
      <c r="D179" s="19">
        <v>34.08</v>
      </c>
      <c r="E179" s="3" t="s">
        <v>23</v>
      </c>
      <c r="F179" s="3" t="s">
        <v>25</v>
      </c>
      <c r="G179" s="8" t="s">
        <v>57</v>
      </c>
      <c r="H179" s="4" t="s">
        <v>23</v>
      </c>
      <c r="I179" s="5">
        <v>1</v>
      </c>
      <c r="J179" s="8"/>
      <c r="K179" s="4"/>
      <c r="L179" s="5"/>
      <c r="M179" s="8"/>
      <c r="N179" s="4"/>
      <c r="O179" s="5"/>
      <c r="P179" s="8"/>
      <c r="Q179" s="4"/>
      <c r="R179" s="5"/>
      <c r="W179" s="67" t="s">
        <v>207</v>
      </c>
      <c r="X179" s="68" t="s">
        <v>209</v>
      </c>
      <c r="Y179" s="69">
        <v>34.08</v>
      </c>
      <c r="Z179" t="str">
        <f>IF(AND(Tabla1[[#This Row],[nudo inicial]]=Tabla3[[#This Row],[n1]],Tabla1[[#This Row],[nudo final]]=Tabla3[[#This Row],[n2]],Tabla1[[#This Row],[longitud]]=Tabla3[[#This Row],[long]]),"si","no")</f>
        <v>si</v>
      </c>
    </row>
    <row r="180" spans="2:26" ht="15.75" x14ac:dyDescent="0.25">
      <c r="B180" t="s">
        <v>209</v>
      </c>
      <c r="C180" t="s">
        <v>211</v>
      </c>
      <c r="D180" s="19">
        <v>53.12</v>
      </c>
      <c r="E180" s="3" t="s">
        <v>53</v>
      </c>
      <c r="F180" s="3" t="s">
        <v>25</v>
      </c>
      <c r="G180" s="8" t="s">
        <v>16</v>
      </c>
      <c r="H180" s="4" t="s">
        <v>23</v>
      </c>
      <c r="I180" s="5">
        <v>1</v>
      </c>
      <c r="J180" s="8" t="s">
        <v>15</v>
      </c>
      <c r="K180" s="4" t="s">
        <v>53</v>
      </c>
      <c r="L180" s="5">
        <v>1</v>
      </c>
      <c r="M180" s="8"/>
      <c r="N180" s="4"/>
      <c r="O180" s="5"/>
      <c r="P180" s="8"/>
      <c r="Q180" s="4"/>
      <c r="R180" s="5"/>
      <c r="W180" s="67" t="s">
        <v>209</v>
      </c>
      <c r="X180" s="68" t="s">
        <v>211</v>
      </c>
      <c r="Y180" s="69">
        <v>53.12</v>
      </c>
      <c r="Z180" t="str">
        <f>IF(AND(Tabla1[[#This Row],[nudo inicial]]=Tabla3[[#This Row],[n1]],Tabla1[[#This Row],[nudo final]]=Tabla3[[#This Row],[n2]],Tabla1[[#This Row],[longitud]]=Tabla3[[#This Row],[long]]),"si","no")</f>
        <v>si</v>
      </c>
    </row>
    <row r="181" spans="2:26" ht="15.75" x14ac:dyDescent="0.25">
      <c r="B181" t="s">
        <v>211</v>
      </c>
      <c r="C181" t="s">
        <v>210</v>
      </c>
      <c r="D181" s="19">
        <v>75.55</v>
      </c>
      <c r="E181" s="3" t="s">
        <v>53</v>
      </c>
      <c r="F181" s="3" t="s">
        <v>25</v>
      </c>
      <c r="G181" s="8" t="s">
        <v>58</v>
      </c>
      <c r="H181" s="4" t="s">
        <v>53</v>
      </c>
      <c r="I181" s="5">
        <v>1</v>
      </c>
      <c r="J181" s="8" t="s">
        <v>17</v>
      </c>
      <c r="K181" s="4" t="s">
        <v>53</v>
      </c>
      <c r="L181" s="5">
        <v>1</v>
      </c>
      <c r="M181" s="8"/>
      <c r="N181" s="4"/>
      <c r="O181" s="5"/>
      <c r="P181" s="8"/>
      <c r="Q181" s="4"/>
      <c r="R181" s="5"/>
      <c r="W181" s="67" t="s">
        <v>211</v>
      </c>
      <c r="X181" s="68" t="s">
        <v>210</v>
      </c>
      <c r="Y181" s="69">
        <v>75.55</v>
      </c>
      <c r="Z181" t="str">
        <f>IF(AND(Tabla1[[#This Row],[nudo inicial]]=Tabla3[[#This Row],[n1]],Tabla1[[#This Row],[nudo final]]=Tabla3[[#This Row],[n2]],Tabla1[[#This Row],[longitud]]=Tabla3[[#This Row],[long]]),"si","no")</f>
        <v>si</v>
      </c>
    </row>
    <row r="182" spans="2:26" ht="15.75" x14ac:dyDescent="0.25">
      <c r="B182" t="s">
        <v>211</v>
      </c>
      <c r="C182" t="s">
        <v>212</v>
      </c>
      <c r="D182" s="19">
        <v>100.93</v>
      </c>
      <c r="E182" s="3" t="s">
        <v>53</v>
      </c>
      <c r="F182" s="3" t="s">
        <v>25</v>
      </c>
      <c r="G182" s="8" t="s">
        <v>58</v>
      </c>
      <c r="H182" s="4" t="s">
        <v>53</v>
      </c>
      <c r="I182" s="5">
        <v>1</v>
      </c>
      <c r="J182" s="8" t="s">
        <v>16</v>
      </c>
      <c r="K182" s="4" t="s">
        <v>53</v>
      </c>
      <c r="L182" s="5">
        <v>1</v>
      </c>
      <c r="M182" s="8"/>
      <c r="N182" s="4"/>
      <c r="O182" s="5"/>
      <c r="P182" s="8"/>
      <c r="Q182" s="4"/>
      <c r="R182" s="5"/>
      <c r="W182" s="67" t="s">
        <v>211</v>
      </c>
      <c r="X182" s="68" t="s">
        <v>212</v>
      </c>
      <c r="Y182" s="69">
        <v>100.93</v>
      </c>
      <c r="Z182" t="str">
        <f>IF(AND(Tabla1[[#This Row],[nudo inicial]]=Tabla3[[#This Row],[n1]],Tabla1[[#This Row],[nudo final]]=Tabla3[[#This Row],[n2]],Tabla1[[#This Row],[longitud]]=Tabla3[[#This Row],[long]]),"si","no")</f>
        <v>si</v>
      </c>
    </row>
    <row r="183" spans="2:26" ht="15.75" x14ac:dyDescent="0.25">
      <c r="B183" t="s">
        <v>212</v>
      </c>
      <c r="C183" t="s">
        <v>213</v>
      </c>
      <c r="D183" s="19">
        <v>48.07</v>
      </c>
      <c r="E183" s="3" t="s">
        <v>53</v>
      </c>
      <c r="F183" s="3" t="s">
        <v>25</v>
      </c>
      <c r="G183" s="8" t="s">
        <v>58</v>
      </c>
      <c r="H183" s="4" t="s">
        <v>53</v>
      </c>
      <c r="I183" s="5">
        <v>1</v>
      </c>
      <c r="J183" s="8" t="s">
        <v>17</v>
      </c>
      <c r="K183" s="4" t="s">
        <v>53</v>
      </c>
      <c r="L183" s="5">
        <v>1</v>
      </c>
      <c r="M183" s="8"/>
      <c r="N183" s="4"/>
      <c r="O183" s="5"/>
      <c r="P183" s="8"/>
      <c r="Q183" s="4"/>
      <c r="R183" s="5"/>
      <c r="W183" s="67" t="s">
        <v>212</v>
      </c>
      <c r="X183" s="68" t="s">
        <v>213</v>
      </c>
      <c r="Y183" s="69">
        <v>48.07</v>
      </c>
      <c r="Z183" t="str">
        <f>IF(AND(Tabla1[[#This Row],[nudo inicial]]=Tabla3[[#This Row],[n1]],Tabla1[[#This Row],[nudo final]]=Tabla3[[#This Row],[n2]],Tabla1[[#This Row],[longitud]]=Tabla3[[#This Row],[long]]),"si","no")</f>
        <v>si</v>
      </c>
    </row>
    <row r="184" spans="2:26" ht="15.75" x14ac:dyDescent="0.25">
      <c r="B184" t="s">
        <v>212</v>
      </c>
      <c r="C184" t="s">
        <v>215</v>
      </c>
      <c r="D184" s="19">
        <v>56.85</v>
      </c>
      <c r="E184" s="3" t="s">
        <v>53</v>
      </c>
      <c r="F184" s="3" t="s">
        <v>25</v>
      </c>
      <c r="G184" s="8" t="s">
        <v>57</v>
      </c>
      <c r="H184" s="4" t="s">
        <v>53</v>
      </c>
      <c r="I184" s="5">
        <v>1</v>
      </c>
      <c r="J184" s="8"/>
      <c r="K184" s="4"/>
      <c r="L184" s="5"/>
      <c r="M184" s="8"/>
      <c r="N184" s="4"/>
      <c r="O184" s="5"/>
      <c r="P184" s="8"/>
      <c r="Q184" s="4"/>
      <c r="R184" s="5"/>
      <c r="W184" s="67" t="s">
        <v>212</v>
      </c>
      <c r="X184" s="68" t="s">
        <v>215</v>
      </c>
      <c r="Y184" s="69">
        <v>56.85</v>
      </c>
      <c r="Z184" t="str">
        <f>IF(AND(Tabla1[[#This Row],[nudo inicial]]=Tabla3[[#This Row],[n1]],Tabla1[[#This Row],[nudo final]]=Tabla3[[#This Row],[n2]],Tabla1[[#This Row],[longitud]]=Tabla3[[#This Row],[long]]),"si","no")</f>
        <v>si</v>
      </c>
    </row>
    <row r="185" spans="2:26" ht="15.75" x14ac:dyDescent="0.25">
      <c r="B185" t="s">
        <v>215</v>
      </c>
      <c r="C185" t="s">
        <v>214</v>
      </c>
      <c r="D185" s="19">
        <v>151.9</v>
      </c>
      <c r="E185" s="3" t="s">
        <v>56</v>
      </c>
      <c r="F185" s="3" t="s">
        <v>25</v>
      </c>
      <c r="G185" s="8" t="s">
        <v>15</v>
      </c>
      <c r="H185" s="4" t="s">
        <v>56</v>
      </c>
      <c r="I185" s="5">
        <v>1</v>
      </c>
      <c r="J185" s="8" t="s">
        <v>17</v>
      </c>
      <c r="K185" s="4" t="s">
        <v>56</v>
      </c>
      <c r="L185" s="5">
        <v>1</v>
      </c>
      <c r="M185" s="8"/>
      <c r="N185" s="4"/>
      <c r="O185" s="5"/>
      <c r="P185" s="8"/>
      <c r="Q185" s="4"/>
      <c r="R185" s="5"/>
      <c r="W185" s="67" t="s">
        <v>215</v>
      </c>
      <c r="X185" s="68" t="s">
        <v>214</v>
      </c>
      <c r="Y185" s="69">
        <v>151.9</v>
      </c>
      <c r="Z185" t="str">
        <f>IF(AND(Tabla1[[#This Row],[nudo inicial]]=Tabla3[[#This Row],[n1]],Tabla1[[#This Row],[nudo final]]=Tabla3[[#This Row],[n2]],Tabla1[[#This Row],[longitud]]=Tabla3[[#This Row],[long]]),"si","no")</f>
        <v>si</v>
      </c>
    </row>
    <row r="186" spans="2:26" ht="15.75" x14ac:dyDescent="0.25">
      <c r="B186" t="s">
        <v>204</v>
      </c>
      <c r="C186" t="s">
        <v>216</v>
      </c>
      <c r="D186" s="19">
        <v>2.17</v>
      </c>
      <c r="E186" s="3" t="s">
        <v>55</v>
      </c>
      <c r="F186" s="3" t="s">
        <v>25</v>
      </c>
      <c r="G186" s="8" t="s">
        <v>58</v>
      </c>
      <c r="H186" s="4" t="s">
        <v>55</v>
      </c>
      <c r="I186" s="5">
        <v>1</v>
      </c>
      <c r="J186" s="8" t="s">
        <v>32</v>
      </c>
      <c r="K186" s="4" t="s">
        <v>55</v>
      </c>
      <c r="L186" s="5">
        <v>1</v>
      </c>
      <c r="M186" s="8"/>
      <c r="N186" s="4"/>
      <c r="O186" s="5"/>
      <c r="P186" s="8"/>
      <c r="Q186" s="4"/>
      <c r="R186" s="5"/>
      <c r="W186" s="67" t="s">
        <v>204</v>
      </c>
      <c r="X186" s="68" t="s">
        <v>216</v>
      </c>
      <c r="Y186" s="69">
        <v>2.17</v>
      </c>
      <c r="Z186" t="str">
        <f>IF(AND(Tabla1[[#This Row],[nudo inicial]]=Tabla3[[#This Row],[n1]],Tabla1[[#This Row],[nudo final]]=Tabla3[[#This Row],[n2]],Tabla1[[#This Row],[longitud]]=Tabla3[[#This Row],[long]]),"si","no")</f>
        <v>si</v>
      </c>
    </row>
    <row r="187" spans="2:26" ht="15.75" x14ac:dyDescent="0.25">
      <c r="B187" t="s">
        <v>216</v>
      </c>
      <c r="C187" t="s">
        <v>217</v>
      </c>
      <c r="D187" s="19">
        <v>48.71</v>
      </c>
      <c r="E187" s="3" t="s">
        <v>23</v>
      </c>
      <c r="F187" s="3" t="s">
        <v>25</v>
      </c>
      <c r="G187" s="8" t="s">
        <v>58</v>
      </c>
      <c r="H187" s="4" t="s">
        <v>55</v>
      </c>
      <c r="I187" s="5">
        <v>1</v>
      </c>
      <c r="J187" s="8" t="s">
        <v>15</v>
      </c>
      <c r="K187" s="4" t="s">
        <v>23</v>
      </c>
      <c r="L187" s="5">
        <v>1</v>
      </c>
      <c r="M187" s="8"/>
      <c r="N187" s="4"/>
      <c r="O187" s="5"/>
      <c r="P187" s="8"/>
      <c r="Q187" s="4"/>
      <c r="R187" s="5"/>
      <c r="W187" s="67" t="s">
        <v>216</v>
      </c>
      <c r="X187" s="68" t="s">
        <v>217</v>
      </c>
      <c r="Y187" s="69">
        <v>48.71</v>
      </c>
      <c r="Z187" t="str">
        <f>IF(AND(Tabla1[[#This Row],[nudo inicial]]=Tabla3[[#This Row],[n1]],Tabla1[[#This Row],[nudo final]]=Tabla3[[#This Row],[n2]],Tabla1[[#This Row],[longitud]]=Tabla3[[#This Row],[long]]),"si","no")</f>
        <v>si</v>
      </c>
    </row>
    <row r="188" spans="2:26" ht="15.75" x14ac:dyDescent="0.25">
      <c r="B188" t="s">
        <v>217</v>
      </c>
      <c r="C188" t="s">
        <v>218</v>
      </c>
      <c r="D188" s="19">
        <v>92.86</v>
      </c>
      <c r="E188" s="3" t="s">
        <v>219</v>
      </c>
      <c r="F188" s="3" t="s">
        <v>25</v>
      </c>
      <c r="G188" s="8" t="s">
        <v>58</v>
      </c>
      <c r="H188" s="4" t="s">
        <v>23</v>
      </c>
      <c r="I188" s="5">
        <v>1</v>
      </c>
      <c r="J188" s="8" t="s">
        <v>15</v>
      </c>
      <c r="K188" s="4" t="s">
        <v>219</v>
      </c>
      <c r="L188" s="5">
        <v>1</v>
      </c>
      <c r="M188" s="8" t="s">
        <v>17</v>
      </c>
      <c r="N188" s="4" t="s">
        <v>219</v>
      </c>
      <c r="O188" s="5">
        <v>1</v>
      </c>
      <c r="P188" s="8"/>
      <c r="Q188" s="4"/>
      <c r="R188" s="5"/>
      <c r="W188" s="67" t="s">
        <v>217</v>
      </c>
      <c r="X188" s="68" t="s">
        <v>218</v>
      </c>
      <c r="Y188" s="69">
        <v>92.86</v>
      </c>
      <c r="Z188" t="str">
        <f>IF(AND(Tabla1[[#This Row],[nudo inicial]]=Tabla3[[#This Row],[n1]],Tabla1[[#This Row],[nudo final]]=Tabla3[[#This Row],[n2]],Tabla1[[#This Row],[longitud]]=Tabla3[[#This Row],[long]]),"si","no")</f>
        <v>si</v>
      </c>
    </row>
    <row r="189" spans="2:26" ht="15.75" x14ac:dyDescent="0.25">
      <c r="B189" t="s">
        <v>217</v>
      </c>
      <c r="C189" t="s">
        <v>220</v>
      </c>
      <c r="D189" s="19">
        <v>11.3</v>
      </c>
      <c r="E189" s="3" t="s">
        <v>23</v>
      </c>
      <c r="F189" s="3" t="s">
        <v>25</v>
      </c>
      <c r="G189" s="8" t="s">
        <v>57</v>
      </c>
      <c r="H189" s="4" t="s">
        <v>23</v>
      </c>
      <c r="I189" s="5">
        <v>1</v>
      </c>
      <c r="J189" s="8"/>
      <c r="K189" s="4"/>
      <c r="L189" s="5"/>
      <c r="M189" s="8"/>
      <c r="N189" s="4"/>
      <c r="O189" s="5"/>
      <c r="P189" s="8"/>
      <c r="Q189" s="4"/>
      <c r="R189" s="5"/>
      <c r="W189" s="67" t="s">
        <v>217</v>
      </c>
      <c r="X189" s="68" t="s">
        <v>220</v>
      </c>
      <c r="Y189" s="69">
        <v>11.3</v>
      </c>
      <c r="Z189" t="str">
        <f>IF(AND(Tabla1[[#This Row],[nudo inicial]]=Tabla3[[#This Row],[n1]],Tabla1[[#This Row],[nudo final]]=Tabla3[[#This Row],[n2]],Tabla1[[#This Row],[longitud]]=Tabla3[[#This Row],[long]]),"si","no")</f>
        <v>si</v>
      </c>
    </row>
    <row r="190" spans="2:26" ht="15.75" x14ac:dyDescent="0.25">
      <c r="B190" t="s">
        <v>220</v>
      </c>
      <c r="C190" t="s">
        <v>221</v>
      </c>
      <c r="D190" s="19">
        <v>93.53</v>
      </c>
      <c r="E190" s="3" t="s">
        <v>219</v>
      </c>
      <c r="F190" s="3" t="s">
        <v>25</v>
      </c>
      <c r="G190" s="8" t="s">
        <v>58</v>
      </c>
      <c r="H190" s="4" t="s">
        <v>23</v>
      </c>
      <c r="I190" s="5">
        <v>1</v>
      </c>
      <c r="J190" s="8" t="s">
        <v>15</v>
      </c>
      <c r="K190" s="4" t="s">
        <v>219</v>
      </c>
      <c r="L190" s="5">
        <v>1</v>
      </c>
      <c r="M190" s="8" t="s">
        <v>17</v>
      </c>
      <c r="N190" s="4" t="s">
        <v>219</v>
      </c>
      <c r="O190" s="5">
        <v>1</v>
      </c>
      <c r="P190" s="8"/>
      <c r="Q190" s="4"/>
      <c r="R190" s="5"/>
      <c r="W190" s="67" t="s">
        <v>220</v>
      </c>
      <c r="X190" s="68" t="s">
        <v>221</v>
      </c>
      <c r="Y190" s="69">
        <v>93.53</v>
      </c>
      <c r="Z190" t="str">
        <f>IF(AND(Tabla1[[#This Row],[nudo inicial]]=Tabla3[[#This Row],[n1]],Tabla1[[#This Row],[nudo final]]=Tabla3[[#This Row],[n2]],Tabla1[[#This Row],[longitud]]=Tabla3[[#This Row],[long]]),"si","no")</f>
        <v>si</v>
      </c>
    </row>
    <row r="191" spans="2:26" ht="15.75" x14ac:dyDescent="0.25">
      <c r="B191" t="s">
        <v>220</v>
      </c>
      <c r="C191" t="s">
        <v>222</v>
      </c>
      <c r="D191" s="19">
        <v>48.32</v>
      </c>
      <c r="E191" s="3" t="s">
        <v>23</v>
      </c>
      <c r="F191" s="3" t="s">
        <v>25</v>
      </c>
      <c r="G191" s="8" t="s">
        <v>57</v>
      </c>
      <c r="H191" s="4" t="s">
        <v>23</v>
      </c>
      <c r="I191" s="5">
        <v>1</v>
      </c>
      <c r="J191" s="8"/>
      <c r="K191" s="4"/>
      <c r="L191" s="5"/>
      <c r="M191" s="8"/>
      <c r="N191" s="4"/>
      <c r="O191" s="5"/>
      <c r="P191" s="8"/>
      <c r="Q191" s="4"/>
      <c r="R191" s="5"/>
      <c r="W191" s="67" t="s">
        <v>220</v>
      </c>
      <c r="X191" s="68" t="s">
        <v>222</v>
      </c>
      <c r="Y191" s="69">
        <v>48.32</v>
      </c>
      <c r="Z191" t="str">
        <f>IF(AND(Tabla1[[#This Row],[nudo inicial]]=Tabla3[[#This Row],[n1]],Tabla1[[#This Row],[nudo final]]=Tabla3[[#This Row],[n2]],Tabla1[[#This Row],[longitud]]=Tabla3[[#This Row],[long]]),"si","no")</f>
        <v>si</v>
      </c>
    </row>
    <row r="192" spans="2:26" ht="15.75" x14ac:dyDescent="0.25">
      <c r="B192" t="s">
        <v>222</v>
      </c>
      <c r="C192" t="s">
        <v>223</v>
      </c>
      <c r="D192" s="19">
        <v>90.17</v>
      </c>
      <c r="E192" s="3" t="s">
        <v>219</v>
      </c>
      <c r="F192" s="3" t="s">
        <v>25</v>
      </c>
      <c r="G192" s="8" t="s">
        <v>58</v>
      </c>
      <c r="H192" s="4" t="s">
        <v>23</v>
      </c>
      <c r="I192" s="5">
        <v>1</v>
      </c>
      <c r="J192" s="8" t="s">
        <v>15</v>
      </c>
      <c r="K192" s="4" t="s">
        <v>219</v>
      </c>
      <c r="L192" s="5">
        <v>1</v>
      </c>
      <c r="M192" s="8" t="s">
        <v>17</v>
      </c>
      <c r="N192" s="4" t="s">
        <v>219</v>
      </c>
      <c r="O192" s="5">
        <v>1</v>
      </c>
      <c r="P192" s="8"/>
      <c r="Q192" s="4"/>
      <c r="R192" s="5"/>
      <c r="W192" s="67" t="s">
        <v>222</v>
      </c>
      <c r="X192" s="68" t="s">
        <v>223</v>
      </c>
      <c r="Y192" s="69">
        <v>90.17</v>
      </c>
      <c r="Z192" t="str">
        <f>IF(AND(Tabla1[[#This Row],[nudo inicial]]=Tabla3[[#This Row],[n1]],Tabla1[[#This Row],[nudo final]]=Tabla3[[#This Row],[n2]],Tabla1[[#This Row],[longitud]]=Tabla3[[#This Row],[long]]),"si","no")</f>
        <v>si</v>
      </c>
    </row>
    <row r="193" spans="1:26" ht="15.75" x14ac:dyDescent="0.25">
      <c r="B193" t="s">
        <v>222</v>
      </c>
      <c r="C193" t="s">
        <v>224</v>
      </c>
      <c r="D193" s="19">
        <v>5.63</v>
      </c>
      <c r="E193" s="3" t="s">
        <v>23</v>
      </c>
      <c r="F193" s="3" t="s">
        <v>25</v>
      </c>
      <c r="G193" s="8" t="s">
        <v>57</v>
      </c>
      <c r="H193" s="4" t="s">
        <v>23</v>
      </c>
      <c r="I193" s="5">
        <v>1</v>
      </c>
      <c r="J193" s="8"/>
      <c r="K193" s="4"/>
      <c r="L193" s="5"/>
      <c r="M193" s="8"/>
      <c r="N193" s="4"/>
      <c r="O193" s="5"/>
      <c r="P193" s="8"/>
      <c r="Q193" s="4"/>
      <c r="R193" s="5"/>
      <c r="W193" s="67" t="s">
        <v>222</v>
      </c>
      <c r="X193" s="68" t="s">
        <v>224</v>
      </c>
      <c r="Y193" s="69">
        <v>5.63</v>
      </c>
      <c r="Z193" t="str">
        <f>IF(AND(Tabla1[[#This Row],[nudo inicial]]=Tabla3[[#This Row],[n1]],Tabla1[[#This Row],[nudo final]]=Tabla3[[#This Row],[n2]],Tabla1[[#This Row],[longitud]]=Tabla3[[#This Row],[long]]),"si","no")</f>
        <v>si</v>
      </c>
    </row>
    <row r="194" spans="1:26" ht="15.75" x14ac:dyDescent="0.25">
      <c r="B194" t="s">
        <v>224</v>
      </c>
      <c r="C194" t="s">
        <v>225</v>
      </c>
      <c r="D194" s="19">
        <v>90.74</v>
      </c>
      <c r="E194" s="3" t="s">
        <v>219</v>
      </c>
      <c r="F194" s="3" t="s">
        <v>25</v>
      </c>
      <c r="G194" s="8" t="s">
        <v>58</v>
      </c>
      <c r="H194" s="4" t="s">
        <v>226</v>
      </c>
      <c r="I194" s="5">
        <v>1</v>
      </c>
      <c r="J194" s="8" t="s">
        <v>15</v>
      </c>
      <c r="K194" s="4" t="s">
        <v>219</v>
      </c>
      <c r="L194" s="5">
        <v>1</v>
      </c>
      <c r="M194" s="8" t="s">
        <v>17</v>
      </c>
      <c r="N194" s="4" t="s">
        <v>219</v>
      </c>
      <c r="O194" s="5">
        <v>1</v>
      </c>
      <c r="P194" s="8"/>
      <c r="Q194" s="4"/>
      <c r="R194" s="5"/>
      <c r="W194" s="67" t="s">
        <v>224</v>
      </c>
      <c r="X194" s="68" t="s">
        <v>225</v>
      </c>
      <c r="Y194" s="69">
        <v>90.74</v>
      </c>
      <c r="Z194" t="str">
        <f>IF(AND(Tabla1[[#This Row],[nudo inicial]]=Tabla3[[#This Row],[n1]],Tabla1[[#This Row],[nudo final]]=Tabla3[[#This Row],[n2]],Tabla1[[#This Row],[longitud]]=Tabla3[[#This Row],[long]]),"si","no")</f>
        <v>si</v>
      </c>
    </row>
    <row r="195" spans="1:26" ht="15.75" x14ac:dyDescent="0.25">
      <c r="B195" t="s">
        <v>224</v>
      </c>
      <c r="C195" t="s">
        <v>227</v>
      </c>
      <c r="D195" s="19">
        <v>30.03</v>
      </c>
      <c r="E195" s="3" t="s">
        <v>23</v>
      </c>
      <c r="F195" s="3" t="s">
        <v>25</v>
      </c>
      <c r="G195" s="8" t="s">
        <v>57</v>
      </c>
      <c r="H195" s="4" t="s">
        <v>23</v>
      </c>
      <c r="I195" s="5">
        <v>1</v>
      </c>
      <c r="J195" s="8"/>
      <c r="K195" s="4"/>
      <c r="L195" s="5"/>
      <c r="M195" s="8"/>
      <c r="N195" s="4"/>
      <c r="O195" s="5"/>
      <c r="P195" s="8"/>
      <c r="Q195" s="4"/>
      <c r="R195" s="5"/>
      <c r="W195" s="67" t="s">
        <v>224</v>
      </c>
      <c r="X195" s="68" t="s">
        <v>227</v>
      </c>
      <c r="Y195" s="69">
        <v>30.03</v>
      </c>
      <c r="Z195" t="str">
        <f>IF(AND(Tabla1[[#This Row],[nudo inicial]]=Tabla3[[#This Row],[n1]],Tabla1[[#This Row],[nudo final]]=Tabla3[[#This Row],[n2]],Tabla1[[#This Row],[longitud]]=Tabla3[[#This Row],[long]]),"si","no")</f>
        <v>si</v>
      </c>
    </row>
    <row r="196" spans="1:26" ht="15.75" x14ac:dyDescent="0.25">
      <c r="B196" t="s">
        <v>227</v>
      </c>
      <c r="C196" t="s">
        <v>228</v>
      </c>
      <c r="D196" s="19">
        <v>71.349999999999994</v>
      </c>
      <c r="E196" s="3" t="s">
        <v>219</v>
      </c>
      <c r="F196" s="3" t="s">
        <v>25</v>
      </c>
      <c r="G196" s="8" t="s">
        <v>58</v>
      </c>
      <c r="H196" s="4" t="s">
        <v>23</v>
      </c>
      <c r="I196" s="5">
        <v>1</v>
      </c>
      <c r="J196" s="8" t="s">
        <v>15</v>
      </c>
      <c r="K196" s="4" t="s">
        <v>219</v>
      </c>
      <c r="L196" s="5">
        <v>1</v>
      </c>
      <c r="M196" s="8" t="s">
        <v>17</v>
      </c>
      <c r="N196" s="4" t="s">
        <v>219</v>
      </c>
      <c r="O196" s="5">
        <v>1</v>
      </c>
      <c r="P196" s="8"/>
      <c r="Q196" s="4"/>
      <c r="R196" s="5"/>
      <c r="W196" s="67" t="s">
        <v>227</v>
      </c>
      <c r="X196" s="68" t="s">
        <v>228</v>
      </c>
      <c r="Y196" s="69">
        <v>71.349999999999994</v>
      </c>
      <c r="Z196" t="str">
        <f>IF(AND(Tabla1[[#This Row],[nudo inicial]]=Tabla3[[#This Row],[n1]],Tabla1[[#This Row],[nudo final]]=Tabla3[[#This Row],[n2]],Tabla1[[#This Row],[longitud]]=Tabla3[[#This Row],[long]]),"si","no")</f>
        <v>si</v>
      </c>
    </row>
    <row r="197" spans="1:26" ht="15.75" x14ac:dyDescent="0.25">
      <c r="B197" t="s">
        <v>227</v>
      </c>
      <c r="C197" t="s">
        <v>230</v>
      </c>
      <c r="D197" s="19">
        <v>8.42</v>
      </c>
      <c r="E197" s="3" t="s">
        <v>226</v>
      </c>
      <c r="F197" s="3" t="s">
        <v>25</v>
      </c>
      <c r="G197" s="8" t="s">
        <v>57</v>
      </c>
      <c r="H197" s="4" t="s">
        <v>23</v>
      </c>
      <c r="I197" s="5"/>
      <c r="J197" s="8"/>
      <c r="K197" s="4"/>
      <c r="L197" s="5"/>
      <c r="M197" s="8"/>
      <c r="N197" s="4"/>
      <c r="O197" s="5"/>
      <c r="P197" s="8"/>
      <c r="Q197" s="4"/>
      <c r="R197" s="5"/>
      <c r="W197" s="67" t="s">
        <v>227</v>
      </c>
      <c r="X197" s="68" t="s">
        <v>230</v>
      </c>
      <c r="Y197" s="69">
        <v>8.42</v>
      </c>
      <c r="Z197" t="str">
        <f>IF(AND(Tabla1[[#This Row],[nudo inicial]]=Tabla3[[#This Row],[n1]],Tabla1[[#This Row],[nudo final]]=Tabla3[[#This Row],[n2]],Tabla1[[#This Row],[longitud]]=Tabla3[[#This Row],[long]]),"si","no")</f>
        <v>si</v>
      </c>
    </row>
    <row r="198" spans="1:26" ht="15.75" x14ac:dyDescent="0.25">
      <c r="B198" t="s">
        <v>230</v>
      </c>
      <c r="C198" t="s">
        <v>229</v>
      </c>
      <c r="D198" s="19">
        <v>72.02</v>
      </c>
      <c r="E198" s="3" t="s">
        <v>219</v>
      </c>
      <c r="F198" s="3" t="s">
        <v>25</v>
      </c>
      <c r="G198" s="8" t="s">
        <v>16</v>
      </c>
      <c r="H198" s="4" t="s">
        <v>23</v>
      </c>
      <c r="I198" s="5">
        <v>1</v>
      </c>
      <c r="J198" s="8" t="s">
        <v>15</v>
      </c>
      <c r="K198" s="4" t="s">
        <v>219</v>
      </c>
      <c r="L198" s="5">
        <v>1</v>
      </c>
      <c r="M198" s="8" t="s">
        <v>17</v>
      </c>
      <c r="N198" s="4" t="s">
        <v>219</v>
      </c>
      <c r="O198" s="5">
        <v>1</v>
      </c>
      <c r="P198" s="8"/>
      <c r="Q198" s="4"/>
      <c r="R198" s="5"/>
      <c r="W198" s="67" t="s">
        <v>230</v>
      </c>
      <c r="X198" s="68" t="s">
        <v>229</v>
      </c>
      <c r="Y198" s="69">
        <v>72.02</v>
      </c>
      <c r="Z198" t="str">
        <f>IF(AND(Tabla1[[#This Row],[nudo inicial]]=Tabla3[[#This Row],[n1]],Tabla1[[#This Row],[nudo final]]=Tabla3[[#This Row],[n2]],Tabla1[[#This Row],[longitud]]=Tabla3[[#This Row],[long]]),"si","no")</f>
        <v>si</v>
      </c>
    </row>
    <row r="199" spans="1:26" ht="15.75" x14ac:dyDescent="0.25">
      <c r="B199" t="s">
        <v>216</v>
      </c>
      <c r="C199" t="s">
        <v>231</v>
      </c>
      <c r="D199" s="19">
        <v>108.52</v>
      </c>
      <c r="E199" s="3" t="s">
        <v>126</v>
      </c>
      <c r="F199" s="3" t="s">
        <v>25</v>
      </c>
      <c r="G199" s="8" t="s">
        <v>57</v>
      </c>
      <c r="H199" s="4" t="s">
        <v>55</v>
      </c>
      <c r="I199" s="5">
        <v>1</v>
      </c>
      <c r="J199" s="8" t="s">
        <v>15</v>
      </c>
      <c r="K199" s="4" t="s">
        <v>126</v>
      </c>
      <c r="L199" s="5">
        <v>1</v>
      </c>
      <c r="M199" s="8"/>
      <c r="N199" s="4"/>
      <c r="O199" s="5"/>
      <c r="P199" s="8"/>
      <c r="Q199" s="4"/>
      <c r="R199" s="5"/>
      <c r="W199" s="67" t="s">
        <v>216</v>
      </c>
      <c r="X199" s="68" t="s">
        <v>231</v>
      </c>
      <c r="Y199" s="69">
        <v>108.52</v>
      </c>
      <c r="Z199" t="str">
        <f>IF(AND(Tabla1[[#This Row],[nudo inicial]]=Tabla3[[#This Row],[n1]],Tabla1[[#This Row],[nudo final]]=Tabla3[[#This Row],[n2]],Tabla1[[#This Row],[longitud]]=Tabla3[[#This Row],[long]]),"si","no")</f>
        <v>si</v>
      </c>
    </row>
    <row r="200" spans="1:26" ht="15.75" x14ac:dyDescent="0.25">
      <c r="B200" t="s">
        <v>231</v>
      </c>
      <c r="C200" t="s">
        <v>232</v>
      </c>
      <c r="D200" s="19">
        <v>56.65</v>
      </c>
      <c r="E200" s="3" t="s">
        <v>23</v>
      </c>
      <c r="F200" s="3" t="s">
        <v>25</v>
      </c>
      <c r="G200" s="8" t="s">
        <v>58</v>
      </c>
      <c r="H200" s="4" t="s">
        <v>126</v>
      </c>
      <c r="I200" s="5">
        <v>1</v>
      </c>
      <c r="J200" s="8" t="s">
        <v>15</v>
      </c>
      <c r="K200" s="4" t="s">
        <v>23</v>
      </c>
      <c r="L200" s="5">
        <v>1</v>
      </c>
      <c r="M200" s="8"/>
      <c r="N200" s="4"/>
      <c r="O200" s="5"/>
      <c r="P200" s="8"/>
      <c r="Q200" s="4"/>
      <c r="R200" s="5"/>
      <c r="W200" s="67" t="s">
        <v>231</v>
      </c>
      <c r="X200" s="68" t="s">
        <v>232</v>
      </c>
      <c r="Y200" s="69">
        <v>56.65</v>
      </c>
      <c r="Z200" t="str">
        <f>IF(AND(Tabla1[[#This Row],[nudo inicial]]=Tabla3[[#This Row],[n1]],Tabla1[[#This Row],[nudo final]]=Tabla3[[#This Row],[n2]],Tabla1[[#This Row],[longitud]]=Tabla3[[#This Row],[long]]),"si","no")</f>
        <v>si</v>
      </c>
    </row>
    <row r="201" spans="1:26" ht="15.75" x14ac:dyDescent="0.25">
      <c r="A201" s="14"/>
      <c r="B201" t="s">
        <v>232</v>
      </c>
      <c r="C201" t="s">
        <v>233</v>
      </c>
      <c r="D201" s="19">
        <v>99.1</v>
      </c>
      <c r="E201" s="3" t="s">
        <v>219</v>
      </c>
      <c r="F201" s="3" t="s">
        <v>25</v>
      </c>
      <c r="G201" s="8" t="s">
        <v>58</v>
      </c>
      <c r="H201" s="4" t="s">
        <v>23</v>
      </c>
      <c r="I201" s="5">
        <v>1</v>
      </c>
      <c r="J201" s="8" t="s">
        <v>15</v>
      </c>
      <c r="K201" s="4" t="s">
        <v>219</v>
      </c>
      <c r="L201" s="5">
        <v>1</v>
      </c>
      <c r="M201" s="8" t="s">
        <v>17</v>
      </c>
      <c r="N201" s="4" t="s">
        <v>219</v>
      </c>
      <c r="O201" s="5">
        <v>1</v>
      </c>
      <c r="P201" s="8"/>
      <c r="Q201" s="4"/>
      <c r="R201" s="5"/>
      <c r="W201" s="67" t="s">
        <v>232</v>
      </c>
      <c r="X201" s="68" t="s">
        <v>233</v>
      </c>
      <c r="Y201" s="69">
        <v>99.1</v>
      </c>
      <c r="Z201" t="str">
        <f>IF(AND(Tabla1[[#This Row],[nudo inicial]]=Tabla3[[#This Row],[n1]],Tabla1[[#This Row],[nudo final]]=Tabla3[[#This Row],[n2]],Tabla1[[#This Row],[longitud]]=Tabla3[[#This Row],[long]]),"si","no")</f>
        <v>si</v>
      </c>
    </row>
    <row r="202" spans="1:26" ht="15.75" x14ac:dyDescent="0.25">
      <c r="A202" s="14"/>
      <c r="B202" s="14" t="s">
        <v>232</v>
      </c>
      <c r="C202" s="14" t="s">
        <v>1221</v>
      </c>
      <c r="D202" s="20">
        <v>5.83</v>
      </c>
      <c r="E202" s="15" t="s">
        <v>23</v>
      </c>
      <c r="F202" s="15" t="s">
        <v>25</v>
      </c>
      <c r="G202" s="16" t="s">
        <v>57</v>
      </c>
      <c r="H202" s="17" t="s">
        <v>23</v>
      </c>
      <c r="I202" s="18">
        <v>1</v>
      </c>
      <c r="J202" s="16"/>
      <c r="K202" s="17"/>
      <c r="L202" s="18"/>
      <c r="M202" s="16"/>
      <c r="N202" s="17"/>
      <c r="O202" s="18"/>
      <c r="P202" s="16"/>
      <c r="Q202" s="17"/>
      <c r="R202" s="18"/>
      <c r="S202" s="14"/>
      <c r="T202" s="14"/>
      <c r="U202" s="14"/>
      <c r="W202" s="67" t="s">
        <v>232</v>
      </c>
      <c r="X202" s="68" t="s">
        <v>1221</v>
      </c>
      <c r="Y202" s="69">
        <v>5.83</v>
      </c>
      <c r="Z202" t="str">
        <f>IF(AND(Tabla1[[#This Row],[nudo inicial]]=Tabla3[[#This Row],[n1]],Tabla1[[#This Row],[nudo final]]=Tabla3[[#This Row],[n2]],Tabla1[[#This Row],[longitud]]=Tabla3[[#This Row],[long]]),"si","no")</f>
        <v>si</v>
      </c>
    </row>
    <row r="203" spans="1:26" ht="15.75" x14ac:dyDescent="0.25">
      <c r="B203" s="14" t="s">
        <v>1221</v>
      </c>
      <c r="C203" s="14" t="s">
        <v>234</v>
      </c>
      <c r="D203" s="20">
        <v>45.74</v>
      </c>
      <c r="E203" s="15" t="s">
        <v>23</v>
      </c>
      <c r="F203" s="15" t="s">
        <v>25</v>
      </c>
      <c r="G203" s="16" t="s">
        <v>57</v>
      </c>
      <c r="H203" s="17" t="s">
        <v>23</v>
      </c>
      <c r="I203" s="18">
        <v>1</v>
      </c>
      <c r="J203" s="16"/>
      <c r="K203" s="17"/>
      <c r="L203" s="18"/>
      <c r="M203" s="16"/>
      <c r="N203" s="17"/>
      <c r="O203" s="18"/>
      <c r="P203" s="16"/>
      <c r="Q203" s="17"/>
      <c r="R203" s="18"/>
      <c r="S203" s="14"/>
      <c r="T203" s="14"/>
      <c r="U203" s="14"/>
      <c r="W203" s="67" t="s">
        <v>1221</v>
      </c>
      <c r="X203" s="68" t="s">
        <v>234</v>
      </c>
      <c r="Y203" s="69">
        <v>45.74</v>
      </c>
      <c r="Z203" t="str">
        <f>IF(AND(Tabla1[[#This Row],[nudo inicial]]=Tabla3[[#This Row],[n1]],Tabla1[[#This Row],[nudo final]]=Tabla3[[#This Row],[n2]],Tabla1[[#This Row],[longitud]]=Tabla3[[#This Row],[long]]),"si","no")</f>
        <v>si</v>
      </c>
    </row>
    <row r="204" spans="1:26" ht="15.75" x14ac:dyDescent="0.25">
      <c r="B204" t="s">
        <v>234</v>
      </c>
      <c r="C204" t="s">
        <v>235</v>
      </c>
      <c r="D204" s="19">
        <v>51.28</v>
      </c>
      <c r="E204" s="3" t="s">
        <v>219</v>
      </c>
      <c r="F204" s="3" t="s">
        <v>25</v>
      </c>
      <c r="G204" s="8" t="s">
        <v>58</v>
      </c>
      <c r="H204" s="4" t="s">
        <v>23</v>
      </c>
      <c r="I204" s="5">
        <v>1</v>
      </c>
      <c r="J204" s="8" t="s">
        <v>15</v>
      </c>
      <c r="K204" s="4" t="s">
        <v>219</v>
      </c>
      <c r="L204" s="5">
        <v>1</v>
      </c>
      <c r="M204" s="8" t="s">
        <v>17</v>
      </c>
      <c r="N204" s="4" t="s">
        <v>219</v>
      </c>
      <c r="O204" s="5">
        <v>1</v>
      </c>
      <c r="P204" s="8"/>
      <c r="Q204" s="4"/>
      <c r="R204" s="5"/>
      <c r="W204" s="67" t="s">
        <v>234</v>
      </c>
      <c r="X204" s="68" t="s">
        <v>235</v>
      </c>
      <c r="Y204" s="69">
        <v>51.28</v>
      </c>
      <c r="Z204" t="str">
        <f>IF(AND(Tabla1[[#This Row],[nudo inicial]]=Tabla3[[#This Row],[n1]],Tabla1[[#This Row],[nudo final]]=Tabla3[[#This Row],[n2]],Tabla1[[#This Row],[longitud]]=Tabla3[[#This Row],[long]]),"si","no")</f>
        <v>si</v>
      </c>
    </row>
    <row r="205" spans="1:26" ht="15.75" x14ac:dyDescent="0.25">
      <c r="B205" t="s">
        <v>234</v>
      </c>
      <c r="C205" t="s">
        <v>236</v>
      </c>
      <c r="D205" s="19">
        <v>5.13</v>
      </c>
      <c r="E205" s="3" t="s">
        <v>23</v>
      </c>
      <c r="F205" s="3" t="s">
        <v>25</v>
      </c>
      <c r="G205" s="8" t="s">
        <v>57</v>
      </c>
      <c r="H205" s="4" t="s">
        <v>23</v>
      </c>
      <c r="I205" s="5">
        <v>1</v>
      </c>
      <c r="J205" s="8"/>
      <c r="K205" s="4"/>
      <c r="L205" s="5"/>
      <c r="M205" s="8"/>
      <c r="N205" s="4"/>
      <c r="O205" s="5"/>
      <c r="P205" s="8"/>
      <c r="Q205" s="4"/>
      <c r="R205" s="5"/>
      <c r="W205" s="67" t="s">
        <v>234</v>
      </c>
      <c r="X205" s="68" t="s">
        <v>236</v>
      </c>
      <c r="Y205" s="69">
        <v>5.13</v>
      </c>
      <c r="Z205" t="str">
        <f>IF(AND(Tabla1[[#This Row],[nudo inicial]]=Tabla3[[#This Row],[n1]],Tabla1[[#This Row],[nudo final]]=Tabla3[[#This Row],[n2]],Tabla1[[#This Row],[longitud]]=Tabla3[[#This Row],[long]]),"si","no")</f>
        <v>si</v>
      </c>
    </row>
    <row r="206" spans="1:26" ht="15.75" x14ac:dyDescent="0.25">
      <c r="B206" t="s">
        <v>236</v>
      </c>
      <c r="C206" t="s">
        <v>237</v>
      </c>
      <c r="D206" s="19">
        <v>51.71</v>
      </c>
      <c r="E206" s="3" t="s">
        <v>219</v>
      </c>
      <c r="F206" s="3" t="s">
        <v>25</v>
      </c>
      <c r="G206" s="8" t="s">
        <v>58</v>
      </c>
      <c r="H206" s="4" t="s">
        <v>23</v>
      </c>
      <c r="I206" s="5">
        <v>1</v>
      </c>
      <c r="J206" s="8" t="s">
        <v>15</v>
      </c>
      <c r="K206" s="4" t="s">
        <v>219</v>
      </c>
      <c r="L206" s="5">
        <v>1</v>
      </c>
      <c r="M206" s="8" t="s">
        <v>17</v>
      </c>
      <c r="N206" s="4" t="s">
        <v>219</v>
      </c>
      <c r="O206" s="5">
        <v>1</v>
      </c>
      <c r="P206" s="8"/>
      <c r="Q206" s="4"/>
      <c r="R206" s="5"/>
      <c r="W206" s="67" t="s">
        <v>236</v>
      </c>
      <c r="X206" s="68" t="s">
        <v>237</v>
      </c>
      <c r="Y206" s="69">
        <v>51.71</v>
      </c>
      <c r="Z206" t="str">
        <f>IF(AND(Tabla1[[#This Row],[nudo inicial]]=Tabla3[[#This Row],[n1]],Tabla1[[#This Row],[nudo final]]=Tabla3[[#This Row],[n2]],Tabla1[[#This Row],[longitud]]=Tabla3[[#This Row],[long]]),"si","no")</f>
        <v>si</v>
      </c>
    </row>
    <row r="207" spans="1:26" ht="15.75" x14ac:dyDescent="0.25">
      <c r="B207" t="s">
        <v>236</v>
      </c>
      <c r="C207" t="s">
        <v>238</v>
      </c>
      <c r="D207" s="19">
        <v>36.04</v>
      </c>
      <c r="E207" s="3" t="s">
        <v>23</v>
      </c>
      <c r="F207" s="3" t="s">
        <v>25</v>
      </c>
      <c r="G207" s="8" t="s">
        <v>57</v>
      </c>
      <c r="H207" s="4" t="s">
        <v>23</v>
      </c>
      <c r="I207" s="5">
        <v>1</v>
      </c>
      <c r="J207" s="8" t="s">
        <v>16</v>
      </c>
      <c r="K207" s="4" t="s">
        <v>23</v>
      </c>
      <c r="L207" s="5">
        <v>2</v>
      </c>
      <c r="M207" s="8"/>
      <c r="N207" s="4"/>
      <c r="O207" s="5"/>
      <c r="P207" s="8"/>
      <c r="Q207" s="4"/>
      <c r="R207" s="5"/>
      <c r="W207" s="67" t="s">
        <v>236</v>
      </c>
      <c r="X207" s="68" t="s">
        <v>238</v>
      </c>
      <c r="Y207" s="69">
        <v>36.04</v>
      </c>
      <c r="Z207" t="str">
        <f>IF(AND(Tabla1[[#This Row],[nudo inicial]]=Tabla3[[#This Row],[n1]],Tabla1[[#This Row],[nudo final]]=Tabla3[[#This Row],[n2]],Tabla1[[#This Row],[longitud]]=Tabla3[[#This Row],[long]]),"si","no")</f>
        <v>si</v>
      </c>
    </row>
    <row r="208" spans="1:26" ht="15.75" x14ac:dyDescent="0.25">
      <c r="B208" t="s">
        <v>238</v>
      </c>
      <c r="C208" t="s">
        <v>239</v>
      </c>
      <c r="D208" s="19">
        <v>56.82</v>
      </c>
      <c r="E208" s="3" t="s">
        <v>23</v>
      </c>
      <c r="F208" s="3" t="s">
        <v>25</v>
      </c>
      <c r="G208" s="8" t="s">
        <v>57</v>
      </c>
      <c r="H208" s="4" t="s">
        <v>23</v>
      </c>
      <c r="I208" s="5">
        <v>1</v>
      </c>
      <c r="J208" s="8" t="s">
        <v>16</v>
      </c>
      <c r="K208" s="4" t="s">
        <v>23</v>
      </c>
      <c r="L208" s="5">
        <v>2</v>
      </c>
      <c r="M208" s="8"/>
      <c r="N208" s="4"/>
      <c r="O208" s="5"/>
      <c r="P208" s="8"/>
      <c r="Q208" s="4"/>
      <c r="R208" s="5"/>
      <c r="W208" s="67" t="s">
        <v>238</v>
      </c>
      <c r="X208" s="68" t="s">
        <v>239</v>
      </c>
      <c r="Y208" s="69">
        <v>56.82</v>
      </c>
      <c r="Z208" t="str">
        <f>IF(AND(Tabla1[[#This Row],[nudo inicial]]=Tabla3[[#This Row],[n1]],Tabla1[[#This Row],[nudo final]]=Tabla3[[#This Row],[n2]],Tabla1[[#This Row],[longitud]]=Tabla3[[#This Row],[long]]),"si","no")</f>
        <v>si</v>
      </c>
    </row>
    <row r="209" spans="2:26" ht="15.75" x14ac:dyDescent="0.25">
      <c r="B209" t="s">
        <v>239</v>
      </c>
      <c r="C209" t="s">
        <v>240</v>
      </c>
      <c r="D209" s="19">
        <v>62.57</v>
      </c>
      <c r="E209" s="3" t="s">
        <v>23</v>
      </c>
      <c r="F209" s="3" t="s">
        <v>25</v>
      </c>
      <c r="G209" s="8" t="s">
        <v>58</v>
      </c>
      <c r="H209" s="4" t="s">
        <v>23</v>
      </c>
      <c r="I209" s="5">
        <v>1</v>
      </c>
      <c r="J209" s="8"/>
      <c r="K209" s="4"/>
      <c r="L209" s="5"/>
      <c r="M209" s="8"/>
      <c r="N209" s="4"/>
      <c r="O209" s="5"/>
      <c r="P209" s="8"/>
      <c r="Q209" s="4"/>
      <c r="R209" s="5"/>
      <c r="W209" s="67" t="s">
        <v>239</v>
      </c>
      <c r="X209" s="68" t="s">
        <v>240</v>
      </c>
      <c r="Y209" s="69">
        <v>62.57</v>
      </c>
      <c r="Z209" t="str">
        <f>IF(AND(Tabla1[[#This Row],[nudo inicial]]=Tabla3[[#This Row],[n1]],Tabla1[[#This Row],[nudo final]]=Tabla3[[#This Row],[n2]],Tabla1[[#This Row],[longitud]]=Tabla3[[#This Row],[long]]),"si","no")</f>
        <v>si</v>
      </c>
    </row>
    <row r="210" spans="2:26" ht="15.75" x14ac:dyDescent="0.25">
      <c r="B210" t="s">
        <v>240</v>
      </c>
      <c r="C210" t="s">
        <v>241</v>
      </c>
      <c r="D210" s="19">
        <v>33.119999999999997</v>
      </c>
      <c r="E210" s="3" t="s">
        <v>23</v>
      </c>
      <c r="F210" s="3" t="s">
        <v>25</v>
      </c>
      <c r="G210" s="8" t="s">
        <v>57</v>
      </c>
      <c r="H210" s="4" t="s">
        <v>23</v>
      </c>
      <c r="I210" s="5">
        <v>1</v>
      </c>
      <c r="J210" s="8" t="s">
        <v>17</v>
      </c>
      <c r="K210" s="4" t="s">
        <v>23</v>
      </c>
      <c r="L210" s="5">
        <v>1</v>
      </c>
      <c r="M210" s="8"/>
      <c r="N210" s="4"/>
      <c r="O210" s="5"/>
      <c r="P210" s="8"/>
      <c r="Q210" s="4"/>
      <c r="R210" s="5"/>
      <c r="W210" s="67" t="s">
        <v>240</v>
      </c>
      <c r="X210" s="68" t="s">
        <v>241</v>
      </c>
      <c r="Y210" s="69">
        <v>33.119999999999997</v>
      </c>
      <c r="Z210" t="str">
        <f>IF(AND(Tabla1[[#This Row],[nudo inicial]]=Tabla3[[#This Row],[n1]],Tabla1[[#This Row],[nudo final]]=Tabla3[[#This Row],[n2]],Tabla1[[#This Row],[longitud]]=Tabla3[[#This Row],[long]]),"si","no")</f>
        <v>si</v>
      </c>
    </row>
    <row r="211" spans="2:26" ht="15.75" x14ac:dyDescent="0.25">
      <c r="B211" t="s">
        <v>240</v>
      </c>
      <c r="C211" t="s">
        <v>242</v>
      </c>
      <c r="D211" s="19">
        <v>22.55</v>
      </c>
      <c r="E211" s="3" t="s">
        <v>23</v>
      </c>
      <c r="F211" s="3" t="s">
        <v>25</v>
      </c>
      <c r="G211" s="8" t="s">
        <v>58</v>
      </c>
      <c r="H211" s="4" t="s">
        <v>23</v>
      </c>
      <c r="I211" s="5">
        <v>1</v>
      </c>
      <c r="J211" s="8"/>
      <c r="K211" s="4"/>
      <c r="L211" s="5"/>
      <c r="M211" s="8"/>
      <c r="N211" s="4"/>
      <c r="O211" s="5"/>
      <c r="P211" s="8"/>
      <c r="Q211" s="4"/>
      <c r="R211" s="5"/>
      <c r="W211" s="67" t="s">
        <v>240</v>
      </c>
      <c r="X211" s="68" t="s">
        <v>242</v>
      </c>
      <c r="Y211" s="69">
        <v>22.55</v>
      </c>
      <c r="Z211" t="str">
        <f>IF(AND(Tabla1[[#This Row],[nudo inicial]]=Tabla3[[#This Row],[n1]],Tabla1[[#This Row],[nudo final]]=Tabla3[[#This Row],[n2]],Tabla1[[#This Row],[longitud]]=Tabla3[[#This Row],[long]]),"si","no")</f>
        <v>si</v>
      </c>
    </row>
    <row r="212" spans="2:26" ht="15.75" x14ac:dyDescent="0.25">
      <c r="B212" t="s">
        <v>242</v>
      </c>
      <c r="C212" t="s">
        <v>243</v>
      </c>
      <c r="D212" s="19">
        <v>33.770000000000003</v>
      </c>
      <c r="E212" s="3" t="s">
        <v>23</v>
      </c>
      <c r="F212" s="3" t="s">
        <v>25</v>
      </c>
      <c r="G212" s="8" t="s">
        <v>58</v>
      </c>
      <c r="H212" s="4" t="s">
        <v>23</v>
      </c>
      <c r="I212" s="5">
        <v>1</v>
      </c>
      <c r="J212" s="8" t="s">
        <v>17</v>
      </c>
      <c r="K212" s="4" t="s">
        <v>23</v>
      </c>
      <c r="L212" s="5">
        <v>1</v>
      </c>
      <c r="M212" s="8"/>
      <c r="N212" s="4"/>
      <c r="O212" s="5"/>
      <c r="P212" s="8"/>
      <c r="Q212" s="4"/>
      <c r="R212" s="5"/>
      <c r="W212" s="67" t="s">
        <v>242</v>
      </c>
      <c r="X212" s="68" t="s">
        <v>243</v>
      </c>
      <c r="Y212" s="69">
        <v>33.770000000000003</v>
      </c>
      <c r="Z212" t="str">
        <f>IF(AND(Tabla1[[#This Row],[nudo inicial]]=Tabla3[[#This Row],[n1]],Tabla1[[#This Row],[nudo final]]=Tabla3[[#This Row],[n2]],Tabla1[[#This Row],[longitud]]=Tabla3[[#This Row],[long]]),"si","no")</f>
        <v>si</v>
      </c>
    </row>
    <row r="213" spans="2:26" ht="15.75" x14ac:dyDescent="0.25">
      <c r="B213" t="s">
        <v>242</v>
      </c>
      <c r="C213" t="s">
        <v>244</v>
      </c>
      <c r="D213" s="19">
        <v>11</v>
      </c>
      <c r="E213" s="3" t="s">
        <v>23</v>
      </c>
      <c r="F213" s="3" t="s">
        <v>25</v>
      </c>
      <c r="G213" s="8" t="s">
        <v>57</v>
      </c>
      <c r="H213" s="4" t="s">
        <v>23</v>
      </c>
      <c r="I213" s="5">
        <v>1</v>
      </c>
      <c r="J213" s="8"/>
      <c r="K213" s="4"/>
      <c r="L213" s="5"/>
      <c r="M213" s="8"/>
      <c r="N213" s="4"/>
      <c r="O213" s="5"/>
      <c r="P213" s="8"/>
      <c r="Q213" s="4"/>
      <c r="R213" s="5"/>
      <c r="W213" s="67" t="s">
        <v>242</v>
      </c>
      <c r="X213" s="68" t="s">
        <v>244</v>
      </c>
      <c r="Y213" s="69">
        <v>11</v>
      </c>
      <c r="Z213" t="str">
        <f>IF(AND(Tabla1[[#This Row],[nudo inicial]]=Tabla3[[#This Row],[n1]],Tabla1[[#This Row],[nudo final]]=Tabla3[[#This Row],[n2]],Tabla1[[#This Row],[longitud]]=Tabla3[[#This Row],[long]]),"si","no")</f>
        <v>si</v>
      </c>
    </row>
    <row r="214" spans="2:26" ht="15.75" x14ac:dyDescent="0.25">
      <c r="B214" t="s">
        <v>244</v>
      </c>
      <c r="C214" t="s">
        <v>245</v>
      </c>
      <c r="D214" s="19">
        <v>63.77</v>
      </c>
      <c r="E214" s="3" t="s">
        <v>23</v>
      </c>
      <c r="F214" s="3" t="s">
        <v>25</v>
      </c>
      <c r="G214" s="8" t="s">
        <v>57</v>
      </c>
      <c r="H214" s="4" t="s">
        <v>23</v>
      </c>
      <c r="I214" s="5">
        <v>1</v>
      </c>
      <c r="J214" s="8" t="s">
        <v>16</v>
      </c>
      <c r="K214" s="4" t="s">
        <v>23</v>
      </c>
      <c r="L214" s="5">
        <v>1</v>
      </c>
      <c r="M214" s="8" t="s">
        <v>17</v>
      </c>
      <c r="N214" s="4" t="s">
        <v>23</v>
      </c>
      <c r="O214" s="5">
        <v>1</v>
      </c>
      <c r="P214" s="8"/>
      <c r="Q214" s="4"/>
      <c r="R214" s="5"/>
      <c r="W214" s="67" t="s">
        <v>244</v>
      </c>
      <c r="X214" s="68" t="s">
        <v>245</v>
      </c>
      <c r="Y214" s="69">
        <v>63.77</v>
      </c>
      <c r="Z214" t="str">
        <f>IF(AND(Tabla1[[#This Row],[nudo inicial]]=Tabla3[[#This Row],[n1]],Tabla1[[#This Row],[nudo final]]=Tabla3[[#This Row],[n2]],Tabla1[[#This Row],[longitud]]=Tabla3[[#This Row],[long]]),"si","no")</f>
        <v>si</v>
      </c>
    </row>
    <row r="215" spans="2:26" ht="15.75" x14ac:dyDescent="0.25">
      <c r="B215" t="s">
        <v>244</v>
      </c>
      <c r="C215" t="s">
        <v>246</v>
      </c>
      <c r="D215" s="19">
        <v>73.45</v>
      </c>
      <c r="E215" s="3" t="s">
        <v>23</v>
      </c>
      <c r="F215" s="3" t="s">
        <v>25</v>
      </c>
      <c r="G215" s="8" t="s">
        <v>58</v>
      </c>
      <c r="H215" s="4" t="s">
        <v>23</v>
      </c>
      <c r="I215" s="5">
        <v>1</v>
      </c>
      <c r="J215" s="8" t="s">
        <v>16</v>
      </c>
      <c r="K215" s="4" t="s">
        <v>23</v>
      </c>
      <c r="L215" s="5">
        <v>1</v>
      </c>
      <c r="M215" s="8"/>
      <c r="N215" s="4"/>
      <c r="O215" s="5"/>
      <c r="P215" s="8"/>
      <c r="Q215" s="4"/>
      <c r="R215" s="5"/>
      <c r="W215" s="67" t="s">
        <v>244</v>
      </c>
      <c r="X215" s="68" t="s">
        <v>246</v>
      </c>
      <c r="Y215" s="69">
        <v>73.45</v>
      </c>
      <c r="Z215" t="str">
        <f>IF(AND(Tabla1[[#This Row],[nudo inicial]]=Tabla3[[#This Row],[n1]],Tabla1[[#This Row],[nudo final]]=Tabla3[[#This Row],[n2]],Tabla1[[#This Row],[longitud]]=Tabla3[[#This Row],[long]]),"si","no")</f>
        <v>si</v>
      </c>
    </row>
    <row r="216" spans="2:26" ht="15.75" x14ac:dyDescent="0.25">
      <c r="B216" t="s">
        <v>239</v>
      </c>
      <c r="C216" t="s">
        <v>246</v>
      </c>
      <c r="D216" s="19">
        <v>23.3</v>
      </c>
      <c r="E216" s="3" t="s">
        <v>23</v>
      </c>
      <c r="F216" s="3" t="s">
        <v>25</v>
      </c>
      <c r="G216" s="8" t="s">
        <v>57</v>
      </c>
      <c r="H216" s="4" t="s">
        <v>23</v>
      </c>
      <c r="I216" s="5">
        <v>1</v>
      </c>
      <c r="J216" s="8"/>
      <c r="K216" s="4"/>
      <c r="L216" s="5"/>
      <c r="M216" s="8"/>
      <c r="N216" s="4"/>
      <c r="O216" s="5"/>
      <c r="P216" s="8"/>
      <c r="Q216" s="4"/>
      <c r="R216" s="5"/>
      <c r="W216" s="67" t="s">
        <v>239</v>
      </c>
      <c r="X216" s="68" t="s">
        <v>246</v>
      </c>
      <c r="Y216" s="69">
        <v>23.3</v>
      </c>
      <c r="Z216" t="str">
        <f>IF(AND(Tabla1[[#This Row],[nudo inicial]]=Tabla3[[#This Row],[n1]],Tabla1[[#This Row],[nudo final]]=Tabla3[[#This Row],[n2]],Tabla1[[#This Row],[longitud]]=Tabla3[[#This Row],[long]]),"si","no")</f>
        <v>si</v>
      </c>
    </row>
    <row r="217" spans="2:26" ht="15.75" x14ac:dyDescent="0.25">
      <c r="B217" t="s">
        <v>246</v>
      </c>
      <c r="C217" t="s">
        <v>247</v>
      </c>
      <c r="D217" s="19">
        <v>79.27</v>
      </c>
      <c r="E217" s="3" t="s">
        <v>23</v>
      </c>
      <c r="F217" s="3" t="s">
        <v>25</v>
      </c>
      <c r="G217" s="8" t="s">
        <v>58</v>
      </c>
      <c r="H217" s="4" t="s">
        <v>23</v>
      </c>
      <c r="I217" s="5">
        <v>1</v>
      </c>
      <c r="J217" s="8" t="s">
        <v>16</v>
      </c>
      <c r="K217" s="4" t="s">
        <v>23</v>
      </c>
      <c r="L217" s="5">
        <v>1</v>
      </c>
      <c r="M217" s="8"/>
      <c r="N217" s="4"/>
      <c r="O217" s="5"/>
      <c r="P217" s="8"/>
      <c r="Q217" s="4"/>
      <c r="R217" s="5"/>
      <c r="W217" s="67" t="s">
        <v>246</v>
      </c>
      <c r="X217" s="68" t="s">
        <v>247</v>
      </c>
      <c r="Y217" s="69">
        <v>79.27</v>
      </c>
      <c r="Z217" t="str">
        <f>IF(AND(Tabla1[[#This Row],[nudo inicial]]=Tabla3[[#This Row],[n1]],Tabla1[[#This Row],[nudo final]]=Tabla3[[#This Row],[n2]],Tabla1[[#This Row],[longitud]]=Tabla3[[#This Row],[long]]),"si","no")</f>
        <v>si</v>
      </c>
    </row>
    <row r="218" spans="2:26" ht="15.75" x14ac:dyDescent="0.25">
      <c r="B218" t="s">
        <v>247</v>
      </c>
      <c r="C218" t="s">
        <v>248</v>
      </c>
      <c r="D218" s="19">
        <v>48.5</v>
      </c>
      <c r="E218" s="3" t="s">
        <v>23</v>
      </c>
      <c r="F218" s="3" t="s">
        <v>25</v>
      </c>
      <c r="G218" s="8" t="s">
        <v>58</v>
      </c>
      <c r="H218" s="4" t="s">
        <v>23</v>
      </c>
      <c r="I218" s="5">
        <v>1</v>
      </c>
      <c r="J218" s="8"/>
      <c r="K218" s="4"/>
      <c r="L218" s="5"/>
      <c r="M218" s="8"/>
      <c r="N218" s="4"/>
      <c r="O218" s="5"/>
      <c r="P218" s="8"/>
      <c r="Q218" s="4"/>
      <c r="R218" s="5"/>
      <c r="W218" s="67" t="s">
        <v>247</v>
      </c>
      <c r="X218" s="68" t="s">
        <v>248</v>
      </c>
      <c r="Y218" s="69">
        <v>48.5</v>
      </c>
      <c r="Z218" t="str">
        <f>IF(AND(Tabla1[[#This Row],[nudo inicial]]=Tabla3[[#This Row],[n1]],Tabla1[[#This Row],[nudo final]]=Tabla3[[#This Row],[n2]],Tabla1[[#This Row],[longitud]]=Tabla3[[#This Row],[long]]),"si","no")</f>
        <v>si</v>
      </c>
    </row>
    <row r="219" spans="2:26" ht="15.75" x14ac:dyDescent="0.25">
      <c r="B219" t="s">
        <v>248</v>
      </c>
      <c r="C219" t="s">
        <v>249</v>
      </c>
      <c r="D219" s="19">
        <v>38.35</v>
      </c>
      <c r="E219" s="3" t="s">
        <v>23</v>
      </c>
      <c r="F219" s="3" t="s">
        <v>25</v>
      </c>
      <c r="G219" s="8" t="s">
        <v>58</v>
      </c>
      <c r="H219" s="4" t="s">
        <v>23</v>
      </c>
      <c r="I219" s="5">
        <v>1</v>
      </c>
      <c r="J219" s="8" t="s">
        <v>17</v>
      </c>
      <c r="K219" s="4" t="s">
        <v>23</v>
      </c>
      <c r="L219" s="5">
        <v>1</v>
      </c>
      <c r="M219" s="8"/>
      <c r="N219" s="4"/>
      <c r="O219" s="5"/>
      <c r="P219" s="8"/>
      <c r="Q219" s="4"/>
      <c r="R219" s="5"/>
      <c r="W219" s="67" t="s">
        <v>248</v>
      </c>
      <c r="X219" s="68" t="s">
        <v>249</v>
      </c>
      <c r="Y219" s="69">
        <v>38.35</v>
      </c>
      <c r="Z219" t="str">
        <f>IF(AND(Tabla1[[#This Row],[nudo inicial]]=Tabla3[[#This Row],[n1]],Tabla1[[#This Row],[nudo final]]=Tabla3[[#This Row],[n2]],Tabla1[[#This Row],[longitud]]=Tabla3[[#This Row],[long]]),"si","no")</f>
        <v>si</v>
      </c>
    </row>
    <row r="220" spans="2:26" ht="15.75" x14ac:dyDescent="0.25">
      <c r="B220" t="s">
        <v>238</v>
      </c>
      <c r="C220" t="s">
        <v>250</v>
      </c>
      <c r="D220" s="19">
        <v>49.01</v>
      </c>
      <c r="E220" s="3" t="s">
        <v>23</v>
      </c>
      <c r="F220" s="3" t="s">
        <v>25</v>
      </c>
      <c r="G220" s="8" t="s">
        <v>58</v>
      </c>
      <c r="H220" s="4" t="s">
        <v>23</v>
      </c>
      <c r="I220" s="5">
        <v>1</v>
      </c>
      <c r="J220" s="8"/>
      <c r="K220" s="4"/>
      <c r="L220" s="5"/>
      <c r="M220" s="8"/>
      <c r="N220" s="4"/>
      <c r="O220" s="5"/>
      <c r="P220" s="8"/>
      <c r="Q220" s="4"/>
      <c r="R220" s="5"/>
      <c r="W220" s="67" t="s">
        <v>238</v>
      </c>
      <c r="X220" s="68" t="s">
        <v>250</v>
      </c>
      <c r="Y220" s="69">
        <v>49.01</v>
      </c>
      <c r="Z220" t="str">
        <f>IF(AND(Tabla1[[#This Row],[nudo inicial]]=Tabla3[[#This Row],[n1]],Tabla1[[#This Row],[nudo final]]=Tabla3[[#This Row],[n2]],Tabla1[[#This Row],[longitud]]=Tabla3[[#This Row],[long]]),"si","no")</f>
        <v>si</v>
      </c>
    </row>
    <row r="221" spans="2:26" ht="15.75" x14ac:dyDescent="0.25">
      <c r="B221" t="s">
        <v>250</v>
      </c>
      <c r="C221" t="s">
        <v>251</v>
      </c>
      <c r="D221" s="19">
        <v>41.23</v>
      </c>
      <c r="E221" s="3" t="s">
        <v>23</v>
      </c>
      <c r="F221" s="3" t="s">
        <v>25</v>
      </c>
      <c r="G221" s="8" t="s">
        <v>57</v>
      </c>
      <c r="H221" s="4" t="s">
        <v>23</v>
      </c>
      <c r="I221" s="5">
        <v>1</v>
      </c>
      <c r="J221" s="8" t="s">
        <v>17</v>
      </c>
      <c r="K221" s="4" t="s">
        <v>23</v>
      </c>
      <c r="L221" s="5">
        <v>1</v>
      </c>
      <c r="M221" s="8"/>
      <c r="N221" s="4"/>
      <c r="O221" s="5"/>
      <c r="P221" s="8"/>
      <c r="Q221" s="4"/>
      <c r="R221" s="5"/>
      <c r="W221" s="67" t="s">
        <v>250</v>
      </c>
      <c r="X221" s="68" t="s">
        <v>251</v>
      </c>
      <c r="Y221" s="69">
        <v>41.23</v>
      </c>
      <c r="Z221" t="str">
        <f>IF(AND(Tabla1[[#This Row],[nudo inicial]]=Tabla3[[#This Row],[n1]],Tabla1[[#This Row],[nudo final]]=Tabla3[[#This Row],[n2]],Tabla1[[#This Row],[longitud]]=Tabla3[[#This Row],[long]]),"si","no")</f>
        <v>si</v>
      </c>
    </row>
    <row r="222" spans="2:26" ht="15.75" x14ac:dyDescent="0.25">
      <c r="B222" t="s">
        <v>250</v>
      </c>
      <c r="C222" t="s">
        <v>247</v>
      </c>
      <c r="D222" s="19">
        <v>45.29</v>
      </c>
      <c r="E222" s="3" t="s">
        <v>23</v>
      </c>
      <c r="F222" s="3" t="s">
        <v>25</v>
      </c>
      <c r="G222" s="8" t="s">
        <v>58</v>
      </c>
      <c r="H222" s="4" t="s">
        <v>23</v>
      </c>
      <c r="I222" s="5"/>
      <c r="J222" s="8"/>
      <c r="K222" s="4"/>
      <c r="L222" s="5"/>
      <c r="M222" s="8"/>
      <c r="N222" s="4"/>
      <c r="O222" s="5"/>
      <c r="P222" s="8"/>
      <c r="Q222" s="4"/>
      <c r="R222" s="5"/>
      <c r="W222" s="67" t="s">
        <v>250</v>
      </c>
      <c r="X222" s="68" t="s">
        <v>247</v>
      </c>
      <c r="Y222" s="69">
        <v>45.29</v>
      </c>
      <c r="Z222" t="str">
        <f>IF(AND(Tabla1[[#This Row],[nudo inicial]]=Tabla3[[#This Row],[n1]],Tabla1[[#This Row],[nudo final]]=Tabla3[[#This Row],[n2]],Tabla1[[#This Row],[longitud]]=Tabla3[[#This Row],[long]]),"si","no")</f>
        <v>si</v>
      </c>
    </row>
    <row r="223" spans="2:26" ht="15.75" x14ac:dyDescent="0.25">
      <c r="B223" t="s">
        <v>248</v>
      </c>
      <c r="C223" t="s">
        <v>252</v>
      </c>
      <c r="D223" s="19">
        <v>121.05</v>
      </c>
      <c r="E223" s="3" t="s">
        <v>23</v>
      </c>
      <c r="F223" s="3" t="s">
        <v>25</v>
      </c>
      <c r="G223" s="8" t="s">
        <v>58</v>
      </c>
      <c r="H223" s="4" t="s">
        <v>23</v>
      </c>
      <c r="I223" s="5">
        <v>1</v>
      </c>
      <c r="J223" s="8" t="s">
        <v>17</v>
      </c>
      <c r="K223" s="4" t="s">
        <v>23</v>
      </c>
      <c r="L223" s="5">
        <v>1</v>
      </c>
      <c r="M223" s="8"/>
      <c r="N223" s="4"/>
      <c r="O223" s="5"/>
      <c r="P223" s="8"/>
      <c r="Q223" s="4"/>
      <c r="R223" s="5"/>
      <c r="W223" s="67" t="s">
        <v>248</v>
      </c>
      <c r="X223" s="68" t="s">
        <v>252</v>
      </c>
      <c r="Y223" s="69">
        <v>121.05</v>
      </c>
      <c r="Z223" t="str">
        <f>IF(AND(Tabla1[[#This Row],[nudo inicial]]=Tabla3[[#This Row],[n1]],Tabla1[[#This Row],[nudo final]]=Tabla3[[#This Row],[n2]],Tabla1[[#This Row],[longitud]]=Tabla3[[#This Row],[long]]),"si","no")</f>
        <v>si</v>
      </c>
    </row>
    <row r="224" spans="2:26" ht="15.75" x14ac:dyDescent="0.25">
      <c r="B224" t="s">
        <v>1221</v>
      </c>
      <c r="C224" t="s">
        <v>253</v>
      </c>
      <c r="D224" s="19">
        <v>57.31</v>
      </c>
      <c r="E224" s="3" t="s">
        <v>219</v>
      </c>
      <c r="F224" s="3" t="s">
        <v>25</v>
      </c>
      <c r="G224" s="8" t="s">
        <v>58</v>
      </c>
      <c r="H224" s="4" t="s">
        <v>23</v>
      </c>
      <c r="I224" s="5">
        <v>1</v>
      </c>
      <c r="J224" s="8" t="s">
        <v>15</v>
      </c>
      <c r="K224" s="4" t="s">
        <v>219</v>
      </c>
      <c r="L224" s="5">
        <v>1</v>
      </c>
      <c r="M224" s="8"/>
      <c r="N224" s="4"/>
      <c r="O224" s="5"/>
      <c r="P224" s="8"/>
      <c r="Q224" s="4"/>
      <c r="R224" s="5"/>
      <c r="W224" s="67" t="s">
        <v>1221</v>
      </c>
      <c r="X224" s="68" t="s">
        <v>253</v>
      </c>
      <c r="Y224" s="69">
        <v>57.31</v>
      </c>
      <c r="Z224" t="str">
        <f>IF(AND(Tabla1[[#This Row],[nudo inicial]]=Tabla3[[#This Row],[n1]],Tabla1[[#This Row],[nudo final]]=Tabla3[[#This Row],[n2]],Tabla1[[#This Row],[longitud]]=Tabla3[[#This Row],[long]]),"si","no")</f>
        <v>si</v>
      </c>
    </row>
    <row r="225" spans="1:26" ht="15.75" x14ac:dyDescent="0.25">
      <c r="B225" t="s">
        <v>253</v>
      </c>
      <c r="C225" t="s">
        <v>254</v>
      </c>
      <c r="D225" s="19">
        <v>67.44</v>
      </c>
      <c r="E225" s="3" t="s">
        <v>219</v>
      </c>
      <c r="F225" s="3" t="s">
        <v>25</v>
      </c>
      <c r="G225" s="8" t="s">
        <v>58</v>
      </c>
      <c r="H225" s="4" t="s">
        <v>219</v>
      </c>
      <c r="I225" s="5">
        <v>1</v>
      </c>
      <c r="J225" s="8" t="s">
        <v>17</v>
      </c>
      <c r="K225" s="4" t="s">
        <v>219</v>
      </c>
      <c r="L225" s="5">
        <v>1</v>
      </c>
      <c r="M225" s="8"/>
      <c r="N225" s="4"/>
      <c r="O225" s="5"/>
      <c r="P225" s="8"/>
      <c r="Q225" s="4"/>
      <c r="R225" s="5"/>
      <c r="W225" s="67" t="s">
        <v>253</v>
      </c>
      <c r="X225" s="68" t="s">
        <v>254</v>
      </c>
      <c r="Y225" s="69">
        <v>67.44</v>
      </c>
      <c r="Z225" t="str">
        <f>IF(AND(Tabla1[[#This Row],[nudo inicial]]=Tabla3[[#This Row],[n1]],Tabla1[[#This Row],[nudo final]]=Tabla3[[#This Row],[n2]],Tabla1[[#This Row],[longitud]]=Tabla3[[#This Row],[long]]),"si","no")</f>
        <v>si</v>
      </c>
    </row>
    <row r="226" spans="1:26" ht="15.75" x14ac:dyDescent="0.25">
      <c r="B226" t="s">
        <v>253</v>
      </c>
      <c r="C226" t="s">
        <v>255</v>
      </c>
      <c r="D226" s="19">
        <v>75.11</v>
      </c>
      <c r="E226" s="3" t="s">
        <v>219</v>
      </c>
      <c r="F226" s="3" t="s">
        <v>25</v>
      </c>
      <c r="G226" s="8" t="s">
        <v>57</v>
      </c>
      <c r="H226" s="4" t="s">
        <v>219</v>
      </c>
      <c r="I226" s="5">
        <v>1</v>
      </c>
      <c r="J226" s="8" t="s">
        <v>16</v>
      </c>
      <c r="K226" s="4" t="s">
        <v>219</v>
      </c>
      <c r="L226" s="5">
        <v>1</v>
      </c>
      <c r="M226" s="8" t="s">
        <v>17</v>
      </c>
      <c r="N226" s="4" t="s">
        <v>219</v>
      </c>
      <c r="O226" s="5">
        <v>1</v>
      </c>
      <c r="P226" s="8"/>
      <c r="Q226" s="4"/>
      <c r="R226" s="5"/>
      <c r="W226" s="67" t="s">
        <v>253</v>
      </c>
      <c r="X226" s="68" t="s">
        <v>255</v>
      </c>
      <c r="Y226" s="69">
        <v>75.11</v>
      </c>
      <c r="Z226" t="str">
        <f>IF(AND(Tabla1[[#This Row],[nudo inicial]]=Tabla3[[#This Row],[n1]],Tabla1[[#This Row],[nudo final]]=Tabla3[[#This Row],[n2]],Tabla1[[#This Row],[longitud]]=Tabla3[[#This Row],[long]]),"si","no")</f>
        <v>si</v>
      </c>
    </row>
    <row r="227" spans="1:26" ht="15.75" x14ac:dyDescent="0.25">
      <c r="B227" t="s">
        <v>231</v>
      </c>
      <c r="C227" t="s">
        <v>256</v>
      </c>
      <c r="D227" s="19">
        <v>44.32</v>
      </c>
      <c r="E227" s="3" t="s">
        <v>126</v>
      </c>
      <c r="F227" s="3" t="s">
        <v>25</v>
      </c>
      <c r="G227" s="8" t="s">
        <v>57</v>
      </c>
      <c r="H227" s="4" t="s">
        <v>126</v>
      </c>
      <c r="I227" s="5"/>
      <c r="J227" s="8"/>
      <c r="K227" s="4"/>
      <c r="L227" s="5"/>
      <c r="M227" s="8"/>
      <c r="N227" s="4"/>
      <c r="O227" s="5"/>
      <c r="P227" s="8"/>
      <c r="Q227" s="4"/>
      <c r="R227" s="5"/>
      <c r="W227" s="67" t="s">
        <v>231</v>
      </c>
      <c r="X227" s="68" t="s">
        <v>256</v>
      </c>
      <c r="Y227" s="69">
        <v>44.32</v>
      </c>
      <c r="Z227" t="str">
        <f>IF(AND(Tabla1[[#This Row],[nudo inicial]]=Tabla3[[#This Row],[n1]],Tabla1[[#This Row],[nudo final]]=Tabla3[[#This Row],[n2]],Tabla1[[#This Row],[longitud]]=Tabla3[[#This Row],[long]]),"si","no")</f>
        <v>si</v>
      </c>
    </row>
    <row r="228" spans="1:26" ht="15.75" x14ac:dyDescent="0.25">
      <c r="B228" t="s">
        <v>256</v>
      </c>
      <c r="C228" t="s">
        <v>257</v>
      </c>
      <c r="D228" s="19">
        <v>19.53</v>
      </c>
      <c r="E228" s="3" t="s">
        <v>53</v>
      </c>
      <c r="F228" s="3" t="s">
        <v>25</v>
      </c>
      <c r="G228" s="8" t="s">
        <v>58</v>
      </c>
      <c r="H228" s="4" t="s">
        <v>126</v>
      </c>
      <c r="I228" s="5">
        <v>1</v>
      </c>
      <c r="J228" s="8" t="s">
        <v>15</v>
      </c>
      <c r="K228" s="4" t="s">
        <v>53</v>
      </c>
      <c r="L228" s="5">
        <v>1</v>
      </c>
      <c r="M228" s="8" t="s">
        <v>32</v>
      </c>
      <c r="N228" s="4" t="s">
        <v>53</v>
      </c>
      <c r="O228" s="5">
        <v>1</v>
      </c>
      <c r="P228" s="8"/>
      <c r="Q228" s="4"/>
      <c r="R228" s="5"/>
      <c r="W228" s="67" t="s">
        <v>256</v>
      </c>
      <c r="X228" s="68" t="s">
        <v>257</v>
      </c>
      <c r="Y228" s="69">
        <v>19.53</v>
      </c>
      <c r="Z228" t="str">
        <f>IF(AND(Tabla1[[#This Row],[nudo inicial]]=Tabla3[[#This Row],[n1]],Tabla1[[#This Row],[nudo final]]=Tabla3[[#This Row],[n2]],Tabla1[[#This Row],[longitud]]=Tabla3[[#This Row],[long]]),"si","no")</f>
        <v>si</v>
      </c>
    </row>
    <row r="229" spans="1:26" ht="15.75" x14ac:dyDescent="0.25">
      <c r="B229" t="s">
        <v>257</v>
      </c>
      <c r="C229" t="s">
        <v>258</v>
      </c>
      <c r="D229" s="19">
        <v>39.409999999999997</v>
      </c>
      <c r="E229" s="3" t="s">
        <v>53</v>
      </c>
      <c r="F229" s="3" t="s">
        <v>25</v>
      </c>
      <c r="G229" s="8" t="s">
        <v>57</v>
      </c>
      <c r="H229" s="4" t="s">
        <v>53</v>
      </c>
      <c r="I229" s="5">
        <v>1</v>
      </c>
      <c r="J229" s="8" t="s">
        <v>17</v>
      </c>
      <c r="K229" s="4" t="s">
        <v>53</v>
      </c>
      <c r="L229" s="5">
        <v>1</v>
      </c>
      <c r="M229" s="8"/>
      <c r="N229" s="4"/>
      <c r="O229" s="5"/>
      <c r="P229" s="8"/>
      <c r="Q229" s="4"/>
      <c r="R229" s="5"/>
      <c r="W229" s="67" t="s">
        <v>257</v>
      </c>
      <c r="X229" s="68" t="s">
        <v>258</v>
      </c>
      <c r="Y229" s="69">
        <v>39.409999999999997</v>
      </c>
      <c r="Z229" t="str">
        <f>IF(AND(Tabla1[[#This Row],[nudo inicial]]=Tabla3[[#This Row],[n1]],Tabla1[[#This Row],[nudo final]]=Tabla3[[#This Row],[n2]],Tabla1[[#This Row],[longitud]]=Tabla3[[#This Row],[long]]),"si","no")</f>
        <v>si</v>
      </c>
    </row>
    <row r="230" spans="1:26" ht="15.75" x14ac:dyDescent="0.25">
      <c r="B230" t="s">
        <v>257</v>
      </c>
      <c r="C230" t="s">
        <v>259</v>
      </c>
      <c r="D230" s="19">
        <v>36.479999999999997</v>
      </c>
      <c r="E230" s="3" t="s">
        <v>53</v>
      </c>
      <c r="F230" s="3" t="s">
        <v>25</v>
      </c>
      <c r="G230" s="8" t="s">
        <v>58</v>
      </c>
      <c r="H230" s="4" t="s">
        <v>53</v>
      </c>
      <c r="I230" s="5">
        <v>1</v>
      </c>
      <c r="J230" s="8"/>
      <c r="K230" s="4"/>
      <c r="L230" s="5"/>
      <c r="M230" s="8"/>
      <c r="N230" s="4"/>
      <c r="O230" s="5"/>
      <c r="P230" s="8"/>
      <c r="Q230" s="4"/>
      <c r="R230" s="5"/>
      <c r="W230" s="67" t="s">
        <v>257</v>
      </c>
      <c r="X230" s="68" t="s">
        <v>259</v>
      </c>
      <c r="Y230" s="69">
        <v>36.479999999999997</v>
      </c>
      <c r="Z230" t="str">
        <f>IF(AND(Tabla1[[#This Row],[nudo inicial]]=Tabla3[[#This Row],[n1]],Tabla1[[#This Row],[nudo final]]=Tabla3[[#This Row],[n2]],Tabla1[[#This Row],[longitud]]=Tabla3[[#This Row],[long]]),"si","no")</f>
        <v>si</v>
      </c>
    </row>
    <row r="231" spans="1:26" ht="15.75" x14ac:dyDescent="0.25">
      <c r="B231" t="s">
        <v>259</v>
      </c>
      <c r="C231" t="s">
        <v>260</v>
      </c>
      <c r="D231" s="19">
        <v>229.38</v>
      </c>
      <c r="E231" s="3" t="s">
        <v>53</v>
      </c>
      <c r="F231" s="3" t="s">
        <v>25</v>
      </c>
      <c r="G231" s="8" t="s">
        <v>58</v>
      </c>
      <c r="H231" s="4" t="s">
        <v>53</v>
      </c>
      <c r="I231" s="5">
        <v>1</v>
      </c>
      <c r="J231" s="8" t="s">
        <v>32</v>
      </c>
      <c r="K231" s="4" t="s">
        <v>53</v>
      </c>
      <c r="L231" s="5">
        <v>1</v>
      </c>
      <c r="M231" s="8" t="s">
        <v>17</v>
      </c>
      <c r="N231" s="4" t="s">
        <v>53</v>
      </c>
      <c r="O231" s="5">
        <v>1</v>
      </c>
      <c r="P231" s="8"/>
      <c r="Q231" s="4"/>
      <c r="R231" s="5"/>
      <c r="W231" s="67" t="s">
        <v>259</v>
      </c>
      <c r="X231" s="68" t="s">
        <v>260</v>
      </c>
      <c r="Y231" s="69">
        <v>229.38</v>
      </c>
      <c r="Z231" t="str">
        <f>IF(AND(Tabla1[[#This Row],[nudo inicial]]=Tabla3[[#This Row],[n1]],Tabla1[[#This Row],[nudo final]]=Tabla3[[#This Row],[n2]],Tabla1[[#This Row],[longitud]]=Tabla3[[#This Row],[long]]),"si","no")</f>
        <v>si</v>
      </c>
    </row>
    <row r="232" spans="1:26" ht="15.75" x14ac:dyDescent="0.25">
      <c r="B232" t="s">
        <v>259</v>
      </c>
      <c r="C232" t="s">
        <v>261</v>
      </c>
      <c r="D232" s="19">
        <v>18.36</v>
      </c>
      <c r="E232" s="3" t="s">
        <v>53</v>
      </c>
      <c r="F232" s="3" t="s">
        <v>25</v>
      </c>
      <c r="G232" s="8" t="s">
        <v>57</v>
      </c>
      <c r="H232" s="4" t="s">
        <v>53</v>
      </c>
      <c r="I232" s="5">
        <v>1</v>
      </c>
      <c r="J232" s="8" t="s">
        <v>17</v>
      </c>
      <c r="K232" s="4" t="s">
        <v>53</v>
      </c>
      <c r="L232" s="5">
        <v>1</v>
      </c>
      <c r="M232" s="8"/>
      <c r="N232" s="4"/>
      <c r="O232" s="5"/>
      <c r="P232" s="8"/>
      <c r="Q232" s="4"/>
      <c r="R232" s="5"/>
      <c r="W232" s="67" t="s">
        <v>259</v>
      </c>
      <c r="X232" s="68" t="s">
        <v>261</v>
      </c>
      <c r="Y232" s="69">
        <v>18.36</v>
      </c>
      <c r="Z232" t="str">
        <f>IF(AND(Tabla1[[#This Row],[nudo inicial]]=Tabla3[[#This Row],[n1]],Tabla1[[#This Row],[nudo final]]=Tabla3[[#This Row],[n2]],Tabla1[[#This Row],[longitud]]=Tabla3[[#This Row],[long]]),"si","no")</f>
        <v>si</v>
      </c>
    </row>
    <row r="233" spans="1:26" ht="15.75" x14ac:dyDescent="0.25">
      <c r="A233" s="14"/>
      <c r="B233" t="s">
        <v>256</v>
      </c>
      <c r="C233" t="s">
        <v>262</v>
      </c>
      <c r="D233" s="19">
        <v>57.24</v>
      </c>
      <c r="E233" s="3" t="s">
        <v>126</v>
      </c>
      <c r="F233" s="3" t="s">
        <v>25</v>
      </c>
      <c r="G233" s="8" t="s">
        <v>57</v>
      </c>
      <c r="H233" s="4" t="s">
        <v>126</v>
      </c>
      <c r="I233" s="5">
        <v>1</v>
      </c>
      <c r="J233" s="8"/>
      <c r="K233" s="4"/>
      <c r="L233" s="5"/>
      <c r="M233" s="8"/>
      <c r="N233" s="4"/>
      <c r="O233" s="5"/>
      <c r="P233" s="8"/>
      <c r="Q233" s="4"/>
      <c r="R233" s="5"/>
      <c r="W233" s="67" t="s">
        <v>256</v>
      </c>
      <c r="X233" s="68" t="s">
        <v>262</v>
      </c>
      <c r="Y233" s="69">
        <v>57.24</v>
      </c>
      <c r="Z233" t="str">
        <f>IF(AND(Tabla1[[#This Row],[nudo inicial]]=Tabla3[[#This Row],[n1]],Tabla1[[#This Row],[nudo final]]=Tabla3[[#This Row],[n2]],Tabla1[[#This Row],[longitud]]=Tabla3[[#This Row],[long]]),"si","no")</f>
        <v>si</v>
      </c>
    </row>
    <row r="234" spans="1:26" ht="15.75" x14ac:dyDescent="0.25">
      <c r="B234" s="14" t="s">
        <v>262</v>
      </c>
      <c r="C234" s="14" t="s">
        <v>263</v>
      </c>
      <c r="D234" s="20">
        <v>44.33</v>
      </c>
      <c r="E234" s="15" t="s">
        <v>23</v>
      </c>
      <c r="F234" s="15" t="s">
        <v>25</v>
      </c>
      <c r="G234" s="16" t="s">
        <v>58</v>
      </c>
      <c r="H234" s="17" t="s">
        <v>126</v>
      </c>
      <c r="I234" s="18">
        <v>1</v>
      </c>
      <c r="J234" s="16" t="s">
        <v>15</v>
      </c>
      <c r="K234" s="17" t="s">
        <v>23</v>
      </c>
      <c r="L234" s="18">
        <v>1</v>
      </c>
      <c r="M234" s="16" t="s">
        <v>32</v>
      </c>
      <c r="N234" s="17" t="s">
        <v>23</v>
      </c>
      <c r="O234" s="18">
        <v>1</v>
      </c>
      <c r="P234" s="16"/>
      <c r="Q234" s="17"/>
      <c r="R234" s="18"/>
      <c r="S234" s="14"/>
      <c r="T234" s="14"/>
      <c r="U234" s="14"/>
      <c r="W234" s="67" t="s">
        <v>262</v>
      </c>
      <c r="X234" s="68" t="s">
        <v>263</v>
      </c>
      <c r="Y234" s="69">
        <v>44.33</v>
      </c>
      <c r="Z234" t="str">
        <f>IF(AND(Tabla1[[#This Row],[nudo inicial]]=Tabla3[[#This Row],[n1]],Tabla1[[#This Row],[nudo final]]=Tabla3[[#This Row],[n2]],Tabla1[[#This Row],[longitud]]=Tabla3[[#This Row],[long]]),"si","no")</f>
        <v>si</v>
      </c>
    </row>
    <row r="235" spans="1:26" ht="15.75" x14ac:dyDescent="0.25">
      <c r="B235" t="s">
        <v>262</v>
      </c>
      <c r="C235" t="s">
        <v>264</v>
      </c>
      <c r="D235" s="19">
        <v>206.59</v>
      </c>
      <c r="E235" s="3" t="s">
        <v>126</v>
      </c>
      <c r="F235" s="3" t="s">
        <v>25</v>
      </c>
      <c r="G235" s="8" t="s">
        <v>57</v>
      </c>
      <c r="H235" s="4" t="s">
        <v>126</v>
      </c>
      <c r="I235" s="5">
        <v>1</v>
      </c>
      <c r="J235" s="8"/>
      <c r="K235" s="4"/>
      <c r="L235" s="5"/>
      <c r="M235" s="8"/>
      <c r="N235" s="4"/>
      <c r="O235" s="5"/>
      <c r="P235" s="8"/>
      <c r="Q235" s="4"/>
      <c r="R235" s="5"/>
      <c r="W235" s="67" t="s">
        <v>262</v>
      </c>
      <c r="X235" s="68" t="s">
        <v>264</v>
      </c>
      <c r="Y235" s="69">
        <v>206.59</v>
      </c>
      <c r="Z235" t="str">
        <f>IF(AND(Tabla1[[#This Row],[nudo inicial]]=Tabla3[[#This Row],[n1]],Tabla1[[#This Row],[nudo final]]=Tabla3[[#This Row],[n2]],Tabla1[[#This Row],[longitud]]=Tabla3[[#This Row],[long]]),"si","no")</f>
        <v>si</v>
      </c>
    </row>
    <row r="236" spans="1:26" ht="15.75" x14ac:dyDescent="0.25">
      <c r="B236" t="s">
        <v>185</v>
      </c>
      <c r="C236" t="s">
        <v>188</v>
      </c>
      <c r="D236" s="19">
        <v>10.11</v>
      </c>
      <c r="E236" s="3" t="s">
        <v>53</v>
      </c>
      <c r="F236" s="3" t="s">
        <v>25</v>
      </c>
      <c r="G236" s="8" t="s">
        <v>57</v>
      </c>
      <c r="H236" s="4" t="s">
        <v>53</v>
      </c>
      <c r="I236" s="5">
        <v>1</v>
      </c>
      <c r="J236" s="8"/>
      <c r="K236" s="4"/>
      <c r="L236" s="5"/>
      <c r="M236" s="8"/>
      <c r="N236" s="4"/>
      <c r="O236" s="5"/>
      <c r="P236" s="8"/>
      <c r="Q236" s="4"/>
      <c r="R236" s="5"/>
      <c r="W236" s="67" t="s">
        <v>185</v>
      </c>
      <c r="X236" s="68" t="s">
        <v>188</v>
      </c>
      <c r="Y236" s="69">
        <v>10.11</v>
      </c>
      <c r="Z236" t="str">
        <f>IF(AND(Tabla1[[#This Row],[nudo inicial]]=Tabla3[[#This Row],[n1]],Tabla1[[#This Row],[nudo final]]=Tabla3[[#This Row],[n2]],Tabla1[[#This Row],[longitud]]=Tabla3[[#This Row],[long]]),"si","no")</f>
        <v>si</v>
      </c>
    </row>
    <row r="237" spans="1:26" ht="15.75" x14ac:dyDescent="0.25">
      <c r="B237" t="s">
        <v>188</v>
      </c>
      <c r="C237" t="s">
        <v>265</v>
      </c>
      <c r="D237" s="19">
        <v>311.98</v>
      </c>
      <c r="E237" s="3" t="s">
        <v>55</v>
      </c>
      <c r="F237" s="3" t="s">
        <v>25</v>
      </c>
      <c r="G237" s="8" t="s">
        <v>16</v>
      </c>
      <c r="H237" s="4" t="s">
        <v>55</v>
      </c>
      <c r="I237" s="5">
        <v>1</v>
      </c>
      <c r="J237" s="8"/>
      <c r="K237" s="4"/>
      <c r="L237" s="5"/>
      <c r="M237" s="8"/>
      <c r="N237" s="4"/>
      <c r="O237" s="5"/>
      <c r="P237" s="8"/>
      <c r="Q237" s="4"/>
      <c r="R237" s="5"/>
      <c r="W237" s="67" t="s">
        <v>188</v>
      </c>
      <c r="X237" s="68" t="s">
        <v>265</v>
      </c>
      <c r="Y237" s="69">
        <v>311.98</v>
      </c>
      <c r="Z237" t="str">
        <f>IF(AND(Tabla1[[#This Row],[nudo inicial]]=Tabla3[[#This Row],[n1]],Tabla1[[#This Row],[nudo final]]=Tabla3[[#This Row],[n2]],Tabla1[[#This Row],[longitud]]=Tabla3[[#This Row],[long]]),"si","no")</f>
        <v>si</v>
      </c>
    </row>
    <row r="238" spans="1:26" ht="30" x14ac:dyDescent="0.25">
      <c r="B238" t="s">
        <v>265</v>
      </c>
      <c r="C238" t="s">
        <v>266</v>
      </c>
      <c r="D238" s="19">
        <v>6.53</v>
      </c>
      <c r="E238" s="3" t="s">
        <v>55</v>
      </c>
      <c r="F238" s="3" t="s">
        <v>25</v>
      </c>
      <c r="G238" s="8" t="s">
        <v>57</v>
      </c>
      <c r="H238" s="4" t="s">
        <v>55</v>
      </c>
      <c r="I238" s="5">
        <v>1</v>
      </c>
      <c r="J238" s="8" t="s">
        <v>33</v>
      </c>
      <c r="K238" s="4" t="s">
        <v>55</v>
      </c>
      <c r="L238" s="5">
        <v>1</v>
      </c>
      <c r="M238" s="8"/>
      <c r="N238" s="4"/>
      <c r="O238" s="5"/>
      <c r="P238" s="8"/>
      <c r="Q238" s="4"/>
      <c r="R238" s="5"/>
      <c r="W238" s="67" t="s">
        <v>265</v>
      </c>
      <c r="X238" s="68" t="s">
        <v>266</v>
      </c>
      <c r="Y238" s="69">
        <v>6.53</v>
      </c>
      <c r="Z238" t="str">
        <f>IF(AND(Tabla1[[#This Row],[nudo inicial]]=Tabla3[[#This Row],[n1]],Tabla1[[#This Row],[nudo final]]=Tabla3[[#This Row],[n2]],Tabla1[[#This Row],[longitud]]=Tabla3[[#This Row],[long]]),"si","no")</f>
        <v>si</v>
      </c>
    </row>
    <row r="239" spans="1:26" ht="15.75" x14ac:dyDescent="0.25">
      <c r="B239" t="s">
        <v>266</v>
      </c>
      <c r="C239" t="s">
        <v>268</v>
      </c>
      <c r="D239" s="19">
        <v>45.96</v>
      </c>
      <c r="E239" s="3" t="s">
        <v>23</v>
      </c>
      <c r="F239" s="3" t="s">
        <v>25</v>
      </c>
      <c r="G239" s="8" t="s">
        <v>57</v>
      </c>
      <c r="H239" s="4" t="s">
        <v>55</v>
      </c>
      <c r="I239" s="5">
        <v>1</v>
      </c>
      <c r="J239" s="8" t="s">
        <v>15</v>
      </c>
      <c r="K239" s="4" t="s">
        <v>23</v>
      </c>
      <c r="L239" s="5">
        <v>1</v>
      </c>
      <c r="M239" s="8"/>
      <c r="N239" s="4"/>
      <c r="O239" s="5"/>
      <c r="P239" s="8"/>
      <c r="Q239" s="4"/>
      <c r="R239" s="5"/>
      <c r="W239" s="67" t="s">
        <v>266</v>
      </c>
      <c r="X239" s="68" t="s">
        <v>268</v>
      </c>
      <c r="Y239" s="69">
        <v>45.96</v>
      </c>
      <c r="Z239" t="str">
        <f>IF(AND(Tabla1[[#This Row],[nudo inicial]]=Tabla3[[#This Row],[n1]],Tabla1[[#This Row],[nudo final]]=Tabla3[[#This Row],[n2]],Tabla1[[#This Row],[longitud]]=Tabla3[[#This Row],[long]]),"si","no")</f>
        <v>si</v>
      </c>
    </row>
    <row r="240" spans="1:26" ht="15.75" x14ac:dyDescent="0.25">
      <c r="B240" t="s">
        <v>268</v>
      </c>
      <c r="C240" t="s">
        <v>267</v>
      </c>
      <c r="D240" s="19">
        <v>54.86</v>
      </c>
      <c r="E240" s="3" t="s">
        <v>56</v>
      </c>
      <c r="F240" s="3" t="s">
        <v>25</v>
      </c>
      <c r="G240" s="8" t="s">
        <v>15</v>
      </c>
      <c r="H240" s="4" t="s">
        <v>56</v>
      </c>
      <c r="I240" s="5">
        <v>1</v>
      </c>
      <c r="J240" s="8" t="s">
        <v>16</v>
      </c>
      <c r="K240" s="4" t="s">
        <v>56</v>
      </c>
      <c r="L240" s="5">
        <v>2</v>
      </c>
      <c r="M240" s="8" t="s">
        <v>17</v>
      </c>
      <c r="N240" s="4" t="s">
        <v>56</v>
      </c>
      <c r="O240" s="5">
        <v>1</v>
      </c>
      <c r="P240" s="8"/>
      <c r="Q240" s="4"/>
      <c r="R240" s="5"/>
      <c r="W240" s="67" t="s">
        <v>268</v>
      </c>
      <c r="X240" s="68" t="s">
        <v>267</v>
      </c>
      <c r="Y240" s="69">
        <v>54.86</v>
      </c>
      <c r="Z240" t="str">
        <f>IF(AND(Tabla1[[#This Row],[nudo inicial]]=Tabla3[[#This Row],[n1]],Tabla1[[#This Row],[nudo final]]=Tabla3[[#This Row],[n2]],Tabla1[[#This Row],[longitud]]=Tabla3[[#This Row],[long]]),"si","no")</f>
        <v>si</v>
      </c>
    </row>
    <row r="241" spans="2:26" ht="15.75" x14ac:dyDescent="0.25">
      <c r="B241" t="s">
        <v>265</v>
      </c>
      <c r="C241" t="s">
        <v>270</v>
      </c>
      <c r="D241" s="19">
        <v>46.81</v>
      </c>
      <c r="E241" s="3" t="s">
        <v>55</v>
      </c>
      <c r="F241" s="3" t="s">
        <v>25</v>
      </c>
      <c r="G241" s="8" t="s">
        <v>58</v>
      </c>
      <c r="H241" s="4" t="s">
        <v>55</v>
      </c>
      <c r="I241" s="5"/>
      <c r="J241" s="8"/>
      <c r="K241" s="4"/>
      <c r="L241" s="5"/>
      <c r="M241" s="8"/>
      <c r="N241" s="4"/>
      <c r="O241" s="5"/>
      <c r="P241" s="8"/>
      <c r="Q241" s="4"/>
      <c r="R241" s="5"/>
      <c r="W241" s="67" t="s">
        <v>265</v>
      </c>
      <c r="X241" s="68" t="s">
        <v>270</v>
      </c>
      <c r="Y241" s="69">
        <v>46.81</v>
      </c>
      <c r="Z241" t="str">
        <f>IF(AND(Tabla1[[#This Row],[nudo inicial]]=Tabla3[[#This Row],[n1]],Tabla1[[#This Row],[nudo final]]=Tabla3[[#This Row],[n2]],Tabla1[[#This Row],[longitud]]=Tabla3[[#This Row],[long]]),"si","no")</f>
        <v>si</v>
      </c>
    </row>
    <row r="242" spans="2:26" ht="15.75" x14ac:dyDescent="0.25">
      <c r="B242" t="s">
        <v>270</v>
      </c>
      <c r="C242" t="s">
        <v>269</v>
      </c>
      <c r="D242" s="19">
        <v>14.4</v>
      </c>
      <c r="E242" s="3" t="s">
        <v>55</v>
      </c>
      <c r="F242" s="3" t="s">
        <v>25</v>
      </c>
      <c r="G242" s="8" t="s">
        <v>58</v>
      </c>
      <c r="H242" s="4" t="s">
        <v>55</v>
      </c>
      <c r="I242" s="5">
        <v>1</v>
      </c>
      <c r="J242" s="8" t="s">
        <v>17</v>
      </c>
      <c r="K242" s="4" t="s">
        <v>55</v>
      </c>
      <c r="L242" s="5">
        <v>1</v>
      </c>
      <c r="M242" s="8"/>
      <c r="N242" s="4"/>
      <c r="O242" s="5"/>
      <c r="P242" s="8"/>
      <c r="Q242" s="4"/>
      <c r="R242" s="5"/>
      <c r="W242" s="67" t="s">
        <v>270</v>
      </c>
      <c r="X242" s="68" t="s">
        <v>269</v>
      </c>
      <c r="Y242" s="69">
        <v>14.4</v>
      </c>
      <c r="Z242" t="str">
        <f>IF(AND(Tabla1[[#This Row],[nudo inicial]]=Tabla3[[#This Row],[n1]],Tabla1[[#This Row],[nudo final]]=Tabla3[[#This Row],[n2]],Tabla1[[#This Row],[longitud]]=Tabla3[[#This Row],[long]]),"si","no")</f>
        <v>si</v>
      </c>
    </row>
    <row r="243" spans="2:26" ht="15.75" x14ac:dyDescent="0.25">
      <c r="B243" t="s">
        <v>270</v>
      </c>
      <c r="C243" t="s">
        <v>271</v>
      </c>
      <c r="D243" s="19">
        <v>209.42</v>
      </c>
      <c r="E243" s="3" t="s">
        <v>55</v>
      </c>
      <c r="F243" s="3" t="s">
        <v>25</v>
      </c>
      <c r="G243" s="8" t="s">
        <v>58</v>
      </c>
      <c r="H243" s="4" t="s">
        <v>55</v>
      </c>
      <c r="I243" s="5">
        <v>1</v>
      </c>
      <c r="J243" s="8" t="s">
        <v>16</v>
      </c>
      <c r="K243" s="4" t="s">
        <v>55</v>
      </c>
      <c r="L243" s="5">
        <v>1</v>
      </c>
      <c r="M243" s="8"/>
      <c r="N243" s="4"/>
      <c r="O243" s="5"/>
      <c r="P243" s="8"/>
      <c r="Q243" s="4"/>
      <c r="R243" s="5"/>
      <c r="W243" s="67" t="s">
        <v>270</v>
      </c>
      <c r="X243" s="68" t="s">
        <v>271</v>
      </c>
      <c r="Y243" s="69">
        <v>209.42</v>
      </c>
      <c r="Z243" t="str">
        <f>IF(AND(Tabla1[[#This Row],[nudo inicial]]=Tabla3[[#This Row],[n1]],Tabla1[[#This Row],[nudo final]]=Tabla3[[#This Row],[n2]],Tabla1[[#This Row],[longitud]]=Tabla3[[#This Row],[long]]),"si","no")</f>
        <v>si</v>
      </c>
    </row>
    <row r="244" spans="2:26" ht="15.75" x14ac:dyDescent="0.25">
      <c r="B244" t="s">
        <v>271</v>
      </c>
      <c r="C244" t="s">
        <v>272</v>
      </c>
      <c r="D244" s="19">
        <v>281.82</v>
      </c>
      <c r="E244" s="3" t="s">
        <v>53</v>
      </c>
      <c r="F244" s="3" t="s">
        <v>25</v>
      </c>
      <c r="G244" s="8" t="s">
        <v>58</v>
      </c>
      <c r="H244" s="4" t="s">
        <v>55</v>
      </c>
      <c r="I244" s="5">
        <v>1</v>
      </c>
      <c r="J244" s="8" t="s">
        <v>15</v>
      </c>
      <c r="K244" s="4" t="s">
        <v>53</v>
      </c>
      <c r="L244" s="5">
        <v>1</v>
      </c>
      <c r="M244" s="8" t="s">
        <v>17</v>
      </c>
      <c r="N244" s="4" t="s">
        <v>53</v>
      </c>
      <c r="O244" s="5">
        <v>1</v>
      </c>
      <c r="P244" s="8"/>
      <c r="Q244" s="4"/>
      <c r="R244" s="5"/>
      <c r="W244" s="67" t="s">
        <v>271</v>
      </c>
      <c r="X244" s="68" t="s">
        <v>272</v>
      </c>
      <c r="Y244" s="69">
        <v>281.82</v>
      </c>
      <c r="Z244" t="str">
        <f>IF(AND(Tabla1[[#This Row],[nudo inicial]]=Tabla3[[#This Row],[n1]],Tabla1[[#This Row],[nudo final]]=Tabla3[[#This Row],[n2]],Tabla1[[#This Row],[longitud]]=Tabla3[[#This Row],[long]]),"si","no")</f>
        <v>si</v>
      </c>
    </row>
    <row r="245" spans="2:26" ht="15.75" x14ac:dyDescent="0.25">
      <c r="B245" t="s">
        <v>271</v>
      </c>
      <c r="C245" t="s">
        <v>273</v>
      </c>
      <c r="D245" s="19">
        <v>33.86</v>
      </c>
      <c r="E245" s="3" t="s">
        <v>55</v>
      </c>
      <c r="F245" s="3" t="s">
        <v>25</v>
      </c>
      <c r="G245" s="8" t="s">
        <v>57</v>
      </c>
      <c r="H245" s="4" t="s">
        <v>55</v>
      </c>
      <c r="I245" s="5">
        <v>1</v>
      </c>
      <c r="J245" s="8"/>
      <c r="K245" s="4"/>
      <c r="L245" s="5"/>
      <c r="M245" s="8"/>
      <c r="N245" s="4"/>
      <c r="O245" s="5"/>
      <c r="P245" s="8"/>
      <c r="Q245" s="4"/>
      <c r="R245" s="5"/>
      <c r="W245" s="67" t="s">
        <v>271</v>
      </c>
      <c r="X245" s="68" t="s">
        <v>273</v>
      </c>
      <c r="Y245" s="69">
        <v>33.86</v>
      </c>
      <c r="Z245" t="str">
        <f>IF(AND(Tabla1[[#This Row],[nudo inicial]]=Tabla3[[#This Row],[n1]],Tabla1[[#This Row],[nudo final]]=Tabla3[[#This Row],[n2]],Tabla1[[#This Row],[longitud]]=Tabla3[[#This Row],[long]]),"si","no")</f>
        <v>si</v>
      </c>
    </row>
    <row r="246" spans="2:26" ht="15.75" x14ac:dyDescent="0.25">
      <c r="B246" t="s">
        <v>273</v>
      </c>
      <c r="C246" t="s">
        <v>274</v>
      </c>
      <c r="D246" s="19">
        <v>67.27</v>
      </c>
      <c r="E246" s="3" t="s">
        <v>23</v>
      </c>
      <c r="F246" s="3" t="s">
        <v>28</v>
      </c>
      <c r="G246" s="8" t="s">
        <v>58</v>
      </c>
      <c r="H246" s="4" t="s">
        <v>55</v>
      </c>
      <c r="I246" s="5">
        <v>1</v>
      </c>
      <c r="J246" s="8" t="s">
        <v>15</v>
      </c>
      <c r="K246" s="4" t="s">
        <v>23</v>
      </c>
      <c r="L246" s="5">
        <v>1</v>
      </c>
      <c r="M246" s="8"/>
      <c r="N246" s="4"/>
      <c r="O246" s="5"/>
      <c r="P246" s="8"/>
      <c r="Q246" s="4"/>
      <c r="R246" s="5"/>
      <c r="W246" s="67" t="s">
        <v>273</v>
      </c>
      <c r="X246" s="68" t="s">
        <v>274</v>
      </c>
      <c r="Y246" s="69">
        <v>67.27</v>
      </c>
      <c r="Z246" t="str">
        <f>IF(AND(Tabla1[[#This Row],[nudo inicial]]=Tabla3[[#This Row],[n1]],Tabla1[[#This Row],[nudo final]]=Tabla3[[#This Row],[n2]],Tabla1[[#This Row],[longitud]]=Tabla3[[#This Row],[long]]),"si","no")</f>
        <v>si</v>
      </c>
    </row>
    <row r="247" spans="2:26" ht="15.75" x14ac:dyDescent="0.25">
      <c r="B247" t="s">
        <v>274</v>
      </c>
      <c r="C247" t="s">
        <v>275</v>
      </c>
      <c r="D247" s="19">
        <v>54.97</v>
      </c>
      <c r="E247" s="3" t="s">
        <v>23</v>
      </c>
      <c r="F247" s="3" t="s">
        <v>28</v>
      </c>
      <c r="G247" s="8" t="s">
        <v>58</v>
      </c>
      <c r="H247" s="4" t="s">
        <v>23</v>
      </c>
      <c r="I247" s="5">
        <v>1</v>
      </c>
      <c r="J247" s="8" t="s">
        <v>32</v>
      </c>
      <c r="K247" s="4" t="s">
        <v>23</v>
      </c>
      <c r="L247" s="5">
        <v>1</v>
      </c>
      <c r="M247" s="8"/>
      <c r="N247" s="4"/>
      <c r="O247" s="5"/>
      <c r="P247" s="8"/>
      <c r="Q247" s="4"/>
      <c r="R247" s="5"/>
      <c r="W247" s="67" t="s">
        <v>274</v>
      </c>
      <c r="X247" s="68" t="s">
        <v>275</v>
      </c>
      <c r="Y247" s="69">
        <v>54.97</v>
      </c>
      <c r="Z247" t="str">
        <f>IF(AND(Tabla1[[#This Row],[nudo inicial]]=Tabla3[[#This Row],[n1]],Tabla1[[#This Row],[nudo final]]=Tabla3[[#This Row],[n2]],Tabla1[[#This Row],[longitud]]=Tabla3[[#This Row],[long]]),"si","no")</f>
        <v>si</v>
      </c>
    </row>
    <row r="248" spans="2:26" ht="15.75" x14ac:dyDescent="0.25">
      <c r="B248" t="s">
        <v>275</v>
      </c>
      <c r="C248" t="s">
        <v>276</v>
      </c>
      <c r="D248" s="19">
        <v>94.67</v>
      </c>
      <c r="E248" s="3" t="s">
        <v>23</v>
      </c>
      <c r="F248" s="3" t="s">
        <v>28</v>
      </c>
      <c r="G248" s="8" t="s">
        <v>58</v>
      </c>
      <c r="H248" s="4" t="s">
        <v>23</v>
      </c>
      <c r="I248" s="5">
        <v>1</v>
      </c>
      <c r="J248" s="8" t="s">
        <v>17</v>
      </c>
      <c r="K248" s="4" t="s">
        <v>23</v>
      </c>
      <c r="L248" s="5">
        <v>1</v>
      </c>
      <c r="M248" s="8"/>
      <c r="N248" s="4"/>
      <c r="O248" s="5"/>
      <c r="P248" s="8"/>
      <c r="Q248" s="4"/>
      <c r="R248" s="5"/>
      <c r="W248" s="67" t="s">
        <v>275</v>
      </c>
      <c r="X248" s="68" t="s">
        <v>276</v>
      </c>
      <c r="Y248" s="69">
        <v>94.67</v>
      </c>
      <c r="Z248" t="str">
        <f>IF(AND(Tabla1[[#This Row],[nudo inicial]]=Tabla3[[#This Row],[n1]],Tabla1[[#This Row],[nudo final]]=Tabla3[[#This Row],[n2]],Tabla1[[#This Row],[longitud]]=Tabla3[[#This Row],[long]]),"si","no")</f>
        <v>si</v>
      </c>
    </row>
    <row r="249" spans="2:26" ht="15.75" x14ac:dyDescent="0.25">
      <c r="B249" t="s">
        <v>275</v>
      </c>
      <c r="C249" t="s">
        <v>277</v>
      </c>
      <c r="D249" s="19">
        <v>146.37</v>
      </c>
      <c r="E249" s="3" t="s">
        <v>23</v>
      </c>
      <c r="F249" s="3" t="s">
        <v>28</v>
      </c>
      <c r="G249" s="8" t="s">
        <v>57</v>
      </c>
      <c r="H249" s="4" t="s">
        <v>23</v>
      </c>
      <c r="I249" s="5">
        <v>1</v>
      </c>
      <c r="J249" s="8" t="s">
        <v>16</v>
      </c>
      <c r="K249" s="4" t="s">
        <v>23</v>
      </c>
      <c r="L249" s="5">
        <v>1</v>
      </c>
      <c r="M249" s="8" t="s">
        <v>17</v>
      </c>
      <c r="N249" s="4" t="s">
        <v>23</v>
      </c>
      <c r="O249" s="5">
        <v>1</v>
      </c>
      <c r="P249" s="8"/>
      <c r="Q249" s="4"/>
      <c r="R249" s="5"/>
      <c r="W249" s="67" t="s">
        <v>275</v>
      </c>
      <c r="X249" s="68" t="s">
        <v>277</v>
      </c>
      <c r="Y249" s="69">
        <v>146.37</v>
      </c>
      <c r="Z249" t="str">
        <f>IF(AND(Tabla1[[#This Row],[nudo inicial]]=Tabla3[[#This Row],[n1]],Tabla1[[#This Row],[nudo final]]=Tabla3[[#This Row],[n2]],Tabla1[[#This Row],[longitud]]=Tabla3[[#This Row],[long]]),"si","no")</f>
        <v>si</v>
      </c>
    </row>
    <row r="250" spans="2:26" ht="15.75" x14ac:dyDescent="0.25">
      <c r="B250" t="s">
        <v>274</v>
      </c>
      <c r="C250" t="s">
        <v>278</v>
      </c>
      <c r="D250" s="19">
        <v>15.09</v>
      </c>
      <c r="E250" s="3" t="s">
        <v>23</v>
      </c>
      <c r="F250" s="3" t="s">
        <v>28</v>
      </c>
      <c r="G250" s="8" t="s">
        <v>57</v>
      </c>
      <c r="H250" s="4" t="s">
        <v>23</v>
      </c>
      <c r="I250" s="5">
        <v>1</v>
      </c>
      <c r="J250" s="8" t="s">
        <v>32</v>
      </c>
      <c r="K250" s="4" t="s">
        <v>23</v>
      </c>
      <c r="L250" s="5">
        <v>1</v>
      </c>
      <c r="M250" s="8"/>
      <c r="N250" s="4"/>
      <c r="O250" s="5"/>
      <c r="P250" s="8"/>
      <c r="Q250" s="4"/>
      <c r="R250" s="5"/>
      <c r="W250" s="67" t="s">
        <v>274</v>
      </c>
      <c r="X250" s="68" t="s">
        <v>278</v>
      </c>
      <c r="Y250" s="69">
        <v>15.09</v>
      </c>
      <c r="Z250" t="str">
        <f>IF(AND(Tabla1[[#This Row],[nudo inicial]]=Tabla3[[#This Row],[n1]],Tabla1[[#This Row],[nudo final]]=Tabla3[[#This Row],[n2]],Tabla1[[#This Row],[longitud]]=Tabla3[[#This Row],[long]]),"si","no")</f>
        <v>si</v>
      </c>
    </row>
    <row r="251" spans="2:26" ht="15.75" x14ac:dyDescent="0.25">
      <c r="B251" t="s">
        <v>278</v>
      </c>
      <c r="C251" t="s">
        <v>279</v>
      </c>
      <c r="D251" s="19">
        <v>164.48</v>
      </c>
      <c r="E251" s="3" t="s">
        <v>53</v>
      </c>
      <c r="F251" s="3" t="s">
        <v>25</v>
      </c>
      <c r="G251" s="8" t="s">
        <v>58</v>
      </c>
      <c r="H251" s="4" t="s">
        <v>23</v>
      </c>
      <c r="I251" s="5">
        <v>1</v>
      </c>
      <c r="J251" s="8" t="s">
        <v>15</v>
      </c>
      <c r="K251" s="4" t="s">
        <v>53</v>
      </c>
      <c r="L251" s="5">
        <v>1</v>
      </c>
      <c r="M251" s="8" t="s">
        <v>16</v>
      </c>
      <c r="N251" s="4" t="s">
        <v>53</v>
      </c>
      <c r="O251" s="5">
        <v>1</v>
      </c>
      <c r="P251" s="8" t="s">
        <v>17</v>
      </c>
      <c r="Q251" s="4" t="s">
        <v>53</v>
      </c>
      <c r="R251" s="5">
        <v>1</v>
      </c>
      <c r="W251" s="67" t="s">
        <v>278</v>
      </c>
      <c r="X251" s="68" t="s">
        <v>279</v>
      </c>
      <c r="Y251" s="69">
        <v>164.48</v>
      </c>
      <c r="Z251" t="str">
        <f>IF(AND(Tabla1[[#This Row],[nudo inicial]]=Tabla3[[#This Row],[n1]],Tabla1[[#This Row],[nudo final]]=Tabla3[[#This Row],[n2]],Tabla1[[#This Row],[longitud]]=Tabla3[[#This Row],[long]]),"si","no")</f>
        <v>si</v>
      </c>
    </row>
    <row r="252" spans="2:26" ht="15.75" x14ac:dyDescent="0.25">
      <c r="B252" t="s">
        <v>278</v>
      </c>
      <c r="C252" t="s">
        <v>280</v>
      </c>
      <c r="D252" s="19">
        <v>91.22</v>
      </c>
      <c r="E252" s="3" t="s">
        <v>23</v>
      </c>
      <c r="F252" s="3" t="s">
        <v>28</v>
      </c>
      <c r="G252" s="8" t="s">
        <v>57</v>
      </c>
      <c r="H252" s="4" t="s">
        <v>23</v>
      </c>
      <c r="I252" s="5">
        <v>1</v>
      </c>
      <c r="J252" s="8" t="s">
        <v>17</v>
      </c>
      <c r="K252" s="4" t="s">
        <v>23</v>
      </c>
      <c r="L252" s="5">
        <v>1</v>
      </c>
      <c r="M252" s="8"/>
      <c r="N252" s="4"/>
      <c r="O252" s="5"/>
      <c r="P252" s="8"/>
      <c r="Q252" s="4"/>
      <c r="R252" s="5"/>
      <c r="W252" s="67" t="s">
        <v>278</v>
      </c>
      <c r="X252" s="68" t="s">
        <v>280</v>
      </c>
      <c r="Y252" s="69">
        <v>91.22</v>
      </c>
      <c r="Z252" t="str">
        <f>IF(AND(Tabla1[[#This Row],[nudo inicial]]=Tabla3[[#This Row],[n1]],Tabla1[[#This Row],[nudo final]]=Tabla3[[#This Row],[n2]],Tabla1[[#This Row],[longitud]]=Tabla3[[#This Row],[long]]),"si","no")</f>
        <v>si</v>
      </c>
    </row>
    <row r="253" spans="2:26" ht="15.75" x14ac:dyDescent="0.25">
      <c r="B253" t="s">
        <v>273</v>
      </c>
      <c r="C253" t="s">
        <v>281</v>
      </c>
      <c r="D253" s="19">
        <v>44.4</v>
      </c>
      <c r="E253" s="3" t="s">
        <v>55</v>
      </c>
      <c r="F253" s="3" t="s">
        <v>25</v>
      </c>
      <c r="G253" s="8" t="s">
        <v>57</v>
      </c>
      <c r="H253" s="4" t="s">
        <v>55</v>
      </c>
      <c r="I253" s="5">
        <v>1</v>
      </c>
      <c r="J253" s="8"/>
      <c r="K253" s="4"/>
      <c r="L253" s="5"/>
      <c r="M253" s="8"/>
      <c r="N253" s="4"/>
      <c r="O253" s="5"/>
      <c r="P253" s="8"/>
      <c r="Q253" s="4"/>
      <c r="R253" s="5"/>
      <c r="W253" s="67" t="s">
        <v>273</v>
      </c>
      <c r="X253" s="68" t="s">
        <v>281</v>
      </c>
      <c r="Y253" s="69">
        <v>44.4</v>
      </c>
      <c r="Z253" t="str">
        <f>IF(AND(Tabla1[[#This Row],[nudo inicial]]=Tabla3[[#This Row],[n1]],Tabla1[[#This Row],[nudo final]]=Tabla3[[#This Row],[n2]],Tabla1[[#This Row],[longitud]]=Tabla3[[#This Row],[long]]),"si","no")</f>
        <v>si</v>
      </c>
    </row>
    <row r="254" spans="2:26" ht="15.75" x14ac:dyDescent="0.25">
      <c r="B254" t="s">
        <v>281</v>
      </c>
      <c r="C254" t="s">
        <v>282</v>
      </c>
      <c r="D254" s="19">
        <v>64.83</v>
      </c>
      <c r="E254" s="3" t="s">
        <v>23</v>
      </c>
      <c r="F254" s="3" t="s">
        <v>28</v>
      </c>
      <c r="G254" s="8" t="s">
        <v>58</v>
      </c>
      <c r="H254" s="4" t="s">
        <v>55</v>
      </c>
      <c r="I254" s="5">
        <v>1</v>
      </c>
      <c r="J254" s="8" t="s">
        <v>15</v>
      </c>
      <c r="K254" s="4" t="s">
        <v>23</v>
      </c>
      <c r="L254" s="5">
        <v>1</v>
      </c>
      <c r="M254" s="8" t="s">
        <v>17</v>
      </c>
      <c r="N254" s="4" t="s">
        <v>23</v>
      </c>
      <c r="O254" s="5">
        <v>1</v>
      </c>
      <c r="P254" s="8"/>
      <c r="Q254" s="4"/>
      <c r="R254" s="5"/>
      <c r="W254" s="67" t="s">
        <v>281</v>
      </c>
      <c r="X254" s="68" t="s">
        <v>282</v>
      </c>
      <c r="Y254" s="69">
        <v>64.83</v>
      </c>
      <c r="Z254" t="str">
        <f>IF(AND(Tabla1[[#This Row],[nudo inicial]]=Tabla3[[#This Row],[n1]],Tabla1[[#This Row],[nudo final]]=Tabla3[[#This Row],[n2]],Tabla1[[#This Row],[longitud]]=Tabla3[[#This Row],[long]]),"si","no")</f>
        <v>si</v>
      </c>
    </row>
    <row r="255" spans="2:26" ht="15.75" x14ac:dyDescent="0.25">
      <c r="B255" t="s">
        <v>281</v>
      </c>
      <c r="C255" t="s">
        <v>283</v>
      </c>
      <c r="D255" s="19">
        <v>14.23</v>
      </c>
      <c r="E255" s="3" t="s">
        <v>55</v>
      </c>
      <c r="F255" s="3" t="s">
        <v>25</v>
      </c>
      <c r="G255" s="8" t="s">
        <v>57</v>
      </c>
      <c r="H255" s="4" t="s">
        <v>55</v>
      </c>
      <c r="I255" s="5">
        <v>1</v>
      </c>
      <c r="J255" s="8"/>
      <c r="K255" s="4"/>
      <c r="L255" s="5"/>
      <c r="M255" s="8"/>
      <c r="N255" s="4"/>
      <c r="O255" s="5"/>
      <c r="P255" s="8"/>
      <c r="Q255" s="4"/>
      <c r="R255" s="5"/>
      <c r="W255" s="67" t="s">
        <v>281</v>
      </c>
      <c r="X255" s="68" t="s">
        <v>283</v>
      </c>
      <c r="Y255" s="69">
        <v>14.23</v>
      </c>
      <c r="Z255" t="str">
        <f>IF(AND(Tabla1[[#This Row],[nudo inicial]]=Tabla3[[#This Row],[n1]],Tabla1[[#This Row],[nudo final]]=Tabla3[[#This Row],[n2]],Tabla1[[#This Row],[longitud]]=Tabla3[[#This Row],[long]]),"si","no")</f>
        <v>si</v>
      </c>
    </row>
    <row r="256" spans="2:26" ht="15.75" x14ac:dyDescent="0.25">
      <c r="B256" t="s">
        <v>284</v>
      </c>
      <c r="C256" t="s">
        <v>285</v>
      </c>
      <c r="D256" s="19">
        <v>56.03</v>
      </c>
      <c r="E256" s="3" t="s">
        <v>23</v>
      </c>
      <c r="F256" s="3" t="s">
        <v>28</v>
      </c>
      <c r="G256" s="8" t="s">
        <v>58</v>
      </c>
      <c r="H256" s="4" t="s">
        <v>55</v>
      </c>
      <c r="I256" s="5">
        <v>1</v>
      </c>
      <c r="J256" s="8" t="s">
        <v>15</v>
      </c>
      <c r="K256" s="4" t="s">
        <v>23</v>
      </c>
      <c r="L256" s="5">
        <v>1</v>
      </c>
      <c r="M256" s="8" t="s">
        <v>17</v>
      </c>
      <c r="N256" s="4" t="s">
        <v>23</v>
      </c>
      <c r="O256" s="5">
        <v>1</v>
      </c>
      <c r="P256" s="8"/>
      <c r="Q256" s="4"/>
      <c r="R256" s="5"/>
      <c r="W256" s="67" t="s">
        <v>284</v>
      </c>
      <c r="X256" s="68" t="s">
        <v>285</v>
      </c>
      <c r="Y256" s="69">
        <v>56.03</v>
      </c>
      <c r="Z256" t="str">
        <f>IF(AND(Tabla1[[#This Row],[nudo inicial]]=Tabla3[[#This Row],[n1]],Tabla1[[#This Row],[nudo final]]=Tabla3[[#This Row],[n2]],Tabla1[[#This Row],[longitud]]=Tabla3[[#This Row],[long]]),"si","no")</f>
        <v>si</v>
      </c>
    </row>
    <row r="257" spans="2:26" ht="15.75" x14ac:dyDescent="0.25">
      <c r="B257" t="s">
        <v>284</v>
      </c>
      <c r="C257" t="s">
        <v>286</v>
      </c>
      <c r="D257" s="19">
        <v>65.84</v>
      </c>
      <c r="E257" s="3" t="s">
        <v>55</v>
      </c>
      <c r="F257" s="3" t="s">
        <v>25</v>
      </c>
      <c r="G257" s="8" t="s">
        <v>57</v>
      </c>
      <c r="H257" s="4" t="s">
        <v>55</v>
      </c>
      <c r="I257" s="5">
        <v>1</v>
      </c>
      <c r="J257" s="8"/>
      <c r="K257" s="4"/>
      <c r="L257" s="5"/>
      <c r="M257" s="8"/>
      <c r="N257" s="4"/>
      <c r="O257" s="5"/>
      <c r="P257" s="8"/>
      <c r="Q257" s="4"/>
      <c r="R257" s="5"/>
      <c r="W257" s="67" t="s">
        <v>284</v>
      </c>
      <c r="X257" s="68" t="s">
        <v>286</v>
      </c>
      <c r="Y257" s="69">
        <v>65.84</v>
      </c>
      <c r="Z257" t="str">
        <f>IF(AND(Tabla1[[#This Row],[nudo inicial]]=Tabla3[[#This Row],[n1]],Tabla1[[#This Row],[nudo final]]=Tabla3[[#This Row],[n2]],Tabla1[[#This Row],[longitud]]=Tabla3[[#This Row],[long]]),"si","no")</f>
        <v>si</v>
      </c>
    </row>
    <row r="258" spans="2:26" ht="15.75" x14ac:dyDescent="0.25">
      <c r="B258" t="s">
        <v>286</v>
      </c>
      <c r="C258" t="s">
        <v>287</v>
      </c>
      <c r="D258" s="19">
        <v>59.43</v>
      </c>
      <c r="E258" s="3" t="s">
        <v>23</v>
      </c>
      <c r="F258" s="3" t="s">
        <v>28</v>
      </c>
      <c r="G258" s="8" t="s">
        <v>58</v>
      </c>
      <c r="H258" s="4" t="s">
        <v>55</v>
      </c>
      <c r="I258" s="5">
        <v>1</v>
      </c>
      <c r="J258" s="8" t="s">
        <v>15</v>
      </c>
      <c r="K258" s="4" t="s">
        <v>23</v>
      </c>
      <c r="L258" s="5">
        <v>1</v>
      </c>
      <c r="M258" s="8" t="s">
        <v>17</v>
      </c>
      <c r="N258" s="4" t="s">
        <v>23</v>
      </c>
      <c r="O258" s="5">
        <v>1</v>
      </c>
      <c r="P258" s="8"/>
      <c r="Q258" s="4"/>
      <c r="R258" s="5"/>
      <c r="W258" s="67" t="s">
        <v>286</v>
      </c>
      <c r="X258" s="68" t="s">
        <v>287</v>
      </c>
      <c r="Y258" s="69">
        <v>59.43</v>
      </c>
      <c r="Z258" t="str">
        <f>IF(AND(Tabla1[[#This Row],[nudo inicial]]=Tabla3[[#This Row],[n1]],Tabla1[[#This Row],[nudo final]]=Tabla3[[#This Row],[n2]],Tabla1[[#This Row],[longitud]]=Tabla3[[#This Row],[long]]),"si","no")</f>
        <v>si</v>
      </c>
    </row>
    <row r="259" spans="2:26" ht="15.75" x14ac:dyDescent="0.25">
      <c r="B259" t="s">
        <v>286</v>
      </c>
      <c r="C259" t="s">
        <v>264</v>
      </c>
      <c r="D259" s="19">
        <v>54.78</v>
      </c>
      <c r="E259" s="3" t="s">
        <v>55</v>
      </c>
      <c r="F259" s="3" t="s">
        <v>25</v>
      </c>
      <c r="G259" s="8" t="s">
        <v>57</v>
      </c>
      <c r="H259" s="4" t="s">
        <v>55</v>
      </c>
      <c r="I259" s="5">
        <v>1</v>
      </c>
      <c r="J259" s="8" t="s">
        <v>32</v>
      </c>
      <c r="K259" s="4" t="s">
        <v>55</v>
      </c>
      <c r="L259" s="5">
        <v>1</v>
      </c>
      <c r="M259" s="8"/>
      <c r="N259" s="4"/>
      <c r="O259" s="5"/>
      <c r="P259" s="8"/>
      <c r="Q259" s="4"/>
      <c r="R259" s="5"/>
      <c r="W259" s="67" t="s">
        <v>286</v>
      </c>
      <c r="X259" s="68" t="s">
        <v>264</v>
      </c>
      <c r="Y259" s="69">
        <v>54.78</v>
      </c>
      <c r="Z259" t="str">
        <f>IF(AND(Tabla1[[#This Row],[nudo inicial]]=Tabla3[[#This Row],[n1]],Tabla1[[#This Row],[nudo final]]=Tabla3[[#This Row],[n2]],Tabla1[[#This Row],[longitud]]=Tabla3[[#This Row],[long]]),"si","no")</f>
        <v>si</v>
      </c>
    </row>
    <row r="260" spans="2:26" ht="15.75" x14ac:dyDescent="0.25">
      <c r="B260" t="s">
        <v>264</v>
      </c>
      <c r="C260" t="s">
        <v>288</v>
      </c>
      <c r="D260" s="19">
        <v>50.26</v>
      </c>
      <c r="E260" s="3" t="s">
        <v>126</v>
      </c>
      <c r="F260" s="3" t="s">
        <v>25</v>
      </c>
      <c r="G260" s="8" t="s">
        <v>57</v>
      </c>
      <c r="H260" s="4" t="s">
        <v>126</v>
      </c>
      <c r="I260" s="5">
        <v>1</v>
      </c>
      <c r="J260" s="8"/>
      <c r="K260" s="4"/>
      <c r="L260" s="5"/>
      <c r="M260" s="8"/>
      <c r="N260" s="4"/>
      <c r="O260" s="5"/>
      <c r="P260" s="8"/>
      <c r="Q260" s="4"/>
      <c r="R260" s="5"/>
      <c r="W260" s="67" t="s">
        <v>264</v>
      </c>
      <c r="X260" s="68" t="s">
        <v>288</v>
      </c>
      <c r="Y260" s="69">
        <v>50.26</v>
      </c>
      <c r="Z260" t="str">
        <f>IF(AND(Tabla1[[#This Row],[nudo inicial]]=Tabla3[[#This Row],[n1]],Tabla1[[#This Row],[nudo final]]=Tabla3[[#This Row],[n2]],Tabla1[[#This Row],[longitud]]=Tabla3[[#This Row],[long]]),"si","no")</f>
        <v>si</v>
      </c>
    </row>
    <row r="261" spans="2:26" ht="15.75" x14ac:dyDescent="0.25">
      <c r="B261" t="s">
        <v>288</v>
      </c>
      <c r="C261" t="s">
        <v>289</v>
      </c>
      <c r="D261" s="19">
        <v>63.11</v>
      </c>
      <c r="E261" s="3" t="s">
        <v>53</v>
      </c>
      <c r="F261" s="3" t="s">
        <v>25</v>
      </c>
      <c r="G261" s="8" t="s">
        <v>58</v>
      </c>
      <c r="H261" s="4" t="s">
        <v>126</v>
      </c>
      <c r="I261" s="5">
        <v>1</v>
      </c>
      <c r="J261" s="8" t="s">
        <v>15</v>
      </c>
      <c r="K261" s="4" t="s">
        <v>53</v>
      </c>
      <c r="L261" s="5">
        <v>1</v>
      </c>
      <c r="M261" s="8" t="s">
        <v>17</v>
      </c>
      <c r="N261" s="4" t="s">
        <v>53</v>
      </c>
      <c r="O261" s="5">
        <v>1</v>
      </c>
      <c r="P261" s="8"/>
      <c r="Q261" s="4"/>
      <c r="R261" s="5"/>
      <c r="W261" s="67" t="s">
        <v>288</v>
      </c>
      <c r="X261" s="68" t="s">
        <v>289</v>
      </c>
      <c r="Y261" s="69">
        <v>63.11</v>
      </c>
      <c r="Z261" t="str">
        <f>IF(AND(Tabla1[[#This Row],[nudo inicial]]=Tabla3[[#This Row],[n1]],Tabla1[[#This Row],[nudo final]]=Tabla3[[#This Row],[n2]],Tabla1[[#This Row],[longitud]]=Tabla3[[#This Row],[long]]),"si","no")</f>
        <v>si</v>
      </c>
    </row>
    <row r="262" spans="2:26" ht="15.75" x14ac:dyDescent="0.25">
      <c r="B262" t="s">
        <v>288</v>
      </c>
      <c r="C262" t="s">
        <v>290</v>
      </c>
      <c r="D262" s="19">
        <v>57</v>
      </c>
      <c r="E262" s="3" t="s">
        <v>126</v>
      </c>
      <c r="F262" s="3" t="s">
        <v>25</v>
      </c>
      <c r="G262" s="8" t="s">
        <v>57</v>
      </c>
      <c r="H262" s="4" t="s">
        <v>126</v>
      </c>
      <c r="I262" s="5">
        <v>1</v>
      </c>
      <c r="J262" s="8"/>
      <c r="K262" s="4"/>
      <c r="L262" s="5"/>
      <c r="M262" s="8"/>
      <c r="N262" s="4"/>
      <c r="O262" s="5"/>
      <c r="P262" s="8"/>
      <c r="Q262" s="4"/>
      <c r="R262" s="5"/>
      <c r="W262" s="67" t="s">
        <v>288</v>
      </c>
      <c r="X262" s="68" t="s">
        <v>290</v>
      </c>
      <c r="Y262" s="69">
        <v>57</v>
      </c>
      <c r="Z262" t="str">
        <f>IF(AND(Tabla1[[#This Row],[nudo inicial]]=Tabla3[[#This Row],[n1]],Tabla1[[#This Row],[nudo final]]=Tabla3[[#This Row],[n2]],Tabla1[[#This Row],[longitud]]=Tabla3[[#This Row],[long]]),"si","no")</f>
        <v>si</v>
      </c>
    </row>
    <row r="263" spans="2:26" ht="15.75" x14ac:dyDescent="0.25">
      <c r="B263" t="s">
        <v>290</v>
      </c>
      <c r="C263" t="s">
        <v>291</v>
      </c>
      <c r="D263" s="19">
        <v>20.22</v>
      </c>
      <c r="E263" s="3" t="s">
        <v>23</v>
      </c>
      <c r="F263" s="3" t="s">
        <v>25</v>
      </c>
      <c r="G263" s="8" t="s">
        <v>15</v>
      </c>
      <c r="H263" s="4" t="s">
        <v>23</v>
      </c>
      <c r="I263" s="5">
        <v>1</v>
      </c>
      <c r="J263" s="8" t="s">
        <v>32</v>
      </c>
      <c r="K263" s="4" t="s">
        <v>23</v>
      </c>
      <c r="L263" s="5">
        <v>1</v>
      </c>
      <c r="M263" s="8"/>
      <c r="N263" s="4"/>
      <c r="O263" s="5"/>
      <c r="P263" s="8"/>
      <c r="Q263" s="4"/>
      <c r="R263" s="5"/>
      <c r="W263" s="67" t="s">
        <v>290</v>
      </c>
      <c r="X263" s="68" t="s">
        <v>291</v>
      </c>
      <c r="Y263" s="69">
        <v>20.22</v>
      </c>
      <c r="Z263" t="str">
        <f>IF(AND(Tabla1[[#This Row],[nudo inicial]]=Tabla3[[#This Row],[n1]],Tabla1[[#This Row],[nudo final]]=Tabla3[[#This Row],[n2]],Tabla1[[#This Row],[longitud]]=Tabla3[[#This Row],[long]]),"si","no")</f>
        <v>si</v>
      </c>
    </row>
    <row r="264" spans="2:26" ht="15.75" x14ac:dyDescent="0.25">
      <c r="B264" t="s">
        <v>182</v>
      </c>
      <c r="C264" t="s">
        <v>291</v>
      </c>
      <c r="D264" s="19">
        <v>55.93</v>
      </c>
      <c r="E264" s="3" t="s">
        <v>23</v>
      </c>
      <c r="F264" s="3" t="s">
        <v>25</v>
      </c>
      <c r="G264" s="8" t="s">
        <v>15</v>
      </c>
      <c r="H264" s="4" t="s">
        <v>23</v>
      </c>
      <c r="I264" s="5">
        <v>1</v>
      </c>
      <c r="J264" s="8" t="s">
        <v>16</v>
      </c>
      <c r="K264" s="4" t="s">
        <v>23</v>
      </c>
      <c r="L264" s="5">
        <v>2</v>
      </c>
      <c r="M264" s="8"/>
      <c r="N264" s="4"/>
      <c r="O264" s="5"/>
      <c r="P264" s="8"/>
      <c r="Q264" s="4"/>
      <c r="R264" s="5"/>
      <c r="W264" s="67" t="s">
        <v>182</v>
      </c>
      <c r="X264" s="68" t="s">
        <v>291</v>
      </c>
      <c r="Y264" s="69">
        <v>55.93</v>
      </c>
      <c r="Z264" t="str">
        <f>IF(AND(Tabla1[[#This Row],[nudo inicial]]=Tabla3[[#This Row],[n1]],Tabla1[[#This Row],[nudo final]]=Tabla3[[#This Row],[n2]],Tabla1[[#This Row],[longitud]]=Tabla3[[#This Row],[long]]),"si","no")</f>
        <v>si</v>
      </c>
    </row>
    <row r="265" spans="2:26" ht="15.75" x14ac:dyDescent="0.25">
      <c r="B265" t="s">
        <v>291</v>
      </c>
      <c r="C265" t="s">
        <v>292</v>
      </c>
      <c r="D265" s="19">
        <v>35.200000000000003</v>
      </c>
      <c r="E265" s="3" t="s">
        <v>23</v>
      </c>
      <c r="F265" s="3" t="s">
        <v>25</v>
      </c>
      <c r="G265" s="8" t="s">
        <v>58</v>
      </c>
      <c r="H265" s="4" t="s">
        <v>23</v>
      </c>
      <c r="I265" s="5">
        <v>1</v>
      </c>
      <c r="J265" s="8" t="s">
        <v>32</v>
      </c>
      <c r="K265" s="4" t="s">
        <v>23</v>
      </c>
      <c r="L265" s="5">
        <v>1</v>
      </c>
      <c r="M265" s="8"/>
      <c r="N265" s="4"/>
      <c r="O265" s="5"/>
      <c r="P265" s="8"/>
      <c r="Q265" s="4"/>
      <c r="R265" s="5"/>
      <c r="W265" s="67" t="s">
        <v>291</v>
      </c>
      <c r="X265" s="68" t="s">
        <v>292</v>
      </c>
      <c r="Y265" s="69">
        <v>35.200000000000003</v>
      </c>
      <c r="Z265" t="str">
        <f>IF(AND(Tabla1[[#This Row],[nudo inicial]]=Tabla3[[#This Row],[n1]],Tabla1[[#This Row],[nudo final]]=Tabla3[[#This Row],[n2]],Tabla1[[#This Row],[longitud]]=Tabla3[[#This Row],[long]]),"si","no")</f>
        <v>si</v>
      </c>
    </row>
    <row r="266" spans="2:26" ht="15.75" x14ac:dyDescent="0.25">
      <c r="B266" t="s">
        <v>292</v>
      </c>
      <c r="C266" t="s">
        <v>293</v>
      </c>
      <c r="D266" s="19">
        <v>34.369999999999997</v>
      </c>
      <c r="E266" s="3" t="s">
        <v>23</v>
      </c>
      <c r="F266" s="3" t="s">
        <v>25</v>
      </c>
      <c r="G266" s="8" t="s">
        <v>58</v>
      </c>
      <c r="H266" s="4" t="s">
        <v>23</v>
      </c>
      <c r="I266" s="5">
        <v>1</v>
      </c>
      <c r="J266" s="8" t="s">
        <v>17</v>
      </c>
      <c r="K266" s="4" t="s">
        <v>23</v>
      </c>
      <c r="L266" s="5">
        <v>1</v>
      </c>
      <c r="M266" s="8"/>
      <c r="N266" s="4"/>
      <c r="O266" s="5"/>
      <c r="P266" s="8"/>
      <c r="Q266" s="4"/>
      <c r="R266" s="5"/>
      <c r="W266" s="67" t="s">
        <v>292</v>
      </c>
      <c r="X266" s="68" t="s">
        <v>293</v>
      </c>
      <c r="Y266" s="69">
        <v>34.369999999999997</v>
      </c>
      <c r="Z266" t="str">
        <f>IF(AND(Tabla1[[#This Row],[nudo inicial]]=Tabla3[[#This Row],[n1]],Tabla1[[#This Row],[nudo final]]=Tabla3[[#This Row],[n2]],Tabla1[[#This Row],[longitud]]=Tabla3[[#This Row],[long]]),"si","no")</f>
        <v>si</v>
      </c>
    </row>
    <row r="267" spans="2:26" ht="15.75" x14ac:dyDescent="0.25">
      <c r="B267" t="s">
        <v>292</v>
      </c>
      <c r="C267" t="s">
        <v>295</v>
      </c>
      <c r="D267" s="19">
        <v>20.57</v>
      </c>
      <c r="E267" s="3" t="s">
        <v>23</v>
      </c>
      <c r="F267" s="3" t="s">
        <v>25</v>
      </c>
      <c r="G267" s="8" t="s">
        <v>58</v>
      </c>
      <c r="H267" s="4" t="s">
        <v>23</v>
      </c>
      <c r="I267" s="5">
        <v>1</v>
      </c>
      <c r="J267" s="8"/>
      <c r="K267" s="4"/>
      <c r="L267" s="5"/>
      <c r="M267" s="8"/>
      <c r="N267" s="4"/>
      <c r="O267" s="5"/>
      <c r="P267" s="8"/>
      <c r="Q267" s="4"/>
      <c r="R267" s="5"/>
      <c r="W267" s="67" t="s">
        <v>292</v>
      </c>
      <c r="X267" s="68" t="s">
        <v>295</v>
      </c>
      <c r="Y267" s="69">
        <v>20.57</v>
      </c>
      <c r="Z267" t="str">
        <f>IF(AND(Tabla1[[#This Row],[nudo inicial]]=Tabla3[[#This Row],[n1]],Tabla1[[#This Row],[nudo final]]=Tabla3[[#This Row],[n2]],Tabla1[[#This Row],[longitud]]=Tabla3[[#This Row],[long]]),"si","no")</f>
        <v>si</v>
      </c>
    </row>
    <row r="268" spans="2:26" ht="15.75" x14ac:dyDescent="0.25">
      <c r="B268" t="s">
        <v>295</v>
      </c>
      <c r="C268" t="s">
        <v>296</v>
      </c>
      <c r="D268" s="19">
        <v>31.39</v>
      </c>
      <c r="E268" s="3" t="s">
        <v>23</v>
      </c>
      <c r="F268" s="3" t="s">
        <v>25</v>
      </c>
      <c r="G268" s="8" t="s">
        <v>57</v>
      </c>
      <c r="H268" s="4" t="s">
        <v>23</v>
      </c>
      <c r="I268" s="5">
        <v>1</v>
      </c>
      <c r="J268" s="8"/>
      <c r="K268" s="4"/>
      <c r="L268" s="5"/>
      <c r="M268" s="8"/>
      <c r="N268" s="4"/>
      <c r="O268" s="5"/>
      <c r="P268" s="8"/>
      <c r="Q268" s="4"/>
      <c r="R268" s="5"/>
      <c r="W268" s="67" t="s">
        <v>295</v>
      </c>
      <c r="X268" s="68" t="s">
        <v>296</v>
      </c>
      <c r="Y268" s="69">
        <v>31.39</v>
      </c>
      <c r="Z268" t="str">
        <f>IF(AND(Tabla1[[#This Row],[nudo inicial]]=Tabla3[[#This Row],[n1]],Tabla1[[#This Row],[nudo final]]=Tabla3[[#This Row],[n2]],Tabla1[[#This Row],[longitud]]=Tabla3[[#This Row],[long]]),"si","no")</f>
        <v>si</v>
      </c>
    </row>
    <row r="269" spans="2:26" ht="15.75" x14ac:dyDescent="0.25">
      <c r="B269" t="s">
        <v>296</v>
      </c>
      <c r="C269" t="s">
        <v>294</v>
      </c>
      <c r="D269" s="19">
        <v>37.76</v>
      </c>
      <c r="E269" s="3" t="s">
        <v>23</v>
      </c>
      <c r="F269" s="3" t="s">
        <v>25</v>
      </c>
      <c r="G269" s="8" t="s">
        <v>58</v>
      </c>
      <c r="H269" s="4" t="s">
        <v>23</v>
      </c>
      <c r="I269" s="5">
        <v>1</v>
      </c>
      <c r="J269" s="8" t="s">
        <v>17</v>
      </c>
      <c r="K269" s="4" t="s">
        <v>23</v>
      </c>
      <c r="L269" s="5">
        <v>1</v>
      </c>
      <c r="M269" s="8"/>
      <c r="N269" s="4"/>
      <c r="O269" s="5"/>
      <c r="P269" s="8"/>
      <c r="Q269" s="4"/>
      <c r="R269" s="5"/>
      <c r="W269" s="67" t="s">
        <v>296</v>
      </c>
      <c r="X269" s="68" t="s">
        <v>294</v>
      </c>
      <c r="Y269" s="69">
        <v>37.76</v>
      </c>
      <c r="Z269" t="str">
        <f>IF(AND(Tabla1[[#This Row],[nudo inicial]]=Tabla3[[#This Row],[n1]],Tabla1[[#This Row],[nudo final]]=Tabla3[[#This Row],[n2]],Tabla1[[#This Row],[longitud]]=Tabla3[[#This Row],[long]]),"si","no")</f>
        <v>si</v>
      </c>
    </row>
    <row r="270" spans="2:26" ht="15.75" x14ac:dyDescent="0.25">
      <c r="B270" t="s">
        <v>296</v>
      </c>
      <c r="C270" t="s">
        <v>297</v>
      </c>
      <c r="D270" s="19">
        <v>40.71</v>
      </c>
      <c r="E270" s="3" t="s">
        <v>23</v>
      </c>
      <c r="F270" s="3" t="s">
        <v>25</v>
      </c>
      <c r="G270" s="8" t="s">
        <v>57</v>
      </c>
      <c r="H270" s="4" t="s">
        <v>23</v>
      </c>
      <c r="I270" s="5">
        <v>1</v>
      </c>
      <c r="J270" s="8" t="s">
        <v>17</v>
      </c>
      <c r="K270" s="4" t="s">
        <v>23</v>
      </c>
      <c r="L270" s="5">
        <v>1</v>
      </c>
      <c r="M270" s="8"/>
      <c r="N270" s="4"/>
      <c r="O270" s="5"/>
      <c r="P270" s="8"/>
      <c r="Q270" s="4"/>
      <c r="R270" s="5"/>
      <c r="W270" s="67" t="s">
        <v>296</v>
      </c>
      <c r="X270" s="68" t="s">
        <v>297</v>
      </c>
      <c r="Y270" s="69">
        <v>40.71</v>
      </c>
      <c r="Z270" t="str">
        <f>IF(AND(Tabla1[[#This Row],[nudo inicial]]=Tabla3[[#This Row],[n1]],Tabla1[[#This Row],[nudo final]]=Tabla3[[#This Row],[n2]],Tabla1[[#This Row],[longitud]]=Tabla3[[#This Row],[long]]),"si","no")</f>
        <v>si</v>
      </c>
    </row>
    <row r="271" spans="2:26" ht="15.75" x14ac:dyDescent="0.25">
      <c r="B271" t="s">
        <v>295</v>
      </c>
      <c r="C271" t="s">
        <v>298</v>
      </c>
      <c r="D271" s="19">
        <v>58.95</v>
      </c>
      <c r="E271" s="3" t="s">
        <v>23</v>
      </c>
      <c r="F271" s="3" t="s">
        <v>25</v>
      </c>
      <c r="G271" s="8" t="s">
        <v>58</v>
      </c>
      <c r="H271" s="4" t="s">
        <v>23</v>
      </c>
      <c r="I271" s="5">
        <v>1</v>
      </c>
      <c r="J271" s="8"/>
      <c r="K271" s="4"/>
      <c r="L271" s="5"/>
      <c r="M271" s="8"/>
      <c r="N271" s="4"/>
      <c r="O271" s="5"/>
      <c r="P271" s="8"/>
      <c r="Q271" s="4"/>
      <c r="R271" s="5"/>
      <c r="W271" s="67" t="s">
        <v>295</v>
      </c>
      <c r="X271" s="68" t="s">
        <v>298</v>
      </c>
      <c r="Y271" s="69">
        <v>58.95</v>
      </c>
      <c r="Z271" t="str">
        <f>IF(AND(Tabla1[[#This Row],[nudo inicial]]=Tabla3[[#This Row],[n1]],Tabla1[[#This Row],[nudo final]]=Tabla3[[#This Row],[n2]],Tabla1[[#This Row],[longitud]]=Tabla3[[#This Row],[long]]),"si","no")</f>
        <v>si</v>
      </c>
    </row>
    <row r="272" spans="2:26" ht="15.75" x14ac:dyDescent="0.25">
      <c r="B272" t="s">
        <v>298</v>
      </c>
      <c r="C272" t="s">
        <v>299</v>
      </c>
      <c r="D272" s="19">
        <v>63.85</v>
      </c>
      <c r="E272" s="3" t="s">
        <v>23</v>
      </c>
      <c r="F272" s="3" t="s">
        <v>25</v>
      </c>
      <c r="G272" s="8" t="s">
        <v>58</v>
      </c>
      <c r="H272" s="4" t="s">
        <v>23</v>
      </c>
      <c r="I272" s="5">
        <v>1</v>
      </c>
      <c r="J272" s="8"/>
      <c r="K272" s="4"/>
      <c r="L272" s="5"/>
      <c r="M272" s="8"/>
      <c r="N272" s="4"/>
      <c r="O272" s="5"/>
      <c r="P272" s="8"/>
      <c r="Q272" s="4"/>
      <c r="R272" s="5"/>
      <c r="W272" s="67" t="s">
        <v>298</v>
      </c>
      <c r="X272" s="68" t="s">
        <v>299</v>
      </c>
      <c r="Y272" s="69">
        <v>63.85</v>
      </c>
      <c r="Z272" t="str">
        <f>IF(AND(Tabla1[[#This Row],[nudo inicial]]=Tabla3[[#This Row],[n1]],Tabla1[[#This Row],[nudo final]]=Tabla3[[#This Row],[n2]],Tabla1[[#This Row],[longitud]]=Tabla3[[#This Row],[long]]),"si","no")</f>
        <v>si</v>
      </c>
    </row>
    <row r="273" spans="1:26" ht="15.75" x14ac:dyDescent="0.25">
      <c r="A273" s="14" t="s">
        <v>324</v>
      </c>
      <c r="B273" t="s">
        <v>299</v>
      </c>
      <c r="C273" t="s">
        <v>300</v>
      </c>
      <c r="D273" s="19">
        <v>26.18</v>
      </c>
      <c r="E273" s="3" t="s">
        <v>23</v>
      </c>
      <c r="F273" s="3" t="s">
        <v>25</v>
      </c>
      <c r="G273" s="8" t="s">
        <v>57</v>
      </c>
      <c r="H273" s="4" t="s">
        <v>23</v>
      </c>
      <c r="I273" s="5">
        <v>1</v>
      </c>
      <c r="J273" s="8" t="s">
        <v>17</v>
      </c>
      <c r="K273" s="4" t="s">
        <v>23</v>
      </c>
      <c r="L273" s="5">
        <v>1</v>
      </c>
      <c r="M273" s="8"/>
      <c r="N273" s="4"/>
      <c r="O273" s="5"/>
      <c r="P273" s="8"/>
      <c r="Q273" s="4"/>
      <c r="R273" s="5"/>
      <c r="W273" s="67" t="s">
        <v>299</v>
      </c>
      <c r="X273" s="68" t="s">
        <v>300</v>
      </c>
      <c r="Y273" s="69">
        <v>26.18</v>
      </c>
      <c r="Z273" t="str">
        <f>IF(AND(Tabla1[[#This Row],[nudo inicial]]=Tabla3[[#This Row],[n1]],Tabla1[[#This Row],[nudo final]]=Tabla3[[#This Row],[n2]],Tabla1[[#This Row],[longitud]]=Tabla3[[#This Row],[long]]),"si","no")</f>
        <v>si</v>
      </c>
    </row>
    <row r="274" spans="1:26" ht="15.75" x14ac:dyDescent="0.25">
      <c r="B274" s="14" t="s">
        <v>299</v>
      </c>
      <c r="C274" s="14" t="s">
        <v>301</v>
      </c>
      <c r="D274" s="20">
        <v>14.23</v>
      </c>
      <c r="E274" s="15" t="s">
        <v>53</v>
      </c>
      <c r="F274" s="15" t="s">
        <v>25</v>
      </c>
      <c r="G274" s="16" t="s">
        <v>58</v>
      </c>
      <c r="H274" s="17" t="s">
        <v>23</v>
      </c>
      <c r="I274" s="18">
        <v>1</v>
      </c>
      <c r="J274" s="16" t="s">
        <v>15</v>
      </c>
      <c r="K274" s="17" t="s">
        <v>53</v>
      </c>
      <c r="L274" s="18">
        <v>1</v>
      </c>
      <c r="M274" s="16" t="s">
        <v>32</v>
      </c>
      <c r="N274" s="17" t="s">
        <v>53</v>
      </c>
      <c r="O274" s="18">
        <v>1</v>
      </c>
      <c r="P274" s="16"/>
      <c r="Q274" s="17"/>
      <c r="R274" s="18"/>
      <c r="S274" s="14"/>
      <c r="T274" s="14"/>
      <c r="U274" s="14"/>
      <c r="W274" s="67" t="s">
        <v>299</v>
      </c>
      <c r="X274" s="68" t="s">
        <v>301</v>
      </c>
      <c r="Y274" s="69">
        <v>14.23</v>
      </c>
      <c r="Z274" t="str">
        <f>IF(AND(Tabla1[[#This Row],[nudo inicial]]=Tabla3[[#This Row],[n1]],Tabla1[[#This Row],[nudo final]]=Tabla3[[#This Row],[n2]],Tabla1[[#This Row],[longitud]]=Tabla3[[#This Row],[long]]),"si","no")</f>
        <v>si</v>
      </c>
    </row>
    <row r="275" spans="1:26" ht="15.75" x14ac:dyDescent="0.25">
      <c r="B275" t="s">
        <v>301</v>
      </c>
      <c r="C275" t="s">
        <v>302</v>
      </c>
      <c r="D275" s="19">
        <v>21.96</v>
      </c>
      <c r="E275" s="3" t="s">
        <v>53</v>
      </c>
      <c r="F275" s="3" t="s">
        <v>25</v>
      </c>
      <c r="G275" s="8" t="s">
        <v>58</v>
      </c>
      <c r="H275" s="4" t="s">
        <v>53</v>
      </c>
      <c r="I275" s="5">
        <v>1</v>
      </c>
      <c r="J275" s="8" t="s">
        <v>17</v>
      </c>
      <c r="K275" s="4" t="s">
        <v>53</v>
      </c>
      <c r="L275" s="5">
        <v>1</v>
      </c>
      <c r="M275" s="8"/>
      <c r="N275" s="4"/>
      <c r="O275" s="5"/>
      <c r="P275" s="8"/>
      <c r="Q275" s="4"/>
      <c r="R275" s="5"/>
      <c r="W275" s="67" t="s">
        <v>301</v>
      </c>
      <c r="X275" s="68" t="s">
        <v>302</v>
      </c>
      <c r="Y275" s="69">
        <v>21.96</v>
      </c>
      <c r="Z275" t="str">
        <f>IF(AND(Tabla1[[#This Row],[nudo inicial]]=Tabla3[[#This Row],[n1]],Tabla1[[#This Row],[nudo final]]=Tabla3[[#This Row],[n2]],Tabla1[[#This Row],[longitud]]=Tabla3[[#This Row],[long]]),"si","no")</f>
        <v>si</v>
      </c>
    </row>
    <row r="276" spans="1:26" ht="15.75" x14ac:dyDescent="0.25">
      <c r="B276" t="s">
        <v>301</v>
      </c>
      <c r="C276" t="s">
        <v>303</v>
      </c>
      <c r="D276" s="19">
        <v>28.85</v>
      </c>
      <c r="E276" s="3" t="s">
        <v>53</v>
      </c>
      <c r="F276" s="3" t="s">
        <v>25</v>
      </c>
      <c r="G276" s="8" t="s">
        <v>57</v>
      </c>
      <c r="H276" s="4" t="s">
        <v>53</v>
      </c>
      <c r="I276" s="5">
        <v>1</v>
      </c>
      <c r="J276" s="8"/>
      <c r="K276" s="4"/>
      <c r="L276" s="5"/>
      <c r="M276" s="8"/>
      <c r="N276" s="4"/>
      <c r="O276" s="5"/>
      <c r="P276" s="8"/>
      <c r="Q276" s="4"/>
      <c r="R276" s="5"/>
      <c r="W276" s="67" t="s">
        <v>301</v>
      </c>
      <c r="X276" s="68" t="s">
        <v>303</v>
      </c>
      <c r="Y276" s="69">
        <v>28.85</v>
      </c>
      <c r="Z276" t="str">
        <f>IF(AND(Tabla1[[#This Row],[nudo inicial]]=Tabla3[[#This Row],[n1]],Tabla1[[#This Row],[nudo final]]=Tabla3[[#This Row],[n2]],Tabla1[[#This Row],[longitud]]=Tabla3[[#This Row],[long]]),"si","no")</f>
        <v>si</v>
      </c>
    </row>
    <row r="277" spans="1:26" ht="15.75" x14ac:dyDescent="0.25">
      <c r="B277" t="s">
        <v>303</v>
      </c>
      <c r="C277" t="s">
        <v>304</v>
      </c>
      <c r="D277" s="19">
        <v>27.56</v>
      </c>
      <c r="E277" s="3" t="s">
        <v>53</v>
      </c>
      <c r="F277" s="3" t="s">
        <v>25</v>
      </c>
      <c r="G277" s="8" t="s">
        <v>58</v>
      </c>
      <c r="H277" s="4" t="s">
        <v>53</v>
      </c>
      <c r="I277" s="5">
        <v>1</v>
      </c>
      <c r="J277" s="8" t="s">
        <v>17</v>
      </c>
      <c r="K277" s="4" t="s">
        <v>53</v>
      </c>
      <c r="L277" s="5">
        <v>1</v>
      </c>
      <c r="M277" s="8"/>
      <c r="N277" s="4"/>
      <c r="O277" s="5"/>
      <c r="P277" s="8"/>
      <c r="Q277" s="4"/>
      <c r="R277" s="5"/>
      <c r="W277" s="67" t="s">
        <v>303</v>
      </c>
      <c r="X277" s="68" t="s">
        <v>304</v>
      </c>
      <c r="Y277" s="69">
        <v>27.56</v>
      </c>
      <c r="Z277" t="str">
        <f>IF(AND(Tabla1[[#This Row],[nudo inicial]]=Tabla3[[#This Row],[n1]],Tabla1[[#This Row],[nudo final]]=Tabla3[[#This Row],[n2]],Tabla1[[#This Row],[longitud]]=Tabla3[[#This Row],[long]]),"si","no")</f>
        <v>si</v>
      </c>
    </row>
    <row r="278" spans="1:26" ht="15.75" x14ac:dyDescent="0.25">
      <c r="B278" t="s">
        <v>303</v>
      </c>
      <c r="C278" t="s">
        <v>305</v>
      </c>
      <c r="D278" s="19">
        <v>69.97</v>
      </c>
      <c r="E278" s="3" t="s">
        <v>53</v>
      </c>
      <c r="F278" s="3" t="s">
        <v>25</v>
      </c>
      <c r="G278" s="8" t="s">
        <v>57</v>
      </c>
      <c r="H278" s="4" t="s">
        <v>53</v>
      </c>
      <c r="I278" s="5">
        <v>1</v>
      </c>
      <c r="J278" s="8" t="s">
        <v>16</v>
      </c>
      <c r="K278" s="4" t="s">
        <v>53</v>
      </c>
      <c r="L278" s="5">
        <v>1</v>
      </c>
      <c r="M278" s="8" t="s">
        <v>17</v>
      </c>
      <c r="N278" s="4" t="s">
        <v>53</v>
      </c>
      <c r="O278" s="5">
        <v>1</v>
      </c>
      <c r="P278" s="8"/>
      <c r="Q278" s="4"/>
      <c r="R278" s="5"/>
      <c r="W278" s="67" t="s">
        <v>303</v>
      </c>
      <c r="X278" s="68" t="s">
        <v>305</v>
      </c>
      <c r="Y278" s="69">
        <v>69.97</v>
      </c>
      <c r="Z278" t="str">
        <f>IF(AND(Tabla1[[#This Row],[nudo inicial]]=Tabla3[[#This Row],[n1]],Tabla1[[#This Row],[nudo final]]=Tabla3[[#This Row],[n2]],Tabla1[[#This Row],[longitud]]=Tabla3[[#This Row],[long]]),"si","no")</f>
        <v>si</v>
      </c>
    </row>
    <row r="279" spans="1:26" ht="15.75" x14ac:dyDescent="0.25">
      <c r="B279" t="s">
        <v>291</v>
      </c>
      <c r="C279" t="s">
        <v>306</v>
      </c>
      <c r="D279" s="19">
        <v>51.7</v>
      </c>
      <c r="E279" s="3" t="s">
        <v>23</v>
      </c>
      <c r="F279" s="3" t="s">
        <v>25</v>
      </c>
      <c r="G279" s="8" t="s">
        <v>57</v>
      </c>
      <c r="H279" s="4" t="s">
        <v>23</v>
      </c>
      <c r="I279" s="5">
        <v>1</v>
      </c>
      <c r="J279" s="8"/>
      <c r="K279" s="4"/>
      <c r="L279" s="5"/>
      <c r="M279" s="8"/>
      <c r="N279" s="4"/>
      <c r="O279" s="5"/>
      <c r="P279" s="8"/>
      <c r="Q279" s="4"/>
      <c r="R279" s="5"/>
      <c r="W279" s="67" t="s">
        <v>291</v>
      </c>
      <c r="X279" s="68" t="s">
        <v>306</v>
      </c>
      <c r="Y279" s="69">
        <v>51.7</v>
      </c>
      <c r="Z279" t="str">
        <f>IF(AND(Tabla1[[#This Row],[nudo inicial]]=Tabla3[[#This Row],[n1]],Tabla1[[#This Row],[nudo final]]=Tabla3[[#This Row],[n2]],Tabla1[[#This Row],[longitud]]=Tabla3[[#This Row],[long]]),"si","no")</f>
        <v>si</v>
      </c>
    </row>
    <row r="280" spans="1:26" ht="15.75" x14ac:dyDescent="0.25">
      <c r="B280" t="s">
        <v>306</v>
      </c>
      <c r="C280" t="s">
        <v>307</v>
      </c>
      <c r="D280" s="19">
        <v>5.33</v>
      </c>
      <c r="E280" s="3" t="s">
        <v>23</v>
      </c>
      <c r="F280" s="3" t="s">
        <v>25</v>
      </c>
      <c r="G280" s="8" t="s">
        <v>58</v>
      </c>
      <c r="H280" s="4" t="s">
        <v>23</v>
      </c>
      <c r="I280" s="5">
        <v>1</v>
      </c>
      <c r="J280" s="8" t="s">
        <v>17</v>
      </c>
      <c r="K280" s="4" t="s">
        <v>23</v>
      </c>
      <c r="L280" s="5">
        <v>1</v>
      </c>
      <c r="M280" s="8"/>
      <c r="N280" s="4"/>
      <c r="O280" s="5"/>
      <c r="P280" s="8"/>
      <c r="Q280" s="4"/>
      <c r="R280" s="5"/>
      <c r="W280" s="67" t="s">
        <v>306</v>
      </c>
      <c r="X280" s="68" t="s">
        <v>307</v>
      </c>
      <c r="Y280" s="69">
        <v>5.33</v>
      </c>
      <c r="Z280" t="str">
        <f>IF(AND(Tabla1[[#This Row],[nudo inicial]]=Tabla3[[#This Row],[n1]],Tabla1[[#This Row],[nudo final]]=Tabla3[[#This Row],[n2]],Tabla1[[#This Row],[longitud]]=Tabla3[[#This Row],[long]]),"si","no")</f>
        <v>si</v>
      </c>
    </row>
    <row r="281" spans="1:26" ht="15.75" x14ac:dyDescent="0.25">
      <c r="B281" t="s">
        <v>306</v>
      </c>
      <c r="C281" t="s">
        <v>308</v>
      </c>
      <c r="D281" s="19">
        <v>105.43</v>
      </c>
      <c r="E281" s="3" t="s">
        <v>23</v>
      </c>
      <c r="F281" s="3" t="s">
        <v>25</v>
      </c>
      <c r="G281" s="8" t="s">
        <v>57</v>
      </c>
      <c r="H281" s="4" t="s">
        <v>23</v>
      </c>
      <c r="I281" s="5">
        <v>1</v>
      </c>
      <c r="J281" s="8" t="s">
        <v>16</v>
      </c>
      <c r="K281" s="4" t="s">
        <v>23</v>
      </c>
      <c r="L281" s="5">
        <v>1</v>
      </c>
      <c r="M281" s="8"/>
      <c r="N281" s="4"/>
      <c r="O281" s="5"/>
      <c r="P281" s="8"/>
      <c r="Q281" s="4"/>
      <c r="R281" s="5"/>
      <c r="W281" s="67" t="s">
        <v>306</v>
      </c>
      <c r="X281" s="68" t="s">
        <v>308</v>
      </c>
      <c r="Y281" s="69">
        <v>105.43</v>
      </c>
      <c r="Z281" t="str">
        <f>IF(AND(Tabla1[[#This Row],[nudo inicial]]=Tabla3[[#This Row],[n1]],Tabla1[[#This Row],[nudo final]]=Tabla3[[#This Row],[n2]],Tabla1[[#This Row],[longitud]]=Tabla3[[#This Row],[long]]),"si","no")</f>
        <v>si</v>
      </c>
    </row>
    <row r="282" spans="1:26" ht="15.75" x14ac:dyDescent="0.25">
      <c r="B282" t="s">
        <v>308</v>
      </c>
      <c r="C282" t="s">
        <v>309</v>
      </c>
      <c r="D282" s="19">
        <v>21.2</v>
      </c>
      <c r="E282" s="3" t="s">
        <v>53</v>
      </c>
      <c r="F282" s="3" t="s">
        <v>25</v>
      </c>
      <c r="G282" s="8" t="s">
        <v>58</v>
      </c>
      <c r="H282" s="4" t="s">
        <v>23</v>
      </c>
      <c r="I282" s="5">
        <v>1</v>
      </c>
      <c r="J282" s="8" t="s">
        <v>15</v>
      </c>
      <c r="K282" s="4" t="s">
        <v>53</v>
      </c>
      <c r="L282" s="5">
        <v>1</v>
      </c>
      <c r="M282" s="8" t="s">
        <v>32</v>
      </c>
      <c r="N282" s="4" t="s">
        <v>53</v>
      </c>
      <c r="O282" s="5">
        <v>1</v>
      </c>
      <c r="P282" s="8"/>
      <c r="Q282" s="4"/>
      <c r="R282" s="5"/>
      <c r="W282" s="67" t="s">
        <v>308</v>
      </c>
      <c r="X282" s="68" t="s">
        <v>309</v>
      </c>
      <c r="Y282" s="69">
        <v>21.2</v>
      </c>
      <c r="Z282" t="str">
        <f>IF(AND(Tabla1[[#This Row],[nudo inicial]]=Tabla3[[#This Row],[n1]],Tabla1[[#This Row],[nudo final]]=Tabla3[[#This Row],[n2]],Tabla1[[#This Row],[longitud]]=Tabla3[[#This Row],[long]]),"si","no")</f>
        <v>si</v>
      </c>
    </row>
    <row r="283" spans="1:26" ht="15.75" x14ac:dyDescent="0.25">
      <c r="B283" t="s">
        <v>309</v>
      </c>
      <c r="C283" t="s">
        <v>310</v>
      </c>
      <c r="D283" s="19">
        <v>80.569999999999993</v>
      </c>
      <c r="E283" s="3" t="s">
        <v>53</v>
      </c>
      <c r="F283" s="3" t="s">
        <v>25</v>
      </c>
      <c r="G283" s="8" t="s">
        <v>58</v>
      </c>
      <c r="H283" s="4" t="s">
        <v>53</v>
      </c>
      <c r="I283" s="5">
        <v>1</v>
      </c>
      <c r="J283" s="8" t="s">
        <v>17</v>
      </c>
      <c r="K283" s="4" t="s">
        <v>53</v>
      </c>
      <c r="L283" s="5">
        <v>1</v>
      </c>
      <c r="M283" s="8"/>
      <c r="N283" s="4"/>
      <c r="O283" s="5"/>
      <c r="P283" s="8"/>
      <c r="Q283" s="4"/>
      <c r="R283" s="5"/>
      <c r="W283" s="67" t="s">
        <v>309</v>
      </c>
      <c r="X283" s="68" t="s">
        <v>310</v>
      </c>
      <c r="Y283" s="69">
        <v>80.569999999999993</v>
      </c>
      <c r="Z283" t="str">
        <f>IF(AND(Tabla1[[#This Row],[nudo inicial]]=Tabla3[[#This Row],[n1]],Tabla1[[#This Row],[nudo final]]=Tabla3[[#This Row],[n2]],Tabla1[[#This Row],[longitud]]=Tabla3[[#This Row],[long]]),"si","no")</f>
        <v>si</v>
      </c>
    </row>
    <row r="284" spans="1:26" ht="15.75" x14ac:dyDescent="0.25">
      <c r="B284" t="s">
        <v>309</v>
      </c>
      <c r="C284" t="s">
        <v>311</v>
      </c>
      <c r="D284" s="19">
        <v>29.27</v>
      </c>
      <c r="E284" s="3" t="s">
        <v>53</v>
      </c>
      <c r="F284" s="3" t="s">
        <v>25</v>
      </c>
      <c r="G284" s="8" t="s">
        <v>57</v>
      </c>
      <c r="H284" s="4" t="s">
        <v>53</v>
      </c>
      <c r="I284" s="5">
        <v>1</v>
      </c>
      <c r="J284" s="8"/>
      <c r="K284" s="4"/>
      <c r="L284" s="5"/>
      <c r="M284" s="8"/>
      <c r="N284" s="4"/>
      <c r="O284" s="5"/>
      <c r="P284" s="8"/>
      <c r="Q284" s="4"/>
      <c r="R284" s="5"/>
      <c r="W284" s="67" t="s">
        <v>309</v>
      </c>
      <c r="X284" s="68" t="s">
        <v>311</v>
      </c>
      <c r="Y284" s="69">
        <v>29.27</v>
      </c>
      <c r="Z284" t="str">
        <f>IF(AND(Tabla1[[#This Row],[nudo inicial]]=Tabla3[[#This Row],[n1]],Tabla1[[#This Row],[nudo final]]=Tabla3[[#This Row],[n2]],Tabla1[[#This Row],[longitud]]=Tabla3[[#This Row],[long]]),"si","no")</f>
        <v>si</v>
      </c>
    </row>
    <row r="285" spans="1:26" ht="15.75" x14ac:dyDescent="0.25">
      <c r="B285" t="s">
        <v>311</v>
      </c>
      <c r="C285" t="s">
        <v>312</v>
      </c>
      <c r="D285" s="19">
        <v>63.16</v>
      </c>
      <c r="E285" s="3" t="s">
        <v>53</v>
      </c>
      <c r="F285" s="3" t="s">
        <v>25</v>
      </c>
      <c r="G285" s="8" t="s">
        <v>58</v>
      </c>
      <c r="H285" s="4" t="s">
        <v>53</v>
      </c>
      <c r="I285" s="5">
        <v>1</v>
      </c>
      <c r="J285" s="8" t="s">
        <v>17</v>
      </c>
      <c r="K285" s="4" t="s">
        <v>53</v>
      </c>
      <c r="L285" s="5">
        <v>1</v>
      </c>
      <c r="M285" s="8"/>
      <c r="N285" s="4"/>
      <c r="O285" s="5"/>
      <c r="P285" s="8"/>
      <c r="Q285" s="4"/>
      <c r="R285" s="5"/>
      <c r="W285" s="67" t="s">
        <v>311</v>
      </c>
      <c r="X285" s="68" t="s">
        <v>312</v>
      </c>
      <c r="Y285" s="69">
        <v>63.16</v>
      </c>
      <c r="Z285" t="str">
        <f>IF(AND(Tabla1[[#This Row],[nudo inicial]]=Tabla3[[#This Row],[n1]],Tabla1[[#This Row],[nudo final]]=Tabla3[[#This Row],[n2]],Tabla1[[#This Row],[longitud]]=Tabla3[[#This Row],[long]]),"si","no")</f>
        <v>si</v>
      </c>
    </row>
    <row r="286" spans="1:26" ht="15.75" x14ac:dyDescent="0.25">
      <c r="B286" t="s">
        <v>311</v>
      </c>
      <c r="C286" t="s">
        <v>313</v>
      </c>
      <c r="D286" s="19">
        <v>37.99</v>
      </c>
      <c r="E286" s="3" t="s">
        <v>53</v>
      </c>
      <c r="F286" s="3" t="s">
        <v>25</v>
      </c>
      <c r="G286" s="8" t="s">
        <v>57</v>
      </c>
      <c r="H286" s="4" t="s">
        <v>53</v>
      </c>
      <c r="I286" s="5">
        <v>1</v>
      </c>
      <c r="J286" s="8"/>
      <c r="K286" s="4"/>
      <c r="L286" s="5"/>
      <c r="M286" s="8"/>
      <c r="N286" s="4"/>
      <c r="O286" s="5"/>
      <c r="P286" s="8"/>
      <c r="Q286" s="4"/>
      <c r="R286" s="5"/>
      <c r="W286" s="67" t="s">
        <v>311</v>
      </c>
      <c r="X286" s="68" t="s">
        <v>313</v>
      </c>
      <c r="Y286" s="69">
        <v>37.99</v>
      </c>
      <c r="Z286" t="str">
        <f>IF(AND(Tabla1[[#This Row],[nudo inicial]]=Tabla3[[#This Row],[n1]],Tabla1[[#This Row],[nudo final]]=Tabla3[[#This Row],[n2]],Tabla1[[#This Row],[longitud]]=Tabla3[[#This Row],[long]]),"si","no")</f>
        <v>si</v>
      </c>
    </row>
    <row r="287" spans="1:26" ht="15.75" x14ac:dyDescent="0.25">
      <c r="B287" t="s">
        <v>313</v>
      </c>
      <c r="C287" t="s">
        <v>314</v>
      </c>
      <c r="D287" s="19">
        <v>65.91</v>
      </c>
      <c r="E287" s="3" t="s">
        <v>53</v>
      </c>
      <c r="F287" s="3" t="s">
        <v>25</v>
      </c>
      <c r="G287" s="8" t="s">
        <v>58</v>
      </c>
      <c r="H287" s="4" t="s">
        <v>53</v>
      </c>
      <c r="I287" s="5">
        <v>1</v>
      </c>
      <c r="J287" s="8" t="s">
        <v>17</v>
      </c>
      <c r="K287" s="4" t="s">
        <v>53</v>
      </c>
      <c r="L287" s="5">
        <v>1</v>
      </c>
      <c r="M287" s="8"/>
      <c r="N287" s="4"/>
      <c r="O287" s="5"/>
      <c r="P287" s="8"/>
      <c r="Q287" s="4"/>
      <c r="R287" s="5"/>
      <c r="W287" s="67" t="s">
        <v>313</v>
      </c>
      <c r="X287" s="68" t="s">
        <v>314</v>
      </c>
      <c r="Y287" s="69">
        <v>65.91</v>
      </c>
      <c r="Z287" t="str">
        <f>IF(AND(Tabla1[[#This Row],[nudo inicial]]=Tabla3[[#This Row],[n1]],Tabla1[[#This Row],[nudo final]]=Tabla3[[#This Row],[n2]],Tabla1[[#This Row],[longitud]]=Tabla3[[#This Row],[long]]),"si","no")</f>
        <v>si</v>
      </c>
    </row>
    <row r="288" spans="1:26" ht="15.75" x14ac:dyDescent="0.25">
      <c r="B288" t="s">
        <v>313</v>
      </c>
      <c r="C288" t="s">
        <v>315</v>
      </c>
      <c r="D288" s="19">
        <v>124.41</v>
      </c>
      <c r="E288" s="3" t="s">
        <v>53</v>
      </c>
      <c r="F288" s="3" t="s">
        <v>25</v>
      </c>
      <c r="G288" s="8" t="s">
        <v>57</v>
      </c>
      <c r="H288" s="4" t="s">
        <v>53</v>
      </c>
      <c r="I288" s="5">
        <v>1</v>
      </c>
      <c r="J288" s="8" t="s">
        <v>16</v>
      </c>
      <c r="K288" s="4" t="s">
        <v>53</v>
      </c>
      <c r="L288" s="5">
        <v>1</v>
      </c>
      <c r="M288" s="8" t="s">
        <v>17</v>
      </c>
      <c r="N288" s="4" t="s">
        <v>53</v>
      </c>
      <c r="O288" s="5">
        <v>1</v>
      </c>
      <c r="P288" s="8"/>
      <c r="Q288" s="4"/>
      <c r="R288" s="5"/>
      <c r="W288" s="67" t="s">
        <v>313</v>
      </c>
      <c r="X288" s="68" t="s">
        <v>315</v>
      </c>
      <c r="Y288" s="69">
        <v>124.41</v>
      </c>
      <c r="Z288" t="str">
        <f>IF(AND(Tabla1[[#This Row],[nudo inicial]]=Tabla3[[#This Row],[n1]],Tabla1[[#This Row],[nudo final]]=Tabla3[[#This Row],[n2]],Tabla1[[#This Row],[longitud]]=Tabla3[[#This Row],[long]]),"si","no")</f>
        <v>si</v>
      </c>
    </row>
    <row r="289" spans="2:26" ht="15.75" x14ac:dyDescent="0.25">
      <c r="B289" t="s">
        <v>308</v>
      </c>
      <c r="C289" t="s">
        <v>316</v>
      </c>
      <c r="D289" s="19">
        <v>113.31</v>
      </c>
      <c r="E289" s="3" t="s">
        <v>23</v>
      </c>
      <c r="F289" s="3" t="s">
        <v>25</v>
      </c>
      <c r="G289" s="8" t="s">
        <v>57</v>
      </c>
      <c r="H289" s="4" t="s">
        <v>23</v>
      </c>
      <c r="I289" s="5">
        <v>1</v>
      </c>
      <c r="J289" s="8"/>
      <c r="K289" s="4"/>
      <c r="L289" s="5"/>
      <c r="M289" s="8"/>
      <c r="N289" s="4"/>
      <c r="O289" s="5"/>
      <c r="P289" s="8"/>
      <c r="Q289" s="4"/>
      <c r="R289" s="5"/>
      <c r="W289" s="67" t="s">
        <v>308</v>
      </c>
      <c r="X289" s="68" t="s">
        <v>316</v>
      </c>
      <c r="Y289" s="69">
        <v>113.31</v>
      </c>
      <c r="Z289" t="str">
        <f>IF(AND(Tabla1[[#This Row],[nudo inicial]]=Tabla3[[#This Row],[n1]],Tabla1[[#This Row],[nudo final]]=Tabla3[[#This Row],[n2]],Tabla1[[#This Row],[longitud]]=Tabla3[[#This Row],[long]]),"si","no")</f>
        <v>si</v>
      </c>
    </row>
    <row r="290" spans="2:26" ht="15.75" x14ac:dyDescent="0.25">
      <c r="B290" t="s">
        <v>298</v>
      </c>
      <c r="C290" t="s">
        <v>316</v>
      </c>
      <c r="D290" s="19">
        <v>87.88</v>
      </c>
      <c r="E290" s="3" t="s">
        <v>23</v>
      </c>
      <c r="F290" s="3" t="s">
        <v>25</v>
      </c>
      <c r="G290" s="8" t="s">
        <v>58</v>
      </c>
      <c r="H290" s="4" t="s">
        <v>23</v>
      </c>
      <c r="I290" s="5">
        <v>1</v>
      </c>
      <c r="J290" s="8"/>
      <c r="K290" s="4"/>
      <c r="L290" s="5"/>
      <c r="M290" s="8"/>
      <c r="N290" s="4"/>
      <c r="O290" s="5"/>
      <c r="P290" s="8"/>
      <c r="Q290" s="4"/>
      <c r="R290" s="5"/>
      <c r="W290" s="67" t="s">
        <v>298</v>
      </c>
      <c r="X290" s="68" t="s">
        <v>316</v>
      </c>
      <c r="Y290" s="69">
        <v>87.88</v>
      </c>
      <c r="Z290" t="str">
        <f>IF(AND(Tabla1[[#This Row],[nudo inicial]]=Tabla3[[#This Row],[n1]],Tabla1[[#This Row],[nudo final]]=Tabla3[[#This Row],[n2]],Tabla1[[#This Row],[longitud]]=Tabla3[[#This Row],[long]]),"si","no")</f>
        <v>si</v>
      </c>
    </row>
    <row r="291" spans="2:26" ht="15.75" x14ac:dyDescent="0.25">
      <c r="B291" t="s">
        <v>316</v>
      </c>
      <c r="C291" t="s">
        <v>317</v>
      </c>
      <c r="D291" s="19">
        <v>18.82</v>
      </c>
      <c r="E291" s="3" t="s">
        <v>23</v>
      </c>
      <c r="F291" s="3" t="s">
        <v>25</v>
      </c>
      <c r="G291" s="8" t="s">
        <v>57</v>
      </c>
      <c r="H291" s="4" t="s">
        <v>23</v>
      </c>
      <c r="I291" s="5">
        <v>1</v>
      </c>
      <c r="J291" s="8"/>
      <c r="K291" s="4"/>
      <c r="L291" s="5"/>
      <c r="M291" s="8"/>
      <c r="N291" s="4"/>
      <c r="O291" s="5"/>
      <c r="P291" s="8"/>
      <c r="Q291" s="4"/>
      <c r="R291" s="5"/>
      <c r="W291" s="67" t="s">
        <v>316</v>
      </c>
      <c r="X291" s="68" t="s">
        <v>317</v>
      </c>
      <c r="Y291" s="69">
        <v>18.82</v>
      </c>
      <c r="Z291" t="str">
        <f>IF(AND(Tabla1[[#This Row],[nudo inicial]]=Tabla3[[#This Row],[n1]],Tabla1[[#This Row],[nudo final]]=Tabla3[[#This Row],[n2]],Tabla1[[#This Row],[longitud]]=Tabla3[[#This Row],[long]]),"si","no")</f>
        <v>si</v>
      </c>
    </row>
    <row r="292" spans="2:26" ht="15.75" x14ac:dyDescent="0.25">
      <c r="B292" t="s">
        <v>317</v>
      </c>
      <c r="C292" t="s">
        <v>318</v>
      </c>
      <c r="D292" s="19">
        <v>51.18</v>
      </c>
      <c r="E292" s="3" t="s">
        <v>53</v>
      </c>
      <c r="F292" s="3" t="s">
        <v>25</v>
      </c>
      <c r="G292" s="8" t="s">
        <v>58</v>
      </c>
      <c r="H292" s="4" t="s">
        <v>23</v>
      </c>
      <c r="I292" s="5">
        <v>1</v>
      </c>
      <c r="J292" s="8" t="s">
        <v>15</v>
      </c>
      <c r="K292" s="4" t="s">
        <v>53</v>
      </c>
      <c r="L292" s="5">
        <v>1</v>
      </c>
      <c r="M292" s="8" t="s">
        <v>17</v>
      </c>
      <c r="N292" s="4" t="s">
        <v>53</v>
      </c>
      <c r="O292" s="5">
        <v>1</v>
      </c>
      <c r="P292" s="8"/>
      <c r="Q292" s="4"/>
      <c r="R292" s="5"/>
      <c r="W292" s="67" t="s">
        <v>317</v>
      </c>
      <c r="X292" s="68" t="s">
        <v>318</v>
      </c>
      <c r="Y292" s="69">
        <v>51.18</v>
      </c>
      <c r="Z292" t="str">
        <f>IF(AND(Tabla1[[#This Row],[nudo inicial]]=Tabla3[[#This Row],[n1]],Tabla1[[#This Row],[nudo final]]=Tabla3[[#This Row],[n2]],Tabla1[[#This Row],[longitud]]=Tabla3[[#This Row],[long]]),"si","no")</f>
        <v>si</v>
      </c>
    </row>
    <row r="293" spans="2:26" ht="15.75" x14ac:dyDescent="0.25">
      <c r="B293" t="s">
        <v>317</v>
      </c>
      <c r="C293" t="s">
        <v>319</v>
      </c>
      <c r="D293" s="19">
        <v>37.42</v>
      </c>
      <c r="E293" s="3" t="s">
        <v>23</v>
      </c>
      <c r="F293" s="3" t="s">
        <v>25</v>
      </c>
      <c r="G293" s="8" t="s">
        <v>57</v>
      </c>
      <c r="H293" s="4" t="s">
        <v>23</v>
      </c>
      <c r="I293" s="5">
        <v>1</v>
      </c>
      <c r="J293" s="8"/>
      <c r="K293" s="4"/>
      <c r="L293" s="5"/>
      <c r="M293" s="8"/>
      <c r="N293" s="4"/>
      <c r="O293" s="5"/>
      <c r="P293" s="8"/>
      <c r="Q293" s="4"/>
      <c r="R293" s="5"/>
      <c r="W293" s="67" t="s">
        <v>317</v>
      </c>
      <c r="X293" s="68" t="s">
        <v>319</v>
      </c>
      <c r="Y293" s="69">
        <v>37.42</v>
      </c>
      <c r="Z293" t="str">
        <f>IF(AND(Tabla1[[#This Row],[nudo inicial]]=Tabla3[[#This Row],[n1]],Tabla1[[#This Row],[nudo final]]=Tabla3[[#This Row],[n2]],Tabla1[[#This Row],[longitud]]=Tabla3[[#This Row],[long]]),"si","no")</f>
        <v>si</v>
      </c>
    </row>
    <row r="294" spans="2:26" ht="15.75" x14ac:dyDescent="0.25">
      <c r="B294" t="s">
        <v>319</v>
      </c>
      <c r="C294" t="s">
        <v>320</v>
      </c>
      <c r="D294" s="19">
        <v>34.89</v>
      </c>
      <c r="E294" s="3" t="s">
        <v>53</v>
      </c>
      <c r="F294" s="3" t="s">
        <v>25</v>
      </c>
      <c r="G294" s="8" t="s">
        <v>58</v>
      </c>
      <c r="H294" s="4" t="s">
        <v>23</v>
      </c>
      <c r="I294" s="5">
        <v>1</v>
      </c>
      <c r="J294" s="8" t="s">
        <v>15</v>
      </c>
      <c r="K294" s="4" t="s">
        <v>53</v>
      </c>
      <c r="L294" s="5">
        <v>1</v>
      </c>
      <c r="M294" s="8"/>
      <c r="N294" s="4"/>
      <c r="O294" s="5"/>
      <c r="P294" s="8"/>
      <c r="Q294" s="4"/>
      <c r="R294" s="5"/>
      <c r="W294" s="67" t="s">
        <v>319</v>
      </c>
      <c r="X294" s="68" t="s">
        <v>320</v>
      </c>
      <c r="Y294" s="69">
        <v>34.89</v>
      </c>
      <c r="Z294" t="str">
        <f>IF(AND(Tabla1[[#This Row],[nudo inicial]]=Tabla3[[#This Row],[n1]],Tabla1[[#This Row],[nudo final]]=Tabla3[[#This Row],[n2]],Tabla1[[#This Row],[longitud]]=Tabla3[[#This Row],[long]]),"si","no")</f>
        <v>si</v>
      </c>
    </row>
    <row r="295" spans="2:26" ht="15.75" x14ac:dyDescent="0.25">
      <c r="B295" t="s">
        <v>320</v>
      </c>
      <c r="C295" t="s">
        <v>321</v>
      </c>
      <c r="D295" s="19">
        <v>23.09</v>
      </c>
      <c r="E295" s="3" t="s">
        <v>53</v>
      </c>
      <c r="F295" s="3" t="s">
        <v>25</v>
      </c>
      <c r="G295" s="8" t="s">
        <v>58</v>
      </c>
      <c r="H295" s="4" t="s">
        <v>53</v>
      </c>
      <c r="I295" s="5">
        <v>1</v>
      </c>
      <c r="J295" s="8" t="s">
        <v>17</v>
      </c>
      <c r="K295" s="4" t="s">
        <v>53</v>
      </c>
      <c r="L295" s="5">
        <v>1</v>
      </c>
      <c r="M295" s="8"/>
      <c r="N295" s="4"/>
      <c r="O295" s="5"/>
      <c r="P295" s="8"/>
      <c r="Q295" s="4"/>
      <c r="R295" s="5"/>
      <c r="W295" s="67" t="s">
        <v>320</v>
      </c>
      <c r="X295" s="68" t="s">
        <v>321</v>
      </c>
      <c r="Y295" s="69">
        <v>23.09</v>
      </c>
      <c r="Z295" t="str">
        <f>IF(AND(Tabla1[[#This Row],[nudo inicial]]=Tabla3[[#This Row],[n1]],Tabla1[[#This Row],[nudo final]]=Tabla3[[#This Row],[n2]],Tabla1[[#This Row],[longitud]]=Tabla3[[#This Row],[long]]),"si","no")</f>
        <v>si</v>
      </c>
    </row>
    <row r="296" spans="2:26" ht="15.75" x14ac:dyDescent="0.25">
      <c r="B296" t="s">
        <v>320</v>
      </c>
      <c r="C296" t="s">
        <v>322</v>
      </c>
      <c r="D296" s="19">
        <v>21.51</v>
      </c>
      <c r="E296" s="3" t="s">
        <v>53</v>
      </c>
      <c r="F296" s="3" t="s">
        <v>25</v>
      </c>
      <c r="G296" s="8" t="s">
        <v>57</v>
      </c>
      <c r="H296" s="4" t="s">
        <v>53</v>
      </c>
      <c r="I296" s="5">
        <v>1</v>
      </c>
      <c r="J296" s="8" t="s">
        <v>17</v>
      </c>
      <c r="K296" s="4" t="s">
        <v>53</v>
      </c>
      <c r="L296" s="5">
        <v>1</v>
      </c>
      <c r="M296" s="8"/>
      <c r="N296" s="4"/>
      <c r="O296" s="5"/>
      <c r="P296" s="8"/>
      <c r="Q296" s="4"/>
      <c r="R296" s="5"/>
      <c r="W296" s="67" t="s">
        <v>320</v>
      </c>
      <c r="X296" s="68" t="s">
        <v>322</v>
      </c>
      <c r="Y296" s="69">
        <v>21.51</v>
      </c>
      <c r="Z296" t="str">
        <f>IF(AND(Tabla1[[#This Row],[nudo inicial]]=Tabla3[[#This Row],[n1]],Tabla1[[#This Row],[nudo final]]=Tabla3[[#This Row],[n2]],Tabla1[[#This Row],[longitud]]=Tabla3[[#This Row],[long]]),"si","no")</f>
        <v>si</v>
      </c>
    </row>
    <row r="297" spans="2:26" ht="15.75" x14ac:dyDescent="0.25">
      <c r="B297" t="s">
        <v>319</v>
      </c>
      <c r="C297" t="s">
        <v>323</v>
      </c>
      <c r="D297" s="19">
        <v>63.6</v>
      </c>
      <c r="E297" s="3" t="s">
        <v>23</v>
      </c>
      <c r="F297" s="3" t="s">
        <v>25</v>
      </c>
      <c r="G297" s="8" t="s">
        <v>57</v>
      </c>
      <c r="H297" s="4" t="s">
        <v>23</v>
      </c>
      <c r="I297" s="5">
        <v>1</v>
      </c>
      <c r="J297" s="8"/>
      <c r="K297" s="4"/>
      <c r="L297" s="5"/>
      <c r="M297" s="8"/>
      <c r="N297" s="4"/>
      <c r="O297" s="5"/>
      <c r="P297" s="8"/>
      <c r="Q297" s="4"/>
      <c r="R297" s="5"/>
      <c r="W297" s="67" t="s">
        <v>319</v>
      </c>
      <c r="X297" s="68" t="s">
        <v>323</v>
      </c>
      <c r="Y297" s="69">
        <v>63.6</v>
      </c>
      <c r="Z297" t="str">
        <f>IF(AND(Tabla1[[#This Row],[nudo inicial]]=Tabla3[[#This Row],[n1]],Tabla1[[#This Row],[nudo final]]=Tabla3[[#This Row],[n2]],Tabla1[[#This Row],[longitud]]=Tabla3[[#This Row],[long]]),"si","no")</f>
        <v>si</v>
      </c>
    </row>
    <row r="298" spans="2:26" ht="15.75" x14ac:dyDescent="0.25">
      <c r="B298" t="s">
        <v>323</v>
      </c>
      <c r="C298" t="s">
        <v>325</v>
      </c>
      <c r="D298" s="19">
        <v>90.22</v>
      </c>
      <c r="E298" s="3" t="s">
        <v>126</v>
      </c>
      <c r="F298" s="3" t="s">
        <v>25</v>
      </c>
      <c r="G298" s="8" t="s">
        <v>58</v>
      </c>
      <c r="H298" s="4" t="s">
        <v>23</v>
      </c>
      <c r="I298" s="5">
        <v>1</v>
      </c>
      <c r="J298" s="8" t="s">
        <v>6</v>
      </c>
      <c r="K298" s="4" t="s">
        <v>126</v>
      </c>
      <c r="L298" s="5">
        <v>1</v>
      </c>
      <c r="M298" s="8" t="s">
        <v>32</v>
      </c>
      <c r="N298" s="4" t="s">
        <v>126</v>
      </c>
      <c r="O298" s="5">
        <v>1</v>
      </c>
      <c r="P298" s="8"/>
      <c r="Q298" s="4"/>
      <c r="R298" s="5"/>
      <c r="W298" s="67" t="s">
        <v>323</v>
      </c>
      <c r="X298" s="68" t="s">
        <v>325</v>
      </c>
      <c r="Y298" s="69">
        <v>90.22</v>
      </c>
      <c r="Z298" t="str">
        <f>IF(AND(Tabla1[[#This Row],[nudo inicial]]=Tabla3[[#This Row],[n1]],Tabla1[[#This Row],[nudo final]]=Tabla3[[#This Row],[n2]],Tabla1[[#This Row],[longitud]]=Tabla3[[#This Row],[long]]),"si","no")</f>
        <v>si</v>
      </c>
    </row>
    <row r="299" spans="2:26" ht="15.75" x14ac:dyDescent="0.25">
      <c r="B299" t="s">
        <v>325</v>
      </c>
      <c r="C299" t="s">
        <v>326</v>
      </c>
      <c r="D299" s="19">
        <v>7.68</v>
      </c>
      <c r="E299" s="3" t="s">
        <v>126</v>
      </c>
      <c r="F299" s="3" t="s">
        <v>25</v>
      </c>
      <c r="G299" s="8" t="s">
        <v>57</v>
      </c>
      <c r="H299" s="4" t="s">
        <v>126</v>
      </c>
      <c r="I299" s="5">
        <v>1</v>
      </c>
      <c r="J299" s="8"/>
      <c r="K299" s="4"/>
      <c r="L299" s="5"/>
      <c r="M299" s="8"/>
      <c r="N299" s="4"/>
      <c r="O299" s="5"/>
      <c r="P299" s="8"/>
      <c r="Q299" s="4"/>
      <c r="R299" s="5"/>
      <c r="W299" s="67" t="s">
        <v>325</v>
      </c>
      <c r="X299" s="68" t="s">
        <v>326</v>
      </c>
      <c r="Y299" s="69">
        <v>7.68</v>
      </c>
      <c r="Z299" t="str">
        <f>IF(AND(Tabla1[[#This Row],[nudo inicial]]=Tabla3[[#This Row],[n1]],Tabla1[[#This Row],[nudo final]]=Tabla3[[#This Row],[n2]],Tabla1[[#This Row],[longitud]]=Tabla3[[#This Row],[long]]),"si","no")</f>
        <v>si</v>
      </c>
    </row>
    <row r="300" spans="2:26" ht="15.75" x14ac:dyDescent="0.25">
      <c r="B300" t="s">
        <v>326</v>
      </c>
      <c r="C300" t="s">
        <v>327</v>
      </c>
      <c r="D300" s="19">
        <v>47.65</v>
      </c>
      <c r="E300" s="3" t="s">
        <v>53</v>
      </c>
      <c r="F300" s="3" t="s">
        <v>25</v>
      </c>
      <c r="G300" s="8" t="s">
        <v>58</v>
      </c>
      <c r="H300" s="4" t="s">
        <v>126</v>
      </c>
      <c r="I300" s="5">
        <v>1</v>
      </c>
      <c r="J300" s="8" t="s">
        <v>15</v>
      </c>
      <c r="K300" s="4" t="s">
        <v>53</v>
      </c>
      <c r="L300" s="5">
        <v>1</v>
      </c>
      <c r="M300" s="8"/>
      <c r="N300" s="4"/>
      <c r="O300" s="5"/>
      <c r="P300" s="8"/>
      <c r="Q300" s="4"/>
      <c r="R300" s="5"/>
      <c r="W300" s="67" t="s">
        <v>326</v>
      </c>
      <c r="X300" s="68" t="s">
        <v>327</v>
      </c>
      <c r="Y300" s="69">
        <v>47.65</v>
      </c>
      <c r="Z300" t="str">
        <f>IF(AND(Tabla1[[#This Row],[nudo inicial]]=Tabla3[[#This Row],[n1]],Tabla1[[#This Row],[nudo final]]=Tabla3[[#This Row],[n2]],Tabla1[[#This Row],[longitud]]=Tabla3[[#This Row],[long]]),"si","no")</f>
        <v>si</v>
      </c>
    </row>
    <row r="301" spans="2:26" ht="15.75" x14ac:dyDescent="0.25">
      <c r="B301" t="s">
        <v>327</v>
      </c>
      <c r="C301" t="s">
        <v>328</v>
      </c>
      <c r="D301" s="19">
        <v>53.98</v>
      </c>
      <c r="E301" s="3" t="s">
        <v>53</v>
      </c>
      <c r="F301" s="3" t="s">
        <v>25</v>
      </c>
      <c r="G301" s="8" t="s">
        <v>58</v>
      </c>
      <c r="H301" s="4" t="s">
        <v>53</v>
      </c>
      <c r="I301" s="5">
        <v>1</v>
      </c>
      <c r="J301" s="8" t="s">
        <v>17</v>
      </c>
      <c r="K301" s="4" t="s">
        <v>53</v>
      </c>
      <c r="L301" s="5">
        <v>1</v>
      </c>
      <c r="M301" s="8"/>
      <c r="N301" s="4"/>
      <c r="O301" s="5"/>
      <c r="P301" s="8"/>
      <c r="Q301" s="4"/>
      <c r="R301" s="5"/>
      <c r="W301" s="67" t="s">
        <v>327</v>
      </c>
      <c r="X301" s="68" t="s">
        <v>328</v>
      </c>
      <c r="Y301" s="69">
        <v>53.98</v>
      </c>
      <c r="Z301" t="str">
        <f>IF(AND(Tabla1[[#This Row],[nudo inicial]]=Tabla3[[#This Row],[n1]],Tabla1[[#This Row],[nudo final]]=Tabla3[[#This Row],[n2]],Tabla1[[#This Row],[longitud]]=Tabla3[[#This Row],[long]]),"si","no")</f>
        <v>si</v>
      </c>
    </row>
    <row r="302" spans="2:26" ht="15.75" x14ac:dyDescent="0.25">
      <c r="B302" t="s">
        <v>327</v>
      </c>
      <c r="C302" t="s">
        <v>329</v>
      </c>
      <c r="D302" s="19">
        <v>100.34</v>
      </c>
      <c r="E302" s="3" t="s">
        <v>53</v>
      </c>
      <c r="F302" s="3" t="s">
        <v>25</v>
      </c>
      <c r="G302" s="8" t="s">
        <v>57</v>
      </c>
      <c r="H302" s="4" t="s">
        <v>53</v>
      </c>
      <c r="I302" s="5">
        <v>1</v>
      </c>
      <c r="J302" s="8" t="s">
        <v>16</v>
      </c>
      <c r="K302" s="4" t="s">
        <v>53</v>
      </c>
      <c r="L302" s="5">
        <v>1</v>
      </c>
      <c r="M302" s="8"/>
      <c r="N302" s="4"/>
      <c r="O302" s="5"/>
      <c r="P302" s="8"/>
      <c r="Q302" s="4"/>
      <c r="R302" s="5"/>
      <c r="W302" s="67" t="s">
        <v>327</v>
      </c>
      <c r="X302" s="68" t="s">
        <v>329</v>
      </c>
      <c r="Y302" s="69">
        <v>100.34</v>
      </c>
      <c r="Z302" t="str">
        <f>IF(AND(Tabla1[[#This Row],[nudo inicial]]=Tabla3[[#This Row],[n1]],Tabla1[[#This Row],[nudo final]]=Tabla3[[#This Row],[n2]],Tabla1[[#This Row],[longitud]]=Tabla3[[#This Row],[long]]),"si","no")</f>
        <v>si</v>
      </c>
    </row>
    <row r="303" spans="2:26" ht="15.75" x14ac:dyDescent="0.25">
      <c r="B303" t="s">
        <v>329</v>
      </c>
      <c r="C303" t="s">
        <v>330</v>
      </c>
      <c r="D303" s="19">
        <v>33.35</v>
      </c>
      <c r="E303" s="3" t="s">
        <v>53</v>
      </c>
      <c r="F303" s="3" t="s">
        <v>25</v>
      </c>
      <c r="G303" s="8" t="s">
        <v>58</v>
      </c>
      <c r="H303" s="4" t="s">
        <v>53</v>
      </c>
      <c r="I303" s="5">
        <v>1</v>
      </c>
      <c r="J303" s="8"/>
      <c r="K303" s="4"/>
      <c r="L303" s="5"/>
      <c r="M303" s="8"/>
      <c r="N303" s="4"/>
      <c r="O303" s="5"/>
      <c r="P303" s="8"/>
      <c r="Q303" s="4"/>
      <c r="R303" s="5"/>
      <c r="W303" s="67" t="s">
        <v>329</v>
      </c>
      <c r="X303" s="68" t="s">
        <v>330</v>
      </c>
      <c r="Y303" s="69">
        <v>33.35</v>
      </c>
      <c r="Z303" t="str">
        <f>IF(AND(Tabla1[[#This Row],[nudo inicial]]=Tabla3[[#This Row],[n1]],Tabla1[[#This Row],[nudo final]]=Tabla3[[#This Row],[n2]],Tabla1[[#This Row],[longitud]]=Tabla3[[#This Row],[long]]),"si","no")</f>
        <v>si</v>
      </c>
    </row>
    <row r="304" spans="2:26" ht="15.75" x14ac:dyDescent="0.25">
      <c r="B304" t="s">
        <v>329</v>
      </c>
      <c r="C304" t="s">
        <v>331</v>
      </c>
      <c r="D304" s="19">
        <v>23.13</v>
      </c>
      <c r="E304" s="3" t="s">
        <v>53</v>
      </c>
      <c r="F304" s="3" t="s">
        <v>25</v>
      </c>
      <c r="G304" s="8" t="s">
        <v>57</v>
      </c>
      <c r="H304" s="4" t="s">
        <v>53</v>
      </c>
      <c r="I304" s="5">
        <v>1</v>
      </c>
      <c r="J304" s="8" t="s">
        <v>16</v>
      </c>
      <c r="K304" s="4" t="s">
        <v>53</v>
      </c>
      <c r="L304" s="5">
        <v>2</v>
      </c>
      <c r="M304" s="8"/>
      <c r="N304" s="4"/>
      <c r="O304" s="5"/>
      <c r="P304" s="8"/>
      <c r="Q304" s="4"/>
      <c r="R304" s="5"/>
      <c r="W304" s="67" t="s">
        <v>329</v>
      </c>
      <c r="X304" s="68" t="s">
        <v>331</v>
      </c>
      <c r="Y304" s="69">
        <v>23.13</v>
      </c>
      <c r="Z304" t="str">
        <f>IF(AND(Tabla1[[#This Row],[nudo inicial]]=Tabla3[[#This Row],[n1]],Tabla1[[#This Row],[nudo final]]=Tabla3[[#This Row],[n2]],Tabla1[[#This Row],[longitud]]=Tabla3[[#This Row],[long]]),"si","no")</f>
        <v>si</v>
      </c>
    </row>
    <row r="305" spans="2:26" ht="15.75" x14ac:dyDescent="0.25">
      <c r="B305" t="s">
        <v>331</v>
      </c>
      <c r="C305" t="s">
        <v>332</v>
      </c>
      <c r="D305" s="19">
        <v>24.04</v>
      </c>
      <c r="E305" s="3" t="s">
        <v>53</v>
      </c>
      <c r="F305" s="3" t="s">
        <v>25</v>
      </c>
      <c r="G305" s="8" t="s">
        <v>57</v>
      </c>
      <c r="H305" s="4" t="s">
        <v>53</v>
      </c>
      <c r="I305" s="5">
        <v>1</v>
      </c>
      <c r="J305" s="8" t="s">
        <v>17</v>
      </c>
      <c r="K305" s="4" t="s">
        <v>53</v>
      </c>
      <c r="L305" s="5">
        <v>1</v>
      </c>
      <c r="M305" s="8"/>
      <c r="N305" s="4"/>
      <c r="O305" s="5"/>
      <c r="P305" s="8"/>
      <c r="Q305" s="4"/>
      <c r="R305" s="5"/>
      <c r="W305" s="67" t="s">
        <v>331</v>
      </c>
      <c r="X305" s="68" t="s">
        <v>332</v>
      </c>
      <c r="Y305" s="69">
        <v>24.04</v>
      </c>
      <c r="Z305" t="str">
        <f>IF(AND(Tabla1[[#This Row],[nudo inicial]]=Tabla3[[#This Row],[n1]],Tabla1[[#This Row],[nudo final]]=Tabla3[[#This Row],[n2]],Tabla1[[#This Row],[longitud]]=Tabla3[[#This Row],[long]]),"si","no")</f>
        <v>si</v>
      </c>
    </row>
    <row r="306" spans="2:26" ht="15.75" x14ac:dyDescent="0.25">
      <c r="B306" t="s">
        <v>331</v>
      </c>
      <c r="C306" t="s">
        <v>333</v>
      </c>
      <c r="D306" s="19">
        <v>27.52</v>
      </c>
      <c r="E306" s="3" t="s">
        <v>53</v>
      </c>
      <c r="F306" s="3" t="s">
        <v>25</v>
      </c>
      <c r="G306" s="8" t="s">
        <v>58</v>
      </c>
      <c r="H306" s="4" t="s">
        <v>53</v>
      </c>
      <c r="I306" s="5">
        <v>1</v>
      </c>
      <c r="J306" s="8" t="s">
        <v>17</v>
      </c>
      <c r="K306" s="4" t="s">
        <v>53</v>
      </c>
      <c r="L306" s="5">
        <v>1</v>
      </c>
      <c r="M306" s="8"/>
      <c r="N306" s="4"/>
      <c r="O306" s="5"/>
      <c r="P306" s="8"/>
      <c r="Q306" s="4"/>
      <c r="R306" s="5"/>
      <c r="W306" s="67" t="s">
        <v>331</v>
      </c>
      <c r="X306" s="68" t="s">
        <v>333</v>
      </c>
      <c r="Y306" s="69">
        <v>27.52</v>
      </c>
      <c r="Z306" t="str">
        <f>IF(AND(Tabla1[[#This Row],[nudo inicial]]=Tabla3[[#This Row],[n1]],Tabla1[[#This Row],[nudo final]]=Tabla3[[#This Row],[n2]],Tabla1[[#This Row],[longitud]]=Tabla3[[#This Row],[long]]),"si","no")</f>
        <v>si</v>
      </c>
    </row>
    <row r="307" spans="2:26" ht="15.75" x14ac:dyDescent="0.25">
      <c r="B307" t="s">
        <v>325</v>
      </c>
      <c r="C307" t="s">
        <v>334</v>
      </c>
      <c r="D307" s="19">
        <v>38.96</v>
      </c>
      <c r="E307" s="3" t="s">
        <v>23</v>
      </c>
      <c r="F307" s="3" t="s">
        <v>25</v>
      </c>
      <c r="G307" s="8" t="s">
        <v>58</v>
      </c>
      <c r="H307" s="4" t="s">
        <v>126</v>
      </c>
      <c r="I307" s="5">
        <v>1</v>
      </c>
      <c r="J307" s="8" t="s">
        <v>15</v>
      </c>
      <c r="K307" s="4" t="s">
        <v>23</v>
      </c>
      <c r="L307" s="5">
        <v>1</v>
      </c>
      <c r="M307" s="8"/>
      <c r="N307" s="4"/>
      <c r="O307" s="5"/>
      <c r="P307" s="8"/>
      <c r="Q307" s="4"/>
      <c r="R307" s="5"/>
      <c r="W307" s="67" t="s">
        <v>325</v>
      </c>
      <c r="X307" s="68" t="s">
        <v>334</v>
      </c>
      <c r="Y307" s="69">
        <v>38.96</v>
      </c>
      <c r="Z307" t="str">
        <f>IF(AND(Tabla1[[#This Row],[nudo inicial]]=Tabla3[[#This Row],[n1]],Tabla1[[#This Row],[nudo final]]=Tabla3[[#This Row],[n2]],Tabla1[[#This Row],[longitud]]=Tabla3[[#This Row],[long]]),"si","no")</f>
        <v>si</v>
      </c>
    </row>
    <row r="308" spans="2:26" ht="15.75" x14ac:dyDescent="0.25">
      <c r="B308" t="s">
        <v>334</v>
      </c>
      <c r="C308" t="s">
        <v>335</v>
      </c>
      <c r="D308" s="19">
        <v>58.72</v>
      </c>
      <c r="E308" s="3" t="s">
        <v>23</v>
      </c>
      <c r="F308" s="3" t="s">
        <v>25</v>
      </c>
      <c r="G308" s="8" t="s">
        <v>57</v>
      </c>
      <c r="H308" s="4" t="s">
        <v>23</v>
      </c>
      <c r="I308" s="5">
        <v>1</v>
      </c>
      <c r="J308" s="8"/>
      <c r="K308" s="4"/>
      <c r="L308" s="5"/>
      <c r="M308" s="8"/>
      <c r="N308" s="4"/>
      <c r="O308" s="5"/>
      <c r="P308" s="8"/>
      <c r="Q308" s="4"/>
      <c r="R308" s="5"/>
      <c r="W308" s="67" t="s">
        <v>334</v>
      </c>
      <c r="X308" s="68" t="s">
        <v>335</v>
      </c>
      <c r="Y308" s="69">
        <v>58.72</v>
      </c>
      <c r="Z308" t="str">
        <f>IF(AND(Tabla1[[#This Row],[nudo inicial]]=Tabla3[[#This Row],[n1]],Tabla1[[#This Row],[nudo final]]=Tabla3[[#This Row],[n2]],Tabla1[[#This Row],[longitud]]=Tabla3[[#This Row],[long]]),"si","no")</f>
        <v>si</v>
      </c>
    </row>
    <row r="309" spans="2:26" ht="15.75" x14ac:dyDescent="0.25">
      <c r="B309" t="s">
        <v>335</v>
      </c>
      <c r="C309" t="s">
        <v>337</v>
      </c>
      <c r="D309" s="19">
        <v>34.590000000000003</v>
      </c>
      <c r="E309" s="3" t="s">
        <v>53</v>
      </c>
      <c r="F309" s="3" t="s">
        <v>25</v>
      </c>
      <c r="G309" s="8" t="s">
        <v>58</v>
      </c>
      <c r="H309" s="4" t="s">
        <v>23</v>
      </c>
      <c r="I309" s="5">
        <v>1</v>
      </c>
      <c r="J309" s="8" t="s">
        <v>15</v>
      </c>
      <c r="K309" s="4" t="s">
        <v>53</v>
      </c>
      <c r="L309" s="5">
        <v>1</v>
      </c>
      <c r="M309" s="8" t="s">
        <v>17</v>
      </c>
      <c r="N309" s="4" t="s">
        <v>53</v>
      </c>
      <c r="O309" s="5">
        <v>1</v>
      </c>
      <c r="P309" s="8"/>
      <c r="Q309" s="4"/>
      <c r="R309" s="5"/>
      <c r="W309" s="67" t="s">
        <v>335</v>
      </c>
      <c r="X309" s="68" t="s">
        <v>337</v>
      </c>
      <c r="Y309" s="69">
        <v>34.590000000000003</v>
      </c>
      <c r="Z309" t="str">
        <f>IF(AND(Tabla1[[#This Row],[nudo inicial]]=Tabla3[[#This Row],[n1]],Tabla1[[#This Row],[nudo final]]=Tabla3[[#This Row],[n2]],Tabla1[[#This Row],[longitud]]=Tabla3[[#This Row],[long]]),"si","no")</f>
        <v>si</v>
      </c>
    </row>
    <row r="310" spans="2:26" ht="15.75" x14ac:dyDescent="0.25">
      <c r="B310" t="s">
        <v>335</v>
      </c>
      <c r="C310" t="s">
        <v>336</v>
      </c>
      <c r="D310" s="19">
        <v>5.4</v>
      </c>
      <c r="E310" s="3" t="s">
        <v>23</v>
      </c>
      <c r="F310" s="3" t="s">
        <v>25</v>
      </c>
      <c r="G310" s="8" t="s">
        <v>57</v>
      </c>
      <c r="H310" s="4" t="s">
        <v>23</v>
      </c>
      <c r="I310" s="5">
        <v>1</v>
      </c>
      <c r="J310" s="8" t="s">
        <v>16</v>
      </c>
      <c r="K310" s="4" t="s">
        <v>23</v>
      </c>
      <c r="L310" s="5">
        <v>1</v>
      </c>
      <c r="M310" s="8"/>
      <c r="N310" s="4"/>
      <c r="O310" s="5"/>
      <c r="P310" s="8"/>
      <c r="Q310" s="4"/>
      <c r="R310" s="5"/>
      <c r="W310" s="67" t="s">
        <v>335</v>
      </c>
      <c r="X310" s="68" t="s">
        <v>336</v>
      </c>
      <c r="Y310" s="69">
        <v>5.4</v>
      </c>
      <c r="Z310" t="str">
        <f>IF(AND(Tabla1[[#This Row],[nudo inicial]]=Tabla3[[#This Row],[n1]],Tabla1[[#This Row],[nudo final]]=Tabla3[[#This Row],[n2]],Tabla1[[#This Row],[longitud]]=Tabla3[[#This Row],[long]]),"si","no")</f>
        <v>si</v>
      </c>
    </row>
    <row r="311" spans="2:26" ht="15.75" x14ac:dyDescent="0.25">
      <c r="B311" t="s">
        <v>336</v>
      </c>
      <c r="C311" t="s">
        <v>338</v>
      </c>
      <c r="D311" s="19">
        <v>65.08</v>
      </c>
      <c r="E311" s="3" t="s">
        <v>53</v>
      </c>
      <c r="F311" s="3" t="s">
        <v>25</v>
      </c>
      <c r="G311" s="8" t="s">
        <v>58</v>
      </c>
      <c r="H311" s="4" t="s">
        <v>23</v>
      </c>
      <c r="I311" s="5">
        <v>1</v>
      </c>
      <c r="J311" s="8" t="s">
        <v>15</v>
      </c>
      <c r="K311" s="4" t="s">
        <v>53</v>
      </c>
      <c r="L311" s="5">
        <v>1</v>
      </c>
      <c r="M311" s="8" t="s">
        <v>17</v>
      </c>
      <c r="N311" s="4" t="s">
        <v>53</v>
      </c>
      <c r="O311" s="5">
        <v>1</v>
      </c>
      <c r="P311" s="8"/>
      <c r="Q311" s="4"/>
      <c r="R311" s="5"/>
      <c r="W311" s="67" t="s">
        <v>336</v>
      </c>
      <c r="X311" s="68" t="s">
        <v>338</v>
      </c>
      <c r="Y311" s="69">
        <v>65.08</v>
      </c>
      <c r="Z311" t="str">
        <f>IF(AND(Tabla1[[#This Row],[nudo inicial]]=Tabla3[[#This Row],[n1]],Tabla1[[#This Row],[nudo final]]=Tabla3[[#This Row],[n2]],Tabla1[[#This Row],[longitud]]=Tabla3[[#This Row],[long]]),"si","no")</f>
        <v>si</v>
      </c>
    </row>
    <row r="312" spans="2:26" ht="15.75" x14ac:dyDescent="0.25">
      <c r="B312" t="s">
        <v>336</v>
      </c>
      <c r="C312" t="s">
        <v>339</v>
      </c>
      <c r="D312" s="19">
        <v>86.95</v>
      </c>
      <c r="E312" s="3" t="s">
        <v>23</v>
      </c>
      <c r="F312" s="3" t="s">
        <v>25</v>
      </c>
      <c r="G312" s="8" t="s">
        <v>57</v>
      </c>
      <c r="H312" s="4" t="s">
        <v>23</v>
      </c>
      <c r="I312" s="5">
        <v>1</v>
      </c>
      <c r="J312" s="8"/>
      <c r="K312" s="4"/>
      <c r="L312" s="5"/>
      <c r="M312" s="8"/>
      <c r="N312" s="4"/>
      <c r="O312" s="5"/>
      <c r="P312" s="8"/>
      <c r="Q312" s="4"/>
      <c r="R312" s="5"/>
      <c r="W312" s="67" t="s">
        <v>336</v>
      </c>
      <c r="X312" s="68" t="s">
        <v>339</v>
      </c>
      <c r="Y312" s="69">
        <v>86.95</v>
      </c>
      <c r="Z312" t="str">
        <f>IF(AND(Tabla1[[#This Row],[nudo inicial]]=Tabla3[[#This Row],[n1]],Tabla1[[#This Row],[nudo final]]=Tabla3[[#This Row],[n2]],Tabla1[[#This Row],[longitud]]=Tabla3[[#This Row],[long]]),"si","no")</f>
        <v>si</v>
      </c>
    </row>
    <row r="313" spans="2:26" ht="15.75" x14ac:dyDescent="0.25">
      <c r="B313" t="s">
        <v>339</v>
      </c>
      <c r="C313" t="s">
        <v>340</v>
      </c>
      <c r="D313" s="19">
        <v>141.99</v>
      </c>
      <c r="E313" s="3" t="s">
        <v>53</v>
      </c>
      <c r="F313" s="3" t="s">
        <v>25</v>
      </c>
      <c r="G313" s="8" t="s">
        <v>58</v>
      </c>
      <c r="H313" s="4" t="s">
        <v>23</v>
      </c>
      <c r="I313" s="5">
        <v>1</v>
      </c>
      <c r="J313" s="8" t="s">
        <v>15</v>
      </c>
      <c r="K313" s="4" t="s">
        <v>53</v>
      </c>
      <c r="L313" s="5">
        <v>1</v>
      </c>
      <c r="M313" s="8" t="s">
        <v>16</v>
      </c>
      <c r="N313" s="4" t="s">
        <v>53</v>
      </c>
      <c r="O313" s="5">
        <v>1</v>
      </c>
      <c r="P313" s="8" t="s">
        <v>17</v>
      </c>
      <c r="Q313" s="4" t="s">
        <v>53</v>
      </c>
      <c r="R313" s="5">
        <v>1</v>
      </c>
      <c r="W313" s="67" t="s">
        <v>339</v>
      </c>
      <c r="X313" s="68" t="s">
        <v>340</v>
      </c>
      <c r="Y313" s="69">
        <v>141.99</v>
      </c>
      <c r="Z313" t="str">
        <f>IF(AND(Tabla1[[#This Row],[nudo inicial]]=Tabla3[[#This Row],[n1]],Tabla1[[#This Row],[nudo final]]=Tabla3[[#This Row],[n2]],Tabla1[[#This Row],[longitud]]=Tabla3[[#This Row],[long]]),"si","no")</f>
        <v>si</v>
      </c>
    </row>
    <row r="314" spans="2:26" ht="15.75" x14ac:dyDescent="0.25">
      <c r="B314" t="s">
        <v>339</v>
      </c>
      <c r="C314" t="s">
        <v>341</v>
      </c>
      <c r="D314" s="19">
        <v>50.04</v>
      </c>
      <c r="E314" s="3" t="s">
        <v>23</v>
      </c>
      <c r="F314" s="3" t="s">
        <v>25</v>
      </c>
      <c r="G314" s="8" t="s">
        <v>57</v>
      </c>
      <c r="H314" s="4" t="s">
        <v>23</v>
      </c>
      <c r="I314" s="5">
        <v>1</v>
      </c>
      <c r="J314" s="8"/>
      <c r="K314" s="4"/>
      <c r="L314" s="5"/>
      <c r="M314" s="8"/>
      <c r="N314" s="4"/>
      <c r="O314" s="5"/>
      <c r="P314" s="8"/>
      <c r="Q314" s="4"/>
      <c r="R314" s="5"/>
      <c r="W314" s="67" t="s">
        <v>339</v>
      </c>
      <c r="X314" s="68" t="s">
        <v>341</v>
      </c>
      <c r="Y314" s="69">
        <v>50.04</v>
      </c>
      <c r="Z314" t="str">
        <f>IF(AND(Tabla1[[#This Row],[nudo inicial]]=Tabla3[[#This Row],[n1]],Tabla1[[#This Row],[nudo final]]=Tabla3[[#This Row],[n2]],Tabla1[[#This Row],[longitud]]=Tabla3[[#This Row],[long]]),"si","no")</f>
        <v>si</v>
      </c>
    </row>
    <row r="315" spans="2:26" ht="15.75" x14ac:dyDescent="0.25">
      <c r="B315" t="s">
        <v>341</v>
      </c>
      <c r="C315" t="s">
        <v>342</v>
      </c>
      <c r="D315" s="19">
        <v>64.650000000000006</v>
      </c>
      <c r="E315" s="3" t="s">
        <v>53</v>
      </c>
      <c r="F315" s="3" t="s">
        <v>25</v>
      </c>
      <c r="G315" s="8" t="s">
        <v>58</v>
      </c>
      <c r="H315" s="4" t="s">
        <v>23</v>
      </c>
      <c r="I315" s="5">
        <v>1</v>
      </c>
      <c r="J315" s="8" t="s">
        <v>15</v>
      </c>
      <c r="K315" s="4" t="s">
        <v>53</v>
      </c>
      <c r="L315" s="5">
        <v>1</v>
      </c>
      <c r="M315" s="8" t="s">
        <v>32</v>
      </c>
      <c r="N315" s="4" t="s">
        <v>53</v>
      </c>
      <c r="O315" s="5">
        <v>1</v>
      </c>
      <c r="P315" s="8" t="s">
        <v>17</v>
      </c>
      <c r="Q315" s="4" t="s">
        <v>53</v>
      </c>
      <c r="R315" s="5">
        <v>1</v>
      </c>
      <c r="W315" s="67" t="s">
        <v>341</v>
      </c>
      <c r="X315" s="68" t="s">
        <v>342</v>
      </c>
      <c r="Y315" s="69">
        <v>64.650000000000006</v>
      </c>
      <c r="Z315" t="str">
        <f>IF(AND(Tabla1[[#This Row],[nudo inicial]]=Tabla3[[#This Row],[n1]],Tabla1[[#This Row],[nudo final]]=Tabla3[[#This Row],[n2]],Tabla1[[#This Row],[longitud]]=Tabla3[[#This Row],[long]]),"si","no")</f>
        <v>si</v>
      </c>
    </row>
    <row r="316" spans="2:26" ht="15.75" x14ac:dyDescent="0.25">
      <c r="B316" t="s">
        <v>341</v>
      </c>
      <c r="C316" t="s">
        <v>343</v>
      </c>
      <c r="D316" s="19">
        <v>92.99</v>
      </c>
      <c r="E316" s="3" t="s">
        <v>53</v>
      </c>
      <c r="F316" s="3" t="s">
        <v>25</v>
      </c>
      <c r="G316" s="8" t="s">
        <v>57</v>
      </c>
      <c r="H316" s="4" t="s">
        <v>23</v>
      </c>
      <c r="I316" s="5">
        <v>1</v>
      </c>
      <c r="J316" s="8" t="s">
        <v>15</v>
      </c>
      <c r="K316" s="4" t="s">
        <v>53</v>
      </c>
      <c r="L316" s="5">
        <v>1</v>
      </c>
      <c r="M316" s="8"/>
      <c r="N316" s="4"/>
      <c r="O316" s="5"/>
      <c r="P316" s="8"/>
      <c r="Q316" s="4"/>
      <c r="R316" s="5"/>
      <c r="W316" s="67" t="s">
        <v>341</v>
      </c>
      <c r="X316" s="68" t="s">
        <v>343</v>
      </c>
      <c r="Y316" s="69">
        <v>92.99</v>
      </c>
      <c r="Z316" t="str">
        <f>IF(AND(Tabla1[[#This Row],[nudo inicial]]=Tabla3[[#This Row],[n1]],Tabla1[[#This Row],[nudo final]]=Tabla3[[#This Row],[n2]],Tabla1[[#This Row],[longitud]]=Tabla3[[#This Row],[long]]),"si","no")</f>
        <v>si</v>
      </c>
    </row>
    <row r="317" spans="2:26" ht="15.75" x14ac:dyDescent="0.25">
      <c r="B317" t="s">
        <v>343</v>
      </c>
      <c r="C317" t="s">
        <v>344</v>
      </c>
      <c r="D317" s="19">
        <v>211.78</v>
      </c>
      <c r="E317" s="3" t="s">
        <v>53</v>
      </c>
      <c r="F317" s="3" t="s">
        <v>25</v>
      </c>
      <c r="G317" s="8" t="s">
        <v>57</v>
      </c>
      <c r="H317" s="4" t="s">
        <v>53</v>
      </c>
      <c r="I317" s="5">
        <v>1</v>
      </c>
      <c r="J317" s="8" t="s">
        <v>16</v>
      </c>
      <c r="K317" s="4" t="s">
        <v>53</v>
      </c>
      <c r="L317" s="5">
        <v>2</v>
      </c>
      <c r="M317" s="8" t="s">
        <v>17</v>
      </c>
      <c r="N317" s="4" t="s">
        <v>53</v>
      </c>
      <c r="O317" s="5">
        <v>1</v>
      </c>
      <c r="P317" s="8"/>
      <c r="Q317" s="4"/>
      <c r="R317" s="5"/>
      <c r="W317" s="67" t="s">
        <v>343</v>
      </c>
      <c r="X317" s="68" t="s">
        <v>344</v>
      </c>
      <c r="Y317" s="69">
        <v>211.78</v>
      </c>
      <c r="Z317" t="str">
        <f>IF(AND(Tabla1[[#This Row],[nudo inicial]]=Tabla3[[#This Row],[n1]],Tabla1[[#This Row],[nudo final]]=Tabla3[[#This Row],[n2]],Tabla1[[#This Row],[longitud]]=Tabla3[[#This Row],[long]]),"si","no")</f>
        <v>si</v>
      </c>
    </row>
    <row r="318" spans="2:26" ht="15.75" x14ac:dyDescent="0.25">
      <c r="B318" t="s">
        <v>343</v>
      </c>
      <c r="C318" t="s">
        <v>345</v>
      </c>
      <c r="D318" s="19">
        <v>9.5</v>
      </c>
      <c r="E318" s="3" t="s">
        <v>53</v>
      </c>
      <c r="F318" s="3" t="s">
        <v>25</v>
      </c>
      <c r="G318" s="8" t="s">
        <v>58</v>
      </c>
      <c r="H318" s="4" t="s">
        <v>53</v>
      </c>
      <c r="I318" s="5">
        <v>1</v>
      </c>
      <c r="J318" s="8" t="s">
        <v>32</v>
      </c>
      <c r="K318" s="4" t="s">
        <v>53</v>
      </c>
      <c r="L318" s="5">
        <v>1</v>
      </c>
      <c r="M318" s="8" t="s">
        <v>16</v>
      </c>
      <c r="N318" s="4" t="s">
        <v>53</v>
      </c>
      <c r="O318" s="5">
        <v>1</v>
      </c>
      <c r="P318" s="8"/>
      <c r="Q318" s="4"/>
      <c r="R318" s="5"/>
      <c r="W318" s="67" t="s">
        <v>343</v>
      </c>
      <c r="X318" s="68" t="s">
        <v>345</v>
      </c>
      <c r="Y318" s="69">
        <v>9.5</v>
      </c>
      <c r="Z318" t="str">
        <f>IF(AND(Tabla1[[#This Row],[nudo inicial]]=Tabla3[[#This Row],[n1]],Tabla1[[#This Row],[nudo final]]=Tabla3[[#This Row],[n2]],Tabla1[[#This Row],[longitud]]=Tabla3[[#This Row],[long]]),"si","no")</f>
        <v>si</v>
      </c>
    </row>
    <row r="319" spans="2:26" ht="15.75" x14ac:dyDescent="0.25">
      <c r="B319" t="s">
        <v>345</v>
      </c>
      <c r="C319" t="s">
        <v>346</v>
      </c>
      <c r="D319" s="19">
        <v>73.48</v>
      </c>
      <c r="E319" s="3" t="s">
        <v>53</v>
      </c>
      <c r="F319" s="3" t="s">
        <v>25</v>
      </c>
      <c r="G319" s="8" t="s">
        <v>57</v>
      </c>
      <c r="H319" s="4" t="s">
        <v>53</v>
      </c>
      <c r="I319" s="5">
        <v>1</v>
      </c>
      <c r="J319" s="8" t="s">
        <v>17</v>
      </c>
      <c r="K319" s="4" t="s">
        <v>53</v>
      </c>
      <c r="L319" s="5">
        <v>1</v>
      </c>
      <c r="M319" s="8"/>
      <c r="N319" s="4"/>
      <c r="O319" s="5"/>
      <c r="P319" s="8"/>
      <c r="Q319" s="4"/>
      <c r="R319" s="5"/>
      <c r="W319" s="67" t="s">
        <v>345</v>
      </c>
      <c r="X319" s="68" t="s">
        <v>346</v>
      </c>
      <c r="Y319" s="69">
        <v>73.48</v>
      </c>
      <c r="Z319" t="str">
        <f>IF(AND(Tabla1[[#This Row],[nudo inicial]]=Tabla3[[#This Row],[n1]],Tabla1[[#This Row],[nudo final]]=Tabla3[[#This Row],[n2]],Tabla1[[#This Row],[longitud]]=Tabla3[[#This Row],[long]]),"si","no")</f>
        <v>si</v>
      </c>
    </row>
    <row r="320" spans="2:26" ht="15.75" x14ac:dyDescent="0.25">
      <c r="B320" t="s">
        <v>345</v>
      </c>
      <c r="C320" t="s">
        <v>347</v>
      </c>
      <c r="D320" s="19">
        <v>126.32</v>
      </c>
      <c r="E320" s="3" t="s">
        <v>53</v>
      </c>
      <c r="F320" s="3" t="s">
        <v>25</v>
      </c>
      <c r="G320" s="8" t="s">
        <v>58</v>
      </c>
      <c r="H320" s="4" t="s">
        <v>53</v>
      </c>
      <c r="I320" s="5">
        <v>1</v>
      </c>
      <c r="J320" s="8" t="s">
        <v>16</v>
      </c>
      <c r="K320" s="4" t="s">
        <v>53</v>
      </c>
      <c r="L320" s="5">
        <v>1</v>
      </c>
      <c r="M320" s="8" t="s">
        <v>16</v>
      </c>
      <c r="N320" s="4" t="s">
        <v>53</v>
      </c>
      <c r="O320" s="5">
        <v>1</v>
      </c>
      <c r="P320" s="8"/>
      <c r="Q320" s="4"/>
      <c r="R320" s="5"/>
      <c r="W320" s="67" t="s">
        <v>345</v>
      </c>
      <c r="X320" s="68" t="s">
        <v>347</v>
      </c>
      <c r="Y320" s="69">
        <v>126.32</v>
      </c>
      <c r="Z320" t="str">
        <f>IF(AND(Tabla1[[#This Row],[nudo inicial]]=Tabla3[[#This Row],[n1]],Tabla1[[#This Row],[nudo final]]=Tabla3[[#This Row],[n2]],Tabla1[[#This Row],[longitud]]=Tabla3[[#This Row],[long]]),"si","no")</f>
        <v>si</v>
      </c>
    </row>
    <row r="321" spans="2:26" ht="15.75" x14ac:dyDescent="0.25">
      <c r="B321" t="s">
        <v>334</v>
      </c>
      <c r="C321" t="s">
        <v>348</v>
      </c>
      <c r="D321" s="19">
        <v>407.28</v>
      </c>
      <c r="E321" s="3" t="s">
        <v>126</v>
      </c>
      <c r="F321" s="3" t="s">
        <v>25</v>
      </c>
      <c r="G321" s="8" t="s">
        <v>58</v>
      </c>
      <c r="H321" s="4" t="s">
        <v>23</v>
      </c>
      <c r="I321" s="5">
        <v>1</v>
      </c>
      <c r="J321" s="8" t="s">
        <v>6</v>
      </c>
      <c r="K321" s="4" t="s">
        <v>126</v>
      </c>
      <c r="L321" s="5">
        <v>1</v>
      </c>
      <c r="M321" s="8" t="s">
        <v>16</v>
      </c>
      <c r="N321" s="4" t="s">
        <v>126</v>
      </c>
      <c r="O321" s="5">
        <v>3</v>
      </c>
      <c r="P321" s="8" t="s">
        <v>32</v>
      </c>
      <c r="Q321" s="4" t="s">
        <v>126</v>
      </c>
      <c r="R321" s="5">
        <v>1</v>
      </c>
      <c r="W321" s="67" t="s">
        <v>334</v>
      </c>
      <c r="X321" s="68" t="s">
        <v>348</v>
      </c>
      <c r="Y321" s="69">
        <v>407.28</v>
      </c>
      <c r="Z321" t="str">
        <f>IF(AND(Tabla1[[#This Row],[nudo inicial]]=Tabla3[[#This Row],[n1]],Tabla1[[#This Row],[nudo final]]=Tabla3[[#This Row],[n2]],Tabla1[[#This Row],[longitud]]=Tabla3[[#This Row],[long]]),"si","no")</f>
        <v>si</v>
      </c>
    </row>
    <row r="322" spans="2:26" ht="15.75" x14ac:dyDescent="0.25">
      <c r="B322" t="s">
        <v>326</v>
      </c>
      <c r="C322" t="s">
        <v>349</v>
      </c>
      <c r="D322" s="19">
        <v>75.709999999999994</v>
      </c>
      <c r="E322" s="3" t="s">
        <v>53</v>
      </c>
      <c r="F322" s="3" t="s">
        <v>25</v>
      </c>
      <c r="G322" s="8" t="s">
        <v>58</v>
      </c>
      <c r="H322" s="4" t="s">
        <v>53</v>
      </c>
      <c r="I322" s="5">
        <v>1</v>
      </c>
      <c r="J322" s="8" t="s">
        <v>16</v>
      </c>
      <c r="K322" s="4" t="s">
        <v>53</v>
      </c>
      <c r="L322" s="5">
        <v>1</v>
      </c>
      <c r="M322" s="8"/>
      <c r="N322" s="4"/>
      <c r="O322" s="5"/>
      <c r="P322" s="8"/>
      <c r="Q322" s="4"/>
      <c r="R322" s="5"/>
      <c r="W322" s="67" t="s">
        <v>326</v>
      </c>
      <c r="X322" s="68" t="s">
        <v>349</v>
      </c>
      <c r="Y322" s="69">
        <v>75.709999999999994</v>
      </c>
      <c r="Z322" t="str">
        <f>IF(AND(Tabla1[[#This Row],[nudo inicial]]=Tabla3[[#This Row],[n1]],Tabla1[[#This Row],[nudo final]]=Tabla3[[#This Row],[n2]],Tabla1[[#This Row],[longitud]]=Tabla3[[#This Row],[long]]),"si","no")</f>
        <v>si</v>
      </c>
    </row>
    <row r="323" spans="2:26" ht="15.75" x14ac:dyDescent="0.25">
      <c r="B323" t="s">
        <v>349</v>
      </c>
      <c r="C323" t="s">
        <v>350</v>
      </c>
      <c r="D323" s="19">
        <v>140.82</v>
      </c>
      <c r="E323" s="3" t="s">
        <v>53</v>
      </c>
      <c r="F323" s="3" t="s">
        <v>25</v>
      </c>
      <c r="G323" s="8" t="s">
        <v>58</v>
      </c>
      <c r="H323" s="4" t="s">
        <v>53</v>
      </c>
      <c r="I323" s="5">
        <v>1</v>
      </c>
      <c r="J323" s="8" t="s">
        <v>16</v>
      </c>
      <c r="K323" s="4" t="s">
        <v>53</v>
      </c>
      <c r="L323" s="5">
        <v>2</v>
      </c>
      <c r="M323" s="8" t="s">
        <v>17</v>
      </c>
      <c r="N323" s="4" t="s">
        <v>53</v>
      </c>
      <c r="O323" s="5">
        <v>1</v>
      </c>
      <c r="P323" s="8"/>
      <c r="Q323" s="4"/>
      <c r="R323" s="5"/>
      <c r="W323" s="67" t="s">
        <v>349</v>
      </c>
      <c r="X323" s="68" t="s">
        <v>350</v>
      </c>
      <c r="Y323" s="69">
        <v>140.82</v>
      </c>
      <c r="Z323" t="str">
        <f>IF(AND(Tabla1[[#This Row],[nudo inicial]]=Tabla3[[#This Row],[n1]],Tabla1[[#This Row],[nudo final]]=Tabla3[[#This Row],[n2]],Tabla1[[#This Row],[longitud]]=Tabla3[[#This Row],[long]]),"si","no")</f>
        <v>si</v>
      </c>
    </row>
    <row r="324" spans="2:26" ht="15.75" x14ac:dyDescent="0.25">
      <c r="B324" t="s">
        <v>349</v>
      </c>
      <c r="C324" t="s">
        <v>351</v>
      </c>
      <c r="D324" s="19">
        <v>177.73</v>
      </c>
      <c r="E324" s="3" t="s">
        <v>53</v>
      </c>
      <c r="F324" s="3" t="s">
        <v>25</v>
      </c>
      <c r="G324" s="8" t="s">
        <v>57</v>
      </c>
      <c r="H324" s="4" t="s">
        <v>53</v>
      </c>
      <c r="I324" s="5">
        <v>1</v>
      </c>
      <c r="J324" s="8" t="s">
        <v>16</v>
      </c>
      <c r="K324" s="4" t="s">
        <v>53</v>
      </c>
      <c r="L324" s="5">
        <v>2</v>
      </c>
      <c r="M324" s="8"/>
      <c r="N324" s="4"/>
      <c r="O324" s="5"/>
      <c r="P324" s="8"/>
      <c r="Q324" s="4"/>
      <c r="R324" s="5"/>
      <c r="W324" s="67" t="s">
        <v>349</v>
      </c>
      <c r="X324" s="68" t="s">
        <v>351</v>
      </c>
      <c r="Y324" s="69">
        <v>177.73</v>
      </c>
      <c r="Z324" t="str">
        <f>IF(AND(Tabla1[[#This Row],[nudo inicial]]=Tabla3[[#This Row],[n1]],Tabla1[[#This Row],[nudo final]]=Tabla3[[#This Row],[n2]],Tabla1[[#This Row],[longitud]]=Tabla3[[#This Row],[long]]),"si","no")</f>
        <v>si</v>
      </c>
    </row>
    <row r="325" spans="2:26" ht="15.75" x14ac:dyDescent="0.25">
      <c r="B325" t="s">
        <v>351</v>
      </c>
      <c r="C325" t="s">
        <v>352</v>
      </c>
      <c r="D325" s="19">
        <v>61.93</v>
      </c>
      <c r="E325" s="3" t="s">
        <v>53</v>
      </c>
      <c r="F325" s="3" t="s">
        <v>25</v>
      </c>
      <c r="G325" s="8" t="s">
        <v>58</v>
      </c>
      <c r="H325" s="4" t="s">
        <v>53</v>
      </c>
      <c r="I325" s="5">
        <v>1</v>
      </c>
      <c r="J325" s="8" t="s">
        <v>17</v>
      </c>
      <c r="K325" s="4" t="s">
        <v>53</v>
      </c>
      <c r="L325" s="5">
        <v>1</v>
      </c>
      <c r="M325" s="8"/>
      <c r="N325" s="4"/>
      <c r="O325" s="5"/>
      <c r="P325" s="8"/>
      <c r="Q325" s="4"/>
      <c r="R325" s="5"/>
      <c r="W325" s="67" t="s">
        <v>351</v>
      </c>
      <c r="X325" s="68" t="s">
        <v>352</v>
      </c>
      <c r="Y325" s="69">
        <v>61.93</v>
      </c>
      <c r="Z325" t="str">
        <f>IF(AND(Tabla1[[#This Row],[nudo inicial]]=Tabla3[[#This Row],[n1]],Tabla1[[#This Row],[nudo final]]=Tabla3[[#This Row],[n2]],Tabla1[[#This Row],[longitud]]=Tabla3[[#This Row],[long]]),"si","no")</f>
        <v>si</v>
      </c>
    </row>
    <row r="326" spans="2:26" ht="15.75" x14ac:dyDescent="0.25">
      <c r="B326" t="s">
        <v>351</v>
      </c>
      <c r="C326" t="s">
        <v>353</v>
      </c>
      <c r="D326" s="19">
        <v>36.67</v>
      </c>
      <c r="E326" s="3" t="s">
        <v>53</v>
      </c>
      <c r="F326" s="3" t="s">
        <v>25</v>
      </c>
      <c r="G326" s="8" t="s">
        <v>58</v>
      </c>
      <c r="H326" s="4" t="s">
        <v>53</v>
      </c>
      <c r="I326" s="5">
        <v>1</v>
      </c>
      <c r="J326" s="8" t="s">
        <v>17</v>
      </c>
      <c r="K326" s="4" t="s">
        <v>53</v>
      </c>
      <c r="L326" s="5">
        <v>1</v>
      </c>
      <c r="M326" s="8"/>
      <c r="N326" s="4"/>
      <c r="O326" s="5"/>
      <c r="P326" s="8"/>
      <c r="Q326" s="4"/>
      <c r="R326" s="5"/>
      <c r="W326" s="67" t="s">
        <v>351</v>
      </c>
      <c r="X326" s="68" t="s">
        <v>353</v>
      </c>
      <c r="Y326" s="69">
        <v>36.67</v>
      </c>
      <c r="Z326" t="str">
        <f>IF(AND(Tabla1[[#This Row],[nudo inicial]]=Tabla3[[#This Row],[n1]],Tabla1[[#This Row],[nudo final]]=Tabla3[[#This Row],[n2]],Tabla1[[#This Row],[longitud]]=Tabla3[[#This Row],[long]]),"si","no")</f>
        <v>si</v>
      </c>
    </row>
    <row r="327" spans="2:26" ht="15.75" x14ac:dyDescent="0.25">
      <c r="B327" t="s">
        <v>291</v>
      </c>
      <c r="C327" t="s">
        <v>354</v>
      </c>
      <c r="D327" s="19">
        <v>83.24</v>
      </c>
      <c r="E327" s="3" t="s">
        <v>53</v>
      </c>
      <c r="F327" s="3" t="s">
        <v>25</v>
      </c>
      <c r="G327" s="8" t="s">
        <v>58</v>
      </c>
      <c r="H327" s="4" t="s">
        <v>23</v>
      </c>
      <c r="I327" s="5">
        <v>1</v>
      </c>
      <c r="J327" s="8" t="s">
        <v>15</v>
      </c>
      <c r="K327" s="4" t="s">
        <v>53</v>
      </c>
      <c r="L327" s="5">
        <v>1</v>
      </c>
      <c r="M327" s="8" t="s">
        <v>32</v>
      </c>
      <c r="N327" s="4" t="s">
        <v>53</v>
      </c>
      <c r="O327" s="5">
        <v>1</v>
      </c>
      <c r="P327" s="8" t="s">
        <v>16</v>
      </c>
      <c r="Q327" s="4" t="s">
        <v>53</v>
      </c>
      <c r="R327" s="5">
        <v>2</v>
      </c>
      <c r="W327" s="67" t="s">
        <v>291</v>
      </c>
      <c r="X327" s="68" t="s">
        <v>354</v>
      </c>
      <c r="Y327" s="69">
        <v>83.24</v>
      </c>
      <c r="Z327" t="str">
        <f>IF(AND(Tabla1[[#This Row],[nudo inicial]]=Tabla3[[#This Row],[n1]],Tabla1[[#This Row],[nudo final]]=Tabla3[[#This Row],[n2]],Tabla1[[#This Row],[longitud]]=Tabla3[[#This Row],[long]]),"si","no")</f>
        <v>si</v>
      </c>
    </row>
    <row r="328" spans="2:26" ht="15.75" x14ac:dyDescent="0.25">
      <c r="B328" t="s">
        <v>354</v>
      </c>
      <c r="C328" t="s">
        <v>355</v>
      </c>
      <c r="D328" s="19">
        <v>40.68</v>
      </c>
      <c r="E328" s="3" t="s">
        <v>53</v>
      </c>
      <c r="F328" s="3" t="s">
        <v>25</v>
      </c>
      <c r="G328" s="8" t="s">
        <v>58</v>
      </c>
      <c r="H328" s="4" t="s">
        <v>53</v>
      </c>
      <c r="I328" s="5">
        <v>1</v>
      </c>
      <c r="J328" s="8" t="s">
        <v>17</v>
      </c>
      <c r="K328" s="4" t="s">
        <v>53</v>
      </c>
      <c r="L328" s="5">
        <v>1</v>
      </c>
      <c r="M328" s="8"/>
      <c r="N328" s="4"/>
      <c r="O328" s="5"/>
      <c r="P328" s="8"/>
      <c r="Q328" s="4"/>
      <c r="R328" s="5"/>
      <c r="W328" s="67" t="s">
        <v>354</v>
      </c>
      <c r="X328" s="68" t="s">
        <v>355</v>
      </c>
      <c r="Y328" s="69">
        <v>40.68</v>
      </c>
      <c r="Z328" t="str">
        <f>IF(AND(Tabla1[[#This Row],[nudo inicial]]=Tabla3[[#This Row],[n1]],Tabla1[[#This Row],[nudo final]]=Tabla3[[#This Row],[n2]],Tabla1[[#This Row],[longitud]]=Tabla3[[#This Row],[long]]),"si","no")</f>
        <v>si</v>
      </c>
    </row>
    <row r="329" spans="2:26" ht="15.75" x14ac:dyDescent="0.25">
      <c r="B329" t="s">
        <v>354</v>
      </c>
      <c r="C329" t="s">
        <v>356</v>
      </c>
      <c r="D329" s="19">
        <v>95.48</v>
      </c>
      <c r="E329" s="3" t="s">
        <v>53</v>
      </c>
      <c r="F329" s="3" t="s">
        <v>25</v>
      </c>
      <c r="G329" s="8" t="s">
        <v>57</v>
      </c>
      <c r="H329" s="4" t="s">
        <v>53</v>
      </c>
      <c r="I329" s="5">
        <v>1</v>
      </c>
      <c r="J329" s="8" t="s">
        <v>16</v>
      </c>
      <c r="K329" s="4" t="s">
        <v>53</v>
      </c>
      <c r="L329" s="5">
        <v>1</v>
      </c>
      <c r="M329" s="8" t="s">
        <v>17</v>
      </c>
      <c r="N329" s="4" t="s">
        <v>53</v>
      </c>
      <c r="O329" s="5">
        <v>1</v>
      </c>
      <c r="P329" s="8"/>
      <c r="Q329" s="4"/>
      <c r="R329" s="5"/>
      <c r="W329" s="67" t="s">
        <v>354</v>
      </c>
      <c r="X329" s="68" t="s">
        <v>356</v>
      </c>
      <c r="Y329" s="69">
        <v>95.48</v>
      </c>
      <c r="Z329" t="str">
        <f>IF(AND(Tabla1[[#This Row],[nudo inicial]]=Tabla3[[#This Row],[n1]],Tabla1[[#This Row],[nudo final]]=Tabla3[[#This Row],[n2]],Tabla1[[#This Row],[longitud]]=Tabla3[[#This Row],[long]]),"si","no")</f>
        <v>si</v>
      </c>
    </row>
    <row r="330" spans="2:26" ht="15.75" x14ac:dyDescent="0.25">
      <c r="B330" t="s">
        <v>291</v>
      </c>
      <c r="C330" t="s">
        <v>357</v>
      </c>
      <c r="D330" s="19">
        <v>3.5</v>
      </c>
      <c r="E330" s="3" t="s">
        <v>23</v>
      </c>
      <c r="F330" s="3" t="s">
        <v>25</v>
      </c>
      <c r="G330" s="8" t="s">
        <v>57</v>
      </c>
      <c r="H330" s="4" t="s">
        <v>23</v>
      </c>
      <c r="I330" s="5">
        <v>1</v>
      </c>
      <c r="J330" s="8"/>
      <c r="K330" s="4"/>
      <c r="L330" s="5"/>
      <c r="M330" s="8"/>
      <c r="N330" s="4"/>
      <c r="O330" s="5"/>
      <c r="P330" s="8"/>
      <c r="Q330" s="4"/>
      <c r="R330" s="5"/>
      <c r="W330" s="67" t="s">
        <v>291</v>
      </c>
      <c r="X330" s="68" t="s">
        <v>357</v>
      </c>
      <c r="Y330" s="69">
        <v>3.5</v>
      </c>
      <c r="Z330" t="str">
        <f>IF(AND(Tabla1[[#This Row],[nudo inicial]]=Tabla3[[#This Row],[n1]],Tabla1[[#This Row],[nudo final]]=Tabla3[[#This Row],[n2]],Tabla1[[#This Row],[longitud]]=Tabla3[[#This Row],[long]]),"si","no")</f>
        <v>si</v>
      </c>
    </row>
    <row r="331" spans="2:26" ht="31.5" x14ac:dyDescent="0.25">
      <c r="B331" t="s">
        <v>136</v>
      </c>
      <c r="C331" t="s">
        <v>358</v>
      </c>
      <c r="D331" s="19">
        <v>75.430000000000007</v>
      </c>
      <c r="E331" s="3" t="s">
        <v>53</v>
      </c>
      <c r="F331" s="3" t="s">
        <v>25</v>
      </c>
      <c r="G331" s="8" t="s">
        <v>16</v>
      </c>
      <c r="H331" s="4" t="s">
        <v>53</v>
      </c>
      <c r="I331" s="5">
        <v>2</v>
      </c>
      <c r="J331" s="8"/>
      <c r="K331" s="4"/>
      <c r="L331" s="5"/>
      <c r="M331" s="8"/>
      <c r="N331" s="4"/>
      <c r="O331" s="5"/>
      <c r="P331" s="8"/>
      <c r="Q331" s="4"/>
      <c r="R331" s="5"/>
      <c r="W331" s="67" t="s">
        <v>136</v>
      </c>
      <c r="X331" s="68" t="s">
        <v>358</v>
      </c>
      <c r="Y331" s="69">
        <v>75.430000000000007</v>
      </c>
      <c r="Z331" t="str">
        <f>IF(AND(Tabla1[[#This Row],[nudo inicial]]=Tabla3[[#This Row],[n1]],Tabla1[[#This Row],[nudo final]]=Tabla3[[#This Row],[n2]],Tabla1[[#This Row],[longitud]]=Tabla3[[#This Row],[long]]),"si","no")</f>
        <v>si</v>
      </c>
    </row>
    <row r="332" spans="2:26" ht="15.75" x14ac:dyDescent="0.25">
      <c r="B332" t="s">
        <v>358</v>
      </c>
      <c r="C332" t="s">
        <v>359</v>
      </c>
      <c r="D332" s="19">
        <v>36.94</v>
      </c>
      <c r="E332" s="3" t="s">
        <v>53</v>
      </c>
      <c r="F332" s="3" t="s">
        <v>25</v>
      </c>
      <c r="G332" s="8" t="s">
        <v>58</v>
      </c>
      <c r="H332" s="4" t="s">
        <v>53</v>
      </c>
      <c r="I332" s="5">
        <v>1</v>
      </c>
      <c r="J332" s="8" t="s">
        <v>17</v>
      </c>
      <c r="K332" s="4" t="s">
        <v>53</v>
      </c>
      <c r="L332" s="5"/>
      <c r="M332" s="8"/>
      <c r="N332" s="4"/>
      <c r="O332" s="5"/>
      <c r="P332" s="8"/>
      <c r="Q332" s="4"/>
      <c r="R332" s="5"/>
      <c r="W332" s="67" t="s">
        <v>358</v>
      </c>
      <c r="X332" s="68" t="s">
        <v>359</v>
      </c>
      <c r="Y332" s="69">
        <v>36.94</v>
      </c>
      <c r="Z332" t="str">
        <f>IF(AND(Tabla1[[#This Row],[nudo inicial]]=Tabla3[[#This Row],[n1]],Tabla1[[#This Row],[nudo final]]=Tabla3[[#This Row],[n2]],Tabla1[[#This Row],[longitud]]=Tabla3[[#This Row],[long]]),"si","no")</f>
        <v>si</v>
      </c>
    </row>
    <row r="333" spans="2:26" ht="15.75" x14ac:dyDescent="0.25">
      <c r="B333" t="s">
        <v>358</v>
      </c>
      <c r="C333" t="s">
        <v>360</v>
      </c>
      <c r="D333" s="19">
        <v>106</v>
      </c>
      <c r="E333" s="3" t="s">
        <v>219</v>
      </c>
      <c r="F333" s="3" t="s">
        <v>25</v>
      </c>
      <c r="G333" s="8" t="s">
        <v>57</v>
      </c>
      <c r="H333" s="4" t="s">
        <v>53</v>
      </c>
      <c r="I333" s="5">
        <v>1</v>
      </c>
      <c r="J333" s="8" t="s">
        <v>15</v>
      </c>
      <c r="K333" s="4" t="s">
        <v>219</v>
      </c>
      <c r="L333" s="5">
        <v>1</v>
      </c>
      <c r="M333" s="8"/>
      <c r="N333" s="4"/>
      <c r="O333" s="5"/>
      <c r="P333" s="8"/>
      <c r="Q333" s="4"/>
      <c r="R333" s="5"/>
      <c r="W333" s="67" t="s">
        <v>358</v>
      </c>
      <c r="X333" s="68" t="s">
        <v>360</v>
      </c>
      <c r="Y333" s="69">
        <v>106</v>
      </c>
      <c r="Z333" t="str">
        <f>IF(AND(Tabla1[[#This Row],[nudo inicial]]=Tabla3[[#This Row],[n1]],Tabla1[[#This Row],[nudo final]]=Tabla3[[#This Row],[n2]],Tabla1[[#This Row],[longitud]]=Tabla3[[#This Row],[long]]),"si","no")</f>
        <v>si</v>
      </c>
    </row>
    <row r="334" spans="2:26" ht="15.75" x14ac:dyDescent="0.25">
      <c r="B334" t="s">
        <v>360</v>
      </c>
      <c r="C334" t="s">
        <v>361</v>
      </c>
      <c r="D334" s="19">
        <v>107.63</v>
      </c>
      <c r="E334" s="3" t="s">
        <v>219</v>
      </c>
      <c r="F334" s="3" t="s">
        <v>25</v>
      </c>
      <c r="G334" s="8" t="s">
        <v>57</v>
      </c>
      <c r="H334" s="4" t="s">
        <v>219</v>
      </c>
      <c r="I334" s="5">
        <v>1</v>
      </c>
      <c r="J334" s="8" t="s">
        <v>17</v>
      </c>
      <c r="K334" s="4" t="s">
        <v>219</v>
      </c>
      <c r="L334" s="5">
        <v>1</v>
      </c>
      <c r="M334" s="8"/>
      <c r="N334" s="4"/>
      <c r="O334" s="5"/>
      <c r="P334" s="8"/>
      <c r="Q334" s="4"/>
      <c r="R334" s="5"/>
      <c r="W334" s="67" t="s">
        <v>360</v>
      </c>
      <c r="X334" s="68" t="s">
        <v>361</v>
      </c>
      <c r="Y334" s="69">
        <v>107.63</v>
      </c>
      <c r="Z334" t="str">
        <f>IF(AND(Tabla1[[#This Row],[nudo inicial]]=Tabla3[[#This Row],[n1]],Tabla1[[#This Row],[nudo final]]=Tabla3[[#This Row],[n2]],Tabla1[[#This Row],[longitud]]=Tabla3[[#This Row],[long]]),"si","no")</f>
        <v>si</v>
      </c>
    </row>
    <row r="335" spans="2:26" ht="15.75" x14ac:dyDescent="0.25">
      <c r="B335" t="s">
        <v>360</v>
      </c>
      <c r="C335" t="s">
        <v>362</v>
      </c>
      <c r="D335" s="19">
        <v>51</v>
      </c>
      <c r="E335" s="3" t="s">
        <v>219</v>
      </c>
      <c r="F335" s="3" t="s">
        <v>25</v>
      </c>
      <c r="G335" s="8" t="s">
        <v>58</v>
      </c>
      <c r="H335" s="4" t="s">
        <v>219</v>
      </c>
      <c r="I335" s="5">
        <v>1</v>
      </c>
      <c r="J335" s="8" t="s">
        <v>6</v>
      </c>
      <c r="K335" s="4" t="s">
        <v>53</v>
      </c>
      <c r="L335" s="5">
        <v>1</v>
      </c>
      <c r="M335" s="8"/>
      <c r="N335" s="4"/>
      <c r="O335" s="5"/>
      <c r="P335" s="8"/>
      <c r="Q335" s="4"/>
      <c r="R335" s="5"/>
      <c r="W335" s="67" t="s">
        <v>360</v>
      </c>
      <c r="X335" s="68" t="s">
        <v>362</v>
      </c>
      <c r="Y335" s="69">
        <v>51</v>
      </c>
      <c r="Z335" t="str">
        <f>IF(AND(Tabla1[[#This Row],[nudo inicial]]=Tabla3[[#This Row],[n1]],Tabla1[[#This Row],[nudo final]]=Tabla3[[#This Row],[n2]],Tabla1[[#This Row],[longitud]]=Tabla3[[#This Row],[long]]),"si","no")</f>
        <v>si</v>
      </c>
    </row>
    <row r="336" spans="2:26" ht="15.75" x14ac:dyDescent="0.25">
      <c r="B336" t="s">
        <v>362</v>
      </c>
      <c r="C336" t="s">
        <v>363</v>
      </c>
      <c r="D336" s="19">
        <v>56.01</v>
      </c>
      <c r="E336" s="3" t="s">
        <v>53</v>
      </c>
      <c r="F336" s="3" t="s">
        <v>25</v>
      </c>
      <c r="G336" s="8" t="s">
        <v>58</v>
      </c>
      <c r="H336" s="4" t="s">
        <v>53</v>
      </c>
      <c r="I336" s="5">
        <v>1</v>
      </c>
      <c r="J336" s="8" t="s">
        <v>17</v>
      </c>
      <c r="K336" s="4" t="s">
        <v>53</v>
      </c>
      <c r="L336" s="5">
        <v>1</v>
      </c>
      <c r="M336" s="8"/>
      <c r="N336" s="4"/>
      <c r="O336" s="5"/>
      <c r="P336" s="8"/>
      <c r="Q336" s="4"/>
      <c r="R336" s="5"/>
      <c r="W336" s="67" t="s">
        <v>362</v>
      </c>
      <c r="X336" s="68" t="s">
        <v>363</v>
      </c>
      <c r="Y336" s="69">
        <v>56.01</v>
      </c>
      <c r="Z336" t="str">
        <f>IF(AND(Tabla1[[#This Row],[nudo inicial]]=Tabla3[[#This Row],[n1]],Tabla1[[#This Row],[nudo final]]=Tabla3[[#This Row],[n2]],Tabla1[[#This Row],[longitud]]=Tabla3[[#This Row],[long]]),"si","no")</f>
        <v>si</v>
      </c>
    </row>
    <row r="337" spans="2:26" ht="15.75" x14ac:dyDescent="0.25">
      <c r="B337" t="s">
        <v>362</v>
      </c>
      <c r="C337" t="s">
        <v>364</v>
      </c>
      <c r="D337" s="19">
        <v>41.98</v>
      </c>
      <c r="E337" s="3" t="s">
        <v>53</v>
      </c>
      <c r="F337" s="3" t="s">
        <v>25</v>
      </c>
      <c r="G337" s="8" t="s">
        <v>58</v>
      </c>
      <c r="H337" s="4" t="s">
        <v>53</v>
      </c>
      <c r="I337" s="5">
        <v>1</v>
      </c>
      <c r="J337" s="8"/>
      <c r="K337" s="4"/>
      <c r="L337" s="5"/>
      <c r="M337" s="8"/>
      <c r="N337" s="4"/>
      <c r="O337" s="5"/>
      <c r="P337" s="8"/>
      <c r="Q337" s="4"/>
      <c r="R337" s="5"/>
      <c r="W337" s="67" t="s">
        <v>362</v>
      </c>
      <c r="X337" s="68" t="s">
        <v>364</v>
      </c>
      <c r="Y337" s="69">
        <v>41.98</v>
      </c>
      <c r="Z337" t="str">
        <f>IF(AND(Tabla1[[#This Row],[nudo inicial]]=Tabla3[[#This Row],[n1]],Tabla1[[#This Row],[nudo final]]=Tabla3[[#This Row],[n2]],Tabla1[[#This Row],[longitud]]=Tabla3[[#This Row],[long]]),"si","no")</f>
        <v>si</v>
      </c>
    </row>
    <row r="338" spans="2:26" ht="15.75" x14ac:dyDescent="0.25">
      <c r="B338" t="s">
        <v>364</v>
      </c>
      <c r="C338" t="s">
        <v>365</v>
      </c>
      <c r="D338" s="19">
        <v>21.55</v>
      </c>
      <c r="E338" s="3" t="s">
        <v>219</v>
      </c>
      <c r="F338" s="3" t="s">
        <v>25</v>
      </c>
      <c r="G338" s="8" t="s">
        <v>57</v>
      </c>
      <c r="H338" s="4" t="s">
        <v>53</v>
      </c>
      <c r="I338" s="5">
        <v>1</v>
      </c>
      <c r="J338" s="8" t="s">
        <v>15</v>
      </c>
      <c r="K338" s="4" t="s">
        <v>219</v>
      </c>
      <c r="L338" s="5">
        <v>1</v>
      </c>
      <c r="M338" s="8" t="s">
        <v>17</v>
      </c>
      <c r="N338" s="4" t="s">
        <v>219</v>
      </c>
      <c r="O338" s="5">
        <v>1</v>
      </c>
      <c r="P338" s="8"/>
      <c r="Q338" s="4"/>
      <c r="R338" s="5"/>
      <c r="W338" s="67" t="s">
        <v>364</v>
      </c>
      <c r="X338" s="68" t="s">
        <v>365</v>
      </c>
      <c r="Y338" s="69">
        <v>21.55</v>
      </c>
      <c r="Z338" t="str">
        <f>IF(AND(Tabla1[[#This Row],[nudo inicial]]=Tabla3[[#This Row],[n1]],Tabla1[[#This Row],[nudo final]]=Tabla3[[#This Row],[n2]],Tabla1[[#This Row],[longitud]]=Tabla3[[#This Row],[long]]),"si","no")</f>
        <v>si</v>
      </c>
    </row>
    <row r="339" spans="2:26" ht="15.75" x14ac:dyDescent="0.25">
      <c r="B339" t="s">
        <v>364</v>
      </c>
      <c r="C339" t="s">
        <v>366</v>
      </c>
      <c r="D339" s="19">
        <v>107.25</v>
      </c>
      <c r="E339" s="3" t="s">
        <v>53</v>
      </c>
      <c r="F339" s="3" t="s">
        <v>25</v>
      </c>
      <c r="G339" s="8" t="s">
        <v>58</v>
      </c>
      <c r="H339" s="4" t="s">
        <v>53</v>
      </c>
      <c r="I339" s="5">
        <v>1</v>
      </c>
      <c r="J339" s="8" t="s">
        <v>16</v>
      </c>
      <c r="K339" s="4" t="s">
        <v>53</v>
      </c>
      <c r="L339" s="5">
        <v>1</v>
      </c>
      <c r="M339" s="8"/>
      <c r="N339" s="4"/>
      <c r="O339" s="5"/>
      <c r="P339" s="8"/>
      <c r="Q339" s="4"/>
      <c r="R339" s="5"/>
      <c r="W339" s="67" t="s">
        <v>364</v>
      </c>
      <c r="X339" s="68" t="s">
        <v>366</v>
      </c>
      <c r="Y339" s="69">
        <v>107.25</v>
      </c>
      <c r="Z339" t="str">
        <f>IF(AND(Tabla1[[#This Row],[nudo inicial]]=Tabla3[[#This Row],[n1]],Tabla1[[#This Row],[nudo final]]=Tabla3[[#This Row],[n2]],Tabla1[[#This Row],[longitud]]=Tabla3[[#This Row],[long]]),"si","no")</f>
        <v>si</v>
      </c>
    </row>
    <row r="340" spans="2:26" ht="15.75" x14ac:dyDescent="0.25">
      <c r="B340" t="s">
        <v>366</v>
      </c>
      <c r="C340" t="s">
        <v>367</v>
      </c>
      <c r="D340" s="19">
        <v>70.02</v>
      </c>
      <c r="E340" s="3" t="s">
        <v>219</v>
      </c>
      <c r="F340" s="3" t="s">
        <v>25</v>
      </c>
      <c r="G340" s="8" t="s">
        <v>57</v>
      </c>
      <c r="H340" s="4" t="s">
        <v>53</v>
      </c>
      <c r="I340" s="5">
        <v>1</v>
      </c>
      <c r="J340" s="8" t="s">
        <v>15</v>
      </c>
      <c r="K340" s="4" t="s">
        <v>219</v>
      </c>
      <c r="L340" s="5">
        <v>1</v>
      </c>
      <c r="M340" s="8"/>
      <c r="N340" s="4"/>
      <c r="O340" s="5"/>
      <c r="P340" s="8"/>
      <c r="Q340" s="4"/>
      <c r="R340" s="5"/>
      <c r="W340" s="67" t="s">
        <v>366</v>
      </c>
      <c r="X340" s="68" t="s">
        <v>367</v>
      </c>
      <c r="Y340" s="69">
        <v>70.02</v>
      </c>
      <c r="Z340" t="str">
        <f>IF(AND(Tabla1[[#This Row],[nudo inicial]]=Tabla3[[#This Row],[n1]],Tabla1[[#This Row],[nudo final]]=Tabla3[[#This Row],[n2]],Tabla1[[#This Row],[longitud]]=Tabla3[[#This Row],[long]]),"si","no")</f>
        <v>si</v>
      </c>
    </row>
    <row r="341" spans="2:26" ht="15.75" x14ac:dyDescent="0.25">
      <c r="B341" t="s">
        <v>367</v>
      </c>
      <c r="C341" t="s">
        <v>368</v>
      </c>
      <c r="D341" s="19">
        <v>56.24</v>
      </c>
      <c r="E341" s="3" t="s">
        <v>219</v>
      </c>
      <c r="F341" s="3" t="s">
        <v>25</v>
      </c>
      <c r="G341" s="8" t="s">
        <v>58</v>
      </c>
      <c r="H341" s="4" t="s">
        <v>219</v>
      </c>
      <c r="I341" s="5">
        <v>1</v>
      </c>
      <c r="J341" s="8" t="s">
        <v>17</v>
      </c>
      <c r="K341" s="4" t="s">
        <v>219</v>
      </c>
      <c r="L341" s="5">
        <v>1</v>
      </c>
      <c r="M341" s="8"/>
      <c r="N341" s="4"/>
      <c r="O341" s="5"/>
      <c r="P341" s="8"/>
      <c r="Q341" s="4"/>
      <c r="R341" s="5"/>
      <c r="W341" s="67" t="s">
        <v>367</v>
      </c>
      <c r="X341" s="68" t="s">
        <v>368</v>
      </c>
      <c r="Y341" s="69">
        <v>56.24</v>
      </c>
      <c r="Z341" t="str">
        <f>IF(AND(Tabla1[[#This Row],[nudo inicial]]=Tabla3[[#This Row],[n1]],Tabla1[[#This Row],[nudo final]]=Tabla3[[#This Row],[n2]],Tabla1[[#This Row],[longitud]]=Tabla3[[#This Row],[long]]),"si","no")</f>
        <v>si</v>
      </c>
    </row>
    <row r="342" spans="2:26" ht="15.75" x14ac:dyDescent="0.25">
      <c r="B342" t="s">
        <v>367</v>
      </c>
      <c r="C342" t="s">
        <v>369</v>
      </c>
      <c r="D342" s="19">
        <v>59.23</v>
      </c>
      <c r="E342" s="3" t="s">
        <v>219</v>
      </c>
      <c r="F342" s="3" t="s">
        <v>25</v>
      </c>
      <c r="G342" s="8" t="s">
        <v>57</v>
      </c>
      <c r="H342" s="4" t="s">
        <v>219</v>
      </c>
      <c r="I342" s="5">
        <v>1</v>
      </c>
      <c r="J342" s="8" t="s">
        <v>17</v>
      </c>
      <c r="K342" s="4" t="s">
        <v>219</v>
      </c>
      <c r="L342" s="5">
        <v>1</v>
      </c>
      <c r="M342" s="8"/>
      <c r="N342" s="4"/>
      <c r="O342" s="5"/>
      <c r="P342" s="8"/>
      <c r="Q342" s="4"/>
      <c r="R342" s="5"/>
      <c r="W342" s="67" t="s">
        <v>367</v>
      </c>
      <c r="X342" s="68" t="s">
        <v>369</v>
      </c>
      <c r="Y342" s="69">
        <v>59.23</v>
      </c>
      <c r="Z342" t="str">
        <f>IF(AND(Tabla1[[#This Row],[nudo inicial]]=Tabla3[[#This Row],[n1]],Tabla1[[#This Row],[nudo final]]=Tabla3[[#This Row],[n2]],Tabla1[[#This Row],[longitud]]=Tabla3[[#This Row],[long]]),"si","no")</f>
        <v>si</v>
      </c>
    </row>
    <row r="343" spans="2:26" ht="15.75" x14ac:dyDescent="0.25">
      <c r="B343" t="s">
        <v>366</v>
      </c>
      <c r="C343" t="s">
        <v>370</v>
      </c>
      <c r="D343" s="19">
        <v>163.18</v>
      </c>
      <c r="E343" s="3" t="s">
        <v>53</v>
      </c>
      <c r="F343" s="3" t="s">
        <v>25</v>
      </c>
      <c r="G343" s="8" t="s">
        <v>58</v>
      </c>
      <c r="H343" s="4" t="s">
        <v>53</v>
      </c>
      <c r="I343" s="5">
        <v>1</v>
      </c>
      <c r="J343" s="8"/>
      <c r="K343" s="4"/>
      <c r="L343" s="5"/>
      <c r="M343" s="8"/>
      <c r="N343" s="4"/>
      <c r="O343" s="5"/>
      <c r="P343" s="8"/>
      <c r="Q343" s="4"/>
      <c r="R343" s="5"/>
      <c r="W343" s="67" t="s">
        <v>366</v>
      </c>
      <c r="X343" s="68" t="s">
        <v>370</v>
      </c>
      <c r="Y343" s="69">
        <v>163.18</v>
      </c>
      <c r="Z343" t="str">
        <f>IF(AND(Tabla1[[#This Row],[nudo inicial]]=Tabla3[[#This Row],[n1]],Tabla1[[#This Row],[nudo final]]=Tabla3[[#This Row],[n2]],Tabla1[[#This Row],[longitud]]=Tabla3[[#This Row],[long]]),"si","no")</f>
        <v>si</v>
      </c>
    </row>
    <row r="344" spans="2:26" ht="15.75" x14ac:dyDescent="0.25">
      <c r="B344" t="s">
        <v>370</v>
      </c>
      <c r="C344" t="s">
        <v>371</v>
      </c>
      <c r="D344" s="19">
        <v>121.98</v>
      </c>
      <c r="E344" s="3" t="s">
        <v>219</v>
      </c>
      <c r="F344" s="3" t="s">
        <v>25</v>
      </c>
      <c r="G344" s="8" t="s">
        <v>57</v>
      </c>
      <c r="H344" s="4" t="s">
        <v>53</v>
      </c>
      <c r="I344" s="5">
        <v>1</v>
      </c>
      <c r="J344" s="8" t="s">
        <v>15</v>
      </c>
      <c r="K344" s="4" t="s">
        <v>219</v>
      </c>
      <c r="L344" s="5">
        <v>1</v>
      </c>
      <c r="M344" s="8" t="s">
        <v>16</v>
      </c>
      <c r="N344" s="4" t="s">
        <v>219</v>
      </c>
      <c r="O344" s="5">
        <v>1</v>
      </c>
      <c r="P344" s="8" t="s">
        <v>17</v>
      </c>
      <c r="Q344" s="4" t="s">
        <v>219</v>
      </c>
      <c r="R344" s="5">
        <v>1</v>
      </c>
      <c r="W344" s="67" t="s">
        <v>370</v>
      </c>
      <c r="X344" s="68" t="s">
        <v>371</v>
      </c>
      <c r="Y344" s="69">
        <v>121.98</v>
      </c>
      <c r="Z344" t="str">
        <f>IF(AND(Tabla1[[#This Row],[nudo inicial]]=Tabla3[[#This Row],[n1]],Tabla1[[#This Row],[nudo final]]=Tabla3[[#This Row],[n2]],Tabla1[[#This Row],[longitud]]=Tabla3[[#This Row],[long]]),"si","no")</f>
        <v>si</v>
      </c>
    </row>
    <row r="345" spans="2:26" ht="15.75" x14ac:dyDescent="0.25">
      <c r="B345" t="s">
        <v>370</v>
      </c>
      <c r="C345" t="s">
        <v>373</v>
      </c>
      <c r="D345" s="19">
        <v>125.93</v>
      </c>
      <c r="E345" s="3" t="s">
        <v>219</v>
      </c>
      <c r="F345" s="3" t="s">
        <v>25</v>
      </c>
      <c r="G345" s="8" t="s">
        <v>58</v>
      </c>
      <c r="H345" s="4" t="s">
        <v>53</v>
      </c>
      <c r="I345" s="5">
        <v>1</v>
      </c>
      <c r="J345" s="8" t="s">
        <v>15</v>
      </c>
      <c r="K345" s="4" t="s">
        <v>219</v>
      </c>
      <c r="L345" s="5">
        <v>1</v>
      </c>
      <c r="M345" s="8"/>
      <c r="N345" s="4"/>
      <c r="O345" s="5"/>
      <c r="P345" s="8"/>
      <c r="Q345" s="4"/>
      <c r="R345" s="5"/>
      <c r="W345" s="67" t="s">
        <v>370</v>
      </c>
      <c r="X345" s="68" t="s">
        <v>373</v>
      </c>
      <c r="Y345" s="69">
        <v>125.93</v>
      </c>
      <c r="Z345" t="str">
        <f>IF(AND(Tabla1[[#This Row],[nudo inicial]]=Tabla3[[#This Row],[n1]],Tabla1[[#This Row],[nudo final]]=Tabla3[[#This Row],[n2]],Tabla1[[#This Row],[longitud]]=Tabla3[[#This Row],[long]]),"si","no")</f>
        <v>si</v>
      </c>
    </row>
    <row r="346" spans="2:26" ht="31.5" x14ac:dyDescent="0.25">
      <c r="B346" t="s">
        <v>373</v>
      </c>
      <c r="C346" t="s">
        <v>374</v>
      </c>
      <c r="D346" s="19">
        <v>3.11</v>
      </c>
      <c r="E346" s="3" t="s">
        <v>219</v>
      </c>
      <c r="F346" s="3" t="s">
        <v>25</v>
      </c>
      <c r="G346" s="8" t="s">
        <v>58</v>
      </c>
      <c r="H346" s="4" t="s">
        <v>219</v>
      </c>
      <c r="I346" s="5">
        <v>1</v>
      </c>
      <c r="J346" s="8"/>
      <c r="K346" s="4"/>
      <c r="L346" s="5"/>
      <c r="M346" s="8"/>
      <c r="N346" s="4"/>
      <c r="O346" s="5"/>
      <c r="P346" s="8"/>
      <c r="Q346" s="4"/>
      <c r="R346" s="5"/>
      <c r="W346" s="67" t="s">
        <v>373</v>
      </c>
      <c r="X346" s="68" t="s">
        <v>374</v>
      </c>
      <c r="Y346" s="69">
        <v>3.11</v>
      </c>
      <c r="Z346" t="str">
        <f>IF(AND(Tabla1[[#This Row],[nudo inicial]]=Tabla3[[#This Row],[n1]],Tabla1[[#This Row],[nudo final]]=Tabla3[[#This Row],[n2]],Tabla1[[#This Row],[longitud]]=Tabla3[[#This Row],[long]]),"si","no")</f>
        <v>si</v>
      </c>
    </row>
    <row r="347" spans="2:26" ht="15.75" x14ac:dyDescent="0.25">
      <c r="B347" t="s">
        <v>373</v>
      </c>
      <c r="C347" t="s">
        <v>372</v>
      </c>
      <c r="D347" s="19">
        <v>116.71</v>
      </c>
      <c r="E347" s="3" t="s">
        <v>375</v>
      </c>
      <c r="F347" s="3" t="s">
        <v>25</v>
      </c>
      <c r="G347" s="8" t="s">
        <v>57</v>
      </c>
      <c r="H347" s="4" t="s">
        <v>219</v>
      </c>
      <c r="I347" s="5">
        <v>1</v>
      </c>
      <c r="J347" s="8" t="s">
        <v>15</v>
      </c>
      <c r="K347" s="4" t="s">
        <v>375</v>
      </c>
      <c r="L347" s="5">
        <v>1</v>
      </c>
      <c r="M347" s="8" t="s">
        <v>17</v>
      </c>
      <c r="N347" s="4" t="s">
        <v>375</v>
      </c>
      <c r="O347" s="5">
        <v>1</v>
      </c>
      <c r="P347" s="8"/>
      <c r="Q347" s="4"/>
      <c r="R347" s="5"/>
      <c r="W347" s="67" t="s">
        <v>373</v>
      </c>
      <c r="X347" s="68" t="s">
        <v>372</v>
      </c>
      <c r="Y347" s="69">
        <v>116.71</v>
      </c>
      <c r="Z347" t="str">
        <f>IF(AND(Tabla1[[#This Row],[nudo inicial]]=Tabla3[[#This Row],[n1]],Tabla1[[#This Row],[nudo final]]=Tabla3[[#This Row],[n2]],Tabla1[[#This Row],[longitud]]=Tabla3[[#This Row],[long]]),"si","no")</f>
        <v>si</v>
      </c>
    </row>
    <row r="348" spans="2:26" ht="31.5" x14ac:dyDescent="0.25">
      <c r="B348" t="s">
        <v>136</v>
      </c>
      <c r="C348" t="s">
        <v>374</v>
      </c>
      <c r="D348" s="19">
        <v>269.97000000000003</v>
      </c>
      <c r="E348" s="3" t="s">
        <v>376</v>
      </c>
      <c r="F348" s="3" t="s">
        <v>25</v>
      </c>
      <c r="G348" s="8" t="s">
        <v>16</v>
      </c>
      <c r="H348" s="4" t="s">
        <v>376</v>
      </c>
      <c r="I348" s="5">
        <v>6</v>
      </c>
      <c r="J348" s="8"/>
      <c r="K348" s="4"/>
      <c r="L348" s="5"/>
      <c r="M348" s="8"/>
      <c r="N348" s="4"/>
      <c r="O348" s="5"/>
      <c r="P348" s="8"/>
      <c r="Q348" s="4"/>
      <c r="R348" s="5"/>
      <c r="W348" s="67" t="s">
        <v>136</v>
      </c>
      <c r="X348" s="68" t="s">
        <v>374</v>
      </c>
      <c r="Y348" s="69">
        <v>269.97000000000003</v>
      </c>
      <c r="Z348" t="str">
        <f>IF(AND(Tabla1[[#This Row],[nudo inicial]]=Tabla3[[#This Row],[n1]],Tabla1[[#This Row],[nudo final]]=Tabla3[[#This Row],[n2]],Tabla1[[#This Row],[longitud]]=Tabla3[[#This Row],[long]]),"si","no")</f>
        <v>si</v>
      </c>
    </row>
    <row r="349" spans="2:26" ht="31.5" x14ac:dyDescent="0.25">
      <c r="B349" t="s">
        <v>374</v>
      </c>
      <c r="C349" t="s">
        <v>377</v>
      </c>
      <c r="D349" s="19">
        <v>4.13</v>
      </c>
      <c r="E349" s="3" t="s">
        <v>53</v>
      </c>
      <c r="F349" s="3" t="s">
        <v>25</v>
      </c>
      <c r="G349" s="8"/>
      <c r="H349" s="4"/>
      <c r="I349" s="5"/>
      <c r="J349" s="8"/>
      <c r="K349" s="4"/>
      <c r="L349" s="5"/>
      <c r="M349" s="8"/>
      <c r="N349" s="4"/>
      <c r="O349" s="5"/>
      <c r="P349" s="8"/>
      <c r="Q349" s="4"/>
      <c r="R349" s="5"/>
      <c r="W349" s="67" t="s">
        <v>374</v>
      </c>
      <c r="X349" s="68" t="s">
        <v>377</v>
      </c>
      <c r="Y349" s="69">
        <v>4.13</v>
      </c>
      <c r="Z349" t="str">
        <f>IF(AND(Tabla1[[#This Row],[nudo inicial]]=Tabla3[[#This Row],[n1]],Tabla1[[#This Row],[nudo final]]=Tabla3[[#This Row],[n2]],Tabla1[[#This Row],[longitud]]=Tabla3[[#This Row],[long]]),"si","no")</f>
        <v>si</v>
      </c>
    </row>
    <row r="350" spans="2:26" ht="15.75" x14ac:dyDescent="0.25">
      <c r="B350" t="s">
        <v>377</v>
      </c>
      <c r="C350" t="s">
        <v>378</v>
      </c>
      <c r="D350" s="19">
        <v>27.75</v>
      </c>
      <c r="E350" s="3" t="s">
        <v>53</v>
      </c>
      <c r="F350" s="3" t="s">
        <v>25</v>
      </c>
      <c r="G350" s="8" t="s">
        <v>57</v>
      </c>
      <c r="H350" s="4" t="s">
        <v>53</v>
      </c>
      <c r="I350" s="5">
        <v>1</v>
      </c>
      <c r="J350" s="8"/>
      <c r="K350" s="4"/>
      <c r="L350" s="5"/>
      <c r="M350" s="8"/>
      <c r="N350" s="4"/>
      <c r="O350" s="5"/>
      <c r="P350" s="8"/>
      <c r="Q350" s="4"/>
      <c r="R350" s="5"/>
      <c r="W350" s="67" t="s">
        <v>377</v>
      </c>
      <c r="X350" s="68" t="s">
        <v>378</v>
      </c>
      <c r="Y350" s="69">
        <v>27.75</v>
      </c>
      <c r="Z350" t="str">
        <f>IF(AND(Tabla1[[#This Row],[nudo inicial]]=Tabla3[[#This Row],[n1]],Tabla1[[#This Row],[nudo final]]=Tabla3[[#This Row],[n2]],Tabla1[[#This Row],[longitud]]=Tabla3[[#This Row],[long]]),"si","no")</f>
        <v>si</v>
      </c>
    </row>
    <row r="351" spans="2:26" ht="15.75" x14ac:dyDescent="0.25">
      <c r="B351" t="s">
        <v>378</v>
      </c>
      <c r="C351" t="s">
        <v>379</v>
      </c>
      <c r="D351" s="19">
        <v>71.38</v>
      </c>
      <c r="E351" s="3" t="s">
        <v>53</v>
      </c>
      <c r="F351" s="3" t="s">
        <v>25</v>
      </c>
      <c r="G351" s="8" t="s">
        <v>58</v>
      </c>
      <c r="H351" s="4" t="s">
        <v>53</v>
      </c>
      <c r="I351" s="5">
        <v>1</v>
      </c>
      <c r="J351" s="8"/>
      <c r="K351" s="4"/>
      <c r="L351" s="5"/>
      <c r="M351" s="8"/>
      <c r="N351" s="4"/>
      <c r="O351" s="5"/>
      <c r="P351" s="8"/>
      <c r="Q351" s="4"/>
      <c r="R351" s="5"/>
      <c r="W351" s="67" t="s">
        <v>378</v>
      </c>
      <c r="X351" s="68" t="s">
        <v>379</v>
      </c>
      <c r="Y351" s="69">
        <v>71.38</v>
      </c>
      <c r="Z351" t="str">
        <f>IF(AND(Tabla1[[#This Row],[nudo inicial]]=Tabla3[[#This Row],[n1]],Tabla1[[#This Row],[nudo final]]=Tabla3[[#This Row],[n2]],Tabla1[[#This Row],[longitud]]=Tabla3[[#This Row],[long]]),"si","no")</f>
        <v>si</v>
      </c>
    </row>
    <row r="352" spans="2:26" ht="15.75" x14ac:dyDescent="0.25">
      <c r="B352" t="s">
        <v>379</v>
      </c>
      <c r="C352" t="s">
        <v>380</v>
      </c>
      <c r="D352" s="19">
        <v>25.76</v>
      </c>
      <c r="E352" s="3" t="s">
        <v>53</v>
      </c>
      <c r="F352" s="3" t="s">
        <v>25</v>
      </c>
      <c r="G352" s="8" t="s">
        <v>57</v>
      </c>
      <c r="H352" s="4" t="s">
        <v>53</v>
      </c>
      <c r="I352" s="5">
        <v>1</v>
      </c>
      <c r="J352" s="8" t="s">
        <v>17</v>
      </c>
      <c r="K352" s="4" t="s">
        <v>53</v>
      </c>
      <c r="L352" s="5">
        <v>1</v>
      </c>
      <c r="M352" s="8"/>
      <c r="N352" s="4"/>
      <c r="O352" s="5"/>
      <c r="P352" s="8"/>
      <c r="Q352" s="4"/>
      <c r="R352" s="5"/>
      <c r="W352" s="67" t="s">
        <v>379</v>
      </c>
      <c r="X352" s="68" t="s">
        <v>380</v>
      </c>
      <c r="Y352" s="69">
        <v>25.76</v>
      </c>
      <c r="Z352" t="str">
        <f>IF(AND(Tabla1[[#This Row],[nudo inicial]]=Tabla3[[#This Row],[n1]],Tabla1[[#This Row],[nudo final]]=Tabla3[[#This Row],[n2]],Tabla1[[#This Row],[longitud]]=Tabla3[[#This Row],[long]]),"si","no")</f>
        <v>si</v>
      </c>
    </row>
    <row r="353" spans="2:26" ht="15.75" x14ac:dyDescent="0.25">
      <c r="B353" t="s">
        <v>379</v>
      </c>
      <c r="C353" t="s">
        <v>381</v>
      </c>
      <c r="D353" s="19">
        <v>40.119999999999997</v>
      </c>
      <c r="E353" s="3" t="s">
        <v>53</v>
      </c>
      <c r="F353" s="3" t="s">
        <v>25</v>
      </c>
      <c r="G353" s="8" t="s">
        <v>58</v>
      </c>
      <c r="H353" s="4" t="s">
        <v>53</v>
      </c>
      <c r="I353" s="5">
        <v>1</v>
      </c>
      <c r="J353" s="8" t="s">
        <v>17</v>
      </c>
      <c r="K353" s="4" t="s">
        <v>53</v>
      </c>
      <c r="L353" s="5">
        <v>1</v>
      </c>
      <c r="M353" s="8"/>
      <c r="N353" s="4"/>
      <c r="O353" s="5"/>
      <c r="P353" s="8"/>
      <c r="Q353" s="4"/>
      <c r="R353" s="5"/>
      <c r="W353" s="67" t="s">
        <v>379</v>
      </c>
      <c r="X353" s="68" t="s">
        <v>381</v>
      </c>
      <c r="Y353" s="69">
        <v>40.119999999999997</v>
      </c>
      <c r="Z353" t="str">
        <f>IF(AND(Tabla1[[#This Row],[nudo inicial]]=Tabla3[[#This Row],[n1]],Tabla1[[#This Row],[nudo final]]=Tabla3[[#This Row],[n2]],Tabla1[[#This Row],[longitud]]=Tabla3[[#This Row],[long]]),"si","no")</f>
        <v>si</v>
      </c>
    </row>
    <row r="354" spans="2:26" ht="15.75" x14ac:dyDescent="0.25">
      <c r="B354" t="s">
        <v>378</v>
      </c>
      <c r="C354" t="s">
        <v>382</v>
      </c>
      <c r="D354" s="19">
        <v>128.84</v>
      </c>
      <c r="E354" s="3" t="s">
        <v>53</v>
      </c>
      <c r="F354" s="3" t="s">
        <v>25</v>
      </c>
      <c r="G354" s="8" t="s">
        <v>58</v>
      </c>
      <c r="H354" s="4" t="s">
        <v>53</v>
      </c>
      <c r="I354" s="5">
        <v>1</v>
      </c>
      <c r="J354" s="8"/>
      <c r="K354" s="4"/>
      <c r="L354" s="5"/>
      <c r="M354" s="8"/>
      <c r="N354" s="4"/>
      <c r="O354" s="5"/>
      <c r="P354" s="8"/>
      <c r="Q354" s="4"/>
      <c r="R354" s="5"/>
      <c r="W354" s="67" t="s">
        <v>378</v>
      </c>
      <c r="X354" s="68" t="s">
        <v>382</v>
      </c>
      <c r="Y354" s="69">
        <v>128.84</v>
      </c>
      <c r="Z354" t="str">
        <f>IF(AND(Tabla1[[#This Row],[nudo inicial]]=Tabla3[[#This Row],[n1]],Tabla1[[#This Row],[nudo final]]=Tabla3[[#This Row],[n2]],Tabla1[[#This Row],[longitud]]=Tabla3[[#This Row],[long]]),"si","no")</f>
        <v>si</v>
      </c>
    </row>
    <row r="355" spans="2:26" ht="15.75" x14ac:dyDescent="0.25">
      <c r="B355" t="s">
        <v>382</v>
      </c>
      <c r="C355" t="s">
        <v>383</v>
      </c>
      <c r="D355" s="19">
        <v>68.709999999999994</v>
      </c>
      <c r="E355" s="3" t="s">
        <v>53</v>
      </c>
      <c r="F355" s="3" t="s">
        <v>25</v>
      </c>
      <c r="G355" s="8" t="s">
        <v>58</v>
      </c>
      <c r="H355" s="4" t="s">
        <v>53</v>
      </c>
      <c r="I355" s="5">
        <v>1</v>
      </c>
      <c r="J355" s="8" t="s">
        <v>17</v>
      </c>
      <c r="K355" s="4" t="s">
        <v>53</v>
      </c>
      <c r="L355" s="5">
        <v>1</v>
      </c>
      <c r="M355" s="8"/>
      <c r="N355" s="4"/>
      <c r="O355" s="5"/>
      <c r="P355" s="8"/>
      <c r="Q355" s="4"/>
      <c r="R355" s="5"/>
      <c r="W355" s="67" t="s">
        <v>382</v>
      </c>
      <c r="X355" s="68" t="s">
        <v>383</v>
      </c>
      <c r="Y355" s="69">
        <v>68.709999999999994</v>
      </c>
      <c r="Z355" t="str">
        <f>IF(AND(Tabla1[[#This Row],[nudo inicial]]=Tabla3[[#This Row],[n1]],Tabla1[[#This Row],[nudo final]]=Tabla3[[#This Row],[n2]],Tabla1[[#This Row],[longitud]]=Tabla3[[#This Row],[long]]),"si","no")</f>
        <v>si</v>
      </c>
    </row>
    <row r="356" spans="2:26" ht="15.75" x14ac:dyDescent="0.25">
      <c r="B356" t="s">
        <v>382</v>
      </c>
      <c r="C356" t="s">
        <v>384</v>
      </c>
      <c r="D356" s="19">
        <v>136.31</v>
      </c>
      <c r="E356" s="3" t="s">
        <v>53</v>
      </c>
      <c r="F356" s="3" t="s">
        <v>25</v>
      </c>
      <c r="G356" s="8" t="s">
        <v>58</v>
      </c>
      <c r="H356" s="4" t="s">
        <v>53</v>
      </c>
      <c r="I356" s="5">
        <v>1</v>
      </c>
      <c r="J356" s="8" t="s">
        <v>16</v>
      </c>
      <c r="K356" s="4" t="s">
        <v>53</v>
      </c>
      <c r="L356" s="5">
        <v>3</v>
      </c>
      <c r="M356" s="8" t="s">
        <v>17</v>
      </c>
      <c r="N356" s="4" t="s">
        <v>53</v>
      </c>
      <c r="O356" s="5">
        <v>1</v>
      </c>
      <c r="P356" s="8"/>
      <c r="Q356" s="4"/>
      <c r="R356" s="5"/>
      <c r="W356" s="67" t="s">
        <v>382</v>
      </c>
      <c r="X356" s="68" t="s">
        <v>384</v>
      </c>
      <c r="Y356" s="69">
        <v>136.31</v>
      </c>
      <c r="Z356" t="str">
        <f>IF(AND(Tabla1[[#This Row],[nudo inicial]]=Tabla3[[#This Row],[n1]],Tabla1[[#This Row],[nudo final]]=Tabla3[[#This Row],[n2]],Tabla1[[#This Row],[longitud]]=Tabla3[[#This Row],[long]]),"si","no")</f>
        <v>si</v>
      </c>
    </row>
    <row r="357" spans="2:26" ht="15.75" x14ac:dyDescent="0.25">
      <c r="B357" t="s">
        <v>377</v>
      </c>
      <c r="C357" t="s">
        <v>385</v>
      </c>
      <c r="D357" s="19">
        <v>449.12</v>
      </c>
      <c r="E357" s="3" t="s">
        <v>219</v>
      </c>
      <c r="F357" s="3" t="s">
        <v>25</v>
      </c>
      <c r="G357" s="8" t="s">
        <v>58</v>
      </c>
      <c r="H357" s="4" t="s">
        <v>53</v>
      </c>
      <c r="I357" s="5">
        <v>1</v>
      </c>
      <c r="J357" s="8" t="s">
        <v>15</v>
      </c>
      <c r="K357" s="4" t="s">
        <v>219</v>
      </c>
      <c r="L357" s="5">
        <v>1</v>
      </c>
      <c r="M357" s="8" t="s">
        <v>16</v>
      </c>
      <c r="N357" s="4" t="s">
        <v>219</v>
      </c>
      <c r="O357" s="5">
        <v>1</v>
      </c>
      <c r="P357" s="8"/>
      <c r="Q357" s="4"/>
      <c r="R357" s="5"/>
      <c r="W357" s="67" t="s">
        <v>377</v>
      </c>
      <c r="X357" s="68" t="s">
        <v>385</v>
      </c>
      <c r="Y357" s="69">
        <v>449.12</v>
      </c>
      <c r="Z357" t="str">
        <f>IF(AND(Tabla1[[#This Row],[nudo inicial]]=Tabla3[[#This Row],[n1]],Tabla1[[#This Row],[nudo final]]=Tabla3[[#This Row],[n2]],Tabla1[[#This Row],[longitud]]=Tabla3[[#This Row],[long]]),"si","no")</f>
        <v>si</v>
      </c>
    </row>
    <row r="358" spans="2:26" ht="15.75" x14ac:dyDescent="0.25">
      <c r="B358" t="s">
        <v>385</v>
      </c>
      <c r="C358" t="s">
        <v>386</v>
      </c>
      <c r="D358" s="19">
        <v>39.049999999999997</v>
      </c>
      <c r="E358" s="3" t="s">
        <v>53</v>
      </c>
      <c r="F358" s="3" t="s">
        <v>25</v>
      </c>
      <c r="G358" s="8" t="s">
        <v>58</v>
      </c>
      <c r="H358" s="4" t="s">
        <v>219</v>
      </c>
      <c r="I358" s="5">
        <v>1</v>
      </c>
      <c r="J358" s="8" t="s">
        <v>6</v>
      </c>
      <c r="K358" s="4" t="s">
        <v>53</v>
      </c>
      <c r="L358" s="5">
        <v>1</v>
      </c>
      <c r="M358" s="8" t="s">
        <v>17</v>
      </c>
      <c r="N358" s="4" t="s">
        <v>53</v>
      </c>
      <c r="O358" s="5">
        <v>1</v>
      </c>
      <c r="P358" s="8"/>
      <c r="Q358" s="4"/>
      <c r="R358" s="5"/>
      <c r="W358" s="67" t="s">
        <v>385</v>
      </c>
      <c r="X358" s="68" t="s">
        <v>386</v>
      </c>
      <c r="Y358" s="69">
        <v>39.049999999999997</v>
      </c>
      <c r="Z358" t="str">
        <f>IF(AND(Tabla1[[#This Row],[nudo inicial]]=Tabla3[[#This Row],[n1]],Tabla1[[#This Row],[nudo final]]=Tabla3[[#This Row],[n2]],Tabla1[[#This Row],[longitud]]=Tabla3[[#This Row],[long]]),"si","no")</f>
        <v>si</v>
      </c>
    </row>
    <row r="359" spans="2:26" ht="15.75" x14ac:dyDescent="0.25">
      <c r="B359" t="s">
        <v>385</v>
      </c>
      <c r="C359" t="s">
        <v>387</v>
      </c>
      <c r="D359" s="19">
        <v>199.22</v>
      </c>
      <c r="E359" s="3" t="s">
        <v>219</v>
      </c>
      <c r="F359" s="3" t="s">
        <v>25</v>
      </c>
      <c r="G359" s="8" t="s">
        <v>57</v>
      </c>
      <c r="H359" s="4" t="s">
        <v>219</v>
      </c>
      <c r="I359" s="5">
        <v>1</v>
      </c>
      <c r="J359" s="8" t="s">
        <v>17</v>
      </c>
      <c r="K359" s="4" t="s">
        <v>219</v>
      </c>
      <c r="L359" s="5">
        <v>1</v>
      </c>
      <c r="M359" s="8"/>
      <c r="N359" s="4"/>
      <c r="O359" s="5"/>
      <c r="P359" s="8"/>
      <c r="Q359" s="4"/>
      <c r="R359" s="5"/>
      <c r="W359" s="67" t="s">
        <v>385</v>
      </c>
      <c r="X359" s="68" t="s">
        <v>387</v>
      </c>
      <c r="Y359" s="69">
        <v>199.22</v>
      </c>
      <c r="Z359" t="str">
        <f>IF(AND(Tabla1[[#This Row],[nudo inicial]]=Tabla3[[#This Row],[n1]],Tabla1[[#This Row],[nudo final]]=Tabla3[[#This Row],[n2]],Tabla1[[#This Row],[longitud]]=Tabla3[[#This Row],[long]]),"si","no")</f>
        <v>si</v>
      </c>
    </row>
    <row r="360" spans="2:26" ht="31.5" x14ac:dyDescent="0.25">
      <c r="B360" t="s">
        <v>374</v>
      </c>
      <c r="C360" t="s">
        <v>389</v>
      </c>
      <c r="D360" s="19">
        <v>769.04</v>
      </c>
      <c r="E360" s="3" t="s">
        <v>376</v>
      </c>
      <c r="F360" s="3" t="s">
        <v>25</v>
      </c>
      <c r="G360" s="8" t="s">
        <v>16</v>
      </c>
      <c r="H360" s="4" t="s">
        <v>376</v>
      </c>
      <c r="I360" s="5">
        <v>3</v>
      </c>
      <c r="J360" s="8"/>
      <c r="K360" s="4"/>
      <c r="L360" s="5"/>
      <c r="M360" s="8"/>
      <c r="N360" s="4"/>
      <c r="O360" s="5"/>
      <c r="P360" s="8"/>
      <c r="Q360" s="4"/>
      <c r="R360" s="5"/>
      <c r="W360" s="67" t="s">
        <v>374</v>
      </c>
      <c r="X360" s="68" t="s">
        <v>389</v>
      </c>
      <c r="Y360" s="69">
        <v>769.04</v>
      </c>
      <c r="Z360" t="str">
        <f>IF(AND(Tabla1[[#This Row],[nudo inicial]]=Tabla3[[#This Row],[n1]],Tabla1[[#This Row],[nudo final]]=Tabla3[[#This Row],[n2]],Tabla1[[#This Row],[longitud]]=Tabla3[[#This Row],[long]]),"si","no")</f>
        <v>si</v>
      </c>
    </row>
    <row r="361" spans="2:26" ht="15.75" x14ac:dyDescent="0.25">
      <c r="B361" t="s">
        <v>389</v>
      </c>
      <c r="C361" t="s">
        <v>390</v>
      </c>
      <c r="D361" s="19">
        <v>16.73</v>
      </c>
      <c r="E361" s="3" t="s">
        <v>23</v>
      </c>
      <c r="F361" s="3" t="s">
        <v>25</v>
      </c>
      <c r="G361" s="8" t="s">
        <v>16</v>
      </c>
      <c r="H361" s="4" t="s">
        <v>23</v>
      </c>
      <c r="I361" s="5">
        <v>1</v>
      </c>
      <c r="J361" s="8"/>
      <c r="K361" s="4"/>
      <c r="L361" s="5"/>
      <c r="M361" s="8"/>
      <c r="N361" s="4"/>
      <c r="O361" s="5"/>
      <c r="P361" s="8"/>
      <c r="Q361" s="4"/>
      <c r="R361" s="5"/>
      <c r="W361" s="67" t="s">
        <v>389</v>
      </c>
      <c r="X361" s="68" t="s">
        <v>390</v>
      </c>
      <c r="Y361" s="69">
        <v>16.73</v>
      </c>
      <c r="Z361" t="str">
        <f>IF(AND(Tabla1[[#This Row],[nudo inicial]]=Tabla3[[#This Row],[n1]],Tabla1[[#This Row],[nudo final]]=Tabla3[[#This Row],[n2]],Tabla1[[#This Row],[longitud]]=Tabla3[[#This Row],[long]]),"si","no")</f>
        <v>si</v>
      </c>
    </row>
    <row r="362" spans="2:26" ht="15.75" x14ac:dyDescent="0.25">
      <c r="B362" t="s">
        <v>390</v>
      </c>
      <c r="C362" t="s">
        <v>391</v>
      </c>
      <c r="D362" s="19">
        <v>49.15</v>
      </c>
      <c r="E362" s="3" t="s">
        <v>23</v>
      </c>
      <c r="F362" s="3" t="s">
        <v>25</v>
      </c>
      <c r="G362" s="8" t="s">
        <v>58</v>
      </c>
      <c r="H362" s="4" t="s">
        <v>23</v>
      </c>
      <c r="I362" s="5">
        <v>1</v>
      </c>
      <c r="J362" s="8"/>
      <c r="K362" s="4"/>
      <c r="L362" s="5"/>
      <c r="M362" s="8"/>
      <c r="N362" s="4"/>
      <c r="O362" s="5"/>
      <c r="P362" s="8"/>
      <c r="Q362" s="4"/>
      <c r="R362" s="5"/>
      <c r="W362" s="67" t="s">
        <v>390</v>
      </c>
      <c r="X362" s="68" t="s">
        <v>391</v>
      </c>
      <c r="Y362" s="69">
        <v>49.15</v>
      </c>
      <c r="Z362" t="str">
        <f>IF(AND(Tabla1[[#This Row],[nudo inicial]]=Tabla3[[#This Row],[n1]],Tabla1[[#This Row],[nudo final]]=Tabla3[[#This Row],[n2]],Tabla1[[#This Row],[longitud]]=Tabla3[[#This Row],[long]]),"si","no")</f>
        <v>si</v>
      </c>
    </row>
    <row r="363" spans="2:26" ht="15.75" x14ac:dyDescent="0.25">
      <c r="B363" t="s">
        <v>391</v>
      </c>
      <c r="C363" t="s">
        <v>392</v>
      </c>
      <c r="D363" s="19">
        <v>5.45</v>
      </c>
      <c r="E363" s="3" t="s">
        <v>23</v>
      </c>
      <c r="F363" s="3" t="s">
        <v>25</v>
      </c>
      <c r="G363" s="8" t="s">
        <v>57</v>
      </c>
      <c r="H363" s="4" t="s">
        <v>23</v>
      </c>
      <c r="I363" s="5">
        <v>1</v>
      </c>
      <c r="J363" s="8" t="s">
        <v>32</v>
      </c>
      <c r="K363" s="4" t="s">
        <v>23</v>
      </c>
      <c r="L363" s="5">
        <v>1</v>
      </c>
      <c r="M363" s="8" t="s">
        <v>17</v>
      </c>
      <c r="N363" s="4" t="s">
        <v>23</v>
      </c>
      <c r="O363" s="5">
        <v>1</v>
      </c>
      <c r="P363" s="8"/>
      <c r="Q363" s="4"/>
      <c r="R363" s="5"/>
      <c r="W363" s="67" t="s">
        <v>391</v>
      </c>
      <c r="X363" s="68" t="s">
        <v>392</v>
      </c>
      <c r="Y363" s="69">
        <v>5.45</v>
      </c>
      <c r="Z363" t="str">
        <f>IF(AND(Tabla1[[#This Row],[nudo inicial]]=Tabla3[[#This Row],[n1]],Tabla1[[#This Row],[nudo final]]=Tabla3[[#This Row],[n2]],Tabla1[[#This Row],[longitud]]=Tabla3[[#This Row],[long]]),"si","no")</f>
        <v>si</v>
      </c>
    </row>
    <row r="364" spans="2:26" ht="15.75" x14ac:dyDescent="0.25">
      <c r="B364" t="s">
        <v>391</v>
      </c>
      <c r="C364" t="s">
        <v>393</v>
      </c>
      <c r="D364" s="19">
        <v>608.84</v>
      </c>
      <c r="E364" s="3" t="s">
        <v>53</v>
      </c>
      <c r="F364" s="3" t="s">
        <v>25</v>
      </c>
      <c r="G364" s="8" t="s">
        <v>58</v>
      </c>
      <c r="H364" s="4" t="s">
        <v>23</v>
      </c>
      <c r="I364" s="5">
        <v>1</v>
      </c>
      <c r="J364" s="8" t="s">
        <v>15</v>
      </c>
      <c r="K364" s="4" t="s">
        <v>53</v>
      </c>
      <c r="L364" s="5">
        <v>1</v>
      </c>
      <c r="M364" s="8" t="s">
        <v>16</v>
      </c>
      <c r="N364" s="4" t="s">
        <v>53</v>
      </c>
      <c r="O364" s="5">
        <v>1</v>
      </c>
      <c r="P364" s="8"/>
      <c r="Q364" s="4"/>
      <c r="R364" s="5"/>
      <c r="W364" s="67" t="s">
        <v>391</v>
      </c>
      <c r="X364" s="68" t="s">
        <v>393</v>
      </c>
      <c r="Y364" s="69">
        <v>608.84</v>
      </c>
      <c r="Z364" t="str">
        <f>IF(AND(Tabla1[[#This Row],[nudo inicial]]=Tabla3[[#This Row],[n1]],Tabla1[[#This Row],[nudo final]]=Tabla3[[#This Row],[n2]],Tabla1[[#This Row],[longitud]]=Tabla3[[#This Row],[long]]),"si","no")</f>
        <v>si</v>
      </c>
    </row>
    <row r="365" spans="2:26" ht="15.75" x14ac:dyDescent="0.25">
      <c r="B365" t="s">
        <v>393</v>
      </c>
      <c r="C365" t="s">
        <v>394</v>
      </c>
      <c r="D365" s="19">
        <v>204.67</v>
      </c>
      <c r="E365" s="3" t="s">
        <v>53</v>
      </c>
      <c r="F365" s="3" t="s">
        <v>25</v>
      </c>
      <c r="G365" s="8" t="s">
        <v>58</v>
      </c>
      <c r="H365" s="4" t="s">
        <v>53</v>
      </c>
      <c r="I365" s="5">
        <v>1</v>
      </c>
      <c r="J365" s="8" t="s">
        <v>16</v>
      </c>
      <c r="K365" s="4" t="s">
        <v>53</v>
      </c>
      <c r="L365" s="5">
        <v>1</v>
      </c>
      <c r="M365" s="8" t="s">
        <v>32</v>
      </c>
      <c r="N365" s="4" t="s">
        <v>53</v>
      </c>
      <c r="O365" s="5">
        <v>1</v>
      </c>
      <c r="P365" s="8" t="s">
        <v>17</v>
      </c>
      <c r="Q365" s="4" t="s">
        <v>53</v>
      </c>
      <c r="R365" s="5">
        <v>1</v>
      </c>
      <c r="W365" s="67" t="s">
        <v>393</v>
      </c>
      <c r="X365" s="68" t="s">
        <v>394</v>
      </c>
      <c r="Y365" s="69">
        <v>204.67</v>
      </c>
      <c r="Z365" t="str">
        <f>IF(AND(Tabla1[[#This Row],[nudo inicial]]=Tabla3[[#This Row],[n1]],Tabla1[[#This Row],[nudo final]]=Tabla3[[#This Row],[n2]],Tabla1[[#This Row],[longitud]]=Tabla3[[#This Row],[long]]),"si","no")</f>
        <v>si</v>
      </c>
    </row>
    <row r="366" spans="2:26" ht="15.75" x14ac:dyDescent="0.25">
      <c r="B366" t="s">
        <v>393</v>
      </c>
      <c r="C366" t="s">
        <v>395</v>
      </c>
      <c r="D366" s="19">
        <v>70.73</v>
      </c>
      <c r="E366" s="3" t="s">
        <v>53</v>
      </c>
      <c r="F366" s="3" t="s">
        <v>25</v>
      </c>
      <c r="G366" s="8" t="s">
        <v>57</v>
      </c>
      <c r="H366" s="4" t="s">
        <v>53</v>
      </c>
      <c r="I366" s="5">
        <v>1</v>
      </c>
      <c r="J366" s="8" t="s">
        <v>16</v>
      </c>
      <c r="K366" s="4" t="s">
        <v>53</v>
      </c>
      <c r="L366" s="5">
        <v>1</v>
      </c>
      <c r="M366" s="8" t="s">
        <v>17</v>
      </c>
      <c r="N366" s="4" t="s">
        <v>53</v>
      </c>
      <c r="O366" s="5">
        <v>1</v>
      </c>
      <c r="P366" s="8"/>
      <c r="Q366" s="4"/>
      <c r="R366" s="5"/>
      <c r="W366" s="67" t="s">
        <v>393</v>
      </c>
      <c r="X366" s="68" t="s">
        <v>395</v>
      </c>
      <c r="Y366" s="69">
        <v>70.73</v>
      </c>
      <c r="Z366" t="str">
        <f>IF(AND(Tabla1[[#This Row],[nudo inicial]]=Tabla3[[#This Row],[n1]],Tabla1[[#This Row],[nudo final]]=Tabla3[[#This Row],[n2]],Tabla1[[#This Row],[longitud]]=Tabla3[[#This Row],[long]]),"si","no")</f>
        <v>si</v>
      </c>
    </row>
    <row r="367" spans="2:26" ht="15.75" x14ac:dyDescent="0.25">
      <c r="B367" t="s">
        <v>390</v>
      </c>
      <c r="C367" t="s">
        <v>396</v>
      </c>
      <c r="D367" s="19">
        <v>264.85000000000002</v>
      </c>
      <c r="E367" s="3" t="s">
        <v>126</v>
      </c>
      <c r="F367" s="3" t="s">
        <v>25</v>
      </c>
      <c r="G367" s="8" t="s">
        <v>57</v>
      </c>
      <c r="H367" s="4" t="s">
        <v>23</v>
      </c>
      <c r="I367" s="5">
        <v>1</v>
      </c>
      <c r="J367" s="8" t="s">
        <v>6</v>
      </c>
      <c r="K367" s="4" t="s">
        <v>126</v>
      </c>
      <c r="L367" s="5">
        <v>1</v>
      </c>
      <c r="M367" s="8" t="s">
        <v>32</v>
      </c>
      <c r="N367" s="4" t="s">
        <v>126</v>
      </c>
      <c r="O367" s="5">
        <v>1</v>
      </c>
      <c r="P367" s="8" t="s">
        <v>16</v>
      </c>
      <c r="Q367" s="4" t="s">
        <v>126</v>
      </c>
      <c r="R367" s="5">
        <v>1</v>
      </c>
      <c r="W367" s="67" t="s">
        <v>390</v>
      </c>
      <c r="X367" s="68" t="s">
        <v>396</v>
      </c>
      <c r="Y367" s="69">
        <v>264.85000000000002</v>
      </c>
      <c r="Z367" t="str">
        <f>IF(AND(Tabla1[[#This Row],[nudo inicial]]=Tabla3[[#This Row],[n1]],Tabla1[[#This Row],[nudo final]]=Tabla3[[#This Row],[n2]],Tabla1[[#This Row],[longitud]]=Tabla3[[#This Row],[long]]),"si","no")</f>
        <v>si</v>
      </c>
    </row>
    <row r="368" spans="2:26" ht="15.75" x14ac:dyDescent="0.25">
      <c r="B368" t="s">
        <v>396</v>
      </c>
      <c r="C368" t="s">
        <v>397</v>
      </c>
      <c r="D368" s="19">
        <v>75.06</v>
      </c>
      <c r="E368" s="3" t="s">
        <v>23</v>
      </c>
      <c r="F368" s="3" t="s">
        <v>25</v>
      </c>
      <c r="G368" s="8" t="s">
        <v>57</v>
      </c>
      <c r="H368" s="4" t="s">
        <v>126</v>
      </c>
      <c r="I368" s="5">
        <v>1</v>
      </c>
      <c r="J368" s="8" t="s">
        <v>15</v>
      </c>
      <c r="K368" s="4" t="s">
        <v>23</v>
      </c>
      <c r="L368" s="5">
        <v>1</v>
      </c>
      <c r="M368" s="8" t="s">
        <v>32</v>
      </c>
      <c r="N368" s="4" t="s">
        <v>23</v>
      </c>
      <c r="O368" s="5">
        <v>1</v>
      </c>
      <c r="P368" s="8"/>
      <c r="Q368" s="4"/>
      <c r="R368" s="5"/>
      <c r="W368" s="67" t="s">
        <v>396</v>
      </c>
      <c r="X368" s="68" t="s">
        <v>397</v>
      </c>
      <c r="Y368" s="69">
        <v>75.06</v>
      </c>
      <c r="Z368" t="str">
        <f>IF(AND(Tabla1[[#This Row],[nudo inicial]]=Tabla3[[#This Row],[n1]],Tabla1[[#This Row],[nudo final]]=Tabla3[[#This Row],[n2]],Tabla1[[#This Row],[longitud]]=Tabla3[[#This Row],[long]]),"si","no")</f>
        <v>si</v>
      </c>
    </row>
    <row r="369" spans="2:26" ht="15.75" x14ac:dyDescent="0.25">
      <c r="B369" t="s">
        <v>397</v>
      </c>
      <c r="C369" t="s">
        <v>398</v>
      </c>
      <c r="D369" s="19">
        <v>91.35</v>
      </c>
      <c r="E369" s="3" t="s">
        <v>23</v>
      </c>
      <c r="F369" s="3" t="s">
        <v>25</v>
      </c>
      <c r="G369" s="8" t="s">
        <v>58</v>
      </c>
      <c r="H369" s="4" t="s">
        <v>23</v>
      </c>
      <c r="I369" s="5">
        <v>1</v>
      </c>
      <c r="J369" s="8"/>
      <c r="K369" s="4"/>
      <c r="L369" s="5"/>
      <c r="M369" s="8"/>
      <c r="N369" s="4"/>
      <c r="O369" s="5"/>
      <c r="P369" s="8"/>
      <c r="Q369" s="4"/>
      <c r="R369" s="5"/>
      <c r="W369" s="67" t="s">
        <v>397</v>
      </c>
      <c r="X369" s="68" t="s">
        <v>398</v>
      </c>
      <c r="Y369" s="69">
        <v>91.35</v>
      </c>
      <c r="Z369" t="str">
        <f>IF(AND(Tabla1[[#This Row],[nudo inicial]]=Tabla3[[#This Row],[n1]],Tabla1[[#This Row],[nudo final]]=Tabla3[[#This Row],[n2]],Tabla1[[#This Row],[longitud]]=Tabla3[[#This Row],[long]]),"si","no")</f>
        <v>si</v>
      </c>
    </row>
    <row r="370" spans="2:26" ht="15.75" x14ac:dyDescent="0.25">
      <c r="B370" t="s">
        <v>397</v>
      </c>
      <c r="C370" t="s">
        <v>399</v>
      </c>
      <c r="D370" s="19">
        <v>165.78</v>
      </c>
      <c r="E370" s="3" t="s">
        <v>23</v>
      </c>
      <c r="F370" s="3" t="s">
        <v>25</v>
      </c>
      <c r="G370" s="8" t="s">
        <v>57</v>
      </c>
      <c r="H370" s="4" t="s">
        <v>23</v>
      </c>
      <c r="I370" s="5">
        <v>1</v>
      </c>
      <c r="J370" s="8" t="s">
        <v>16</v>
      </c>
      <c r="K370" s="4" t="s">
        <v>23</v>
      </c>
      <c r="L370" s="5">
        <v>1</v>
      </c>
      <c r="M370" s="8"/>
      <c r="N370" s="4"/>
      <c r="O370" s="5"/>
      <c r="P370" s="8"/>
      <c r="Q370" s="4"/>
      <c r="R370" s="5"/>
      <c r="W370" s="67" t="s">
        <v>397</v>
      </c>
      <c r="X370" s="68" t="s">
        <v>399</v>
      </c>
      <c r="Y370" s="69">
        <v>165.78</v>
      </c>
      <c r="Z370" t="str">
        <f>IF(AND(Tabla1[[#This Row],[nudo inicial]]=Tabla3[[#This Row],[n1]],Tabla1[[#This Row],[nudo final]]=Tabla3[[#This Row],[n2]],Tabla1[[#This Row],[longitud]]=Tabla3[[#This Row],[long]]),"si","no")</f>
        <v>si</v>
      </c>
    </row>
    <row r="371" spans="2:26" ht="15.75" x14ac:dyDescent="0.25">
      <c r="B371" t="s">
        <v>398</v>
      </c>
      <c r="C371" t="s">
        <v>399</v>
      </c>
      <c r="D371" s="19">
        <v>68.739999999999995</v>
      </c>
      <c r="E371" s="3" t="s">
        <v>23</v>
      </c>
      <c r="F371" s="3" t="s">
        <v>25</v>
      </c>
      <c r="G371" s="8" t="s">
        <v>58</v>
      </c>
      <c r="H371" s="4" t="s">
        <v>23</v>
      </c>
      <c r="I371" s="5">
        <v>1</v>
      </c>
      <c r="J371" s="8"/>
      <c r="K371" s="4"/>
      <c r="L371" s="5"/>
      <c r="M371" s="8"/>
      <c r="N371" s="4"/>
      <c r="O371" s="5"/>
      <c r="P371" s="8"/>
      <c r="Q371" s="4"/>
      <c r="R371" s="5"/>
      <c r="W371" s="67" t="s">
        <v>398</v>
      </c>
      <c r="X371" s="68" t="s">
        <v>399</v>
      </c>
      <c r="Y371" s="69">
        <v>68.739999999999995</v>
      </c>
      <c r="Z371" t="str">
        <f>IF(AND(Tabla1[[#This Row],[nudo inicial]]=Tabla3[[#This Row],[n1]],Tabla1[[#This Row],[nudo final]]=Tabla3[[#This Row],[n2]],Tabla1[[#This Row],[longitud]]=Tabla3[[#This Row],[long]]),"si","no")</f>
        <v>si</v>
      </c>
    </row>
    <row r="372" spans="2:26" ht="15.75" x14ac:dyDescent="0.25">
      <c r="B372" t="s">
        <v>399</v>
      </c>
      <c r="C372" t="s">
        <v>357</v>
      </c>
      <c r="D372" s="19">
        <v>25.06</v>
      </c>
      <c r="E372" s="3" t="s">
        <v>23</v>
      </c>
      <c r="F372" s="3" t="s">
        <v>25</v>
      </c>
      <c r="G372" s="8" t="s">
        <v>57</v>
      </c>
      <c r="H372" s="4" t="s">
        <v>23</v>
      </c>
      <c r="I372" s="5">
        <v>1</v>
      </c>
      <c r="J372" s="8"/>
      <c r="K372" s="4"/>
      <c r="L372" s="5"/>
      <c r="M372" s="8"/>
      <c r="N372" s="4"/>
      <c r="O372" s="5"/>
      <c r="P372" s="8"/>
      <c r="Q372" s="4"/>
      <c r="R372" s="5"/>
      <c r="W372" s="67" t="s">
        <v>399</v>
      </c>
      <c r="X372" s="68" t="s">
        <v>357</v>
      </c>
      <c r="Y372" s="69">
        <v>25.06</v>
      </c>
      <c r="Z372" t="str">
        <f>IF(AND(Tabla1[[#This Row],[nudo inicial]]=Tabla3[[#This Row],[n1]],Tabla1[[#This Row],[nudo final]]=Tabla3[[#This Row],[n2]],Tabla1[[#This Row],[longitud]]=Tabla3[[#This Row],[long]]),"si","no")</f>
        <v>si</v>
      </c>
    </row>
    <row r="373" spans="2:26" ht="15.75" x14ac:dyDescent="0.25">
      <c r="B373" t="s">
        <v>396</v>
      </c>
      <c r="C373" t="s">
        <v>400</v>
      </c>
      <c r="D373" s="19">
        <v>120.2</v>
      </c>
      <c r="E373" s="3" t="s">
        <v>23</v>
      </c>
      <c r="F373" s="3" t="s">
        <v>25</v>
      </c>
      <c r="G373" s="8" t="s">
        <v>58</v>
      </c>
      <c r="H373" s="4" t="s">
        <v>126</v>
      </c>
      <c r="I373" s="5">
        <v>1</v>
      </c>
      <c r="J373" s="8" t="s">
        <v>15</v>
      </c>
      <c r="K373" s="4" t="s">
        <v>23</v>
      </c>
      <c r="L373" s="5">
        <v>1</v>
      </c>
      <c r="M373" s="8"/>
      <c r="N373" s="4"/>
      <c r="O373" s="5"/>
      <c r="P373" s="8"/>
      <c r="Q373" s="4"/>
      <c r="R373" s="5"/>
      <c r="W373" s="67" t="s">
        <v>396</v>
      </c>
      <c r="X373" s="68" t="s">
        <v>400</v>
      </c>
      <c r="Y373" s="69">
        <v>120.2</v>
      </c>
      <c r="Z373" t="str">
        <f>IF(AND(Tabla1[[#This Row],[nudo inicial]]=Tabla3[[#This Row],[n1]],Tabla1[[#This Row],[nudo final]]=Tabla3[[#This Row],[n2]],Tabla1[[#This Row],[longitud]]=Tabla3[[#This Row],[long]]),"si","no")</f>
        <v>si</v>
      </c>
    </row>
    <row r="374" spans="2:26" ht="15.75" x14ac:dyDescent="0.25">
      <c r="B374" t="s">
        <v>400</v>
      </c>
      <c r="C374" t="s">
        <v>401</v>
      </c>
      <c r="D374" s="19">
        <v>77.260000000000005</v>
      </c>
      <c r="E374" s="3" t="s">
        <v>53</v>
      </c>
      <c r="F374" s="3" t="s">
        <v>25</v>
      </c>
      <c r="G374" s="8" t="s">
        <v>58</v>
      </c>
      <c r="H374" s="4" t="s">
        <v>23</v>
      </c>
      <c r="I374" s="5">
        <v>1</v>
      </c>
      <c r="J374" s="8" t="s">
        <v>15</v>
      </c>
      <c r="K374" s="4" t="s">
        <v>53</v>
      </c>
      <c r="L374" s="5">
        <v>1</v>
      </c>
      <c r="M374" s="8" t="s">
        <v>32</v>
      </c>
      <c r="N374" s="4" t="s">
        <v>53</v>
      </c>
      <c r="O374" s="5">
        <v>1</v>
      </c>
      <c r="P374" s="8" t="s">
        <v>16</v>
      </c>
      <c r="Q374" s="4" t="s">
        <v>53</v>
      </c>
      <c r="R374" s="5">
        <v>1</v>
      </c>
      <c r="S374" t="s">
        <v>17</v>
      </c>
      <c r="T374" t="s">
        <v>53</v>
      </c>
      <c r="U374">
        <v>1</v>
      </c>
      <c r="W374" s="67" t="s">
        <v>400</v>
      </c>
      <c r="X374" s="68" t="s">
        <v>401</v>
      </c>
      <c r="Y374" s="69">
        <v>77.260000000000005</v>
      </c>
      <c r="Z374" t="str">
        <f>IF(AND(Tabla1[[#This Row],[nudo inicial]]=Tabla3[[#This Row],[n1]],Tabla1[[#This Row],[nudo final]]=Tabla3[[#This Row],[n2]],Tabla1[[#This Row],[longitud]]=Tabla3[[#This Row],[long]]),"si","no")</f>
        <v>si</v>
      </c>
    </row>
    <row r="375" spans="2:26" ht="15.75" x14ac:dyDescent="0.25">
      <c r="B375" t="s">
        <v>400</v>
      </c>
      <c r="C375" t="s">
        <v>402</v>
      </c>
      <c r="D375" s="19">
        <v>26.03</v>
      </c>
      <c r="E375" s="3" t="s">
        <v>23</v>
      </c>
      <c r="F375" s="3" t="s">
        <v>25</v>
      </c>
      <c r="G375" s="8" t="s">
        <v>57</v>
      </c>
      <c r="H375" s="4" t="s">
        <v>23</v>
      </c>
      <c r="I375" s="5">
        <v>1</v>
      </c>
      <c r="J375" s="8" t="s">
        <v>16</v>
      </c>
      <c r="K375" s="4" t="s">
        <v>23</v>
      </c>
      <c r="L375" s="5">
        <v>2</v>
      </c>
      <c r="M375" s="8"/>
      <c r="N375" s="4"/>
      <c r="O375" s="5"/>
      <c r="P375" s="8"/>
      <c r="Q375" s="4"/>
      <c r="R375" s="5"/>
      <c r="W375" s="67" t="s">
        <v>400</v>
      </c>
      <c r="X375" s="68" t="s">
        <v>402</v>
      </c>
      <c r="Y375" s="69">
        <v>26.03</v>
      </c>
      <c r="Z375" t="str">
        <f>IF(AND(Tabla1[[#This Row],[nudo inicial]]=Tabla3[[#This Row],[n1]],Tabla1[[#This Row],[nudo final]]=Tabla3[[#This Row],[n2]],Tabla1[[#This Row],[longitud]]=Tabla3[[#This Row],[long]]),"si","no")</f>
        <v>si</v>
      </c>
    </row>
    <row r="376" spans="2:26" ht="15.75" x14ac:dyDescent="0.25">
      <c r="B376" t="s">
        <v>398</v>
      </c>
      <c r="C376" t="s">
        <v>402</v>
      </c>
      <c r="D376" s="19">
        <v>90.85</v>
      </c>
      <c r="E376" s="3" t="s">
        <v>23</v>
      </c>
      <c r="F376" s="3" t="s">
        <v>25</v>
      </c>
      <c r="G376" s="8" t="s">
        <v>57</v>
      </c>
      <c r="H376" s="4" t="s">
        <v>23</v>
      </c>
      <c r="I376" s="5">
        <v>1</v>
      </c>
      <c r="J376" s="8"/>
      <c r="K376" s="4"/>
      <c r="L376" s="5"/>
      <c r="M376" s="8"/>
      <c r="N376" s="4"/>
      <c r="O376" s="5"/>
      <c r="P376" s="8"/>
      <c r="Q376" s="4"/>
      <c r="R376" s="5"/>
      <c r="W376" s="67" t="s">
        <v>398</v>
      </c>
      <c r="X376" s="68" t="s">
        <v>402</v>
      </c>
      <c r="Y376" s="69">
        <v>90.85</v>
      </c>
      <c r="Z376" t="str">
        <f>IF(AND(Tabla1[[#This Row],[nudo inicial]]=Tabla3[[#This Row],[n1]],Tabla1[[#This Row],[nudo final]]=Tabla3[[#This Row],[n2]],Tabla1[[#This Row],[longitud]]=Tabla3[[#This Row],[long]]),"si","no")</f>
        <v>si</v>
      </c>
    </row>
    <row r="377" spans="2:26" ht="15.75" x14ac:dyDescent="0.25">
      <c r="B377" t="s">
        <v>402</v>
      </c>
      <c r="C377" t="s">
        <v>403</v>
      </c>
      <c r="D377" s="19">
        <v>40.299999999999997</v>
      </c>
      <c r="E377" s="3" t="s">
        <v>23</v>
      </c>
      <c r="F377" s="3" t="s">
        <v>25</v>
      </c>
      <c r="G377" s="8" t="s">
        <v>57</v>
      </c>
      <c r="H377" s="4" t="s">
        <v>23</v>
      </c>
      <c r="I377" s="5">
        <v>1</v>
      </c>
      <c r="J377" s="8"/>
      <c r="K377" s="4"/>
      <c r="L377" s="5"/>
      <c r="M377" s="8"/>
      <c r="N377" s="4"/>
      <c r="O377" s="5"/>
      <c r="P377" s="8"/>
      <c r="Q377" s="4"/>
      <c r="R377" s="5"/>
      <c r="W377" s="67" t="s">
        <v>402</v>
      </c>
      <c r="X377" s="68" t="s">
        <v>403</v>
      </c>
      <c r="Y377" s="69">
        <v>40.299999999999997</v>
      </c>
      <c r="Z377" t="str">
        <f>IF(AND(Tabla1[[#This Row],[nudo inicial]]=Tabla3[[#This Row],[n1]],Tabla1[[#This Row],[nudo final]]=Tabla3[[#This Row],[n2]],Tabla1[[#This Row],[longitud]]=Tabla3[[#This Row],[long]]),"si","no")</f>
        <v>si</v>
      </c>
    </row>
    <row r="378" spans="2:26" ht="15.75" x14ac:dyDescent="0.25">
      <c r="B378" t="s">
        <v>357</v>
      </c>
      <c r="C378" t="s">
        <v>348</v>
      </c>
      <c r="D378" s="19">
        <v>35.39</v>
      </c>
      <c r="E378" s="3" t="s">
        <v>23</v>
      </c>
      <c r="F378" s="3" t="s">
        <v>25</v>
      </c>
      <c r="G378" s="8" t="s">
        <v>57</v>
      </c>
      <c r="H378" s="4" t="s">
        <v>23</v>
      </c>
      <c r="I378" s="5">
        <v>1</v>
      </c>
      <c r="J378" s="8"/>
      <c r="K378" s="4"/>
      <c r="L378" s="5"/>
      <c r="M378" s="8"/>
      <c r="N378" s="4"/>
      <c r="O378" s="5"/>
      <c r="P378" s="8"/>
      <c r="Q378" s="4"/>
      <c r="R378" s="5"/>
      <c r="W378" s="67" t="s">
        <v>357</v>
      </c>
      <c r="X378" s="68" t="s">
        <v>348</v>
      </c>
      <c r="Y378" s="69">
        <v>35.39</v>
      </c>
      <c r="Z378" t="str">
        <f>IF(AND(Tabla1[[#This Row],[nudo inicial]]=Tabla3[[#This Row],[n1]],Tabla1[[#This Row],[nudo final]]=Tabla3[[#This Row],[n2]],Tabla1[[#This Row],[longitud]]=Tabla3[[#This Row],[long]]),"si","no")</f>
        <v>si</v>
      </c>
    </row>
    <row r="379" spans="2:26" ht="15.75" x14ac:dyDescent="0.25">
      <c r="B379" t="s">
        <v>348</v>
      </c>
      <c r="C379" t="s">
        <v>403</v>
      </c>
      <c r="D379" s="19">
        <v>122.44</v>
      </c>
      <c r="E379" s="3" t="s">
        <v>23</v>
      </c>
      <c r="F379" s="3" t="s">
        <v>25</v>
      </c>
      <c r="G379" s="8" t="s">
        <v>57</v>
      </c>
      <c r="H379" s="4" t="s">
        <v>23</v>
      </c>
      <c r="I379" s="5">
        <v>1</v>
      </c>
      <c r="J379" s="8"/>
      <c r="K379" s="4"/>
      <c r="L379" s="5"/>
      <c r="M379" s="8"/>
      <c r="N379" s="4"/>
      <c r="O379" s="5"/>
      <c r="P379" s="8"/>
      <c r="Q379" s="4"/>
      <c r="R379" s="5"/>
      <c r="W379" s="67" t="s">
        <v>348</v>
      </c>
      <c r="X379" s="68" t="s">
        <v>403</v>
      </c>
      <c r="Y379" s="69">
        <v>122.44</v>
      </c>
      <c r="Z379" t="str">
        <f>IF(AND(Tabla1[[#This Row],[nudo inicial]]=Tabla3[[#This Row],[n1]],Tabla1[[#This Row],[nudo final]]=Tabla3[[#This Row],[n2]],Tabla1[[#This Row],[longitud]]=Tabla3[[#This Row],[long]]),"si","no")</f>
        <v>si</v>
      </c>
    </row>
    <row r="380" spans="2:26" ht="15.75" x14ac:dyDescent="0.25">
      <c r="B380" t="s">
        <v>403</v>
      </c>
      <c r="C380" t="s">
        <v>404</v>
      </c>
      <c r="D380" s="19">
        <v>97.56</v>
      </c>
      <c r="E380" s="3" t="s">
        <v>23</v>
      </c>
      <c r="F380" s="3" t="s">
        <v>25</v>
      </c>
      <c r="G380" s="8" t="s">
        <v>57</v>
      </c>
      <c r="H380" s="4" t="s">
        <v>23</v>
      </c>
      <c r="I380" s="5">
        <v>1</v>
      </c>
      <c r="J380" s="8" t="s">
        <v>32</v>
      </c>
      <c r="K380" s="4" t="s">
        <v>23</v>
      </c>
      <c r="L380" s="5">
        <v>1</v>
      </c>
      <c r="M380" s="8"/>
      <c r="N380" s="4"/>
      <c r="O380" s="5"/>
      <c r="P380" s="8"/>
      <c r="Q380" s="4"/>
      <c r="R380" s="5"/>
      <c r="W380" s="67" t="s">
        <v>403</v>
      </c>
      <c r="X380" s="68" t="s">
        <v>404</v>
      </c>
      <c r="Y380" s="69">
        <v>97.56</v>
      </c>
      <c r="Z380" t="str">
        <f>IF(AND(Tabla1[[#This Row],[nudo inicial]]=Tabla3[[#This Row],[n1]],Tabla1[[#This Row],[nudo final]]=Tabla3[[#This Row],[n2]],Tabla1[[#This Row],[longitud]]=Tabla3[[#This Row],[long]]),"si","no")</f>
        <v>si</v>
      </c>
    </row>
    <row r="381" spans="2:26" ht="15.75" x14ac:dyDescent="0.25">
      <c r="B381" t="s">
        <v>404</v>
      </c>
      <c r="C381" t="s">
        <v>405</v>
      </c>
      <c r="D381" s="19">
        <v>60.54</v>
      </c>
      <c r="E381" s="3" t="s">
        <v>23</v>
      </c>
      <c r="F381" s="3" t="s">
        <v>25</v>
      </c>
      <c r="G381" s="8" t="s">
        <v>58</v>
      </c>
      <c r="H381" s="4" t="s">
        <v>23</v>
      </c>
      <c r="I381" s="5">
        <v>1</v>
      </c>
      <c r="J381" s="8"/>
      <c r="K381" s="4"/>
      <c r="L381" s="5"/>
      <c r="M381" s="8"/>
      <c r="N381" s="4"/>
      <c r="O381" s="5"/>
      <c r="P381" s="8"/>
      <c r="Q381" s="4"/>
      <c r="R381" s="5"/>
      <c r="W381" s="67" t="s">
        <v>404</v>
      </c>
      <c r="X381" s="68" t="s">
        <v>405</v>
      </c>
      <c r="Y381" s="69">
        <v>60.54</v>
      </c>
      <c r="Z381" t="str">
        <f>IF(AND(Tabla1[[#This Row],[nudo inicial]]=Tabla3[[#This Row],[n1]],Tabla1[[#This Row],[nudo final]]=Tabla3[[#This Row],[n2]],Tabla1[[#This Row],[longitud]]=Tabla3[[#This Row],[long]]),"si","no")</f>
        <v>si</v>
      </c>
    </row>
    <row r="382" spans="2:26" ht="15.75" x14ac:dyDescent="0.25">
      <c r="B382" t="s">
        <v>405</v>
      </c>
      <c r="C382" t="s">
        <v>406</v>
      </c>
      <c r="D382" s="19">
        <v>34.83</v>
      </c>
      <c r="E382" s="3" t="s">
        <v>56</v>
      </c>
      <c r="F382" s="3" t="s">
        <v>27</v>
      </c>
      <c r="G382" s="8" t="s">
        <v>58</v>
      </c>
      <c r="H382" s="4" t="s">
        <v>23</v>
      </c>
      <c r="I382" s="5">
        <v>1</v>
      </c>
      <c r="J382" s="8" t="s">
        <v>15</v>
      </c>
      <c r="K382" s="4" t="s">
        <v>56</v>
      </c>
      <c r="L382" s="5">
        <v>1</v>
      </c>
      <c r="M382" s="8" t="s">
        <v>17</v>
      </c>
      <c r="N382" s="4" t="s">
        <v>56</v>
      </c>
      <c r="O382" s="5">
        <v>1</v>
      </c>
      <c r="P382" s="8"/>
      <c r="Q382" s="4"/>
      <c r="R382" s="5"/>
      <c r="W382" s="67" t="s">
        <v>405</v>
      </c>
      <c r="X382" s="68" t="s">
        <v>406</v>
      </c>
      <c r="Y382" s="69">
        <v>34.83</v>
      </c>
      <c r="Z382" t="str">
        <f>IF(AND(Tabla1[[#This Row],[nudo inicial]]=Tabla3[[#This Row],[n1]],Tabla1[[#This Row],[nudo final]]=Tabla3[[#This Row],[n2]],Tabla1[[#This Row],[longitud]]=Tabla3[[#This Row],[long]]),"si","no")</f>
        <v>si</v>
      </c>
    </row>
    <row r="383" spans="2:26" ht="15.75" x14ac:dyDescent="0.25">
      <c r="B383" t="s">
        <v>405</v>
      </c>
      <c r="C383" t="s">
        <v>407</v>
      </c>
      <c r="D383" s="19">
        <v>42.28</v>
      </c>
      <c r="E383" s="3" t="s">
        <v>23</v>
      </c>
      <c r="F383" s="3" t="s">
        <v>25</v>
      </c>
      <c r="G383" s="8" t="s">
        <v>57</v>
      </c>
      <c r="H383" s="4" t="s">
        <v>23</v>
      </c>
      <c r="I383" s="5">
        <v>1</v>
      </c>
      <c r="J383" s="8"/>
      <c r="K383" s="4"/>
      <c r="L383" s="5"/>
      <c r="M383" s="8"/>
      <c r="N383" s="4"/>
      <c r="O383" s="5"/>
      <c r="P383" s="8"/>
      <c r="Q383" s="4"/>
      <c r="R383" s="5"/>
      <c r="W383" s="67" t="s">
        <v>405</v>
      </c>
      <c r="X383" s="68" t="s">
        <v>407</v>
      </c>
      <c r="Y383" s="69">
        <v>42.28</v>
      </c>
      <c r="Z383" t="str">
        <f>IF(AND(Tabla1[[#This Row],[nudo inicial]]=Tabla3[[#This Row],[n1]],Tabla1[[#This Row],[nudo final]]=Tabla3[[#This Row],[n2]],Tabla1[[#This Row],[longitud]]=Tabla3[[#This Row],[long]]),"si","no")</f>
        <v>si</v>
      </c>
    </row>
    <row r="384" spans="2:26" ht="15.75" x14ac:dyDescent="0.25">
      <c r="B384" t="s">
        <v>407</v>
      </c>
      <c r="C384" t="s">
        <v>408</v>
      </c>
      <c r="D384" s="19">
        <v>40.229999999999997</v>
      </c>
      <c r="E384" s="3" t="s">
        <v>56</v>
      </c>
      <c r="F384" s="3" t="s">
        <v>27</v>
      </c>
      <c r="G384" s="8" t="s">
        <v>58</v>
      </c>
      <c r="H384" s="4" t="s">
        <v>23</v>
      </c>
      <c r="I384" s="5">
        <v>1</v>
      </c>
      <c r="J384" s="8" t="s">
        <v>15</v>
      </c>
      <c r="K384" s="4" t="s">
        <v>56</v>
      </c>
      <c r="L384" s="5">
        <v>1</v>
      </c>
      <c r="M384" s="8" t="s">
        <v>17</v>
      </c>
      <c r="N384" s="4" t="s">
        <v>56</v>
      </c>
      <c r="O384" s="5">
        <v>1</v>
      </c>
      <c r="P384" s="8"/>
      <c r="Q384" s="4"/>
      <c r="R384" s="5"/>
      <c r="W384" s="67" t="s">
        <v>407</v>
      </c>
      <c r="X384" s="68" t="s">
        <v>408</v>
      </c>
      <c r="Y384" s="69">
        <v>40.229999999999997</v>
      </c>
      <c r="Z384" t="str">
        <f>IF(AND(Tabla1[[#This Row],[nudo inicial]]=Tabla3[[#This Row],[n1]],Tabla1[[#This Row],[nudo final]]=Tabla3[[#This Row],[n2]],Tabla1[[#This Row],[longitud]]=Tabla3[[#This Row],[long]]),"si","no")</f>
        <v>si</v>
      </c>
    </row>
    <row r="385" spans="1:26" ht="15.75" x14ac:dyDescent="0.25">
      <c r="B385" t="s">
        <v>407</v>
      </c>
      <c r="C385" t="s">
        <v>409</v>
      </c>
      <c r="D385" s="19">
        <v>136.86000000000001</v>
      </c>
      <c r="E385" s="3" t="s">
        <v>23</v>
      </c>
      <c r="F385" s="3" t="s">
        <v>25</v>
      </c>
      <c r="G385" s="8" t="s">
        <v>57</v>
      </c>
      <c r="H385" s="4" t="s">
        <v>23</v>
      </c>
      <c r="I385" s="5">
        <v>1</v>
      </c>
      <c r="J385" s="8"/>
      <c r="K385" s="4"/>
      <c r="L385" s="5"/>
      <c r="M385" s="8"/>
      <c r="N385" s="4"/>
      <c r="O385" s="5"/>
      <c r="P385" s="8"/>
      <c r="Q385" s="4"/>
      <c r="R385" s="5"/>
      <c r="W385" s="67" t="s">
        <v>407</v>
      </c>
      <c r="X385" s="68" t="s">
        <v>409</v>
      </c>
      <c r="Y385" s="69">
        <v>136.86000000000001</v>
      </c>
      <c r="Z385" t="str">
        <f>IF(AND(Tabla1[[#This Row],[nudo inicial]]=Tabla3[[#This Row],[n1]],Tabla1[[#This Row],[nudo final]]=Tabla3[[#This Row],[n2]],Tabla1[[#This Row],[longitud]]=Tabla3[[#This Row],[long]]),"si","no")</f>
        <v>si</v>
      </c>
    </row>
    <row r="386" spans="1:26" ht="15.75" x14ac:dyDescent="0.25">
      <c r="B386" t="s">
        <v>409</v>
      </c>
      <c r="C386" t="s">
        <v>410</v>
      </c>
      <c r="D386" s="19">
        <v>69.08</v>
      </c>
      <c r="E386" s="3" t="s">
        <v>53</v>
      </c>
      <c r="F386" s="3" t="s">
        <v>25</v>
      </c>
      <c r="G386" s="8" t="s">
        <v>58</v>
      </c>
      <c r="H386" s="4" t="s">
        <v>23</v>
      </c>
      <c r="I386" s="5">
        <v>1</v>
      </c>
      <c r="J386" s="8" t="s">
        <v>15</v>
      </c>
      <c r="K386" s="4" t="s">
        <v>53</v>
      </c>
      <c r="L386" s="5">
        <v>1</v>
      </c>
      <c r="M386" s="8" t="s">
        <v>32</v>
      </c>
      <c r="N386" s="4" t="s">
        <v>53</v>
      </c>
      <c r="O386" s="5">
        <v>1</v>
      </c>
      <c r="P386" s="8"/>
      <c r="Q386" s="4"/>
      <c r="R386" s="5"/>
      <c r="W386" s="67" t="s">
        <v>409</v>
      </c>
      <c r="X386" s="68" t="s">
        <v>410</v>
      </c>
      <c r="Y386" s="69">
        <v>69.08</v>
      </c>
      <c r="Z386" t="str">
        <f>IF(AND(Tabla1[[#This Row],[nudo inicial]]=Tabla3[[#This Row],[n1]],Tabla1[[#This Row],[nudo final]]=Tabla3[[#This Row],[n2]],Tabla1[[#This Row],[longitud]]=Tabla3[[#This Row],[long]]),"si","no")</f>
        <v>si</v>
      </c>
    </row>
    <row r="387" spans="1:26" ht="15.75" x14ac:dyDescent="0.25">
      <c r="B387" t="s">
        <v>410</v>
      </c>
      <c r="C387" t="s">
        <v>411</v>
      </c>
      <c r="D387" s="19">
        <v>12.85</v>
      </c>
      <c r="E387" s="3" t="s">
        <v>53</v>
      </c>
      <c r="F387" s="3" t="s">
        <v>25</v>
      </c>
      <c r="G387" s="8" t="s">
        <v>58</v>
      </c>
      <c r="H387" s="4" t="s">
        <v>53</v>
      </c>
      <c r="I387" s="5">
        <v>1</v>
      </c>
      <c r="J387" s="8" t="s">
        <v>17</v>
      </c>
      <c r="K387" s="4" t="s">
        <v>53</v>
      </c>
      <c r="L387" s="5">
        <v>1</v>
      </c>
      <c r="M387" s="8"/>
      <c r="N387" s="4"/>
      <c r="O387" s="5"/>
      <c r="P387" s="8"/>
      <c r="Q387" s="4"/>
      <c r="R387" s="5"/>
      <c r="W387" s="67" t="s">
        <v>410</v>
      </c>
      <c r="X387" s="68" t="s">
        <v>411</v>
      </c>
      <c r="Y387" s="69">
        <v>12.85</v>
      </c>
      <c r="Z387" t="str">
        <f>IF(AND(Tabla1[[#This Row],[nudo inicial]]=Tabla3[[#This Row],[n1]],Tabla1[[#This Row],[nudo final]]=Tabla3[[#This Row],[n2]],Tabla1[[#This Row],[longitud]]=Tabla3[[#This Row],[long]]),"si","no")</f>
        <v>si</v>
      </c>
    </row>
    <row r="388" spans="1:26" ht="15.75" x14ac:dyDescent="0.25">
      <c r="B388" t="s">
        <v>410</v>
      </c>
      <c r="C388" t="s">
        <v>412</v>
      </c>
      <c r="D388" s="19">
        <v>13.19</v>
      </c>
      <c r="E388" s="3" t="s">
        <v>53</v>
      </c>
      <c r="F388" s="3" t="s">
        <v>25</v>
      </c>
      <c r="G388" s="8" t="s">
        <v>58</v>
      </c>
      <c r="H388" s="4" t="s">
        <v>53</v>
      </c>
      <c r="I388" s="5">
        <v>1</v>
      </c>
      <c r="J388" s="8" t="s">
        <v>17</v>
      </c>
      <c r="K388" s="4" t="s">
        <v>53</v>
      </c>
      <c r="L388" s="5">
        <v>1</v>
      </c>
      <c r="M388" s="8"/>
      <c r="N388" s="4"/>
      <c r="O388" s="5"/>
      <c r="P388" s="8"/>
      <c r="Q388" s="4"/>
      <c r="R388" s="5"/>
      <c r="W388" s="67" t="s">
        <v>410</v>
      </c>
      <c r="X388" s="68" t="s">
        <v>412</v>
      </c>
      <c r="Y388" s="69">
        <v>13.19</v>
      </c>
      <c r="Z388" t="str">
        <f>IF(AND(Tabla1[[#This Row],[nudo inicial]]=Tabla3[[#This Row],[n1]],Tabla1[[#This Row],[nudo final]]=Tabla3[[#This Row],[n2]],Tabla1[[#This Row],[longitud]]=Tabla3[[#This Row],[long]]),"si","no")</f>
        <v>si</v>
      </c>
    </row>
    <row r="389" spans="1:26" ht="15.75" x14ac:dyDescent="0.25">
      <c r="B389" t="s">
        <v>409</v>
      </c>
      <c r="C389" t="s">
        <v>413</v>
      </c>
      <c r="D389" s="19">
        <v>159.36000000000001</v>
      </c>
      <c r="E389" s="3" t="s">
        <v>23</v>
      </c>
      <c r="F389" s="3" t="s">
        <v>25</v>
      </c>
      <c r="G389" s="8" t="s">
        <v>57</v>
      </c>
      <c r="H389" s="4" t="s">
        <v>23</v>
      </c>
      <c r="I389" s="5">
        <v>1</v>
      </c>
      <c r="J389" s="8" t="s">
        <v>16</v>
      </c>
      <c r="K389" s="4" t="s">
        <v>23</v>
      </c>
      <c r="L389" s="5">
        <v>1</v>
      </c>
      <c r="M389" s="8" t="s">
        <v>32</v>
      </c>
      <c r="N389" s="4" t="s">
        <v>23</v>
      </c>
      <c r="O389" s="5">
        <v>1</v>
      </c>
      <c r="P389" s="8"/>
      <c r="Q389" s="4"/>
      <c r="R389" s="5"/>
      <c r="W389" s="67" t="s">
        <v>409</v>
      </c>
      <c r="X389" s="68" t="s">
        <v>413</v>
      </c>
      <c r="Y389" s="69">
        <v>159.36000000000001</v>
      </c>
      <c r="Z389" t="str">
        <f>IF(AND(Tabla1[[#This Row],[nudo inicial]]=Tabla3[[#This Row],[n1]],Tabla1[[#This Row],[nudo final]]=Tabla3[[#This Row],[n2]],Tabla1[[#This Row],[longitud]]=Tabla3[[#This Row],[long]]),"si","no")</f>
        <v>si</v>
      </c>
    </row>
    <row r="390" spans="1:26" ht="15.75" x14ac:dyDescent="0.25">
      <c r="B390" t="s">
        <v>413</v>
      </c>
      <c r="C390" t="s">
        <v>414</v>
      </c>
      <c r="D390" s="19">
        <v>80.23</v>
      </c>
      <c r="E390" s="3" t="s">
        <v>53</v>
      </c>
      <c r="F390" s="3" t="s">
        <v>25</v>
      </c>
      <c r="G390" s="8" t="s">
        <v>58</v>
      </c>
      <c r="H390" s="4" t="s">
        <v>23</v>
      </c>
      <c r="I390" s="5">
        <v>1</v>
      </c>
      <c r="J390" s="8" t="s">
        <v>15</v>
      </c>
      <c r="K390" s="4" t="s">
        <v>53</v>
      </c>
      <c r="L390" s="5">
        <v>1</v>
      </c>
      <c r="M390" s="8" t="s">
        <v>32</v>
      </c>
      <c r="N390" s="4" t="s">
        <v>53</v>
      </c>
      <c r="O390" s="5">
        <v>1</v>
      </c>
      <c r="P390" s="8" t="s">
        <v>17</v>
      </c>
      <c r="Q390" s="4" t="s">
        <v>53</v>
      </c>
      <c r="R390" s="5">
        <v>1</v>
      </c>
      <c r="W390" s="67" t="s">
        <v>413</v>
      </c>
      <c r="X390" s="68" t="s">
        <v>414</v>
      </c>
      <c r="Y390" s="69">
        <v>80.23</v>
      </c>
      <c r="Z390" t="str">
        <f>IF(AND(Tabla1[[#This Row],[nudo inicial]]=Tabla3[[#This Row],[n1]],Tabla1[[#This Row],[nudo final]]=Tabla3[[#This Row],[n2]],Tabla1[[#This Row],[longitud]]=Tabla3[[#This Row],[long]]),"si","no")</f>
        <v>si</v>
      </c>
    </row>
    <row r="391" spans="1:26" ht="15.75" x14ac:dyDescent="0.25">
      <c r="B391" t="s">
        <v>413</v>
      </c>
      <c r="C391" t="s">
        <v>415</v>
      </c>
      <c r="D391" s="19">
        <v>163.66999999999999</v>
      </c>
      <c r="E391" s="3" t="s">
        <v>23</v>
      </c>
      <c r="F391" s="3" t="s">
        <v>25</v>
      </c>
      <c r="G391" s="8" t="s">
        <v>57</v>
      </c>
      <c r="H391" s="4" t="s">
        <v>23</v>
      </c>
      <c r="I391" s="5">
        <v>1</v>
      </c>
      <c r="J391" s="8"/>
      <c r="K391" s="4"/>
      <c r="L391" s="5"/>
      <c r="M391" s="8"/>
      <c r="N391" s="4"/>
      <c r="O391" s="5"/>
      <c r="P391" s="8"/>
      <c r="Q391" s="4"/>
      <c r="R391" s="5"/>
      <c r="W391" s="67" t="s">
        <v>413</v>
      </c>
      <c r="X391" s="68" t="s">
        <v>415</v>
      </c>
      <c r="Y391" s="69">
        <v>163.66999999999999</v>
      </c>
      <c r="Z391" t="str">
        <f>IF(AND(Tabla1[[#This Row],[nudo inicial]]=Tabla3[[#This Row],[n1]],Tabla1[[#This Row],[nudo final]]=Tabla3[[#This Row],[n2]],Tabla1[[#This Row],[longitud]]=Tabla3[[#This Row],[long]]),"si","no")</f>
        <v>si</v>
      </c>
    </row>
    <row r="392" spans="1:26" ht="15.75" x14ac:dyDescent="0.25">
      <c r="A392" s="14" t="s">
        <v>324</v>
      </c>
      <c r="B392" t="s">
        <v>323</v>
      </c>
      <c r="C392" t="s">
        <v>416</v>
      </c>
      <c r="D392" s="19">
        <v>44.75</v>
      </c>
      <c r="E392" s="3" t="s">
        <v>23</v>
      </c>
      <c r="F392" s="3" t="s">
        <v>25</v>
      </c>
      <c r="G392" s="8" t="s">
        <v>57</v>
      </c>
      <c r="H392" s="4" t="s">
        <v>23</v>
      </c>
      <c r="I392" s="5">
        <v>1</v>
      </c>
      <c r="J392" s="8" t="s">
        <v>32</v>
      </c>
      <c r="K392" s="4" t="s">
        <v>23</v>
      </c>
      <c r="L392" s="5">
        <v>1</v>
      </c>
      <c r="M392" s="8"/>
      <c r="N392" s="4"/>
      <c r="O392" s="5"/>
      <c r="P392" s="8"/>
      <c r="Q392" s="4"/>
      <c r="R392" s="5"/>
      <c r="W392" s="67" t="s">
        <v>323</v>
      </c>
      <c r="X392" s="68" t="s">
        <v>416</v>
      </c>
      <c r="Y392" s="69">
        <v>44.75</v>
      </c>
      <c r="Z392" t="str">
        <f>IF(AND(Tabla1[[#This Row],[nudo inicial]]=Tabla3[[#This Row],[n1]],Tabla1[[#This Row],[nudo final]]=Tabla3[[#This Row],[n2]],Tabla1[[#This Row],[longitud]]=Tabla3[[#This Row],[long]]),"si","no")</f>
        <v>si</v>
      </c>
    </row>
    <row r="393" spans="1:26" ht="15.75" x14ac:dyDescent="0.25">
      <c r="B393" s="14" t="s">
        <v>416</v>
      </c>
      <c r="C393" s="14" t="s">
        <v>417</v>
      </c>
      <c r="D393" s="20">
        <v>36.86</v>
      </c>
      <c r="E393" s="15" t="s">
        <v>53</v>
      </c>
      <c r="F393" s="15" t="s">
        <v>25</v>
      </c>
      <c r="G393" s="16" t="s">
        <v>58</v>
      </c>
      <c r="H393" s="17" t="s">
        <v>23</v>
      </c>
      <c r="I393" s="18">
        <v>1</v>
      </c>
      <c r="J393" s="16" t="s">
        <v>15</v>
      </c>
      <c r="K393" s="17" t="s">
        <v>53</v>
      </c>
      <c r="L393" s="18">
        <v>1</v>
      </c>
      <c r="M393" s="16" t="s">
        <v>17</v>
      </c>
      <c r="N393" s="17" t="s">
        <v>53</v>
      </c>
      <c r="O393" s="18">
        <v>1</v>
      </c>
      <c r="P393" s="16"/>
      <c r="Q393" s="17"/>
      <c r="R393" s="18"/>
      <c r="S393" s="14"/>
      <c r="T393" s="14"/>
      <c r="U393" s="14"/>
      <c r="W393" s="67" t="s">
        <v>416</v>
      </c>
      <c r="X393" s="68" t="s">
        <v>417</v>
      </c>
      <c r="Y393" s="69">
        <v>36.86</v>
      </c>
      <c r="Z393" t="str">
        <f>IF(AND(Tabla1[[#This Row],[nudo inicial]]=Tabla3[[#This Row],[n1]],Tabla1[[#This Row],[nudo final]]=Tabla3[[#This Row],[n2]],Tabla1[[#This Row],[longitud]]=Tabla3[[#This Row],[long]]),"si","no")</f>
        <v>si</v>
      </c>
    </row>
    <row r="394" spans="1:26" ht="15.75" x14ac:dyDescent="0.25">
      <c r="B394" t="s">
        <v>416</v>
      </c>
      <c r="C394" t="s">
        <v>418</v>
      </c>
      <c r="D394" s="19">
        <v>122.85</v>
      </c>
      <c r="E394" s="3" t="s">
        <v>23</v>
      </c>
      <c r="F394" s="3" t="s">
        <v>25</v>
      </c>
      <c r="G394" s="8" t="s">
        <v>57</v>
      </c>
      <c r="H394" s="4" t="s">
        <v>23</v>
      </c>
      <c r="I394" s="5">
        <v>1</v>
      </c>
      <c r="J394" s="8"/>
      <c r="K394" s="4"/>
      <c r="L394" s="5"/>
      <c r="M394" s="8"/>
      <c r="N394" s="4"/>
      <c r="O394" s="5"/>
      <c r="P394" s="8"/>
      <c r="Q394" s="4"/>
      <c r="R394" s="5"/>
      <c r="W394" s="67" t="s">
        <v>416</v>
      </c>
      <c r="X394" s="68" t="s">
        <v>418</v>
      </c>
      <c r="Y394" s="69">
        <v>122.85</v>
      </c>
      <c r="Z394" t="str">
        <f>IF(AND(Tabla1[[#This Row],[nudo inicial]]=Tabla3[[#This Row],[n1]],Tabla1[[#This Row],[nudo final]]=Tabla3[[#This Row],[n2]],Tabla1[[#This Row],[longitud]]=Tabla3[[#This Row],[long]]),"si","no")</f>
        <v>si</v>
      </c>
    </row>
    <row r="395" spans="1:26" ht="15.75" x14ac:dyDescent="0.25">
      <c r="B395" t="s">
        <v>418</v>
      </c>
      <c r="C395" t="s">
        <v>419</v>
      </c>
      <c r="D395" s="19">
        <v>56.09</v>
      </c>
      <c r="E395" s="3" t="s">
        <v>23</v>
      </c>
      <c r="F395" s="3" t="s">
        <v>25</v>
      </c>
      <c r="G395" s="8" t="s">
        <v>58</v>
      </c>
      <c r="H395" s="4" t="s">
        <v>23</v>
      </c>
      <c r="I395" s="5">
        <v>1</v>
      </c>
      <c r="J395" s="8"/>
      <c r="K395" s="4"/>
      <c r="L395" s="5"/>
      <c r="M395" s="8"/>
      <c r="N395" s="4"/>
      <c r="O395" s="5"/>
      <c r="P395" s="8"/>
      <c r="Q395" s="4"/>
      <c r="R395" s="5"/>
      <c r="W395" s="67" t="s">
        <v>418</v>
      </c>
      <c r="X395" s="68" t="s">
        <v>419</v>
      </c>
      <c r="Y395" s="69">
        <v>56.09</v>
      </c>
      <c r="Z395" t="str">
        <f>IF(AND(Tabla1[[#This Row],[nudo inicial]]=Tabla3[[#This Row],[n1]],Tabla1[[#This Row],[nudo final]]=Tabla3[[#This Row],[n2]],Tabla1[[#This Row],[longitud]]=Tabla3[[#This Row],[long]]),"si","no")</f>
        <v>si</v>
      </c>
    </row>
    <row r="396" spans="1:26" ht="15.75" x14ac:dyDescent="0.25">
      <c r="B396" t="s">
        <v>419</v>
      </c>
      <c r="C396" t="s">
        <v>420</v>
      </c>
      <c r="D396" s="19">
        <v>71.86</v>
      </c>
      <c r="E396" s="3" t="s">
        <v>53</v>
      </c>
      <c r="F396" s="3" t="s">
        <v>25</v>
      </c>
      <c r="G396" s="8" t="s">
        <v>58</v>
      </c>
      <c r="H396" s="4" t="s">
        <v>23</v>
      </c>
      <c r="I396" s="5">
        <v>1</v>
      </c>
      <c r="J396" s="8" t="s">
        <v>15</v>
      </c>
      <c r="K396" s="4" t="s">
        <v>53</v>
      </c>
      <c r="L396" s="5">
        <v>1</v>
      </c>
      <c r="M396" s="8" t="s">
        <v>17</v>
      </c>
      <c r="N396" s="4" t="s">
        <v>53</v>
      </c>
      <c r="O396" s="5">
        <v>1</v>
      </c>
      <c r="P396" s="8"/>
      <c r="Q396" s="4"/>
      <c r="R396" s="5"/>
      <c r="W396" s="67" t="s">
        <v>419</v>
      </c>
      <c r="X396" s="68" t="s">
        <v>420</v>
      </c>
      <c r="Y396" s="69">
        <v>71.86</v>
      </c>
      <c r="Z396" t="str">
        <f>IF(AND(Tabla1[[#This Row],[nudo inicial]]=Tabla3[[#This Row],[n1]],Tabla1[[#This Row],[nudo final]]=Tabla3[[#This Row],[n2]],Tabla1[[#This Row],[longitud]]=Tabla3[[#This Row],[long]]),"si","no")</f>
        <v>si</v>
      </c>
    </row>
    <row r="397" spans="1:26" ht="15.75" x14ac:dyDescent="0.25">
      <c r="B397" t="s">
        <v>419</v>
      </c>
      <c r="C397" t="s">
        <v>421</v>
      </c>
      <c r="D397" s="19">
        <v>44.44</v>
      </c>
      <c r="E397" s="3" t="s">
        <v>23</v>
      </c>
      <c r="F397" s="3" t="s">
        <v>25</v>
      </c>
      <c r="G397" s="8" t="s">
        <v>57</v>
      </c>
      <c r="H397" s="4" t="s">
        <v>23</v>
      </c>
      <c r="I397" s="5">
        <v>1</v>
      </c>
      <c r="J397" s="8"/>
      <c r="K397" s="4"/>
      <c r="L397" s="5"/>
      <c r="M397" s="8"/>
      <c r="N397" s="4"/>
      <c r="O397" s="5"/>
      <c r="P397" s="8"/>
      <c r="Q397" s="4"/>
      <c r="R397" s="5"/>
      <c r="W397" s="67" t="s">
        <v>419</v>
      </c>
      <c r="X397" s="68" t="s">
        <v>421</v>
      </c>
      <c r="Y397" s="69">
        <v>44.44</v>
      </c>
      <c r="Z397" t="str">
        <f>IF(AND(Tabla1[[#This Row],[nudo inicial]]=Tabla3[[#This Row],[n1]],Tabla1[[#This Row],[nudo final]]=Tabla3[[#This Row],[n2]],Tabla1[[#This Row],[longitud]]=Tabla3[[#This Row],[long]]),"si","no")</f>
        <v>si</v>
      </c>
    </row>
    <row r="398" spans="1:26" ht="15.75" x14ac:dyDescent="0.25">
      <c r="B398" t="s">
        <v>421</v>
      </c>
      <c r="C398" t="s">
        <v>422</v>
      </c>
      <c r="D398" s="19">
        <v>64.63</v>
      </c>
      <c r="E398" s="3" t="s">
        <v>53</v>
      </c>
      <c r="F398" s="3" t="s">
        <v>25</v>
      </c>
      <c r="G398" s="8" t="s">
        <v>58</v>
      </c>
      <c r="H398" s="4" t="s">
        <v>23</v>
      </c>
      <c r="I398" s="5">
        <v>1</v>
      </c>
      <c r="J398" s="8" t="s">
        <v>15</v>
      </c>
      <c r="K398" s="4" t="s">
        <v>53</v>
      </c>
      <c r="L398" s="5">
        <v>1</v>
      </c>
      <c r="M398" s="8" t="s">
        <v>17</v>
      </c>
      <c r="N398" s="4" t="s">
        <v>53</v>
      </c>
      <c r="O398" s="5">
        <v>1</v>
      </c>
      <c r="P398" s="8"/>
      <c r="Q398" s="4"/>
      <c r="R398" s="5"/>
      <c r="W398" s="67" t="s">
        <v>421</v>
      </c>
      <c r="X398" s="68" t="s">
        <v>422</v>
      </c>
      <c r="Y398" s="69">
        <v>64.63</v>
      </c>
      <c r="Z398" t="str">
        <f>IF(AND(Tabla1[[#This Row],[nudo inicial]]=Tabla3[[#This Row],[n1]],Tabla1[[#This Row],[nudo final]]=Tabla3[[#This Row],[n2]],Tabla1[[#This Row],[longitud]]=Tabla3[[#This Row],[long]]),"si","no")</f>
        <v>si</v>
      </c>
    </row>
    <row r="399" spans="1:26" ht="15.75" x14ac:dyDescent="0.25">
      <c r="A399" s="14" t="s">
        <v>324</v>
      </c>
      <c r="B399" t="s">
        <v>421</v>
      </c>
      <c r="C399" t="s">
        <v>423</v>
      </c>
      <c r="D399" s="19">
        <v>20.96</v>
      </c>
      <c r="E399" s="3" t="s">
        <v>23</v>
      </c>
      <c r="F399" s="3" t="s">
        <v>25</v>
      </c>
      <c r="G399" s="8" t="s">
        <v>57</v>
      </c>
      <c r="H399" s="4" t="s">
        <v>23</v>
      </c>
      <c r="I399" s="5">
        <v>1</v>
      </c>
      <c r="J399" s="8"/>
      <c r="K399" s="4"/>
      <c r="L399" s="5"/>
      <c r="M399" s="8"/>
      <c r="N399" s="4"/>
      <c r="O399" s="5"/>
      <c r="P399" s="8"/>
      <c r="Q399" s="4"/>
      <c r="R399" s="5"/>
      <c r="W399" s="67" t="s">
        <v>421</v>
      </c>
      <c r="X399" s="68" t="s">
        <v>423</v>
      </c>
      <c r="Y399" s="69">
        <v>20.96</v>
      </c>
      <c r="Z399" t="str">
        <f>IF(AND(Tabla1[[#This Row],[nudo inicial]]=Tabla3[[#This Row],[n1]],Tabla1[[#This Row],[nudo final]]=Tabla3[[#This Row],[n2]],Tabla1[[#This Row],[longitud]]=Tabla3[[#This Row],[long]]),"si","no")</f>
        <v>si</v>
      </c>
    </row>
    <row r="400" spans="1:26" ht="15.75" x14ac:dyDescent="0.25">
      <c r="B400" s="14" t="s">
        <v>423</v>
      </c>
      <c r="C400" s="14" t="s">
        <v>424</v>
      </c>
      <c r="D400" s="20">
        <v>20.28</v>
      </c>
      <c r="E400" s="15" t="s">
        <v>53</v>
      </c>
      <c r="F400" s="15" t="s">
        <v>25</v>
      </c>
      <c r="G400" s="16" t="s">
        <v>58</v>
      </c>
      <c r="H400" s="17" t="s">
        <v>23</v>
      </c>
      <c r="I400" s="18">
        <v>1</v>
      </c>
      <c r="J400" s="16" t="s">
        <v>15</v>
      </c>
      <c r="K400" s="17" t="s">
        <v>53</v>
      </c>
      <c r="L400" s="18">
        <v>1</v>
      </c>
      <c r="M400" s="16" t="s">
        <v>32</v>
      </c>
      <c r="N400" s="17" t="s">
        <v>53</v>
      </c>
      <c r="O400" s="18">
        <v>1</v>
      </c>
      <c r="P400" s="16" t="s">
        <v>17</v>
      </c>
      <c r="Q400" s="17" t="s">
        <v>53</v>
      </c>
      <c r="R400" s="18">
        <v>1</v>
      </c>
      <c r="S400" s="14"/>
      <c r="T400" s="14"/>
      <c r="U400" s="14"/>
      <c r="W400" s="67" t="s">
        <v>423</v>
      </c>
      <c r="X400" s="68" t="s">
        <v>424</v>
      </c>
      <c r="Y400" s="69">
        <v>20.28</v>
      </c>
      <c r="Z400" t="str">
        <f>IF(AND(Tabla1[[#This Row],[nudo inicial]]=Tabla3[[#This Row],[n1]],Tabla1[[#This Row],[nudo final]]=Tabla3[[#This Row],[n2]],Tabla1[[#This Row],[longitud]]=Tabla3[[#This Row],[long]]),"si","no")</f>
        <v>si</v>
      </c>
    </row>
    <row r="401" spans="2:26" ht="15.75" x14ac:dyDescent="0.25">
      <c r="B401" t="s">
        <v>423</v>
      </c>
      <c r="C401" t="s">
        <v>425</v>
      </c>
      <c r="D401" s="19">
        <v>26.62</v>
      </c>
      <c r="E401" s="3" t="s">
        <v>23</v>
      </c>
      <c r="F401" s="3" t="s">
        <v>25</v>
      </c>
      <c r="G401" s="8" t="s">
        <v>57</v>
      </c>
      <c r="H401" s="4" t="s">
        <v>23</v>
      </c>
      <c r="I401" s="5">
        <v>1</v>
      </c>
      <c r="J401" s="8"/>
      <c r="K401" s="4"/>
      <c r="L401" s="5"/>
      <c r="M401" s="8"/>
      <c r="N401" s="4"/>
      <c r="O401" s="5"/>
      <c r="P401" s="8"/>
      <c r="Q401" s="4"/>
      <c r="R401" s="5"/>
      <c r="W401" s="67" t="s">
        <v>423</v>
      </c>
      <c r="X401" s="68" t="s">
        <v>425</v>
      </c>
      <c r="Y401" s="69">
        <v>26.62</v>
      </c>
      <c r="Z401" t="str">
        <f>IF(AND(Tabla1[[#This Row],[nudo inicial]]=Tabla3[[#This Row],[n1]],Tabla1[[#This Row],[nudo final]]=Tabla3[[#This Row],[n2]],Tabla1[[#This Row],[longitud]]=Tabla3[[#This Row],[long]]),"si","no")</f>
        <v>si</v>
      </c>
    </row>
    <row r="402" spans="2:26" ht="15.75" x14ac:dyDescent="0.25">
      <c r="B402" t="s">
        <v>425</v>
      </c>
      <c r="C402" t="s">
        <v>426</v>
      </c>
      <c r="D402" s="19">
        <v>61.35</v>
      </c>
      <c r="E402" s="21" t="s">
        <v>219</v>
      </c>
      <c r="F402" s="3" t="s">
        <v>25</v>
      </c>
      <c r="G402" s="8" t="s">
        <v>58</v>
      </c>
      <c r="H402" s="4" t="s">
        <v>23</v>
      </c>
      <c r="I402" s="5">
        <v>1</v>
      </c>
      <c r="J402" s="8" t="s">
        <v>15</v>
      </c>
      <c r="K402" s="4" t="s">
        <v>219</v>
      </c>
      <c r="L402" s="5">
        <v>1</v>
      </c>
      <c r="M402" s="8" t="s">
        <v>17</v>
      </c>
      <c r="N402" s="4" t="s">
        <v>219</v>
      </c>
      <c r="O402" s="5">
        <v>1</v>
      </c>
      <c r="P402" s="8"/>
      <c r="Q402" s="4"/>
      <c r="R402" s="5"/>
      <c r="W402" s="67" t="s">
        <v>425</v>
      </c>
      <c r="X402" s="68" t="s">
        <v>426</v>
      </c>
      <c r="Y402" s="69">
        <v>61.35</v>
      </c>
      <c r="Z402" t="str">
        <f>IF(AND(Tabla1[[#This Row],[nudo inicial]]=Tabla3[[#This Row],[n1]],Tabla1[[#This Row],[nudo final]]=Tabla3[[#This Row],[n2]],Tabla1[[#This Row],[longitud]]=Tabla3[[#This Row],[long]]),"si","no")</f>
        <v>si</v>
      </c>
    </row>
    <row r="403" spans="2:26" ht="15.75" x14ac:dyDescent="0.25">
      <c r="B403" t="s">
        <v>425</v>
      </c>
      <c r="C403" t="s">
        <v>427</v>
      </c>
      <c r="D403" s="19">
        <v>11.88</v>
      </c>
      <c r="E403" s="3" t="s">
        <v>23</v>
      </c>
      <c r="F403" s="3" t="s">
        <v>25</v>
      </c>
      <c r="G403" s="8" t="s">
        <v>57</v>
      </c>
      <c r="H403" s="4" t="s">
        <v>23</v>
      </c>
      <c r="I403" s="5">
        <v>1</v>
      </c>
      <c r="J403" s="8"/>
      <c r="K403" s="4"/>
      <c r="L403" s="5"/>
      <c r="M403" s="8"/>
      <c r="N403" s="4"/>
      <c r="O403" s="5"/>
      <c r="P403" s="8"/>
      <c r="Q403" s="4"/>
      <c r="R403" s="5"/>
      <c r="W403" s="67" t="s">
        <v>425</v>
      </c>
      <c r="X403" s="68" t="s">
        <v>427</v>
      </c>
      <c r="Y403" s="69">
        <v>11.88</v>
      </c>
      <c r="Z403" t="str">
        <f>IF(AND(Tabla1[[#This Row],[nudo inicial]]=Tabla3[[#This Row],[n1]],Tabla1[[#This Row],[nudo final]]=Tabla3[[#This Row],[n2]],Tabla1[[#This Row],[longitud]]=Tabla3[[#This Row],[long]]),"si","no")</f>
        <v>si</v>
      </c>
    </row>
    <row r="404" spans="2:26" ht="15.75" x14ac:dyDescent="0.25">
      <c r="B404" t="s">
        <v>427</v>
      </c>
      <c r="C404" t="s">
        <v>428</v>
      </c>
      <c r="D404" s="19">
        <v>21</v>
      </c>
      <c r="E404" s="3" t="s">
        <v>53</v>
      </c>
      <c r="F404" s="3" t="s">
        <v>25</v>
      </c>
      <c r="G404" s="8" t="s">
        <v>58</v>
      </c>
      <c r="H404" s="4" t="s">
        <v>23</v>
      </c>
      <c r="I404" s="5">
        <v>1</v>
      </c>
      <c r="J404" s="8" t="s">
        <v>15</v>
      </c>
      <c r="K404" s="4" t="s">
        <v>53</v>
      </c>
      <c r="L404" s="5">
        <v>1</v>
      </c>
      <c r="M404" s="8" t="s">
        <v>20</v>
      </c>
      <c r="N404" s="4" t="s">
        <v>53</v>
      </c>
      <c r="O404" s="5">
        <v>1</v>
      </c>
      <c r="P404" s="8"/>
      <c r="Q404" s="4"/>
      <c r="R404" s="5"/>
      <c r="W404" s="67" t="s">
        <v>427</v>
      </c>
      <c r="X404" s="68" t="s">
        <v>428</v>
      </c>
      <c r="Y404" s="69">
        <v>21</v>
      </c>
      <c r="Z404" t="str">
        <f>IF(AND(Tabla1[[#This Row],[nudo inicial]]=Tabla3[[#This Row],[n1]],Tabla1[[#This Row],[nudo final]]=Tabla3[[#This Row],[n2]],Tabla1[[#This Row],[longitud]]=Tabla3[[#This Row],[long]]),"si","no")</f>
        <v>si</v>
      </c>
    </row>
    <row r="405" spans="2:26" ht="15.75" x14ac:dyDescent="0.25">
      <c r="B405" t="s">
        <v>427</v>
      </c>
      <c r="C405" t="s">
        <v>429</v>
      </c>
      <c r="D405" s="19">
        <v>32.17</v>
      </c>
      <c r="E405" s="3" t="s">
        <v>23</v>
      </c>
      <c r="F405" s="3" t="s">
        <v>25</v>
      </c>
      <c r="G405" s="8" t="s">
        <v>57</v>
      </c>
      <c r="H405" s="4" t="s">
        <v>23</v>
      </c>
      <c r="I405" s="5">
        <v>1</v>
      </c>
      <c r="J405" s="8"/>
      <c r="K405" s="4"/>
      <c r="L405" s="5"/>
      <c r="M405" s="8"/>
      <c r="N405" s="4"/>
      <c r="O405" s="5"/>
      <c r="P405" s="8"/>
      <c r="Q405" s="4"/>
      <c r="R405" s="5"/>
      <c r="W405" s="67" t="s">
        <v>427</v>
      </c>
      <c r="X405" s="68" t="s">
        <v>429</v>
      </c>
      <c r="Y405" s="69">
        <v>32.17</v>
      </c>
      <c r="Z405" t="str">
        <f>IF(AND(Tabla1[[#This Row],[nudo inicial]]=Tabla3[[#This Row],[n1]],Tabla1[[#This Row],[nudo final]]=Tabla3[[#This Row],[n2]],Tabla1[[#This Row],[longitud]]=Tabla3[[#This Row],[long]]),"si","no")</f>
        <v>si</v>
      </c>
    </row>
    <row r="406" spans="2:26" ht="15.75" x14ac:dyDescent="0.25">
      <c r="B406" t="s">
        <v>429</v>
      </c>
      <c r="C406" t="s">
        <v>435</v>
      </c>
      <c r="D406" s="19">
        <v>54.67</v>
      </c>
      <c r="E406" s="3" t="s">
        <v>53</v>
      </c>
      <c r="F406" s="3" t="s">
        <v>25</v>
      </c>
      <c r="G406" s="8" t="s">
        <v>58</v>
      </c>
      <c r="H406" s="4" t="s">
        <v>23</v>
      </c>
      <c r="I406" s="5">
        <v>1</v>
      </c>
      <c r="J406" s="8" t="s">
        <v>15</v>
      </c>
      <c r="K406" s="4" t="s">
        <v>53</v>
      </c>
      <c r="L406" s="5">
        <v>1</v>
      </c>
      <c r="M406" s="8" t="s">
        <v>32</v>
      </c>
      <c r="N406" s="4" t="s">
        <v>53</v>
      </c>
      <c r="O406" s="5">
        <v>1</v>
      </c>
      <c r="P406" s="8" t="s">
        <v>17</v>
      </c>
      <c r="Q406" s="4" t="s">
        <v>53</v>
      </c>
      <c r="R406" s="5">
        <v>1</v>
      </c>
      <c r="W406" s="67" t="s">
        <v>429</v>
      </c>
      <c r="X406" s="68" t="s">
        <v>435</v>
      </c>
      <c r="Y406" s="69">
        <v>54.67</v>
      </c>
      <c r="Z406" t="str">
        <f>IF(AND(Tabla1[[#This Row],[nudo inicial]]=Tabla3[[#This Row],[n1]],Tabla1[[#This Row],[nudo final]]=Tabla3[[#This Row],[n2]],Tabla1[[#This Row],[longitud]]=Tabla3[[#This Row],[long]]),"si","no")</f>
        <v>si</v>
      </c>
    </row>
    <row r="407" spans="2:26" ht="15.75" x14ac:dyDescent="0.25">
      <c r="B407" t="s">
        <v>429</v>
      </c>
      <c r="C407" t="s">
        <v>430</v>
      </c>
      <c r="D407" s="19">
        <v>100.62</v>
      </c>
      <c r="E407" s="3" t="s">
        <v>23</v>
      </c>
      <c r="F407" s="3" t="s">
        <v>25</v>
      </c>
      <c r="G407" s="8" t="s">
        <v>57</v>
      </c>
      <c r="H407" s="4" t="s">
        <v>23</v>
      </c>
      <c r="I407" s="5">
        <v>1</v>
      </c>
      <c r="J407" s="8" t="s">
        <v>32</v>
      </c>
      <c r="K407" s="4" t="s">
        <v>23</v>
      </c>
      <c r="L407" s="5">
        <v>2</v>
      </c>
      <c r="M407" s="8" t="s">
        <v>6</v>
      </c>
      <c r="N407" s="4" t="s">
        <v>43</v>
      </c>
      <c r="O407" s="5">
        <v>1</v>
      </c>
      <c r="P407" s="8"/>
      <c r="Q407" s="4"/>
      <c r="R407" s="5"/>
      <c r="W407" s="67" t="s">
        <v>429</v>
      </c>
      <c r="X407" s="68" t="s">
        <v>430</v>
      </c>
      <c r="Y407" s="69">
        <v>100.62</v>
      </c>
      <c r="Z407" t="str">
        <f>IF(AND(Tabla1[[#This Row],[nudo inicial]]=Tabla3[[#This Row],[n1]],Tabla1[[#This Row],[nudo final]]=Tabla3[[#This Row],[n2]],Tabla1[[#This Row],[longitud]]=Tabla3[[#This Row],[long]]),"si","no")</f>
        <v>si</v>
      </c>
    </row>
    <row r="408" spans="2:26" ht="15.75" x14ac:dyDescent="0.25">
      <c r="B408" t="s">
        <v>418</v>
      </c>
      <c r="C408" t="s">
        <v>431</v>
      </c>
      <c r="D408" s="19">
        <v>54.97</v>
      </c>
      <c r="E408" s="3" t="s">
        <v>23</v>
      </c>
      <c r="F408" s="3" t="s">
        <v>25</v>
      </c>
      <c r="G408" s="8" t="s">
        <v>57</v>
      </c>
      <c r="H408" s="4" t="s">
        <v>23</v>
      </c>
      <c r="I408" s="5">
        <v>1</v>
      </c>
      <c r="J408" s="8"/>
      <c r="K408" s="4"/>
      <c r="L408" s="5"/>
      <c r="M408" s="8"/>
      <c r="N408" s="4"/>
      <c r="O408" s="5"/>
      <c r="P408" s="8"/>
      <c r="Q408" s="4"/>
      <c r="R408" s="5"/>
      <c r="W408" s="67" t="s">
        <v>418</v>
      </c>
      <c r="X408" s="68" t="s">
        <v>431</v>
      </c>
      <c r="Y408" s="69">
        <v>54.97</v>
      </c>
      <c r="Z408" t="str">
        <f>IF(AND(Tabla1[[#This Row],[nudo inicial]]=Tabla3[[#This Row],[n1]],Tabla1[[#This Row],[nudo final]]=Tabla3[[#This Row],[n2]],Tabla1[[#This Row],[longitud]]=Tabla3[[#This Row],[long]]),"si","no")</f>
        <v>si</v>
      </c>
    </row>
    <row r="409" spans="2:26" ht="15.75" x14ac:dyDescent="0.25">
      <c r="B409" t="s">
        <v>431</v>
      </c>
      <c r="C409" t="s">
        <v>432</v>
      </c>
      <c r="D409" s="19">
        <v>245.47</v>
      </c>
      <c r="E409" s="3" t="s">
        <v>53</v>
      </c>
      <c r="F409" s="3" t="s">
        <v>25</v>
      </c>
      <c r="G409" s="8" t="s">
        <v>58</v>
      </c>
      <c r="H409" s="4" t="s">
        <v>23</v>
      </c>
      <c r="I409" s="5">
        <v>1</v>
      </c>
      <c r="J409" s="8" t="s">
        <v>15</v>
      </c>
      <c r="K409" s="4" t="s">
        <v>53</v>
      </c>
      <c r="L409" s="5">
        <v>2</v>
      </c>
      <c r="M409" s="8"/>
      <c r="N409" s="4"/>
      <c r="O409" s="5"/>
      <c r="P409" s="8"/>
      <c r="Q409" s="4"/>
      <c r="R409" s="5"/>
      <c r="W409" s="67" t="s">
        <v>431</v>
      </c>
      <c r="X409" s="68" t="s">
        <v>432</v>
      </c>
      <c r="Y409" s="69">
        <v>245.47</v>
      </c>
      <c r="Z409" t="str">
        <f>IF(AND(Tabla1[[#This Row],[nudo inicial]]=Tabla3[[#This Row],[n1]],Tabla1[[#This Row],[nudo final]]=Tabla3[[#This Row],[n2]],Tabla1[[#This Row],[longitud]]=Tabla3[[#This Row],[long]]),"si","no")</f>
        <v>si</v>
      </c>
    </row>
    <row r="410" spans="2:26" ht="15.75" x14ac:dyDescent="0.25">
      <c r="B410" t="s">
        <v>432</v>
      </c>
      <c r="C410" t="s">
        <v>433</v>
      </c>
      <c r="D410" s="19">
        <v>160.86000000000001</v>
      </c>
      <c r="E410" s="3" t="s">
        <v>23</v>
      </c>
      <c r="F410" s="3" t="s">
        <v>26</v>
      </c>
      <c r="G410" s="8" t="s">
        <v>58</v>
      </c>
      <c r="H410" s="4" t="s">
        <v>23</v>
      </c>
      <c r="I410" s="5">
        <v>1</v>
      </c>
      <c r="J410" s="8" t="s">
        <v>32</v>
      </c>
      <c r="K410" s="4" t="s">
        <v>23</v>
      </c>
      <c r="L410" s="5">
        <v>1</v>
      </c>
      <c r="M410" s="8"/>
      <c r="N410" s="4"/>
      <c r="O410" s="5"/>
      <c r="P410" s="8"/>
      <c r="Q410" s="4"/>
      <c r="R410" s="5"/>
      <c r="W410" s="67" t="s">
        <v>432</v>
      </c>
      <c r="X410" s="68" t="s">
        <v>433</v>
      </c>
      <c r="Y410" s="69">
        <v>160.86000000000001</v>
      </c>
      <c r="Z410" t="str">
        <f>IF(AND(Tabla1[[#This Row],[nudo inicial]]=Tabla3[[#This Row],[n1]],Tabla1[[#This Row],[nudo final]]=Tabla3[[#This Row],[n2]],Tabla1[[#This Row],[longitud]]=Tabla3[[#This Row],[long]]),"si","no")</f>
        <v>si</v>
      </c>
    </row>
    <row r="411" spans="2:26" ht="15.75" x14ac:dyDescent="0.25">
      <c r="B411" t="s">
        <v>433</v>
      </c>
      <c r="C411" t="s">
        <v>434</v>
      </c>
      <c r="D411" s="19">
        <v>47.04</v>
      </c>
      <c r="E411" s="3" t="s">
        <v>23</v>
      </c>
      <c r="F411" s="3" t="s">
        <v>25</v>
      </c>
      <c r="G411" s="8"/>
      <c r="H411" s="4"/>
      <c r="I411" s="5"/>
      <c r="J411" s="8"/>
      <c r="K411" s="4"/>
      <c r="L411" s="5"/>
      <c r="M411" s="8"/>
      <c r="N411" s="4"/>
      <c r="O411" s="5"/>
      <c r="P411" s="8"/>
      <c r="Q411" s="4"/>
      <c r="R411" s="5"/>
      <c r="W411" s="67" t="s">
        <v>433</v>
      </c>
      <c r="X411" s="68" t="s">
        <v>434</v>
      </c>
      <c r="Y411" s="69">
        <v>47.04</v>
      </c>
      <c r="Z411" t="str">
        <f>IF(AND(Tabla1[[#This Row],[nudo inicial]]=Tabla3[[#This Row],[n1]],Tabla1[[#This Row],[nudo final]]=Tabla3[[#This Row],[n2]],Tabla1[[#This Row],[longitud]]=Tabla3[[#This Row],[long]]),"si","no")</f>
        <v>si</v>
      </c>
    </row>
    <row r="412" spans="2:26" ht="15.75" x14ac:dyDescent="0.25">
      <c r="B412" t="s">
        <v>434</v>
      </c>
      <c r="C412" t="s">
        <v>436</v>
      </c>
      <c r="D412" s="19">
        <v>122.38</v>
      </c>
      <c r="E412" s="3" t="s">
        <v>53</v>
      </c>
      <c r="F412" s="3" t="s">
        <v>25</v>
      </c>
      <c r="G412" s="8" t="s">
        <v>58</v>
      </c>
      <c r="H412" s="4" t="s">
        <v>23</v>
      </c>
      <c r="I412" s="5">
        <v>1</v>
      </c>
      <c r="J412" s="8" t="s">
        <v>15</v>
      </c>
      <c r="K412" s="4" t="s">
        <v>53</v>
      </c>
      <c r="L412" s="5">
        <v>1</v>
      </c>
      <c r="M412" s="8" t="s">
        <v>16</v>
      </c>
      <c r="N412" s="4" t="s">
        <v>53</v>
      </c>
      <c r="O412" s="5">
        <v>2</v>
      </c>
      <c r="P412" s="8" t="s">
        <v>17</v>
      </c>
      <c r="Q412" s="4" t="s">
        <v>53</v>
      </c>
      <c r="R412" s="5">
        <v>1</v>
      </c>
      <c r="W412" s="67" t="s">
        <v>434</v>
      </c>
      <c r="X412" s="68" t="s">
        <v>436</v>
      </c>
      <c r="Y412" s="69">
        <v>122.38</v>
      </c>
      <c r="Z412" t="str">
        <f>IF(AND(Tabla1[[#This Row],[nudo inicial]]=Tabla3[[#This Row],[n1]],Tabla1[[#This Row],[nudo final]]=Tabla3[[#This Row],[n2]],Tabla1[[#This Row],[longitud]]=Tabla3[[#This Row],[long]]),"si","no")</f>
        <v>si</v>
      </c>
    </row>
    <row r="413" spans="2:26" ht="15.75" x14ac:dyDescent="0.25">
      <c r="B413" t="s">
        <v>434</v>
      </c>
      <c r="C413" t="s">
        <v>437</v>
      </c>
      <c r="D413" s="19">
        <v>46.62</v>
      </c>
      <c r="E413" s="3" t="s">
        <v>23</v>
      </c>
      <c r="F413" s="3" t="s">
        <v>25</v>
      </c>
      <c r="G413" s="8" t="s">
        <v>57</v>
      </c>
      <c r="H413" s="4" t="s">
        <v>23</v>
      </c>
      <c r="I413" s="5">
        <v>1</v>
      </c>
      <c r="J413" s="8"/>
      <c r="K413" s="4"/>
      <c r="L413" s="5"/>
      <c r="M413" s="8"/>
      <c r="N413" s="4"/>
      <c r="O413" s="5"/>
      <c r="P413" s="8"/>
      <c r="Q413" s="4"/>
      <c r="R413" s="5"/>
      <c r="W413" s="67" t="s">
        <v>434</v>
      </c>
      <c r="X413" s="68" t="s">
        <v>437</v>
      </c>
      <c r="Y413" s="69">
        <v>46.62</v>
      </c>
      <c r="Z413" t="str">
        <f>IF(AND(Tabla1[[#This Row],[nudo inicial]]=Tabla3[[#This Row],[n1]],Tabla1[[#This Row],[nudo final]]=Tabla3[[#This Row],[n2]],Tabla1[[#This Row],[longitud]]=Tabla3[[#This Row],[long]]),"si","no")</f>
        <v>si</v>
      </c>
    </row>
    <row r="414" spans="2:26" ht="15.75" x14ac:dyDescent="0.25">
      <c r="B414" t="s">
        <v>437</v>
      </c>
      <c r="C414" t="s">
        <v>438</v>
      </c>
      <c r="D414" s="19">
        <v>22.03</v>
      </c>
      <c r="E414" s="3" t="s">
        <v>23</v>
      </c>
      <c r="F414" s="3" t="s">
        <v>25</v>
      </c>
      <c r="G414" s="8" t="s">
        <v>57</v>
      </c>
      <c r="H414" s="4" t="s">
        <v>23</v>
      </c>
      <c r="I414" s="5">
        <v>1</v>
      </c>
      <c r="J414" s="8" t="s">
        <v>17</v>
      </c>
      <c r="K414" s="4" t="s">
        <v>23</v>
      </c>
      <c r="L414" s="5">
        <v>1</v>
      </c>
      <c r="M414" s="8"/>
      <c r="N414" s="4"/>
      <c r="O414" s="5"/>
      <c r="P414" s="8"/>
      <c r="Q414" s="4"/>
      <c r="R414" s="5"/>
      <c r="W414" s="67" t="s">
        <v>437</v>
      </c>
      <c r="X414" s="68" t="s">
        <v>438</v>
      </c>
      <c r="Y414" s="69">
        <v>22.03</v>
      </c>
      <c r="Z414" t="str">
        <f>IF(AND(Tabla1[[#This Row],[nudo inicial]]=Tabla3[[#This Row],[n1]],Tabla1[[#This Row],[nudo final]]=Tabla3[[#This Row],[n2]],Tabla1[[#This Row],[longitud]]=Tabla3[[#This Row],[long]]),"si","no")</f>
        <v>si</v>
      </c>
    </row>
    <row r="415" spans="2:26" ht="15.75" x14ac:dyDescent="0.25">
      <c r="B415" t="s">
        <v>437</v>
      </c>
      <c r="C415" t="s">
        <v>439</v>
      </c>
      <c r="D415" s="19">
        <v>45.51</v>
      </c>
      <c r="E415" s="3" t="s">
        <v>23</v>
      </c>
      <c r="F415" s="3" t="s">
        <v>25</v>
      </c>
      <c r="G415" s="8" t="s">
        <v>58</v>
      </c>
      <c r="H415" s="4" t="s">
        <v>23</v>
      </c>
      <c r="I415" s="5">
        <v>1</v>
      </c>
      <c r="J415" s="8" t="s">
        <v>32</v>
      </c>
      <c r="K415" s="4" t="s">
        <v>23</v>
      </c>
      <c r="L415" s="5">
        <v>1</v>
      </c>
      <c r="M415" s="8"/>
      <c r="N415" s="4"/>
      <c r="O415" s="5"/>
      <c r="P415" s="8"/>
      <c r="Q415" s="4"/>
      <c r="R415" s="5"/>
      <c r="W415" s="67" t="s">
        <v>437</v>
      </c>
      <c r="X415" s="68" t="s">
        <v>439</v>
      </c>
      <c r="Y415" s="69">
        <v>45.51</v>
      </c>
      <c r="Z415" t="str">
        <f>IF(AND(Tabla1[[#This Row],[nudo inicial]]=Tabla3[[#This Row],[n1]],Tabla1[[#This Row],[nudo final]]=Tabla3[[#This Row],[n2]],Tabla1[[#This Row],[longitud]]=Tabla3[[#This Row],[long]]),"si","no")</f>
        <v>si</v>
      </c>
    </row>
    <row r="416" spans="2:26" ht="15.75" x14ac:dyDescent="0.25">
      <c r="B416" t="s">
        <v>439</v>
      </c>
      <c r="C416" t="s">
        <v>440</v>
      </c>
      <c r="D416" s="19">
        <v>35.869999999999997</v>
      </c>
      <c r="E416" s="3" t="s">
        <v>23</v>
      </c>
      <c r="F416" s="3" t="s">
        <v>25</v>
      </c>
      <c r="G416" s="8" t="s">
        <v>58</v>
      </c>
      <c r="H416" s="4" t="s">
        <v>23</v>
      </c>
      <c r="I416" s="5">
        <v>1</v>
      </c>
      <c r="J416" s="8" t="s">
        <v>17</v>
      </c>
      <c r="K416" s="4" t="s">
        <v>23</v>
      </c>
      <c r="L416" s="5">
        <v>1</v>
      </c>
      <c r="M416" s="8"/>
      <c r="N416" s="4"/>
      <c r="O416" s="5"/>
      <c r="P416" s="8"/>
      <c r="Q416" s="4"/>
      <c r="R416" s="5"/>
      <c r="W416" s="67" t="s">
        <v>439</v>
      </c>
      <c r="X416" s="68" t="s">
        <v>440</v>
      </c>
      <c r="Y416" s="69">
        <v>35.869999999999997</v>
      </c>
      <c r="Z416" t="str">
        <f>IF(AND(Tabla1[[#This Row],[nudo inicial]]=Tabla3[[#This Row],[n1]],Tabla1[[#This Row],[nudo final]]=Tabla3[[#This Row],[n2]],Tabla1[[#This Row],[longitud]]=Tabla3[[#This Row],[long]]),"si","no")</f>
        <v>si</v>
      </c>
    </row>
    <row r="417" spans="2:26" ht="15.75" x14ac:dyDescent="0.25">
      <c r="B417" t="s">
        <v>439</v>
      </c>
      <c r="C417" t="s">
        <v>441</v>
      </c>
      <c r="D417" s="19">
        <v>17.89</v>
      </c>
      <c r="E417" s="3" t="s">
        <v>23</v>
      </c>
      <c r="F417" s="3" t="s">
        <v>25</v>
      </c>
      <c r="G417" s="8" t="s">
        <v>57</v>
      </c>
      <c r="H417" s="4" t="s">
        <v>23</v>
      </c>
      <c r="I417" s="5">
        <v>1</v>
      </c>
      <c r="J417" s="8"/>
      <c r="K417" s="4"/>
      <c r="L417" s="5"/>
      <c r="M417" s="8"/>
      <c r="N417" s="4"/>
      <c r="O417" s="5"/>
      <c r="P417" s="8"/>
      <c r="Q417" s="4"/>
      <c r="R417" s="5"/>
      <c r="W417" s="67" t="s">
        <v>439</v>
      </c>
      <c r="X417" s="68" t="s">
        <v>441</v>
      </c>
      <c r="Y417" s="69">
        <v>17.89</v>
      </c>
      <c r="Z417" t="str">
        <f>IF(AND(Tabla1[[#This Row],[nudo inicial]]=Tabla3[[#This Row],[n1]],Tabla1[[#This Row],[nudo final]]=Tabla3[[#This Row],[n2]],Tabla1[[#This Row],[longitud]]=Tabla3[[#This Row],[long]]),"si","no")</f>
        <v>si</v>
      </c>
    </row>
    <row r="418" spans="2:26" ht="15.75" x14ac:dyDescent="0.25">
      <c r="B418" t="s">
        <v>441</v>
      </c>
      <c r="C418" t="s">
        <v>442</v>
      </c>
      <c r="D418" s="19">
        <v>22.04</v>
      </c>
      <c r="E418" s="3" t="s">
        <v>23</v>
      </c>
      <c r="F418" s="3" t="s">
        <v>25</v>
      </c>
      <c r="G418" s="8" t="s">
        <v>58</v>
      </c>
      <c r="H418" s="4" t="s">
        <v>23</v>
      </c>
      <c r="I418" s="5">
        <v>1</v>
      </c>
      <c r="J418" s="8" t="s">
        <v>17</v>
      </c>
      <c r="K418" s="4" t="s">
        <v>23</v>
      </c>
      <c r="L418" s="5">
        <v>1</v>
      </c>
      <c r="M418" s="8"/>
      <c r="N418" s="4"/>
      <c r="O418" s="5"/>
      <c r="P418" s="8"/>
      <c r="Q418" s="4"/>
      <c r="R418" s="5"/>
      <c r="W418" s="67" t="s">
        <v>441</v>
      </c>
      <c r="X418" s="68" t="s">
        <v>442</v>
      </c>
      <c r="Y418" s="69">
        <v>22.04</v>
      </c>
      <c r="Z418" t="str">
        <f>IF(AND(Tabla1[[#This Row],[nudo inicial]]=Tabla3[[#This Row],[n1]],Tabla1[[#This Row],[nudo final]]=Tabla3[[#This Row],[n2]],Tabla1[[#This Row],[longitud]]=Tabla3[[#This Row],[long]]),"si","no")</f>
        <v>si</v>
      </c>
    </row>
    <row r="419" spans="2:26" ht="15.75" x14ac:dyDescent="0.25">
      <c r="B419" t="s">
        <v>441</v>
      </c>
      <c r="C419" t="s">
        <v>443</v>
      </c>
      <c r="D419" s="19">
        <v>68.55</v>
      </c>
      <c r="E419" s="3" t="s">
        <v>23</v>
      </c>
      <c r="F419" s="3" t="s">
        <v>25</v>
      </c>
      <c r="G419" s="8" t="s">
        <v>58</v>
      </c>
      <c r="H419" s="4" t="s">
        <v>23</v>
      </c>
      <c r="I419" s="5">
        <v>1</v>
      </c>
      <c r="J419" s="8" t="s">
        <v>17</v>
      </c>
      <c r="K419" s="4" t="s">
        <v>23</v>
      </c>
      <c r="L419" s="5">
        <v>1</v>
      </c>
      <c r="M419" s="8"/>
      <c r="N419" s="4"/>
      <c r="O419" s="5"/>
      <c r="P419" s="8"/>
      <c r="Q419" s="4"/>
      <c r="R419" s="5"/>
      <c r="W419" s="67" t="s">
        <v>441</v>
      </c>
      <c r="X419" s="68" t="s">
        <v>443</v>
      </c>
      <c r="Y419" s="69">
        <v>68.55</v>
      </c>
      <c r="Z419" t="str">
        <f>IF(AND(Tabla1[[#This Row],[nudo inicial]]=Tabla3[[#This Row],[n1]],Tabla1[[#This Row],[nudo final]]=Tabla3[[#This Row],[n2]],Tabla1[[#This Row],[longitud]]=Tabla3[[#This Row],[long]]),"si","no")</f>
        <v>si</v>
      </c>
    </row>
    <row r="420" spans="2:26" ht="15.75" x14ac:dyDescent="0.25">
      <c r="B420" t="s">
        <v>431</v>
      </c>
      <c r="C420" t="s">
        <v>444</v>
      </c>
      <c r="D420" s="19">
        <v>51.29</v>
      </c>
      <c r="E420" s="3" t="s">
        <v>23</v>
      </c>
      <c r="F420" s="3" t="s">
        <v>25</v>
      </c>
      <c r="G420" s="8" t="s">
        <v>57</v>
      </c>
      <c r="H420" s="4" t="s">
        <v>23</v>
      </c>
      <c r="I420" s="5">
        <v>1</v>
      </c>
      <c r="J420" s="8" t="s">
        <v>32</v>
      </c>
      <c r="K420" s="4" t="s">
        <v>23</v>
      </c>
      <c r="L420" s="5">
        <v>1</v>
      </c>
      <c r="M420" s="8"/>
      <c r="N420" s="4"/>
      <c r="O420" s="5"/>
      <c r="P420" s="8"/>
      <c r="Q420" s="4"/>
      <c r="R420" s="5"/>
      <c r="W420" s="67" t="s">
        <v>431</v>
      </c>
      <c r="X420" s="68" t="s">
        <v>444</v>
      </c>
      <c r="Y420" s="69">
        <v>51.29</v>
      </c>
      <c r="Z420" t="str">
        <f>IF(AND(Tabla1[[#This Row],[nudo inicial]]=Tabla3[[#This Row],[n1]],Tabla1[[#This Row],[nudo final]]=Tabla3[[#This Row],[n2]],Tabla1[[#This Row],[longitud]]=Tabla3[[#This Row],[long]]),"si","no")</f>
        <v>si</v>
      </c>
    </row>
    <row r="421" spans="2:26" ht="15.75" x14ac:dyDescent="0.25">
      <c r="B421" t="s">
        <v>404</v>
      </c>
      <c r="C421" t="s">
        <v>445</v>
      </c>
      <c r="D421" s="19">
        <v>116.04</v>
      </c>
      <c r="E421" s="3" t="s">
        <v>23</v>
      </c>
      <c r="F421" s="3" t="s">
        <v>25</v>
      </c>
      <c r="G421" s="8" t="s">
        <v>57</v>
      </c>
      <c r="H421" s="4" t="s">
        <v>23</v>
      </c>
      <c r="I421" s="5">
        <v>1</v>
      </c>
      <c r="J421" s="8"/>
      <c r="K421" s="4"/>
      <c r="L421" s="5"/>
      <c r="M421" s="8"/>
      <c r="N421" s="4"/>
      <c r="O421" s="5"/>
      <c r="P421" s="8"/>
      <c r="Q421" s="4"/>
      <c r="R421" s="5"/>
      <c r="W421" s="67" t="s">
        <v>404</v>
      </c>
      <c r="X421" s="68" t="s">
        <v>445</v>
      </c>
      <c r="Y421" s="69">
        <v>116.04</v>
      </c>
      <c r="Z421" t="str">
        <f>IF(AND(Tabla1[[#This Row],[nudo inicial]]=Tabla3[[#This Row],[n1]],Tabla1[[#This Row],[nudo final]]=Tabla3[[#This Row],[n2]],Tabla1[[#This Row],[longitud]]=Tabla3[[#This Row],[long]]),"si","no")</f>
        <v>si</v>
      </c>
    </row>
    <row r="422" spans="2:26" ht="15.75" x14ac:dyDescent="0.25">
      <c r="B422" t="s">
        <v>445</v>
      </c>
      <c r="C422" t="s">
        <v>446</v>
      </c>
      <c r="D422" s="19">
        <v>47.34</v>
      </c>
      <c r="E422" s="3" t="s">
        <v>23</v>
      </c>
      <c r="F422" s="3" t="s">
        <v>25</v>
      </c>
      <c r="G422" s="8" t="s">
        <v>58</v>
      </c>
      <c r="H422" s="4" t="s">
        <v>23</v>
      </c>
      <c r="I422" s="5">
        <v>1</v>
      </c>
      <c r="J422" s="8"/>
      <c r="K422" s="4"/>
      <c r="L422" s="5"/>
      <c r="M422" s="8"/>
      <c r="N422" s="4"/>
      <c r="O422" s="5"/>
      <c r="P422" s="8"/>
      <c r="Q422" s="4"/>
      <c r="R422" s="5"/>
      <c r="W422" s="67" t="s">
        <v>445</v>
      </c>
      <c r="X422" s="68" t="s">
        <v>446</v>
      </c>
      <c r="Y422" s="69">
        <v>47.34</v>
      </c>
      <c r="Z422" t="str">
        <f>IF(AND(Tabla1[[#This Row],[nudo inicial]]=Tabla3[[#This Row],[n1]],Tabla1[[#This Row],[nudo final]]=Tabla3[[#This Row],[n2]],Tabla1[[#This Row],[longitud]]=Tabla3[[#This Row],[long]]),"si","no")</f>
        <v>si</v>
      </c>
    </row>
    <row r="423" spans="2:26" ht="15.75" x14ac:dyDescent="0.25">
      <c r="B423" t="s">
        <v>446</v>
      </c>
      <c r="C423" t="s">
        <v>447</v>
      </c>
      <c r="D423" s="19">
        <v>83.29</v>
      </c>
      <c r="E423" s="3" t="s">
        <v>23</v>
      </c>
      <c r="F423" s="3" t="s">
        <v>26</v>
      </c>
      <c r="G423" s="8"/>
      <c r="H423" s="4"/>
      <c r="I423" s="5"/>
      <c r="J423" s="8"/>
      <c r="K423" s="4"/>
      <c r="L423" s="5"/>
      <c r="M423" s="8"/>
      <c r="N423" s="4"/>
      <c r="O423" s="5"/>
      <c r="P423" s="8"/>
      <c r="Q423" s="4"/>
      <c r="R423" s="5"/>
      <c r="W423" s="67" t="s">
        <v>446</v>
      </c>
      <c r="X423" s="68" t="s">
        <v>447</v>
      </c>
      <c r="Y423" s="69">
        <v>83.29</v>
      </c>
      <c r="Z423" t="str">
        <f>IF(AND(Tabla1[[#This Row],[nudo inicial]]=Tabla3[[#This Row],[n1]],Tabla1[[#This Row],[nudo final]]=Tabla3[[#This Row],[n2]],Tabla1[[#This Row],[longitud]]=Tabla3[[#This Row],[long]]),"si","no")</f>
        <v>si</v>
      </c>
    </row>
    <row r="424" spans="2:26" ht="15.75" x14ac:dyDescent="0.25">
      <c r="B424" t="s">
        <v>447</v>
      </c>
      <c r="C424" t="s">
        <v>448</v>
      </c>
      <c r="D424" s="19">
        <v>77.27</v>
      </c>
      <c r="E424" s="3" t="s">
        <v>53</v>
      </c>
      <c r="F424" s="3" t="s">
        <v>25</v>
      </c>
      <c r="G424" s="8" t="s">
        <v>58</v>
      </c>
      <c r="H424" s="4" t="s">
        <v>23</v>
      </c>
      <c r="I424" s="5">
        <v>1</v>
      </c>
      <c r="J424" s="8" t="s">
        <v>15</v>
      </c>
      <c r="K424" s="4" t="s">
        <v>53</v>
      </c>
      <c r="L424" s="5">
        <v>1</v>
      </c>
      <c r="M424" s="8" t="s">
        <v>17</v>
      </c>
      <c r="N424" s="4" t="s">
        <v>53</v>
      </c>
      <c r="O424" s="5">
        <v>1</v>
      </c>
      <c r="P424" s="8"/>
      <c r="Q424" s="4"/>
      <c r="R424" s="5"/>
      <c r="W424" s="67" t="s">
        <v>447</v>
      </c>
      <c r="X424" s="68" t="s">
        <v>448</v>
      </c>
      <c r="Y424" s="69">
        <v>77.27</v>
      </c>
      <c r="Z424" t="str">
        <f>IF(AND(Tabla1[[#This Row],[nudo inicial]]=Tabla3[[#This Row],[n1]],Tabla1[[#This Row],[nudo final]]=Tabla3[[#This Row],[n2]],Tabla1[[#This Row],[longitud]]=Tabla3[[#This Row],[long]]),"si","no")</f>
        <v>si</v>
      </c>
    </row>
    <row r="425" spans="2:26" ht="15.75" x14ac:dyDescent="0.25">
      <c r="B425" t="s">
        <v>447</v>
      </c>
      <c r="C425" t="s">
        <v>449</v>
      </c>
      <c r="D425" s="19">
        <v>20.100000000000001</v>
      </c>
      <c r="E425" s="3" t="s">
        <v>23</v>
      </c>
      <c r="F425" s="3" t="s">
        <v>26</v>
      </c>
      <c r="G425" s="8" t="s">
        <v>57</v>
      </c>
      <c r="H425" s="4" t="s">
        <v>23</v>
      </c>
      <c r="I425" s="5">
        <v>1</v>
      </c>
      <c r="J425" s="8"/>
      <c r="K425" s="4"/>
      <c r="L425" s="5"/>
      <c r="M425" s="8"/>
      <c r="N425" s="4"/>
      <c r="O425" s="5"/>
      <c r="P425" s="8"/>
      <c r="Q425" s="4"/>
      <c r="R425" s="5"/>
      <c r="W425" s="67" t="s">
        <v>447</v>
      </c>
      <c r="X425" s="68" t="s">
        <v>449</v>
      </c>
      <c r="Y425" s="69">
        <v>20.100000000000001</v>
      </c>
      <c r="Z425" t="str">
        <f>IF(AND(Tabla1[[#This Row],[nudo inicial]]=Tabla3[[#This Row],[n1]],Tabla1[[#This Row],[nudo final]]=Tabla3[[#This Row],[n2]],Tabla1[[#This Row],[longitud]]=Tabla3[[#This Row],[long]]),"si","no")</f>
        <v>si</v>
      </c>
    </row>
    <row r="426" spans="2:26" ht="15.75" x14ac:dyDescent="0.25">
      <c r="B426" t="s">
        <v>449</v>
      </c>
      <c r="C426" t="s">
        <v>450</v>
      </c>
      <c r="D426" s="19">
        <v>128.91999999999999</v>
      </c>
      <c r="E426" s="3" t="s">
        <v>53</v>
      </c>
      <c r="F426" s="3" t="s">
        <v>25</v>
      </c>
      <c r="G426" s="8" t="s">
        <v>58</v>
      </c>
      <c r="H426" s="4" t="s">
        <v>23</v>
      </c>
      <c r="I426" s="5">
        <v>1</v>
      </c>
      <c r="J426" s="8" t="s">
        <v>15</v>
      </c>
      <c r="K426" s="4" t="s">
        <v>53</v>
      </c>
      <c r="L426" s="5">
        <v>1</v>
      </c>
      <c r="M426" s="8" t="s">
        <v>17</v>
      </c>
      <c r="N426" s="4" t="s">
        <v>53</v>
      </c>
      <c r="O426" s="5">
        <v>1</v>
      </c>
      <c r="P426" s="8"/>
      <c r="Q426" s="4"/>
      <c r="R426" s="5"/>
      <c r="W426" s="67" t="s">
        <v>449</v>
      </c>
      <c r="X426" s="68" t="s">
        <v>450</v>
      </c>
      <c r="Y426" s="69">
        <v>128.91999999999999</v>
      </c>
      <c r="Z426" t="str">
        <f>IF(AND(Tabla1[[#This Row],[nudo inicial]]=Tabla3[[#This Row],[n1]],Tabla1[[#This Row],[nudo final]]=Tabla3[[#This Row],[n2]],Tabla1[[#This Row],[longitud]]=Tabla3[[#This Row],[long]]),"si","no")</f>
        <v>si</v>
      </c>
    </row>
    <row r="427" spans="2:26" ht="15.75" x14ac:dyDescent="0.25">
      <c r="B427" t="s">
        <v>449</v>
      </c>
      <c r="C427" t="s">
        <v>415</v>
      </c>
      <c r="D427" s="19">
        <v>76.05</v>
      </c>
      <c r="E427" s="3" t="s">
        <v>23</v>
      </c>
      <c r="F427" s="3" t="s">
        <v>26</v>
      </c>
      <c r="G427" s="8" t="s">
        <v>57</v>
      </c>
      <c r="H427" s="4" t="s">
        <v>23</v>
      </c>
      <c r="I427" s="5">
        <v>1</v>
      </c>
      <c r="J427" s="8"/>
      <c r="K427" s="4"/>
      <c r="L427" s="5"/>
      <c r="M427" s="8"/>
      <c r="N427" s="4"/>
      <c r="O427" s="5"/>
      <c r="P427" s="8"/>
      <c r="Q427" s="4"/>
      <c r="R427" s="5"/>
      <c r="W427" s="67" t="s">
        <v>449</v>
      </c>
      <c r="X427" s="68" t="s">
        <v>415</v>
      </c>
      <c r="Y427" s="69">
        <v>76.05</v>
      </c>
      <c r="Z427" t="str">
        <f>IF(AND(Tabla1[[#This Row],[nudo inicial]]=Tabla3[[#This Row],[n1]],Tabla1[[#This Row],[nudo final]]=Tabla3[[#This Row],[n2]],Tabla1[[#This Row],[longitud]]=Tabla3[[#This Row],[long]]),"si","no")</f>
        <v>si</v>
      </c>
    </row>
    <row r="428" spans="2:26" ht="15.75" x14ac:dyDescent="0.25">
      <c r="B428" t="s">
        <v>415</v>
      </c>
      <c r="C428" t="s">
        <v>451</v>
      </c>
      <c r="D428" s="19">
        <v>34.69</v>
      </c>
      <c r="E428" s="3" t="s">
        <v>23</v>
      </c>
      <c r="F428" s="3" t="s">
        <v>26</v>
      </c>
      <c r="G428" s="8" t="s">
        <v>57</v>
      </c>
      <c r="H428" s="4" t="s">
        <v>23</v>
      </c>
      <c r="I428" s="5">
        <v>1</v>
      </c>
      <c r="J428" s="8"/>
      <c r="K428" s="4"/>
      <c r="L428" s="5"/>
      <c r="M428" s="8"/>
      <c r="N428" s="4"/>
      <c r="O428" s="5"/>
      <c r="P428" s="8"/>
      <c r="Q428" s="4"/>
      <c r="R428" s="5"/>
      <c r="W428" s="67" t="s">
        <v>415</v>
      </c>
      <c r="X428" s="68" t="s">
        <v>451</v>
      </c>
      <c r="Y428" s="69">
        <v>34.69</v>
      </c>
      <c r="Z428" t="str">
        <f>IF(AND(Tabla1[[#This Row],[nudo inicial]]=Tabla3[[#This Row],[n1]],Tabla1[[#This Row],[nudo final]]=Tabla3[[#This Row],[n2]],Tabla1[[#This Row],[longitud]]=Tabla3[[#This Row],[long]]),"si","no")</f>
        <v>si</v>
      </c>
    </row>
    <row r="429" spans="2:26" ht="15.75" x14ac:dyDescent="0.25">
      <c r="B429" t="s">
        <v>451</v>
      </c>
      <c r="C429" t="s">
        <v>452</v>
      </c>
      <c r="D429" s="19">
        <v>89.76</v>
      </c>
      <c r="E429" s="3" t="s">
        <v>23</v>
      </c>
      <c r="F429" s="3" t="s">
        <v>26</v>
      </c>
      <c r="G429" s="8" t="s">
        <v>58</v>
      </c>
      <c r="H429" s="4" t="s">
        <v>23</v>
      </c>
      <c r="I429" s="5">
        <v>1</v>
      </c>
      <c r="J429" s="8"/>
      <c r="K429" s="4"/>
      <c r="L429" s="5"/>
      <c r="M429" s="8"/>
      <c r="N429" s="4"/>
      <c r="O429" s="5"/>
      <c r="P429" s="8"/>
      <c r="Q429" s="4"/>
      <c r="R429" s="5"/>
      <c r="W429" s="67" t="s">
        <v>451</v>
      </c>
      <c r="X429" s="68" t="s">
        <v>452</v>
      </c>
      <c r="Y429" s="69">
        <v>89.76</v>
      </c>
      <c r="Z429" t="str">
        <f>IF(AND(Tabla1[[#This Row],[nudo inicial]]=Tabla3[[#This Row],[n1]],Tabla1[[#This Row],[nudo final]]=Tabla3[[#This Row],[n2]],Tabla1[[#This Row],[longitud]]=Tabla3[[#This Row],[long]]),"si","no")</f>
        <v>si</v>
      </c>
    </row>
    <row r="430" spans="2:26" ht="15.75" x14ac:dyDescent="0.25">
      <c r="B430" t="s">
        <v>452</v>
      </c>
      <c r="C430" t="s">
        <v>453</v>
      </c>
      <c r="D430" s="19">
        <v>71.09</v>
      </c>
      <c r="E430" s="3" t="s">
        <v>53</v>
      </c>
      <c r="F430" s="3" t="s">
        <v>25</v>
      </c>
      <c r="G430" s="8" t="s">
        <v>58</v>
      </c>
      <c r="H430" s="4" t="s">
        <v>23</v>
      </c>
      <c r="I430" s="5">
        <v>1</v>
      </c>
      <c r="J430" s="8" t="s">
        <v>15</v>
      </c>
      <c r="K430" s="4" t="s">
        <v>53</v>
      </c>
      <c r="L430" s="5">
        <v>1</v>
      </c>
      <c r="M430" s="8" t="s">
        <v>32</v>
      </c>
      <c r="N430" s="4" t="s">
        <v>53</v>
      </c>
      <c r="O430" s="5">
        <v>1</v>
      </c>
      <c r="P430" s="8" t="s">
        <v>17</v>
      </c>
      <c r="Q430" s="4" t="s">
        <v>53</v>
      </c>
      <c r="R430" s="5">
        <v>1</v>
      </c>
      <c r="W430" s="67" t="s">
        <v>452</v>
      </c>
      <c r="X430" s="68" t="s">
        <v>453</v>
      </c>
      <c r="Y430" s="69">
        <v>71.09</v>
      </c>
      <c r="Z430" t="str">
        <f>IF(AND(Tabla1[[#This Row],[nudo inicial]]=Tabla3[[#This Row],[n1]],Tabla1[[#This Row],[nudo final]]=Tabla3[[#This Row],[n2]],Tabla1[[#This Row],[longitud]]=Tabla3[[#This Row],[long]]),"si","no")</f>
        <v>si</v>
      </c>
    </row>
    <row r="431" spans="2:26" ht="15.75" x14ac:dyDescent="0.25">
      <c r="B431" t="s">
        <v>452</v>
      </c>
      <c r="C431" t="s">
        <v>454</v>
      </c>
      <c r="D431" s="19">
        <v>110.84</v>
      </c>
      <c r="E431" s="3" t="s">
        <v>23</v>
      </c>
      <c r="F431" s="3" t="s">
        <v>26</v>
      </c>
      <c r="G431" s="8" t="s">
        <v>57</v>
      </c>
      <c r="H431" s="4" t="s">
        <v>23</v>
      </c>
      <c r="I431" s="5">
        <v>1</v>
      </c>
      <c r="J431" s="8" t="s">
        <v>32</v>
      </c>
      <c r="K431" s="4" t="s">
        <v>23</v>
      </c>
      <c r="L431" s="5">
        <v>1</v>
      </c>
      <c r="M431" s="8"/>
      <c r="N431" s="4"/>
      <c r="O431" s="5"/>
      <c r="P431" s="8"/>
      <c r="Q431" s="4"/>
      <c r="R431" s="5"/>
      <c r="W431" s="67" t="s">
        <v>452</v>
      </c>
      <c r="X431" s="68" t="s">
        <v>454</v>
      </c>
      <c r="Y431" s="69">
        <v>110.84</v>
      </c>
      <c r="Z431" t="str">
        <f>IF(AND(Tabla1[[#This Row],[nudo inicial]]=Tabla3[[#This Row],[n1]],Tabla1[[#This Row],[nudo final]]=Tabla3[[#This Row],[n2]],Tabla1[[#This Row],[longitud]]=Tabla3[[#This Row],[long]]),"si","no")</f>
        <v>si</v>
      </c>
    </row>
    <row r="432" spans="2:26" ht="15.75" x14ac:dyDescent="0.25">
      <c r="B432" t="s">
        <v>454</v>
      </c>
      <c r="C432" t="s">
        <v>455</v>
      </c>
      <c r="D432" s="19">
        <v>64.95</v>
      </c>
      <c r="E432" s="3" t="s">
        <v>53</v>
      </c>
      <c r="F432" s="3" t="s">
        <v>25</v>
      </c>
      <c r="G432" s="8" t="s">
        <v>58</v>
      </c>
      <c r="H432" s="4" t="s">
        <v>23</v>
      </c>
      <c r="I432" s="5">
        <v>1</v>
      </c>
      <c r="J432" s="8" t="s">
        <v>15</v>
      </c>
      <c r="K432" s="4" t="s">
        <v>53</v>
      </c>
      <c r="L432" s="5">
        <v>1</v>
      </c>
      <c r="M432" s="8" t="s">
        <v>17</v>
      </c>
      <c r="N432" s="4" t="s">
        <v>53</v>
      </c>
      <c r="O432" s="5">
        <v>1</v>
      </c>
      <c r="P432" s="8"/>
      <c r="Q432" s="4"/>
      <c r="R432" s="5"/>
      <c r="W432" s="67" t="s">
        <v>454</v>
      </c>
      <c r="X432" s="68" t="s">
        <v>455</v>
      </c>
      <c r="Y432" s="69">
        <v>64.95</v>
      </c>
      <c r="Z432" t="str">
        <f>IF(AND(Tabla1[[#This Row],[nudo inicial]]=Tabla3[[#This Row],[n1]],Tabla1[[#This Row],[nudo final]]=Tabla3[[#This Row],[n2]],Tabla1[[#This Row],[longitud]]=Tabla3[[#This Row],[long]]),"si","no")</f>
        <v>si</v>
      </c>
    </row>
    <row r="433" spans="2:26" ht="15.75" x14ac:dyDescent="0.25">
      <c r="B433" t="s">
        <v>454</v>
      </c>
      <c r="C433" t="s">
        <v>456</v>
      </c>
      <c r="D433" s="19">
        <v>6.47</v>
      </c>
      <c r="E433" s="3" t="s">
        <v>23</v>
      </c>
      <c r="F433" s="3" t="s">
        <v>26</v>
      </c>
      <c r="G433" s="8" t="s">
        <v>57</v>
      </c>
      <c r="H433" s="4" t="s">
        <v>23</v>
      </c>
      <c r="I433" s="5">
        <v>1</v>
      </c>
      <c r="J433" s="8"/>
      <c r="K433" s="4"/>
      <c r="L433" s="5"/>
      <c r="M433" s="8"/>
      <c r="N433" s="4"/>
      <c r="O433" s="5"/>
      <c r="P433" s="8"/>
      <c r="Q433" s="4"/>
      <c r="R433" s="5"/>
      <c r="W433" s="67" t="s">
        <v>454</v>
      </c>
      <c r="X433" s="68" t="s">
        <v>456</v>
      </c>
      <c r="Y433" s="69">
        <v>6.47</v>
      </c>
      <c r="Z433" t="str">
        <f>IF(AND(Tabla1[[#This Row],[nudo inicial]]=Tabla3[[#This Row],[n1]],Tabla1[[#This Row],[nudo final]]=Tabla3[[#This Row],[n2]],Tabla1[[#This Row],[longitud]]=Tabla3[[#This Row],[long]]),"si","no")</f>
        <v>si</v>
      </c>
    </row>
    <row r="434" spans="2:26" ht="15.75" x14ac:dyDescent="0.25">
      <c r="B434" t="s">
        <v>445</v>
      </c>
      <c r="C434" t="s">
        <v>444</v>
      </c>
      <c r="D434" s="19">
        <v>8.15</v>
      </c>
      <c r="E434" s="3" t="s">
        <v>23</v>
      </c>
      <c r="F434" s="3" t="s">
        <v>25</v>
      </c>
      <c r="G434" s="8" t="s">
        <v>57</v>
      </c>
      <c r="H434" s="4" t="s">
        <v>23</v>
      </c>
      <c r="I434" s="5">
        <v>1</v>
      </c>
      <c r="J434" s="8"/>
      <c r="K434" s="4"/>
      <c r="L434" s="5"/>
      <c r="M434" s="8"/>
      <c r="N434" s="4"/>
      <c r="O434" s="5"/>
      <c r="P434" s="8"/>
      <c r="Q434" s="4"/>
      <c r="R434" s="5"/>
      <c r="W434" s="67" t="s">
        <v>445</v>
      </c>
      <c r="X434" s="68" t="s">
        <v>444</v>
      </c>
      <c r="Y434" s="69">
        <v>8.15</v>
      </c>
      <c r="Z434" t="str">
        <f>IF(AND(Tabla1[[#This Row],[nudo inicial]]=Tabla3[[#This Row],[n1]],Tabla1[[#This Row],[nudo final]]=Tabla3[[#This Row],[n2]],Tabla1[[#This Row],[longitud]]=Tabla3[[#This Row],[long]]),"si","no")</f>
        <v>si</v>
      </c>
    </row>
    <row r="435" spans="2:26" ht="30" x14ac:dyDescent="0.25">
      <c r="B435" t="s">
        <v>444</v>
      </c>
      <c r="C435" t="s">
        <v>457</v>
      </c>
      <c r="D435" s="19">
        <v>104.42</v>
      </c>
      <c r="E435" s="3" t="s">
        <v>23</v>
      </c>
      <c r="F435" s="3" t="s">
        <v>25</v>
      </c>
      <c r="G435" s="8" t="s">
        <v>57</v>
      </c>
      <c r="H435" s="4" t="s">
        <v>23</v>
      </c>
      <c r="I435" s="5">
        <v>1</v>
      </c>
      <c r="J435" s="8" t="s">
        <v>34</v>
      </c>
      <c r="K435" s="4"/>
      <c r="L435" s="5">
        <v>1</v>
      </c>
      <c r="M435" s="8"/>
      <c r="N435" s="4"/>
      <c r="O435" s="5"/>
      <c r="P435" s="8"/>
      <c r="Q435" s="4"/>
      <c r="R435" s="5"/>
      <c r="W435" s="67" t="s">
        <v>444</v>
      </c>
      <c r="X435" s="68" t="s">
        <v>457</v>
      </c>
      <c r="Y435" s="69">
        <v>104.42</v>
      </c>
      <c r="Z435" t="str">
        <f>IF(AND(Tabla1[[#This Row],[nudo inicial]]=Tabla3[[#This Row],[n1]],Tabla1[[#This Row],[nudo final]]=Tabla3[[#This Row],[n2]],Tabla1[[#This Row],[longitud]]=Tabla3[[#This Row],[long]]),"si","no")</f>
        <v>si</v>
      </c>
    </row>
    <row r="436" spans="2:26" ht="15.75" x14ac:dyDescent="0.25">
      <c r="B436" t="s">
        <v>457</v>
      </c>
      <c r="C436" t="s">
        <v>464</v>
      </c>
      <c r="D436" s="19">
        <v>31.39</v>
      </c>
      <c r="E436" s="3" t="s">
        <v>53</v>
      </c>
      <c r="F436" s="3" t="s">
        <v>25</v>
      </c>
      <c r="G436" s="8" t="s">
        <v>58</v>
      </c>
      <c r="H436" s="4" t="s">
        <v>23</v>
      </c>
      <c r="I436" s="5">
        <v>1</v>
      </c>
      <c r="J436" s="8" t="s">
        <v>15</v>
      </c>
      <c r="K436" s="4" t="s">
        <v>53</v>
      </c>
      <c r="L436" s="5">
        <v>1</v>
      </c>
      <c r="M436" s="8" t="s">
        <v>17</v>
      </c>
      <c r="N436" s="4" t="s">
        <v>53</v>
      </c>
      <c r="O436" s="5">
        <v>1</v>
      </c>
      <c r="P436" s="8"/>
      <c r="Q436" s="4"/>
      <c r="R436" s="5"/>
      <c r="W436" s="67" t="s">
        <v>457</v>
      </c>
      <c r="X436" s="68" t="s">
        <v>464</v>
      </c>
      <c r="Y436" s="69">
        <v>31.39</v>
      </c>
      <c r="Z436" t="str">
        <f>IF(AND(Tabla1[[#This Row],[nudo inicial]]=Tabla3[[#This Row],[n1]],Tabla1[[#This Row],[nudo final]]=Tabla3[[#This Row],[n2]],Tabla1[[#This Row],[longitud]]=Tabla3[[#This Row],[long]]),"si","no")</f>
        <v>si</v>
      </c>
    </row>
    <row r="437" spans="2:26" ht="15.75" x14ac:dyDescent="0.25">
      <c r="B437" t="s">
        <v>457</v>
      </c>
      <c r="C437" t="s">
        <v>458</v>
      </c>
      <c r="D437" s="19">
        <v>96.07</v>
      </c>
      <c r="E437" s="3" t="s">
        <v>23</v>
      </c>
      <c r="F437" s="3" t="s">
        <v>25</v>
      </c>
      <c r="G437" s="8" t="s">
        <v>57</v>
      </c>
      <c r="H437" s="4" t="s">
        <v>23</v>
      </c>
      <c r="I437" s="5">
        <v>1</v>
      </c>
      <c r="J437" s="8" t="s">
        <v>32</v>
      </c>
      <c r="K437" s="4" t="s">
        <v>23</v>
      </c>
      <c r="L437" s="5">
        <v>1</v>
      </c>
      <c r="M437" s="8" t="s">
        <v>6</v>
      </c>
      <c r="N437" s="4" t="s">
        <v>126</v>
      </c>
      <c r="O437" s="5">
        <v>1</v>
      </c>
      <c r="P437" s="8"/>
      <c r="Q437" s="4"/>
      <c r="R437" s="5"/>
      <c r="W437" s="67" t="s">
        <v>457</v>
      </c>
      <c r="X437" s="68" t="s">
        <v>458</v>
      </c>
      <c r="Y437" s="69">
        <v>96.07</v>
      </c>
      <c r="Z437" t="str">
        <f>IF(AND(Tabla1[[#This Row],[nudo inicial]]=Tabla3[[#This Row],[n1]],Tabla1[[#This Row],[nudo final]]=Tabla3[[#This Row],[n2]],Tabla1[[#This Row],[longitud]]=Tabla3[[#This Row],[long]]),"si","no")</f>
        <v>si</v>
      </c>
    </row>
    <row r="438" spans="2:26" ht="15.75" x14ac:dyDescent="0.25">
      <c r="B438" t="s">
        <v>432</v>
      </c>
      <c r="C438" t="s">
        <v>459</v>
      </c>
      <c r="D438" s="19">
        <v>80.599999999999994</v>
      </c>
      <c r="E438" s="3" t="s">
        <v>23</v>
      </c>
      <c r="F438" s="3" t="s">
        <v>26</v>
      </c>
      <c r="G438" s="8" t="s">
        <v>57</v>
      </c>
      <c r="H438" s="4" t="s">
        <v>23</v>
      </c>
      <c r="I438" s="5">
        <v>1</v>
      </c>
      <c r="J438" s="8" t="s">
        <v>6</v>
      </c>
      <c r="K438" s="4" t="s">
        <v>126</v>
      </c>
      <c r="L438" s="5">
        <v>1</v>
      </c>
      <c r="M438" s="8"/>
      <c r="N438" s="4"/>
      <c r="O438" s="5"/>
      <c r="P438" s="8"/>
      <c r="Q438" s="4"/>
      <c r="R438" s="5"/>
      <c r="W438" s="67" t="s">
        <v>432</v>
      </c>
      <c r="X438" s="68" t="s">
        <v>459</v>
      </c>
      <c r="Y438" s="69">
        <v>80.599999999999994</v>
      </c>
      <c r="Z438" t="str">
        <f>IF(AND(Tabla1[[#This Row],[nudo inicial]]=Tabla3[[#This Row],[n1]],Tabla1[[#This Row],[nudo final]]=Tabla3[[#This Row],[n2]],Tabla1[[#This Row],[longitud]]=Tabla3[[#This Row],[long]]),"si","no")</f>
        <v>si</v>
      </c>
    </row>
    <row r="439" spans="2:26" ht="15.75" x14ac:dyDescent="0.25">
      <c r="B439" t="s">
        <v>459</v>
      </c>
      <c r="C439" t="s">
        <v>460</v>
      </c>
      <c r="D439" s="19">
        <v>19.38</v>
      </c>
      <c r="E439" s="3" t="s">
        <v>126</v>
      </c>
      <c r="F439" s="3" t="s">
        <v>26</v>
      </c>
      <c r="G439" s="8" t="s">
        <v>57</v>
      </c>
      <c r="H439" s="4" t="s">
        <v>126</v>
      </c>
      <c r="I439" s="5">
        <v>1</v>
      </c>
      <c r="J439" s="8"/>
      <c r="K439" s="4"/>
      <c r="L439" s="5"/>
      <c r="M439" s="8"/>
      <c r="N439" s="4"/>
      <c r="O439" s="5"/>
      <c r="P439" s="8"/>
      <c r="Q439" s="4"/>
      <c r="R439" s="5"/>
      <c r="W439" s="67" t="s">
        <v>459</v>
      </c>
      <c r="X439" s="68" t="s">
        <v>460</v>
      </c>
      <c r="Y439" s="69">
        <v>19.38</v>
      </c>
      <c r="Z439" t="str">
        <f>IF(AND(Tabla1[[#This Row],[nudo inicial]]=Tabla3[[#This Row],[n1]],Tabla1[[#This Row],[nudo final]]=Tabla3[[#This Row],[n2]],Tabla1[[#This Row],[longitud]]=Tabla3[[#This Row],[long]]),"si","no")</f>
        <v>si</v>
      </c>
    </row>
    <row r="440" spans="2:26" ht="15.75" x14ac:dyDescent="0.25">
      <c r="B440" t="s">
        <v>460</v>
      </c>
      <c r="C440" t="s">
        <v>458</v>
      </c>
      <c r="D440" s="19">
        <v>11.02</v>
      </c>
      <c r="E440" s="3" t="s">
        <v>126</v>
      </c>
      <c r="F440" s="3" t="s">
        <v>26</v>
      </c>
      <c r="G440" s="8" t="s">
        <v>57</v>
      </c>
      <c r="H440" s="4" t="s">
        <v>126</v>
      </c>
      <c r="I440" s="5">
        <v>1</v>
      </c>
      <c r="J440" s="8"/>
      <c r="K440" s="4"/>
      <c r="L440" s="5"/>
      <c r="M440" s="8"/>
      <c r="N440" s="4"/>
      <c r="O440" s="5"/>
      <c r="P440" s="8"/>
      <c r="Q440" s="4"/>
      <c r="R440" s="5"/>
      <c r="W440" s="67" t="s">
        <v>460</v>
      </c>
      <c r="X440" s="68" t="s">
        <v>458</v>
      </c>
      <c r="Y440" s="69">
        <v>11.02</v>
      </c>
      <c r="Z440" t="str">
        <f>IF(AND(Tabla1[[#This Row],[nudo inicial]]=Tabla3[[#This Row],[n1]],Tabla1[[#This Row],[nudo final]]=Tabla3[[#This Row],[n2]],Tabla1[[#This Row],[longitud]]=Tabla3[[#This Row],[long]]),"si","no")</f>
        <v>si</v>
      </c>
    </row>
    <row r="441" spans="2:26" ht="15.75" x14ac:dyDescent="0.25">
      <c r="B441" t="s">
        <v>459</v>
      </c>
      <c r="C441" t="s">
        <v>461</v>
      </c>
      <c r="D441" s="19">
        <v>46.86</v>
      </c>
      <c r="E441" s="3" t="s">
        <v>126</v>
      </c>
      <c r="F441" s="3" t="s">
        <v>26</v>
      </c>
      <c r="G441" s="8" t="s">
        <v>57</v>
      </c>
      <c r="H441" s="4" t="s">
        <v>126</v>
      </c>
      <c r="I441" s="5">
        <v>1</v>
      </c>
      <c r="J441" s="8"/>
      <c r="K441" s="4"/>
      <c r="L441" s="5"/>
      <c r="M441" s="8"/>
      <c r="N441" s="4"/>
      <c r="O441" s="5"/>
      <c r="P441" s="8"/>
      <c r="Q441" s="4"/>
      <c r="R441" s="5"/>
      <c r="W441" s="67" t="s">
        <v>459</v>
      </c>
      <c r="X441" s="68" t="s">
        <v>461</v>
      </c>
      <c r="Y441" s="69">
        <v>46.86</v>
      </c>
      <c r="Z441" t="str">
        <f>IF(AND(Tabla1[[#This Row],[nudo inicial]]=Tabla3[[#This Row],[n1]],Tabla1[[#This Row],[nudo final]]=Tabla3[[#This Row],[n2]],Tabla1[[#This Row],[longitud]]=Tabla3[[#This Row],[long]]),"si","no")</f>
        <v>si</v>
      </c>
    </row>
    <row r="442" spans="2:26" ht="15.75" x14ac:dyDescent="0.25">
      <c r="B442" t="s">
        <v>460</v>
      </c>
      <c r="C442" t="s">
        <v>462</v>
      </c>
      <c r="D442" s="19">
        <v>123.43</v>
      </c>
      <c r="E442" s="3" t="s">
        <v>23</v>
      </c>
      <c r="F442" s="3" t="s">
        <v>26</v>
      </c>
      <c r="G442" s="8" t="s">
        <v>58</v>
      </c>
      <c r="H442" s="4" t="s">
        <v>126</v>
      </c>
      <c r="I442" s="5">
        <v>1</v>
      </c>
      <c r="J442" s="8" t="s">
        <v>15</v>
      </c>
      <c r="K442" s="4" t="s">
        <v>23</v>
      </c>
      <c r="L442" s="5">
        <v>1</v>
      </c>
      <c r="M442" s="8" t="s">
        <v>32</v>
      </c>
      <c r="N442" s="4" t="s">
        <v>23</v>
      </c>
      <c r="O442" s="5">
        <v>1</v>
      </c>
      <c r="P442" s="8"/>
      <c r="Q442" s="4"/>
      <c r="R442" s="5"/>
      <c r="W442" s="67" t="s">
        <v>460</v>
      </c>
      <c r="X442" s="68" t="s">
        <v>462</v>
      </c>
      <c r="Y442" s="69">
        <v>123.43</v>
      </c>
      <c r="Z442" t="str">
        <f>IF(AND(Tabla1[[#This Row],[nudo inicial]]=Tabla3[[#This Row],[n1]],Tabla1[[#This Row],[nudo final]]=Tabla3[[#This Row],[n2]],Tabla1[[#This Row],[longitud]]=Tabla3[[#This Row],[long]]),"si","no")</f>
        <v>si</v>
      </c>
    </row>
    <row r="443" spans="2:26" ht="15.75" x14ac:dyDescent="0.25">
      <c r="B443" t="s">
        <v>462</v>
      </c>
      <c r="C443" t="s">
        <v>463</v>
      </c>
      <c r="D443" s="19">
        <v>156.4</v>
      </c>
      <c r="E443" s="3" t="s">
        <v>53</v>
      </c>
      <c r="F443" s="3" t="s">
        <v>25</v>
      </c>
      <c r="G443" s="8" t="s">
        <v>58</v>
      </c>
      <c r="H443" s="4" t="s">
        <v>23</v>
      </c>
      <c r="I443" s="5">
        <v>1</v>
      </c>
      <c r="J443" s="8" t="s">
        <v>15</v>
      </c>
      <c r="K443" s="4" t="s">
        <v>53</v>
      </c>
      <c r="L443" s="5">
        <v>1</v>
      </c>
      <c r="M443" s="8" t="s">
        <v>32</v>
      </c>
      <c r="N443" s="4" t="s">
        <v>53</v>
      </c>
      <c r="O443" s="5">
        <v>1</v>
      </c>
      <c r="P443" s="8" t="s">
        <v>16</v>
      </c>
      <c r="Q443" s="4" t="s">
        <v>53</v>
      </c>
      <c r="R443" s="5">
        <v>1</v>
      </c>
      <c r="W443" s="67" t="s">
        <v>462</v>
      </c>
      <c r="X443" s="68" t="s">
        <v>463</v>
      </c>
      <c r="Y443" s="69">
        <v>156.4</v>
      </c>
      <c r="Z443" t="str">
        <f>IF(AND(Tabla1[[#This Row],[nudo inicial]]=Tabla3[[#This Row],[n1]],Tabla1[[#This Row],[nudo final]]=Tabla3[[#This Row],[n2]],Tabla1[[#This Row],[longitud]]=Tabla3[[#This Row],[long]]),"si","no")</f>
        <v>si</v>
      </c>
    </row>
    <row r="444" spans="2:26" ht="15.75" x14ac:dyDescent="0.25">
      <c r="B444" t="s">
        <v>463</v>
      </c>
      <c r="C444" t="s">
        <v>465</v>
      </c>
      <c r="D444" s="19">
        <v>42.11</v>
      </c>
      <c r="E444" s="3" t="s">
        <v>53</v>
      </c>
      <c r="F444" s="3" t="s">
        <v>25</v>
      </c>
      <c r="G444" s="8" t="s">
        <v>58</v>
      </c>
      <c r="H444" s="4" t="s">
        <v>53</v>
      </c>
      <c r="I444" s="5">
        <v>1</v>
      </c>
      <c r="J444" s="8" t="s">
        <v>17</v>
      </c>
      <c r="K444" s="4" t="s">
        <v>53</v>
      </c>
      <c r="L444" s="5">
        <v>1</v>
      </c>
      <c r="M444" s="8"/>
      <c r="N444" s="4"/>
      <c r="O444" s="5"/>
      <c r="P444" s="8"/>
      <c r="Q444" s="4"/>
      <c r="R444" s="5"/>
      <c r="W444" s="67" t="s">
        <v>463</v>
      </c>
      <c r="X444" s="68" t="s">
        <v>465</v>
      </c>
      <c r="Y444" s="69">
        <v>42.11</v>
      </c>
      <c r="Z444" t="str">
        <f>IF(AND(Tabla1[[#This Row],[nudo inicial]]=Tabla3[[#This Row],[n1]],Tabla1[[#This Row],[nudo final]]=Tabla3[[#This Row],[n2]],Tabla1[[#This Row],[longitud]]=Tabla3[[#This Row],[long]]),"si","no")</f>
        <v>si</v>
      </c>
    </row>
    <row r="445" spans="2:26" ht="15.75" x14ac:dyDescent="0.25">
      <c r="B445" t="s">
        <v>463</v>
      </c>
      <c r="C445" t="s">
        <v>466</v>
      </c>
      <c r="D445" s="19">
        <v>22.91</v>
      </c>
      <c r="E445" s="3" t="s">
        <v>53</v>
      </c>
      <c r="F445" s="3" t="s">
        <v>25</v>
      </c>
      <c r="G445" s="8" t="s">
        <v>57</v>
      </c>
      <c r="H445" s="4" t="s">
        <v>53</v>
      </c>
      <c r="I445" s="5">
        <v>1</v>
      </c>
      <c r="J445" s="8" t="s">
        <v>17</v>
      </c>
      <c r="K445" s="4" t="s">
        <v>53</v>
      </c>
      <c r="L445" s="5">
        <v>1</v>
      </c>
      <c r="M445" s="8"/>
      <c r="N445" s="4"/>
      <c r="O445" s="5"/>
      <c r="P445" s="8"/>
      <c r="Q445" s="4"/>
      <c r="R445" s="5"/>
      <c r="W445" s="67" t="s">
        <v>463</v>
      </c>
      <c r="X445" s="68" t="s">
        <v>466</v>
      </c>
      <c r="Y445" s="69">
        <v>22.91</v>
      </c>
      <c r="Z445" t="str">
        <f>IF(AND(Tabla1[[#This Row],[nudo inicial]]=Tabla3[[#This Row],[n1]],Tabla1[[#This Row],[nudo final]]=Tabla3[[#This Row],[n2]],Tabla1[[#This Row],[longitud]]=Tabla3[[#This Row],[long]]),"si","no")</f>
        <v>si</v>
      </c>
    </row>
    <row r="446" spans="2:26" ht="15.75" x14ac:dyDescent="0.25">
      <c r="B446" t="s">
        <v>462</v>
      </c>
      <c r="C446" t="s">
        <v>467</v>
      </c>
      <c r="D446" s="19">
        <v>163.1</v>
      </c>
      <c r="E446" s="3" t="s">
        <v>23</v>
      </c>
      <c r="F446" s="3" t="s">
        <v>26</v>
      </c>
      <c r="G446" s="8" t="s">
        <v>57</v>
      </c>
      <c r="H446" s="4" t="s">
        <v>23</v>
      </c>
      <c r="I446" s="5">
        <v>1</v>
      </c>
      <c r="J446" s="8"/>
      <c r="K446" s="4"/>
      <c r="L446" s="5"/>
      <c r="M446" s="8"/>
      <c r="N446" s="4"/>
      <c r="O446" s="5"/>
      <c r="P446" s="8"/>
      <c r="Q446" s="4"/>
      <c r="R446" s="5"/>
      <c r="W446" s="67" t="s">
        <v>462</v>
      </c>
      <c r="X446" s="68" t="s">
        <v>467</v>
      </c>
      <c r="Y446" s="69">
        <v>163.1</v>
      </c>
      <c r="Z446" t="str">
        <f>IF(AND(Tabla1[[#This Row],[nudo inicial]]=Tabla3[[#This Row],[n1]],Tabla1[[#This Row],[nudo final]]=Tabla3[[#This Row],[n2]],Tabla1[[#This Row],[longitud]]=Tabla3[[#This Row],[long]]),"si","no")</f>
        <v>si</v>
      </c>
    </row>
    <row r="447" spans="2:26" ht="15.75" x14ac:dyDescent="0.25">
      <c r="B447" t="s">
        <v>451</v>
      </c>
      <c r="C447" t="s">
        <v>468</v>
      </c>
      <c r="D447" s="19">
        <v>147.19999999999999</v>
      </c>
      <c r="E447" s="3" t="s">
        <v>23</v>
      </c>
      <c r="F447" s="3" t="s">
        <v>26</v>
      </c>
      <c r="G447" s="8" t="s">
        <v>57</v>
      </c>
      <c r="H447" s="4" t="s">
        <v>23</v>
      </c>
      <c r="I447" s="5">
        <v>1</v>
      </c>
      <c r="J447" s="8"/>
      <c r="K447" s="4"/>
      <c r="L447" s="5"/>
      <c r="M447" s="8"/>
      <c r="N447" s="4"/>
      <c r="O447" s="5"/>
      <c r="P447" s="8"/>
      <c r="Q447" s="4"/>
      <c r="R447" s="5"/>
      <c r="W447" s="67" t="s">
        <v>451</v>
      </c>
      <c r="X447" s="68" t="s">
        <v>468</v>
      </c>
      <c r="Y447" s="69">
        <v>147.19999999999999</v>
      </c>
      <c r="Z447" t="str">
        <f>IF(AND(Tabla1[[#This Row],[nudo inicial]]=Tabla3[[#This Row],[n1]],Tabla1[[#This Row],[nudo final]]=Tabla3[[#This Row],[n2]],Tabla1[[#This Row],[longitud]]=Tabla3[[#This Row],[long]]),"si","no")</f>
        <v>si</v>
      </c>
    </row>
    <row r="448" spans="2:26" ht="15.75" x14ac:dyDescent="0.25">
      <c r="B448" t="s">
        <v>467</v>
      </c>
      <c r="C448" t="s">
        <v>469</v>
      </c>
      <c r="D448" s="19">
        <v>38.04</v>
      </c>
      <c r="E448" s="3" t="s">
        <v>53</v>
      </c>
      <c r="F448" s="3" t="s">
        <v>25</v>
      </c>
      <c r="G448" s="8" t="s">
        <v>58</v>
      </c>
      <c r="H448" s="4" t="s">
        <v>23</v>
      </c>
      <c r="I448" s="5">
        <v>1</v>
      </c>
      <c r="J448" s="8" t="s">
        <v>15</v>
      </c>
      <c r="K448" s="4" t="s">
        <v>53</v>
      </c>
      <c r="L448" s="5">
        <v>1</v>
      </c>
      <c r="M448" s="8" t="s">
        <v>17</v>
      </c>
      <c r="N448" s="4" t="s">
        <v>53</v>
      </c>
      <c r="O448" s="5">
        <v>1</v>
      </c>
      <c r="P448" s="8"/>
      <c r="Q448" s="4"/>
      <c r="R448" s="5"/>
      <c r="W448" s="67" t="s">
        <v>467</v>
      </c>
      <c r="X448" s="68" t="s">
        <v>469</v>
      </c>
      <c r="Y448" s="69">
        <v>38.04</v>
      </c>
      <c r="Z448" t="str">
        <f>IF(AND(Tabla1[[#This Row],[nudo inicial]]=Tabla3[[#This Row],[n1]],Tabla1[[#This Row],[nudo final]]=Tabla3[[#This Row],[n2]],Tabla1[[#This Row],[longitud]]=Tabla3[[#This Row],[long]]),"si","no")</f>
        <v>si</v>
      </c>
    </row>
    <row r="449" spans="2:26" ht="15.75" x14ac:dyDescent="0.25">
      <c r="B449" t="s">
        <v>467</v>
      </c>
      <c r="C449" t="s">
        <v>470</v>
      </c>
      <c r="D449" s="19">
        <v>131.88</v>
      </c>
      <c r="E449" s="3" t="s">
        <v>23</v>
      </c>
      <c r="F449" s="3" t="s">
        <v>26</v>
      </c>
      <c r="G449" s="8" t="s">
        <v>57</v>
      </c>
      <c r="H449" s="4" t="s">
        <v>23</v>
      </c>
      <c r="I449" s="5">
        <v>1</v>
      </c>
      <c r="J449" s="8" t="s">
        <v>6</v>
      </c>
      <c r="K449" s="4" t="s">
        <v>55</v>
      </c>
      <c r="L449" s="5">
        <v>1</v>
      </c>
      <c r="M449" s="8"/>
      <c r="N449" s="4"/>
      <c r="O449" s="5"/>
      <c r="P449" s="8"/>
      <c r="Q449" s="4"/>
      <c r="R449" s="5"/>
      <c r="W449" s="67" t="s">
        <v>467</v>
      </c>
      <c r="X449" s="68" t="s">
        <v>470</v>
      </c>
      <c r="Y449" s="69">
        <v>131.88</v>
      </c>
      <c r="Z449" t="str">
        <f>IF(AND(Tabla1[[#This Row],[nudo inicial]]=Tabla3[[#This Row],[n1]],Tabla1[[#This Row],[nudo final]]=Tabla3[[#This Row],[n2]],Tabla1[[#This Row],[longitud]]=Tabla3[[#This Row],[long]]),"si","no")</f>
        <v>si</v>
      </c>
    </row>
    <row r="450" spans="2:26" ht="15.75" x14ac:dyDescent="0.25">
      <c r="B450" t="s">
        <v>456</v>
      </c>
      <c r="C450" t="s">
        <v>471</v>
      </c>
      <c r="D450" s="19">
        <v>243.06</v>
      </c>
      <c r="E450" s="3" t="s">
        <v>23</v>
      </c>
      <c r="F450" s="3" t="s">
        <v>26</v>
      </c>
      <c r="G450" s="8" t="s">
        <v>57</v>
      </c>
      <c r="H450" s="4" t="s">
        <v>23</v>
      </c>
      <c r="I450" s="5">
        <v>1</v>
      </c>
      <c r="J450" s="8"/>
      <c r="K450" s="4"/>
      <c r="L450" s="5"/>
      <c r="M450" s="8"/>
      <c r="N450" s="4"/>
      <c r="O450" s="5"/>
      <c r="P450" s="8"/>
      <c r="Q450" s="4"/>
      <c r="R450" s="5"/>
      <c r="W450" s="67" t="s">
        <v>456</v>
      </c>
      <c r="X450" s="68" t="s">
        <v>471</v>
      </c>
      <c r="Y450" s="69">
        <v>243.06</v>
      </c>
      <c r="Z450" t="str">
        <f>IF(AND(Tabla1[[#This Row],[nudo inicial]]=Tabla3[[#This Row],[n1]],Tabla1[[#This Row],[nudo final]]=Tabla3[[#This Row],[n2]],Tabla1[[#This Row],[longitud]]=Tabla3[[#This Row],[long]]),"si","no")</f>
        <v>si</v>
      </c>
    </row>
    <row r="451" spans="2:26" ht="15.75" x14ac:dyDescent="0.25">
      <c r="B451" t="s">
        <v>471</v>
      </c>
      <c r="C451" t="s">
        <v>472</v>
      </c>
      <c r="D451" s="19">
        <v>93.28</v>
      </c>
      <c r="E451" s="3" t="s">
        <v>53</v>
      </c>
      <c r="F451" s="3" t="s">
        <v>25</v>
      </c>
      <c r="G451" s="8" t="s">
        <v>15</v>
      </c>
      <c r="H451" s="4" t="s">
        <v>53</v>
      </c>
      <c r="I451" s="5">
        <v>1</v>
      </c>
      <c r="J451" s="8"/>
      <c r="K451" s="4"/>
      <c r="L451" s="5"/>
      <c r="M451" s="8"/>
      <c r="N451" s="4"/>
      <c r="O451" s="5"/>
      <c r="P451" s="8"/>
      <c r="Q451" s="4"/>
      <c r="R451" s="5"/>
      <c r="W451" s="67" t="s">
        <v>471</v>
      </c>
      <c r="X451" s="68" t="s">
        <v>472</v>
      </c>
      <c r="Y451" s="69">
        <v>93.28</v>
      </c>
      <c r="Z451" t="str">
        <f>IF(AND(Tabla1[[#This Row],[nudo inicial]]=Tabla3[[#This Row],[n1]],Tabla1[[#This Row],[nudo final]]=Tabla3[[#This Row],[n2]],Tabla1[[#This Row],[longitud]]=Tabla3[[#This Row],[long]]),"si","no")</f>
        <v>si</v>
      </c>
    </row>
    <row r="452" spans="2:26" ht="15.75" x14ac:dyDescent="0.25">
      <c r="B452" t="s">
        <v>472</v>
      </c>
      <c r="C452" t="s">
        <v>473</v>
      </c>
      <c r="D452" s="19">
        <v>41.33</v>
      </c>
      <c r="E452" s="3" t="s">
        <v>53</v>
      </c>
      <c r="F452" s="3" t="s">
        <v>25</v>
      </c>
      <c r="G452" s="8" t="s">
        <v>58</v>
      </c>
      <c r="H452" s="4" t="s">
        <v>53</v>
      </c>
      <c r="I452" s="5">
        <v>1</v>
      </c>
      <c r="J452" s="8" t="s">
        <v>17</v>
      </c>
      <c r="K452" s="4" t="s">
        <v>53</v>
      </c>
      <c r="L452" s="5">
        <v>1</v>
      </c>
      <c r="M452" s="8"/>
      <c r="N452" s="4"/>
      <c r="O452" s="5"/>
      <c r="P452" s="8"/>
      <c r="Q452" s="4"/>
      <c r="R452" s="5"/>
      <c r="W452" s="67" t="s">
        <v>472</v>
      </c>
      <c r="X452" s="68" t="s">
        <v>473</v>
      </c>
      <c r="Y452" s="69">
        <v>41.33</v>
      </c>
      <c r="Z452" t="str">
        <f>IF(AND(Tabla1[[#This Row],[nudo inicial]]=Tabla3[[#This Row],[n1]],Tabla1[[#This Row],[nudo final]]=Tabla3[[#This Row],[n2]],Tabla1[[#This Row],[longitud]]=Tabla3[[#This Row],[long]]),"si","no")</f>
        <v>si</v>
      </c>
    </row>
    <row r="453" spans="2:26" ht="15.75" x14ac:dyDescent="0.25">
      <c r="B453" t="s">
        <v>472</v>
      </c>
      <c r="C453" t="s">
        <v>474</v>
      </c>
      <c r="D453" s="19">
        <v>62.24</v>
      </c>
      <c r="E453" s="3" t="s">
        <v>53</v>
      </c>
      <c r="F453" s="3" t="s">
        <v>25</v>
      </c>
      <c r="G453" s="8" t="s">
        <v>57</v>
      </c>
      <c r="H453" s="4" t="s">
        <v>53</v>
      </c>
      <c r="I453" s="5">
        <v>1</v>
      </c>
      <c r="J453" s="8" t="s">
        <v>16</v>
      </c>
      <c r="K453" s="4" t="s">
        <v>53</v>
      </c>
      <c r="L453" s="5">
        <v>1</v>
      </c>
      <c r="M453" s="8" t="s">
        <v>17</v>
      </c>
      <c r="N453" s="4" t="s">
        <v>53</v>
      </c>
      <c r="O453" s="5">
        <v>1</v>
      </c>
      <c r="P453" s="8"/>
      <c r="Q453" s="4"/>
      <c r="R453" s="5"/>
      <c r="W453" s="67" t="s">
        <v>472</v>
      </c>
      <c r="X453" s="68" t="s">
        <v>474</v>
      </c>
      <c r="Y453" s="69">
        <v>62.24</v>
      </c>
      <c r="Z453" t="str">
        <f>IF(AND(Tabla1[[#This Row],[nudo inicial]]=Tabla3[[#This Row],[n1]],Tabla1[[#This Row],[nudo final]]=Tabla3[[#This Row],[n2]],Tabla1[[#This Row],[longitud]]=Tabla3[[#This Row],[long]]),"si","no")</f>
        <v>si</v>
      </c>
    </row>
    <row r="454" spans="2:26" ht="15.75" x14ac:dyDescent="0.25">
      <c r="B454" t="s">
        <v>456</v>
      </c>
      <c r="C454" t="s">
        <v>470</v>
      </c>
      <c r="D454" s="19">
        <v>15.31</v>
      </c>
      <c r="E454" s="3" t="s">
        <v>23</v>
      </c>
      <c r="F454" s="3" t="s">
        <v>26</v>
      </c>
      <c r="G454" s="8" t="s">
        <v>58</v>
      </c>
      <c r="H454" s="4" t="s">
        <v>23</v>
      </c>
      <c r="I454" s="5">
        <v>1</v>
      </c>
      <c r="J454" s="8" t="s">
        <v>32</v>
      </c>
      <c r="K454" s="4" t="s">
        <v>23</v>
      </c>
      <c r="L454" s="5">
        <v>1</v>
      </c>
      <c r="M454" s="8" t="s">
        <v>6</v>
      </c>
      <c r="N454" s="4" t="s">
        <v>55</v>
      </c>
      <c r="O454" s="5">
        <v>1</v>
      </c>
      <c r="P454" s="8"/>
      <c r="Q454" s="4"/>
      <c r="R454" s="5"/>
      <c r="W454" s="67" t="s">
        <v>456</v>
      </c>
      <c r="X454" s="68" t="s">
        <v>470</v>
      </c>
      <c r="Y454" s="69">
        <v>15.31</v>
      </c>
      <c r="Z454" t="str">
        <f>IF(AND(Tabla1[[#This Row],[nudo inicial]]=Tabla3[[#This Row],[n1]],Tabla1[[#This Row],[nudo final]]=Tabla3[[#This Row],[n2]],Tabla1[[#This Row],[longitud]]=Tabla3[[#This Row],[long]]),"si","no")</f>
        <v>si</v>
      </c>
    </row>
    <row r="455" spans="2:26" ht="15.75" x14ac:dyDescent="0.25">
      <c r="B455" t="s">
        <v>470</v>
      </c>
      <c r="C455" t="s">
        <v>475</v>
      </c>
      <c r="D455" s="19">
        <v>26.13</v>
      </c>
      <c r="E455" s="3" t="s">
        <v>55</v>
      </c>
      <c r="F455" s="3" t="s">
        <v>26</v>
      </c>
      <c r="G455" s="8" t="s">
        <v>58</v>
      </c>
      <c r="H455" s="4" t="s">
        <v>55</v>
      </c>
      <c r="I455" s="5">
        <v>1</v>
      </c>
      <c r="J455" s="8"/>
      <c r="K455" s="4"/>
      <c r="L455" s="5"/>
      <c r="M455" s="8"/>
      <c r="N455" s="4"/>
      <c r="O455" s="5"/>
      <c r="P455" s="8"/>
      <c r="Q455" s="4"/>
      <c r="R455" s="5"/>
      <c r="W455" s="67" t="s">
        <v>470</v>
      </c>
      <c r="X455" s="68" t="s">
        <v>475</v>
      </c>
      <c r="Y455" s="69">
        <v>26.13</v>
      </c>
      <c r="Z455" t="str">
        <f>IF(AND(Tabla1[[#This Row],[nudo inicial]]=Tabla3[[#This Row],[n1]],Tabla1[[#This Row],[nudo final]]=Tabla3[[#This Row],[n2]],Tabla1[[#This Row],[longitud]]=Tabla3[[#This Row],[long]]),"si","no")</f>
        <v>si</v>
      </c>
    </row>
    <row r="456" spans="2:26" ht="15.75" x14ac:dyDescent="0.25">
      <c r="B456" t="s">
        <v>130</v>
      </c>
      <c r="C456" t="s">
        <v>476</v>
      </c>
      <c r="D456" s="19">
        <v>26.81</v>
      </c>
      <c r="E456" s="3" t="s">
        <v>56</v>
      </c>
      <c r="F456" s="3" t="s">
        <v>27</v>
      </c>
      <c r="G456" s="8" t="s">
        <v>20</v>
      </c>
      <c r="H456" s="4" t="s">
        <v>43</v>
      </c>
      <c r="I456" s="5">
        <v>1</v>
      </c>
      <c r="J456" s="8" t="s">
        <v>15</v>
      </c>
      <c r="K456" s="4" t="s">
        <v>56</v>
      </c>
      <c r="L456" s="5">
        <v>1</v>
      </c>
      <c r="M456" s="8"/>
      <c r="N456" s="4"/>
      <c r="O456" s="5"/>
      <c r="P456" s="8"/>
      <c r="Q456" s="4"/>
      <c r="R456" s="5"/>
      <c r="W456" s="67" t="s">
        <v>130</v>
      </c>
      <c r="X456" s="68" t="s">
        <v>476</v>
      </c>
      <c r="Y456" s="69">
        <v>26.81</v>
      </c>
      <c r="Z456" t="str">
        <f>IF(AND(Tabla1[[#This Row],[nudo inicial]]=Tabla3[[#This Row],[n1]],Tabla1[[#This Row],[nudo final]]=Tabla3[[#This Row],[n2]],Tabla1[[#This Row],[longitud]]=Tabla3[[#This Row],[long]]),"si","no")</f>
        <v>si</v>
      </c>
    </row>
    <row r="457" spans="2:26" ht="15.75" x14ac:dyDescent="0.25">
      <c r="B457" t="s">
        <v>476</v>
      </c>
      <c r="C457" t="s">
        <v>477</v>
      </c>
      <c r="D457" s="19">
        <v>71.02</v>
      </c>
      <c r="E457" s="3" t="s">
        <v>56</v>
      </c>
      <c r="F457" s="3" t="s">
        <v>25</v>
      </c>
      <c r="G457" s="8" t="s">
        <v>16</v>
      </c>
      <c r="H457" s="4" t="s">
        <v>56</v>
      </c>
      <c r="I457" s="5">
        <v>1</v>
      </c>
      <c r="J457" s="8" t="s">
        <v>17</v>
      </c>
      <c r="K457" s="4" t="s">
        <v>56</v>
      </c>
      <c r="L457" s="5">
        <v>1</v>
      </c>
      <c r="M457" s="8"/>
      <c r="N457" s="4"/>
      <c r="O457" s="5"/>
      <c r="P457" s="8"/>
      <c r="Q457" s="4"/>
      <c r="R457" s="5"/>
      <c r="W457" s="67" t="s">
        <v>476</v>
      </c>
      <c r="X457" s="68" t="s">
        <v>477</v>
      </c>
      <c r="Y457" s="69">
        <v>71.02</v>
      </c>
      <c r="Z457" t="str">
        <f>IF(AND(Tabla1[[#This Row],[nudo inicial]]=Tabla3[[#This Row],[n1]],Tabla1[[#This Row],[nudo final]]=Tabla3[[#This Row],[n2]],Tabla1[[#This Row],[longitud]]=Tabla3[[#This Row],[long]]),"si","no")</f>
        <v>si</v>
      </c>
    </row>
    <row r="458" spans="2:26" ht="15.75" x14ac:dyDescent="0.25">
      <c r="B458" t="s">
        <v>130</v>
      </c>
      <c r="C458" t="s">
        <v>478</v>
      </c>
      <c r="D458" s="19">
        <v>65.75</v>
      </c>
      <c r="E458" s="3" t="s">
        <v>43</v>
      </c>
      <c r="F458" s="3" t="s">
        <v>26</v>
      </c>
      <c r="G458" s="8"/>
      <c r="H458" s="4"/>
      <c r="I458" s="5"/>
      <c r="J458" s="8"/>
      <c r="K458" s="4"/>
      <c r="L458" s="5"/>
      <c r="M458" s="8"/>
      <c r="N458" s="4"/>
      <c r="O458" s="5"/>
      <c r="P458" s="8"/>
      <c r="Q458" s="4"/>
      <c r="R458" s="5"/>
      <c r="W458" s="67" t="s">
        <v>130</v>
      </c>
      <c r="X458" s="68" t="s">
        <v>478</v>
      </c>
      <c r="Y458" s="69">
        <v>65.75</v>
      </c>
      <c r="Z458" t="str">
        <f>IF(AND(Tabla1[[#This Row],[nudo inicial]]=Tabla3[[#This Row],[n1]],Tabla1[[#This Row],[nudo final]]=Tabla3[[#This Row],[n2]],Tabla1[[#This Row],[longitud]]=Tabla3[[#This Row],[long]]),"si","no")</f>
        <v>si</v>
      </c>
    </row>
    <row r="459" spans="2:26" ht="15.75" x14ac:dyDescent="0.25">
      <c r="B459" t="s">
        <v>478</v>
      </c>
      <c r="C459" t="s">
        <v>479</v>
      </c>
      <c r="D459" s="19">
        <v>69.599999999999994</v>
      </c>
      <c r="E459" s="3" t="s">
        <v>53</v>
      </c>
      <c r="F459" s="3" t="s">
        <v>25</v>
      </c>
      <c r="G459" s="8" t="s">
        <v>20</v>
      </c>
      <c r="H459" s="4" t="s">
        <v>43</v>
      </c>
      <c r="I459" s="5">
        <v>1</v>
      </c>
      <c r="J459" s="8" t="s">
        <v>17</v>
      </c>
      <c r="K459" s="4" t="s">
        <v>53</v>
      </c>
      <c r="L459" s="5">
        <v>1</v>
      </c>
      <c r="M459" s="8" t="s">
        <v>15</v>
      </c>
      <c r="N459" s="4" t="s">
        <v>53</v>
      </c>
      <c r="O459" s="5">
        <v>1</v>
      </c>
      <c r="P459" s="8"/>
      <c r="Q459" s="4"/>
      <c r="R459" s="5"/>
      <c r="W459" s="67" t="s">
        <v>478</v>
      </c>
      <c r="X459" s="68" t="s">
        <v>479</v>
      </c>
      <c r="Y459" s="69">
        <v>69.599999999999994</v>
      </c>
      <c r="Z459" t="str">
        <f>IF(AND(Tabla1[[#This Row],[nudo inicial]]=Tabla3[[#This Row],[n1]],Tabla1[[#This Row],[nudo final]]=Tabla3[[#This Row],[n2]],Tabla1[[#This Row],[longitud]]=Tabla3[[#This Row],[long]]),"si","no")</f>
        <v>si</v>
      </c>
    </row>
    <row r="460" spans="2:26" ht="30" x14ac:dyDescent="0.25">
      <c r="B460" t="s">
        <v>478</v>
      </c>
      <c r="C460" t="s">
        <v>430</v>
      </c>
      <c r="D460" s="19">
        <v>135.72999999999999</v>
      </c>
      <c r="E460" s="3" t="s">
        <v>43</v>
      </c>
      <c r="F460" s="3" t="s">
        <v>26</v>
      </c>
      <c r="G460" s="8" t="s">
        <v>33</v>
      </c>
      <c r="H460" s="4"/>
      <c r="I460" s="5">
        <v>1</v>
      </c>
      <c r="J460" s="8"/>
      <c r="K460" s="4"/>
      <c r="L460" s="5"/>
      <c r="M460" s="8"/>
      <c r="N460" s="4"/>
      <c r="O460" s="5"/>
      <c r="P460" s="8"/>
      <c r="Q460" s="4"/>
      <c r="R460" s="5"/>
      <c r="W460" s="67" t="s">
        <v>478</v>
      </c>
      <c r="X460" s="68" t="s">
        <v>430</v>
      </c>
      <c r="Y460" s="69">
        <v>135.72999999999999</v>
      </c>
      <c r="Z460" t="str">
        <f>IF(AND(Tabla1[[#This Row],[nudo inicial]]=Tabla3[[#This Row],[n1]],Tabla1[[#This Row],[nudo final]]=Tabla3[[#This Row],[n2]],Tabla1[[#This Row],[longitud]]=Tabla3[[#This Row],[long]]),"si","no")</f>
        <v>si</v>
      </c>
    </row>
    <row r="461" spans="2:26" ht="15.75" x14ac:dyDescent="0.25">
      <c r="B461" t="s">
        <v>430</v>
      </c>
      <c r="C461" t="s">
        <v>480</v>
      </c>
      <c r="D461" s="19">
        <v>63.37</v>
      </c>
      <c r="E461" s="3" t="s">
        <v>43</v>
      </c>
      <c r="F461" s="3" t="s">
        <v>26</v>
      </c>
      <c r="G461" s="8" t="s">
        <v>57</v>
      </c>
      <c r="H461" s="4" t="s">
        <v>43</v>
      </c>
      <c r="I461" s="5">
        <v>1</v>
      </c>
      <c r="J461" s="8"/>
      <c r="K461" s="4"/>
      <c r="L461" s="5"/>
      <c r="M461" s="8"/>
      <c r="N461" s="4"/>
      <c r="O461" s="5"/>
      <c r="P461" s="8"/>
      <c r="Q461" s="4"/>
      <c r="R461" s="5"/>
      <c r="W461" s="67" t="s">
        <v>430</v>
      </c>
      <c r="X461" s="68" t="s">
        <v>480</v>
      </c>
      <c r="Y461" s="69">
        <v>63.37</v>
      </c>
      <c r="Z461" t="str">
        <f>IF(AND(Tabla1[[#This Row],[nudo inicial]]=Tabla3[[#This Row],[n1]],Tabla1[[#This Row],[nudo final]]=Tabla3[[#This Row],[n2]],Tabla1[[#This Row],[longitud]]=Tabla3[[#This Row],[long]]),"si","no")</f>
        <v>si</v>
      </c>
    </row>
    <row r="462" spans="2:26" ht="15.75" x14ac:dyDescent="0.25">
      <c r="B462" t="s">
        <v>480</v>
      </c>
      <c r="C462" t="s">
        <v>481</v>
      </c>
      <c r="D462" s="19">
        <v>112.91</v>
      </c>
      <c r="E462" s="3" t="s">
        <v>43</v>
      </c>
      <c r="F462" s="3" t="s">
        <v>26</v>
      </c>
      <c r="G462" s="8" t="s">
        <v>57</v>
      </c>
      <c r="H462" s="4" t="s">
        <v>43</v>
      </c>
      <c r="I462" s="5">
        <v>1</v>
      </c>
      <c r="J462" s="8"/>
      <c r="K462" s="4"/>
      <c r="L462" s="5"/>
      <c r="M462" s="8"/>
      <c r="N462" s="4"/>
      <c r="O462" s="5"/>
      <c r="P462" s="8"/>
      <c r="Q462" s="4"/>
      <c r="R462" s="5"/>
      <c r="W462" s="67" t="s">
        <v>480</v>
      </c>
      <c r="X462" s="68" t="s">
        <v>481</v>
      </c>
      <c r="Y462" s="69">
        <v>112.91</v>
      </c>
      <c r="Z462" t="str">
        <f>IF(AND(Tabla1[[#This Row],[nudo inicial]]=Tabla3[[#This Row],[n1]],Tabla1[[#This Row],[nudo final]]=Tabla3[[#This Row],[n2]],Tabla1[[#This Row],[longitud]]=Tabla3[[#This Row],[long]]),"si","no")</f>
        <v>si</v>
      </c>
    </row>
    <row r="463" spans="2:26" ht="15.75" x14ac:dyDescent="0.25">
      <c r="B463" t="s">
        <v>480</v>
      </c>
      <c r="C463" t="s">
        <v>482</v>
      </c>
      <c r="D463" s="19">
        <v>9.2200000000000006</v>
      </c>
      <c r="E463" s="3" t="s">
        <v>23</v>
      </c>
      <c r="F463" s="3" t="s">
        <v>27</v>
      </c>
      <c r="G463" s="8" t="s">
        <v>58</v>
      </c>
      <c r="H463" s="4" t="s">
        <v>43</v>
      </c>
      <c r="I463" s="5">
        <v>1</v>
      </c>
      <c r="J463" s="8" t="s">
        <v>15</v>
      </c>
      <c r="K463" s="4" t="s">
        <v>23</v>
      </c>
      <c r="L463" s="5">
        <v>1</v>
      </c>
      <c r="M463" s="8"/>
      <c r="N463" s="4"/>
      <c r="O463" s="5"/>
      <c r="P463" s="8"/>
      <c r="Q463" s="4"/>
      <c r="R463" s="5"/>
      <c r="W463" s="67" t="s">
        <v>480</v>
      </c>
      <c r="X463" s="68" t="s">
        <v>482</v>
      </c>
      <c r="Y463" s="69">
        <v>9.2200000000000006</v>
      </c>
      <c r="Z463" t="str">
        <f>IF(AND(Tabla1[[#This Row],[nudo inicial]]=Tabla3[[#This Row],[n1]],Tabla1[[#This Row],[nudo final]]=Tabla3[[#This Row],[n2]],Tabla1[[#This Row],[longitud]]=Tabla3[[#This Row],[long]]),"si","no")</f>
        <v>si</v>
      </c>
    </row>
    <row r="464" spans="2:26" ht="15.75" x14ac:dyDescent="0.25">
      <c r="B464" t="s">
        <v>482</v>
      </c>
      <c r="C464" t="s">
        <v>483</v>
      </c>
      <c r="D464" s="19">
        <v>100.34</v>
      </c>
      <c r="E464" s="3" t="s">
        <v>23</v>
      </c>
      <c r="F464" s="3" t="s">
        <v>25</v>
      </c>
      <c r="G464" s="60" t="s">
        <v>32</v>
      </c>
      <c r="H464" s="4" t="s">
        <v>23</v>
      </c>
      <c r="I464" s="5">
        <v>1</v>
      </c>
      <c r="J464" s="8"/>
      <c r="K464" s="4"/>
      <c r="L464" s="5"/>
      <c r="M464" s="8"/>
      <c r="N464" s="4"/>
      <c r="O464" s="5"/>
      <c r="P464" s="8"/>
      <c r="Q464" s="4"/>
      <c r="R464" s="5"/>
      <c r="W464" s="67" t="s">
        <v>482</v>
      </c>
      <c r="X464" s="68" t="s">
        <v>483</v>
      </c>
      <c r="Y464" s="69">
        <v>100.34</v>
      </c>
      <c r="Z464" t="str">
        <f>IF(AND(Tabla1[[#This Row],[nudo inicial]]=Tabla3[[#This Row],[n1]],Tabla1[[#This Row],[nudo final]]=Tabla3[[#This Row],[n2]],Tabla1[[#This Row],[longitud]]=Tabla3[[#This Row],[long]]),"si","no")</f>
        <v>si</v>
      </c>
    </row>
    <row r="465" spans="1:26" ht="15.75" x14ac:dyDescent="0.25">
      <c r="B465" t="s">
        <v>483</v>
      </c>
      <c r="C465" t="s">
        <v>484</v>
      </c>
      <c r="D465" s="19">
        <v>38.29</v>
      </c>
      <c r="E465" s="3" t="s">
        <v>53</v>
      </c>
      <c r="F465" s="3" t="s">
        <v>25</v>
      </c>
      <c r="G465" s="8" t="s">
        <v>58</v>
      </c>
      <c r="H465" s="4" t="s">
        <v>23</v>
      </c>
      <c r="I465" s="5">
        <v>1</v>
      </c>
      <c r="J465" s="8" t="s">
        <v>15</v>
      </c>
      <c r="K465" s="4" t="s">
        <v>53</v>
      </c>
      <c r="L465" s="5">
        <v>1</v>
      </c>
      <c r="M465" s="8" t="s">
        <v>17</v>
      </c>
      <c r="N465" s="4" t="s">
        <v>53</v>
      </c>
      <c r="O465" s="5">
        <v>1</v>
      </c>
      <c r="P465" s="8"/>
      <c r="Q465" s="4"/>
      <c r="R465" s="5"/>
      <c r="W465" s="67" t="s">
        <v>483</v>
      </c>
      <c r="X465" s="68" t="s">
        <v>484</v>
      </c>
      <c r="Y465" s="69">
        <v>38.29</v>
      </c>
      <c r="Z465" t="str">
        <f>IF(AND(Tabla1[[#This Row],[nudo inicial]]=Tabla3[[#This Row],[n1]],Tabla1[[#This Row],[nudo final]]=Tabla3[[#This Row],[n2]],Tabla1[[#This Row],[longitud]]=Tabla3[[#This Row],[long]]),"si","no")</f>
        <v>si</v>
      </c>
    </row>
    <row r="466" spans="1:26" ht="15.75" x14ac:dyDescent="0.25">
      <c r="B466" t="s">
        <v>483</v>
      </c>
      <c r="C466" t="s">
        <v>554</v>
      </c>
      <c r="D466" s="19">
        <v>448.76</v>
      </c>
      <c r="E466" s="3" t="s">
        <v>53</v>
      </c>
      <c r="F466" s="3" t="s">
        <v>25</v>
      </c>
      <c r="G466" s="8" t="s">
        <v>57</v>
      </c>
      <c r="H466" s="4" t="s">
        <v>23</v>
      </c>
      <c r="I466" s="5">
        <v>1</v>
      </c>
      <c r="J466" s="8" t="s">
        <v>15</v>
      </c>
      <c r="K466" s="4" t="s">
        <v>53</v>
      </c>
      <c r="L466" s="5">
        <v>1</v>
      </c>
      <c r="M466" s="8" t="s">
        <v>16</v>
      </c>
      <c r="N466" s="4" t="s">
        <v>53</v>
      </c>
      <c r="O466" s="5">
        <v>2</v>
      </c>
      <c r="P466" s="8" t="s">
        <v>32</v>
      </c>
      <c r="Q466" s="4" t="s">
        <v>53</v>
      </c>
      <c r="R466" s="5">
        <v>1</v>
      </c>
      <c r="W466" s="67" t="s">
        <v>483</v>
      </c>
      <c r="X466" s="68" t="s">
        <v>554</v>
      </c>
      <c r="Y466" s="69">
        <v>448.76</v>
      </c>
      <c r="Z466" t="str">
        <f>IF(AND(Tabla1[[#This Row],[nudo inicial]]=Tabla3[[#This Row],[n1]],Tabla1[[#This Row],[nudo final]]=Tabla3[[#This Row],[n2]],Tabla1[[#This Row],[longitud]]=Tabla3[[#This Row],[long]]),"si","no")</f>
        <v>si</v>
      </c>
    </row>
    <row r="467" spans="1:26" ht="15.75" x14ac:dyDescent="0.25">
      <c r="B467" t="s">
        <v>181</v>
      </c>
      <c r="C467" t="s">
        <v>555</v>
      </c>
      <c r="D467" s="19">
        <v>75.67</v>
      </c>
      <c r="E467" s="3" t="s">
        <v>30</v>
      </c>
      <c r="F467" s="3" t="s">
        <v>28</v>
      </c>
      <c r="G467" s="8" t="s">
        <v>58</v>
      </c>
      <c r="H467" s="4" t="s">
        <v>30</v>
      </c>
      <c r="I467" s="5">
        <v>1</v>
      </c>
      <c r="J467" s="8" t="s">
        <v>32</v>
      </c>
      <c r="K467" s="4" t="s">
        <v>30</v>
      </c>
      <c r="L467" s="5">
        <v>1</v>
      </c>
      <c r="M467" s="8"/>
      <c r="N467" s="4"/>
      <c r="O467" s="5"/>
      <c r="P467" s="8"/>
      <c r="Q467" s="4"/>
      <c r="R467" s="5"/>
      <c r="W467" s="67" t="s">
        <v>181</v>
      </c>
      <c r="X467" s="68" t="s">
        <v>555</v>
      </c>
      <c r="Y467" s="69">
        <v>75.67</v>
      </c>
      <c r="Z467" t="str">
        <f>IF(AND(Tabla1[[#This Row],[nudo inicial]]=Tabla3[[#This Row],[n1]],Tabla1[[#This Row],[nudo final]]=Tabla3[[#This Row],[n2]],Tabla1[[#This Row],[longitud]]=Tabla3[[#This Row],[long]]),"si","no")</f>
        <v>si</v>
      </c>
    </row>
    <row r="468" spans="1:26" ht="15.75" x14ac:dyDescent="0.25">
      <c r="B468" t="s">
        <v>555</v>
      </c>
      <c r="C468" t="s">
        <v>556</v>
      </c>
      <c r="D468" s="19">
        <v>711.2</v>
      </c>
      <c r="E468" s="3" t="s">
        <v>30</v>
      </c>
      <c r="F468" s="3" t="s">
        <v>25</v>
      </c>
      <c r="G468" s="8" t="s">
        <v>16</v>
      </c>
      <c r="H468" s="4" t="s">
        <v>30</v>
      </c>
      <c r="I468" s="5">
        <v>1</v>
      </c>
      <c r="J468" s="8" t="s">
        <v>18</v>
      </c>
      <c r="K468" s="4" t="s">
        <v>30</v>
      </c>
      <c r="L468" s="5">
        <v>1</v>
      </c>
      <c r="M468" s="8"/>
      <c r="N468" s="4"/>
      <c r="O468" s="5"/>
      <c r="P468" s="8"/>
      <c r="Q468" s="4"/>
      <c r="R468" s="5"/>
      <c r="W468" s="67" t="s">
        <v>555</v>
      </c>
      <c r="X468" s="68" t="s">
        <v>556</v>
      </c>
      <c r="Y468" s="69">
        <v>711.2</v>
      </c>
      <c r="Z468" t="str">
        <f>IF(AND(Tabla1[[#This Row],[nudo inicial]]=Tabla3[[#This Row],[n1]],Tabla1[[#This Row],[nudo final]]=Tabla3[[#This Row],[n2]],Tabla1[[#This Row],[longitud]]=Tabla3[[#This Row],[long]]),"si","no")</f>
        <v>si</v>
      </c>
    </row>
    <row r="469" spans="1:26" ht="31.5" x14ac:dyDescent="0.25">
      <c r="B469" t="s">
        <v>556</v>
      </c>
      <c r="C469" t="s">
        <v>490</v>
      </c>
      <c r="D469" s="19">
        <v>13.87</v>
      </c>
      <c r="E469" s="3" t="s">
        <v>30</v>
      </c>
      <c r="F469" s="3" t="s">
        <v>28</v>
      </c>
      <c r="G469" s="8" t="s">
        <v>58</v>
      </c>
      <c r="H469" s="4" t="s">
        <v>30</v>
      </c>
      <c r="I469" s="5">
        <v>1</v>
      </c>
      <c r="J469" s="8" t="s">
        <v>32</v>
      </c>
      <c r="K469" s="4" t="s">
        <v>30</v>
      </c>
      <c r="L469" s="5">
        <v>1</v>
      </c>
      <c r="M469" s="8"/>
      <c r="N469" s="4"/>
      <c r="O469" s="5"/>
      <c r="P469" s="8"/>
      <c r="Q469" s="4"/>
      <c r="R469" s="5"/>
      <c r="W469" s="67" t="s">
        <v>556</v>
      </c>
      <c r="X469" s="68" t="s">
        <v>485</v>
      </c>
      <c r="Y469" s="69">
        <v>13.87</v>
      </c>
      <c r="Z469" t="str">
        <f>IF(AND(Tabla1[[#This Row],[nudo inicial]]=Tabla3[[#This Row],[n1]],Tabla1[[#This Row],[nudo final]]=Tabla3[[#This Row],[n2]],Tabla1[[#This Row],[longitud]]=Tabla3[[#This Row],[long]]),"si","no")</f>
        <v>no</v>
      </c>
    </row>
    <row r="470" spans="1:26" ht="15.75" x14ac:dyDescent="0.25">
      <c r="B470" t="s">
        <v>556</v>
      </c>
      <c r="C470" t="s">
        <v>486</v>
      </c>
      <c r="D470" s="19">
        <v>107.35</v>
      </c>
      <c r="E470" s="3" t="s">
        <v>30</v>
      </c>
      <c r="F470" s="3" t="s">
        <v>25</v>
      </c>
      <c r="G470" s="8" t="s">
        <v>57</v>
      </c>
      <c r="H470" s="4" t="s">
        <v>30</v>
      </c>
      <c r="I470" s="5">
        <v>1</v>
      </c>
      <c r="J470" s="8"/>
      <c r="K470" s="4"/>
      <c r="L470" s="5"/>
      <c r="M470" s="8"/>
      <c r="N470" s="4"/>
      <c r="O470" s="5"/>
      <c r="P470" s="8"/>
      <c r="Q470" s="4"/>
      <c r="R470" s="5"/>
      <c r="W470" s="67" t="s">
        <v>556</v>
      </c>
      <c r="X470" s="68" t="s">
        <v>486</v>
      </c>
      <c r="Y470" s="69">
        <v>107.35</v>
      </c>
      <c r="Z470" t="str">
        <f>IF(AND(Tabla1[[#This Row],[nudo inicial]]=Tabla3[[#This Row],[n1]],Tabla1[[#This Row],[nudo final]]=Tabla3[[#This Row],[n2]],Tabla1[[#This Row],[longitud]]=Tabla3[[#This Row],[long]]),"si","no")</f>
        <v>si</v>
      </c>
    </row>
    <row r="471" spans="1:26" ht="15.75" x14ac:dyDescent="0.25">
      <c r="B471" t="s">
        <v>486</v>
      </c>
      <c r="C471" t="s">
        <v>487</v>
      </c>
      <c r="D471" s="19">
        <v>48.08</v>
      </c>
      <c r="E471" s="3" t="s">
        <v>30</v>
      </c>
      <c r="F471" s="3" t="s">
        <v>28</v>
      </c>
      <c r="G471" s="8"/>
      <c r="H471" s="4"/>
      <c r="I471" s="5"/>
      <c r="J471" s="8"/>
      <c r="K471" s="4"/>
      <c r="L471" s="5"/>
      <c r="M471" s="8"/>
      <c r="N471" s="4"/>
      <c r="O471" s="5"/>
      <c r="P471" s="8"/>
      <c r="Q471" s="4"/>
      <c r="R471" s="5"/>
      <c r="W471" s="67" t="s">
        <v>486</v>
      </c>
      <c r="X471" s="68" t="s">
        <v>487</v>
      </c>
      <c r="Y471" s="69">
        <v>48.08</v>
      </c>
      <c r="Z471" t="str">
        <f>IF(AND(Tabla1[[#This Row],[nudo inicial]]=Tabla3[[#This Row],[n1]],Tabla1[[#This Row],[nudo final]]=Tabla3[[#This Row],[n2]],Tabla1[[#This Row],[longitud]]=Tabla3[[#This Row],[long]]),"si","no")</f>
        <v>si</v>
      </c>
    </row>
    <row r="472" spans="1:26" ht="15.75" x14ac:dyDescent="0.25">
      <c r="B472" t="s">
        <v>487</v>
      </c>
      <c r="C472" t="s">
        <v>488</v>
      </c>
      <c r="D472" s="19">
        <v>187.11</v>
      </c>
      <c r="E472" s="3" t="s">
        <v>53</v>
      </c>
      <c r="F472" s="3" t="s">
        <v>25</v>
      </c>
      <c r="G472" s="8" t="s">
        <v>58</v>
      </c>
      <c r="H472" s="4" t="s">
        <v>30</v>
      </c>
      <c r="I472" s="5">
        <v>1</v>
      </c>
      <c r="J472" s="8" t="s">
        <v>15</v>
      </c>
      <c r="K472" s="4" t="s">
        <v>53</v>
      </c>
      <c r="L472" s="5">
        <v>1</v>
      </c>
      <c r="M472" s="8" t="s">
        <v>17</v>
      </c>
      <c r="N472" s="4" t="s">
        <v>53</v>
      </c>
      <c r="O472" s="5">
        <v>1</v>
      </c>
      <c r="P472" s="8"/>
      <c r="Q472" s="4"/>
      <c r="R472" s="5"/>
      <c r="W472" s="67" t="s">
        <v>487</v>
      </c>
      <c r="X472" s="68" t="s">
        <v>488</v>
      </c>
      <c r="Y472" s="69">
        <v>187.11</v>
      </c>
      <c r="Z472" t="str">
        <f>IF(AND(Tabla1[[#This Row],[nudo inicial]]=Tabla3[[#This Row],[n1]],Tabla1[[#This Row],[nudo final]]=Tabla3[[#This Row],[n2]],Tabla1[[#This Row],[longitud]]=Tabla3[[#This Row],[long]]),"si","no")</f>
        <v>si</v>
      </c>
    </row>
    <row r="473" spans="1:26" ht="15.75" x14ac:dyDescent="0.25">
      <c r="B473" t="s">
        <v>487</v>
      </c>
      <c r="C473" t="s">
        <v>489</v>
      </c>
      <c r="D473" s="19">
        <v>343.5</v>
      </c>
      <c r="E473" s="3" t="s">
        <v>30</v>
      </c>
      <c r="F473" s="3" t="s">
        <v>28</v>
      </c>
      <c r="G473" s="8" t="s">
        <v>58</v>
      </c>
      <c r="H473" s="4" t="s">
        <v>30</v>
      </c>
      <c r="I473" s="5">
        <v>1</v>
      </c>
      <c r="J473" s="8" t="s">
        <v>18</v>
      </c>
      <c r="K473" s="4" t="s">
        <v>30</v>
      </c>
      <c r="L473" s="5">
        <v>1</v>
      </c>
      <c r="M473" s="8" t="s">
        <v>16</v>
      </c>
      <c r="N473" s="4" t="s">
        <v>30</v>
      </c>
      <c r="O473" s="5">
        <v>1</v>
      </c>
      <c r="P473" s="8" t="s">
        <v>32</v>
      </c>
      <c r="Q473" s="4" t="s">
        <v>30</v>
      </c>
      <c r="R473" s="5">
        <v>1</v>
      </c>
      <c r="W473" s="67" t="s">
        <v>487</v>
      </c>
      <c r="X473" s="68" t="s">
        <v>489</v>
      </c>
      <c r="Y473" s="69">
        <v>343.5</v>
      </c>
      <c r="Z473" t="str">
        <f>IF(AND(Tabla1[[#This Row],[nudo inicial]]=Tabla3[[#This Row],[n1]],Tabla1[[#This Row],[nudo final]]=Tabla3[[#This Row],[n2]],Tabla1[[#This Row],[longitud]]=Tabla3[[#This Row],[long]]),"si","no")</f>
        <v>si</v>
      </c>
    </row>
    <row r="474" spans="1:26" ht="47.25" x14ac:dyDescent="0.25">
      <c r="B474" t="s">
        <v>490</v>
      </c>
      <c r="C474" t="s">
        <v>491</v>
      </c>
      <c r="D474" s="19">
        <v>367.22</v>
      </c>
      <c r="E474" s="3" t="s">
        <v>30</v>
      </c>
      <c r="F474" s="3" t="s">
        <v>28</v>
      </c>
      <c r="G474" s="8" t="s">
        <v>32</v>
      </c>
      <c r="H474" s="4" t="s">
        <v>30</v>
      </c>
      <c r="I474" s="5">
        <v>1</v>
      </c>
      <c r="J474" s="8" t="s">
        <v>16</v>
      </c>
      <c r="K474" s="4" t="s">
        <v>30</v>
      </c>
      <c r="L474" s="5">
        <v>1</v>
      </c>
      <c r="M474" s="8"/>
      <c r="N474" s="4"/>
      <c r="O474" s="5"/>
      <c r="P474" s="8"/>
      <c r="Q474" s="4"/>
      <c r="R474" s="5"/>
      <c r="W474" s="67" t="s">
        <v>490</v>
      </c>
      <c r="X474" s="68" t="s">
        <v>491</v>
      </c>
      <c r="Y474" s="69">
        <v>367.22</v>
      </c>
      <c r="Z474" t="str">
        <f>IF(AND(Tabla1[[#This Row],[nudo inicial]]=Tabla3[[#This Row],[n1]],Tabla1[[#This Row],[nudo final]]=Tabla3[[#This Row],[n2]],Tabla1[[#This Row],[longitud]]=Tabla3[[#This Row],[long]]),"si","no")</f>
        <v>si</v>
      </c>
    </row>
    <row r="475" spans="1:26" ht="15.75" x14ac:dyDescent="0.25">
      <c r="B475" t="s">
        <v>491</v>
      </c>
      <c r="C475" t="s">
        <v>492</v>
      </c>
      <c r="D475" s="19">
        <v>94.09</v>
      </c>
      <c r="E475" s="3" t="s">
        <v>53</v>
      </c>
      <c r="F475" s="3" t="s">
        <v>25</v>
      </c>
      <c r="G475" s="8" t="s">
        <v>58</v>
      </c>
      <c r="H475" s="4" t="s">
        <v>30</v>
      </c>
      <c r="I475" s="5">
        <v>1</v>
      </c>
      <c r="J475" s="8" t="s">
        <v>15</v>
      </c>
      <c r="K475" s="4" t="s">
        <v>53</v>
      </c>
      <c r="L475" s="5">
        <v>1</v>
      </c>
      <c r="M475" s="8" t="s">
        <v>17</v>
      </c>
      <c r="N475" s="4" t="s">
        <v>53</v>
      </c>
      <c r="O475" s="5">
        <v>1</v>
      </c>
      <c r="P475" s="8"/>
      <c r="Q475" s="4"/>
      <c r="R475" s="5"/>
      <c r="W475" s="67" t="s">
        <v>491</v>
      </c>
      <c r="X475" s="68" t="s">
        <v>492</v>
      </c>
      <c r="Y475" s="69">
        <v>94.09</v>
      </c>
      <c r="Z475" t="str">
        <f>IF(AND(Tabla1[[#This Row],[nudo inicial]]=Tabla3[[#This Row],[n1]],Tabla1[[#This Row],[nudo final]]=Tabla3[[#This Row],[n2]],Tabla1[[#This Row],[longitud]]=Tabla3[[#This Row],[long]]),"si","no")</f>
        <v>si</v>
      </c>
    </row>
    <row r="476" spans="1:26" ht="15.75" x14ac:dyDescent="0.25">
      <c r="B476" t="s">
        <v>491</v>
      </c>
      <c r="C476" t="s">
        <v>493</v>
      </c>
      <c r="D476" s="19">
        <v>131.79</v>
      </c>
      <c r="E476" s="3" t="s">
        <v>30</v>
      </c>
      <c r="F476" s="3" t="s">
        <v>28</v>
      </c>
      <c r="G476" s="8" t="s">
        <v>57</v>
      </c>
      <c r="H476" s="4" t="s">
        <v>30</v>
      </c>
      <c r="I476" s="5">
        <v>1</v>
      </c>
      <c r="J476" s="8" t="s">
        <v>16</v>
      </c>
      <c r="K476" s="4" t="s">
        <v>30</v>
      </c>
      <c r="L476" s="5">
        <v>1</v>
      </c>
      <c r="M476" s="8"/>
      <c r="N476" s="4"/>
      <c r="O476" s="5"/>
      <c r="P476" s="8"/>
      <c r="Q476" s="4"/>
      <c r="R476" s="5"/>
      <c r="W476" s="67" t="s">
        <v>491</v>
      </c>
      <c r="X476" s="68" t="s">
        <v>493</v>
      </c>
      <c r="Y476" s="69">
        <v>131.79</v>
      </c>
      <c r="Z476" t="str">
        <f>IF(AND(Tabla1[[#This Row],[nudo inicial]]=Tabla3[[#This Row],[n1]],Tabla1[[#This Row],[nudo final]]=Tabla3[[#This Row],[n2]],Tabla1[[#This Row],[longitud]]=Tabla3[[#This Row],[long]]),"si","no")</f>
        <v>si</v>
      </c>
    </row>
    <row r="477" spans="1:26" ht="15.75" x14ac:dyDescent="0.25">
      <c r="B477" t="s">
        <v>127</v>
      </c>
      <c r="C477" t="s">
        <v>494</v>
      </c>
      <c r="D477" s="19">
        <v>822.78</v>
      </c>
      <c r="E477" s="3" t="s">
        <v>30</v>
      </c>
      <c r="F477" s="3" t="s">
        <v>25</v>
      </c>
      <c r="G477" s="8" t="s">
        <v>18</v>
      </c>
      <c r="H477" s="4" t="s">
        <v>30</v>
      </c>
      <c r="I477" s="5">
        <v>1</v>
      </c>
      <c r="J477" s="8"/>
      <c r="K477" s="4"/>
      <c r="L477" s="5"/>
      <c r="M477" s="8"/>
      <c r="N477" s="4"/>
      <c r="O477" s="5"/>
      <c r="P477" s="8"/>
      <c r="Q477" s="4"/>
      <c r="R477" s="5"/>
      <c r="W477" s="67" t="s">
        <v>127</v>
      </c>
      <c r="X477" s="68" t="s">
        <v>494</v>
      </c>
      <c r="Y477" s="69">
        <v>822.78</v>
      </c>
      <c r="Z477" t="str">
        <f>IF(AND(Tabla1[[#This Row],[nudo inicial]]=Tabla3[[#This Row],[n1]],Tabla1[[#This Row],[nudo final]]=Tabla3[[#This Row],[n2]],Tabla1[[#This Row],[longitud]]=Tabla3[[#This Row],[long]]),"si","no")</f>
        <v>si</v>
      </c>
    </row>
    <row r="478" spans="1:26" ht="31.5" x14ac:dyDescent="0.25">
      <c r="B478" t="s">
        <v>733</v>
      </c>
      <c r="C478" t="s">
        <v>125</v>
      </c>
      <c r="D478" s="19">
        <v>75.92</v>
      </c>
      <c r="E478" s="3" t="s">
        <v>56</v>
      </c>
      <c r="F478" s="3" t="s">
        <v>25</v>
      </c>
      <c r="G478" s="8" t="s">
        <v>16</v>
      </c>
      <c r="H478" s="4" t="s">
        <v>56</v>
      </c>
      <c r="I478" s="5">
        <v>2</v>
      </c>
      <c r="J478" s="8"/>
      <c r="K478" s="4"/>
      <c r="L478" s="5"/>
      <c r="M478" s="8"/>
      <c r="N478" s="4"/>
      <c r="O478" s="5"/>
      <c r="P478" s="8"/>
      <c r="Q478" s="4"/>
      <c r="R478" s="5"/>
      <c r="W478" s="67" t="s">
        <v>733</v>
      </c>
      <c r="X478" s="68" t="s">
        <v>125</v>
      </c>
      <c r="Y478" s="69">
        <v>75.92</v>
      </c>
      <c r="Z478" t="str">
        <f>IF(AND(Tabla1[[#This Row],[nudo inicial]]=Tabla3[[#This Row],[n1]],Tabla1[[#This Row],[nudo final]]=Tabla3[[#This Row],[n2]],Tabla1[[#This Row],[longitud]]=Tabla3[[#This Row],[long]]),"si","no")</f>
        <v>si</v>
      </c>
    </row>
    <row r="479" spans="1:26" ht="31.5" x14ac:dyDescent="0.25">
      <c r="A479" s="14" t="s">
        <v>324</v>
      </c>
      <c r="B479" t="s">
        <v>733</v>
      </c>
      <c r="C479" t="s">
        <v>495</v>
      </c>
      <c r="D479" s="19">
        <v>73.67</v>
      </c>
      <c r="E479" s="3" t="s">
        <v>53</v>
      </c>
      <c r="F479" s="3" t="s">
        <v>25</v>
      </c>
      <c r="G479" s="8"/>
      <c r="H479" s="4"/>
      <c r="I479" s="5"/>
      <c r="J479" s="8"/>
      <c r="K479" s="4"/>
      <c r="L479" s="5"/>
      <c r="M479" s="8"/>
      <c r="N479" s="4"/>
      <c r="O479" s="5"/>
      <c r="P479" s="8"/>
      <c r="Q479" s="4"/>
      <c r="R479" s="5"/>
      <c r="W479" s="67" t="s">
        <v>733</v>
      </c>
      <c r="X479" s="68" t="s">
        <v>495</v>
      </c>
      <c r="Y479" s="69">
        <v>73.67</v>
      </c>
      <c r="Z479" t="str">
        <f>IF(AND(Tabla1[[#This Row],[nudo inicial]]=Tabla3[[#This Row],[n1]],Tabla1[[#This Row],[nudo final]]=Tabla3[[#This Row],[n2]],Tabla1[[#This Row],[longitud]]=Tabla3[[#This Row],[long]]),"si","no")</f>
        <v>si</v>
      </c>
    </row>
    <row r="480" spans="1:26" ht="31.5" x14ac:dyDescent="0.25">
      <c r="B480" s="14" t="s">
        <v>125</v>
      </c>
      <c r="C480" s="14" t="s">
        <v>495</v>
      </c>
      <c r="D480" s="20">
        <v>17.59</v>
      </c>
      <c r="E480" s="15" t="s">
        <v>56</v>
      </c>
      <c r="F480" s="15" t="s">
        <v>25</v>
      </c>
      <c r="G480" s="16" t="s">
        <v>32</v>
      </c>
      <c r="H480" s="17" t="s">
        <v>56</v>
      </c>
      <c r="I480" s="18">
        <v>1</v>
      </c>
      <c r="J480" s="16" t="s">
        <v>6</v>
      </c>
      <c r="K480" s="17" t="s">
        <v>53</v>
      </c>
      <c r="L480" s="18">
        <v>1</v>
      </c>
      <c r="M480" s="16"/>
      <c r="N480" s="17"/>
      <c r="O480" s="18"/>
      <c r="P480" s="16"/>
      <c r="Q480" s="17"/>
      <c r="R480" s="18"/>
      <c r="S480" s="14"/>
      <c r="T480" s="14"/>
      <c r="U480" s="14"/>
      <c r="W480" s="67" t="s">
        <v>496</v>
      </c>
      <c r="X480" s="68" t="s">
        <v>495</v>
      </c>
      <c r="Y480" s="69">
        <v>17.59</v>
      </c>
      <c r="Z480" t="str">
        <f>IF(AND(Tabla1[[#This Row],[nudo inicial]]=Tabla3[[#This Row],[n1]],Tabla1[[#This Row],[nudo final]]=Tabla3[[#This Row],[n2]],Tabla1[[#This Row],[longitud]]=Tabla3[[#This Row],[long]]),"si","no")</f>
        <v>no</v>
      </c>
    </row>
    <row r="481" spans="2:26" ht="31.5" x14ac:dyDescent="0.25">
      <c r="B481" t="s">
        <v>733</v>
      </c>
      <c r="C481" t="s">
        <v>497</v>
      </c>
      <c r="D481" s="19">
        <v>77.22</v>
      </c>
      <c r="E481" s="3" t="s">
        <v>53</v>
      </c>
      <c r="F481" s="3" t="s">
        <v>25</v>
      </c>
      <c r="G481" s="8" t="s">
        <v>16</v>
      </c>
      <c r="H481" s="4" t="s">
        <v>53</v>
      </c>
      <c r="I481" s="5">
        <v>1</v>
      </c>
      <c r="J481" s="8"/>
      <c r="K481" s="4"/>
      <c r="L481" s="5"/>
      <c r="M481" s="8"/>
      <c r="N481" s="4"/>
      <c r="O481" s="5"/>
      <c r="P481" s="8"/>
      <c r="Q481" s="4"/>
      <c r="R481" s="5"/>
      <c r="W481" s="67" t="s">
        <v>733</v>
      </c>
      <c r="X481" s="68" t="s">
        <v>497</v>
      </c>
      <c r="Y481" s="69">
        <v>77.22</v>
      </c>
      <c r="Z481" t="str">
        <f>IF(AND(Tabla1[[#This Row],[nudo inicial]]=Tabla3[[#This Row],[n1]],Tabla1[[#This Row],[nudo final]]=Tabla3[[#This Row],[n2]],Tabla1[[#This Row],[longitud]]=Tabla3[[#This Row],[long]]),"si","no")</f>
        <v>si</v>
      </c>
    </row>
    <row r="482" spans="2:26" ht="31.5" x14ac:dyDescent="0.25">
      <c r="B482" t="s">
        <v>125</v>
      </c>
      <c r="C482" t="s">
        <v>497</v>
      </c>
      <c r="D482" s="19">
        <v>17.77</v>
      </c>
      <c r="E482" s="3" t="s">
        <v>56</v>
      </c>
      <c r="F482" s="3" t="s">
        <v>25</v>
      </c>
      <c r="G482" s="8"/>
      <c r="H482" s="4"/>
      <c r="I482" s="5"/>
      <c r="J482" s="8" t="s">
        <v>6</v>
      </c>
      <c r="K482" s="4" t="s">
        <v>53</v>
      </c>
      <c r="L482" s="5">
        <v>1</v>
      </c>
      <c r="M482" s="8"/>
      <c r="N482" s="4"/>
      <c r="O482" s="5"/>
      <c r="P482" s="8"/>
      <c r="Q482" s="4"/>
      <c r="R482" s="5"/>
      <c r="W482" s="67" t="s">
        <v>496</v>
      </c>
      <c r="X482" s="68" t="s">
        <v>497</v>
      </c>
      <c r="Y482" s="69">
        <v>17.77</v>
      </c>
      <c r="Z482" t="str">
        <f>IF(AND(Tabla1[[#This Row],[nudo inicial]]=Tabla3[[#This Row],[n1]],Tabla1[[#This Row],[nudo final]]=Tabla3[[#This Row],[n2]],Tabla1[[#This Row],[longitud]]=Tabla3[[#This Row],[long]]),"si","no")</f>
        <v>no</v>
      </c>
    </row>
    <row r="483" spans="2:26" ht="15.75" x14ac:dyDescent="0.25">
      <c r="B483" t="s">
        <v>495</v>
      </c>
      <c r="C483" t="s">
        <v>498</v>
      </c>
      <c r="D483" s="19">
        <v>190.05</v>
      </c>
      <c r="E483" s="3" t="s">
        <v>53</v>
      </c>
      <c r="F483" s="3" t="s">
        <v>25</v>
      </c>
      <c r="G483" s="8" t="s">
        <v>57</v>
      </c>
      <c r="H483" s="4" t="s">
        <v>53</v>
      </c>
      <c r="I483" s="5">
        <v>1</v>
      </c>
      <c r="J483" s="8" t="s">
        <v>16</v>
      </c>
      <c r="K483" s="4" t="s">
        <v>53</v>
      </c>
      <c r="L483" s="5">
        <v>1</v>
      </c>
      <c r="M483" s="8"/>
      <c r="N483" s="4"/>
      <c r="O483" s="5"/>
      <c r="P483" s="8"/>
      <c r="Q483" s="4"/>
      <c r="R483" s="5"/>
      <c r="W483" s="67" t="s">
        <v>495</v>
      </c>
      <c r="X483" s="68" t="s">
        <v>498</v>
      </c>
      <c r="Y483" s="69">
        <v>190.05</v>
      </c>
      <c r="Z483" t="str">
        <f>IF(AND(Tabla1[[#This Row],[nudo inicial]]=Tabla3[[#This Row],[n1]],Tabla1[[#This Row],[nudo final]]=Tabla3[[#This Row],[n2]],Tabla1[[#This Row],[longitud]]=Tabla3[[#This Row],[long]]),"si","no")</f>
        <v>si</v>
      </c>
    </row>
    <row r="484" spans="2:26" ht="15.75" x14ac:dyDescent="0.25">
      <c r="B484" t="s">
        <v>498</v>
      </c>
      <c r="C484" t="s">
        <v>499</v>
      </c>
      <c r="D484" s="19">
        <v>6.46</v>
      </c>
      <c r="E484" s="3" t="s">
        <v>53</v>
      </c>
      <c r="F484" s="3" t="s">
        <v>25</v>
      </c>
      <c r="G484" s="8" t="s">
        <v>58</v>
      </c>
      <c r="H484" s="4" t="s">
        <v>53</v>
      </c>
      <c r="I484" s="5">
        <v>1</v>
      </c>
      <c r="J484" s="8"/>
      <c r="K484" s="4"/>
      <c r="L484" s="5"/>
      <c r="M484" s="8"/>
      <c r="N484" s="4"/>
      <c r="O484" s="5"/>
      <c r="P484" s="8"/>
      <c r="Q484" s="4"/>
      <c r="R484" s="5"/>
      <c r="W484" s="67" t="s">
        <v>498</v>
      </c>
      <c r="X484" s="68" t="s">
        <v>499</v>
      </c>
      <c r="Y484" s="69">
        <v>6.46</v>
      </c>
      <c r="Z484" t="str">
        <f>IF(AND(Tabla1[[#This Row],[nudo inicial]]=Tabla3[[#This Row],[n1]],Tabla1[[#This Row],[nudo final]]=Tabla3[[#This Row],[n2]],Tabla1[[#This Row],[longitud]]=Tabla3[[#This Row],[long]]),"si","no")</f>
        <v>si</v>
      </c>
    </row>
    <row r="485" spans="2:26" ht="15.75" x14ac:dyDescent="0.25">
      <c r="B485" t="s">
        <v>497</v>
      </c>
      <c r="C485" t="s">
        <v>499</v>
      </c>
      <c r="D485" s="19">
        <v>194.7</v>
      </c>
      <c r="E485" s="3" t="s">
        <v>53</v>
      </c>
      <c r="F485" s="3" t="s">
        <v>25</v>
      </c>
      <c r="G485" s="8" t="s">
        <v>16</v>
      </c>
      <c r="H485" s="4" t="s">
        <v>53</v>
      </c>
      <c r="I485" s="5">
        <v>1</v>
      </c>
      <c r="J485" s="8"/>
      <c r="K485" s="4"/>
      <c r="L485" s="5"/>
      <c r="M485" s="8"/>
      <c r="N485" s="4"/>
      <c r="O485" s="5"/>
      <c r="P485" s="8"/>
      <c r="Q485" s="4"/>
      <c r="R485" s="5"/>
      <c r="W485" s="67" t="s">
        <v>497</v>
      </c>
      <c r="X485" s="68" t="s">
        <v>499</v>
      </c>
      <c r="Y485" s="69">
        <v>194.7</v>
      </c>
      <c r="Z485" t="str">
        <f>IF(AND(Tabla1[[#This Row],[nudo inicial]]=Tabla3[[#This Row],[n1]],Tabla1[[#This Row],[nudo final]]=Tabla3[[#This Row],[n2]],Tabla1[[#This Row],[longitud]]=Tabla3[[#This Row],[long]]),"si","no")</f>
        <v>si</v>
      </c>
    </row>
    <row r="486" spans="2:26" ht="15.75" x14ac:dyDescent="0.25">
      <c r="B486" t="s">
        <v>498</v>
      </c>
      <c r="C486" t="s">
        <v>500</v>
      </c>
      <c r="D486" s="19">
        <v>325.75</v>
      </c>
      <c r="E486" s="3" t="s">
        <v>53</v>
      </c>
      <c r="F486" s="3" t="s">
        <v>25</v>
      </c>
      <c r="G486" s="8" t="s">
        <v>57</v>
      </c>
      <c r="H486" s="4" t="s">
        <v>53</v>
      </c>
      <c r="I486" s="5">
        <v>1</v>
      </c>
      <c r="J486" s="8" t="s">
        <v>19</v>
      </c>
      <c r="K486" s="4" t="s">
        <v>53</v>
      </c>
      <c r="L486" s="5">
        <v>1</v>
      </c>
      <c r="M486" s="8" t="s">
        <v>17</v>
      </c>
      <c r="N486" s="4" t="s">
        <v>53</v>
      </c>
      <c r="O486" s="5">
        <v>1</v>
      </c>
      <c r="P486" s="8"/>
      <c r="Q486" s="4"/>
      <c r="R486" s="5"/>
      <c r="W486" s="67" t="s">
        <v>498</v>
      </c>
      <c r="X486" s="68" t="s">
        <v>500</v>
      </c>
      <c r="Y486" s="69">
        <v>325.75</v>
      </c>
      <c r="Z486" t="str">
        <f>IF(AND(Tabla1[[#This Row],[nudo inicial]]=Tabla3[[#This Row],[n1]],Tabla1[[#This Row],[nudo final]]=Tabla3[[#This Row],[n2]],Tabla1[[#This Row],[longitud]]=Tabla3[[#This Row],[long]]),"si","no")</f>
        <v>si</v>
      </c>
    </row>
    <row r="487" spans="2:26" ht="15.75" x14ac:dyDescent="0.25">
      <c r="B487" t="s">
        <v>494</v>
      </c>
      <c r="C487" t="s">
        <v>501</v>
      </c>
      <c r="D487" s="19">
        <v>21.23</v>
      </c>
      <c r="E487" s="3" t="s">
        <v>30</v>
      </c>
      <c r="F487" s="3" t="s">
        <v>25</v>
      </c>
      <c r="G487" s="8" t="s">
        <v>57</v>
      </c>
      <c r="H487" s="4" t="s">
        <v>30</v>
      </c>
      <c r="I487" s="5">
        <v>1</v>
      </c>
      <c r="J487" s="8" t="s">
        <v>16</v>
      </c>
      <c r="K487" s="4" t="s">
        <v>30</v>
      </c>
      <c r="L487" s="5">
        <v>1</v>
      </c>
      <c r="M487" s="8"/>
      <c r="N487" s="4"/>
      <c r="O487" s="5"/>
      <c r="P487" s="8"/>
      <c r="Q487" s="4"/>
      <c r="R487" s="5"/>
      <c r="W487" s="67" t="s">
        <v>494</v>
      </c>
      <c r="X487" s="68" t="s">
        <v>501</v>
      </c>
      <c r="Y487" s="69">
        <v>21.23</v>
      </c>
      <c r="Z487" t="str">
        <f>IF(AND(Tabla1[[#This Row],[nudo inicial]]=Tabla3[[#This Row],[n1]],Tabla1[[#This Row],[nudo final]]=Tabla3[[#This Row],[n2]],Tabla1[[#This Row],[longitud]]=Tabla3[[#This Row],[long]]),"si","no")</f>
        <v>si</v>
      </c>
    </row>
    <row r="488" spans="2:26" ht="15.75" x14ac:dyDescent="0.25">
      <c r="B488" t="s">
        <v>494</v>
      </c>
      <c r="C488" t="s">
        <v>499</v>
      </c>
      <c r="D488" s="19">
        <v>4.17</v>
      </c>
      <c r="E488" s="3" t="s">
        <v>30</v>
      </c>
      <c r="F488" s="3" t="s">
        <v>25</v>
      </c>
      <c r="G488" s="8" t="s">
        <v>58</v>
      </c>
      <c r="H488" s="4" t="s">
        <v>30</v>
      </c>
      <c r="I488" s="5">
        <v>1</v>
      </c>
      <c r="J488" s="8"/>
      <c r="K488" s="4"/>
      <c r="L488" s="5"/>
      <c r="M488" s="8"/>
      <c r="N488" s="4"/>
      <c r="O488" s="5"/>
      <c r="P488" s="8"/>
      <c r="Q488" s="4"/>
      <c r="R488" s="5"/>
      <c r="W488" s="67" t="s">
        <v>494</v>
      </c>
      <c r="X488" s="68" t="s">
        <v>499</v>
      </c>
      <c r="Y488" s="69">
        <v>4.17</v>
      </c>
      <c r="Z488" t="str">
        <f>IF(AND(Tabla1[[#This Row],[nudo inicial]]=Tabla3[[#This Row],[n1]],Tabla1[[#This Row],[nudo final]]=Tabla3[[#This Row],[n2]],Tabla1[[#This Row],[longitud]]=Tabla3[[#This Row],[long]]),"si","no")</f>
        <v>si</v>
      </c>
    </row>
    <row r="489" spans="2:26" ht="15.75" x14ac:dyDescent="0.25">
      <c r="B489" t="s">
        <v>499</v>
      </c>
      <c r="C489" t="s">
        <v>501</v>
      </c>
      <c r="D489" s="19">
        <v>8.75</v>
      </c>
      <c r="E489" s="3" t="s">
        <v>30</v>
      </c>
      <c r="F489" s="3" t="s">
        <v>25</v>
      </c>
      <c r="G489" s="8" t="s">
        <v>58</v>
      </c>
      <c r="H489" s="4" t="s">
        <v>30</v>
      </c>
      <c r="I489" s="5">
        <v>1</v>
      </c>
      <c r="J489" s="8"/>
      <c r="K489" s="4"/>
      <c r="L489" s="5"/>
      <c r="M489" s="8"/>
      <c r="N489" s="4"/>
      <c r="O489" s="5"/>
      <c r="P489" s="8"/>
      <c r="Q489" s="4"/>
      <c r="R489" s="5"/>
      <c r="W489" s="67" t="s">
        <v>499</v>
      </c>
      <c r="X489" s="68" t="s">
        <v>501</v>
      </c>
      <c r="Y489" s="69">
        <v>8.75</v>
      </c>
      <c r="Z489" t="str">
        <f>IF(AND(Tabla1[[#This Row],[nudo inicial]]=Tabla3[[#This Row],[n1]],Tabla1[[#This Row],[nudo final]]=Tabla3[[#This Row],[n2]],Tabla1[[#This Row],[longitud]]=Tabla3[[#This Row],[long]]),"si","no")</f>
        <v>si</v>
      </c>
    </row>
    <row r="490" spans="2:26" ht="15.75" x14ac:dyDescent="0.25">
      <c r="B490" t="s">
        <v>501</v>
      </c>
      <c r="C490" t="s">
        <v>502</v>
      </c>
      <c r="D490" s="19">
        <v>97.64</v>
      </c>
      <c r="E490" s="3" t="s">
        <v>30</v>
      </c>
      <c r="F490" s="3" t="s">
        <v>25</v>
      </c>
      <c r="G490" s="8" t="s">
        <v>57</v>
      </c>
      <c r="H490" s="4" t="s">
        <v>30</v>
      </c>
      <c r="I490" s="5">
        <v>1</v>
      </c>
      <c r="J490" s="8"/>
      <c r="K490" s="4"/>
      <c r="L490" s="5"/>
      <c r="M490" s="8"/>
      <c r="N490" s="4"/>
      <c r="O490" s="5"/>
      <c r="P490" s="8"/>
      <c r="Q490" s="4"/>
      <c r="R490" s="5"/>
      <c r="W490" s="67" t="s">
        <v>501</v>
      </c>
      <c r="X490" s="68" t="s">
        <v>502</v>
      </c>
      <c r="Y490" s="69">
        <v>97.64</v>
      </c>
      <c r="Z490" t="str">
        <f>IF(AND(Tabla1[[#This Row],[nudo inicial]]=Tabla3[[#This Row],[n1]],Tabla1[[#This Row],[nudo final]]=Tabla3[[#This Row],[n2]],Tabla1[[#This Row],[longitud]]=Tabla3[[#This Row],[long]]),"si","no")</f>
        <v>si</v>
      </c>
    </row>
    <row r="491" spans="2:26" ht="15.75" x14ac:dyDescent="0.25">
      <c r="B491" t="s">
        <v>502</v>
      </c>
      <c r="C491" t="s">
        <v>503</v>
      </c>
      <c r="D491" s="19">
        <v>7.13</v>
      </c>
      <c r="E491" s="3" t="s">
        <v>23</v>
      </c>
      <c r="F491" s="3" t="s">
        <v>28</v>
      </c>
      <c r="G491" s="8" t="s">
        <v>58</v>
      </c>
      <c r="H491" s="4" t="s">
        <v>30</v>
      </c>
      <c r="I491" s="5">
        <v>1</v>
      </c>
      <c r="J491" s="8" t="s">
        <v>15</v>
      </c>
      <c r="K491" s="4" t="s">
        <v>23</v>
      </c>
      <c r="L491" s="5">
        <v>1</v>
      </c>
      <c r="M491" s="8" t="s">
        <v>32</v>
      </c>
      <c r="N491" s="4" t="s">
        <v>23</v>
      </c>
      <c r="O491" s="5">
        <v>1</v>
      </c>
      <c r="P491" s="8"/>
      <c r="Q491" s="4"/>
      <c r="R491" s="5"/>
      <c r="W491" s="67" t="s">
        <v>502</v>
      </c>
      <c r="X491" s="68" t="s">
        <v>503</v>
      </c>
      <c r="Y491" s="69">
        <v>7.13</v>
      </c>
      <c r="Z491" t="str">
        <f>IF(AND(Tabla1[[#This Row],[nudo inicial]]=Tabla3[[#This Row],[n1]],Tabla1[[#This Row],[nudo final]]=Tabla3[[#This Row],[n2]],Tabla1[[#This Row],[longitud]]=Tabla3[[#This Row],[long]]),"si","no")</f>
        <v>si</v>
      </c>
    </row>
    <row r="492" spans="2:26" ht="15.75" x14ac:dyDescent="0.25">
      <c r="B492" t="s">
        <v>503</v>
      </c>
      <c r="C492" t="s">
        <v>504</v>
      </c>
      <c r="D492" s="19">
        <v>80.61</v>
      </c>
      <c r="E492" s="3" t="s">
        <v>23</v>
      </c>
      <c r="F492" s="3" t="s">
        <v>25</v>
      </c>
      <c r="G492" s="8" t="s">
        <v>58</v>
      </c>
      <c r="H492" s="4" t="s">
        <v>23</v>
      </c>
      <c r="I492" s="5"/>
      <c r="J492" s="8"/>
      <c r="K492" s="4"/>
      <c r="L492" s="5"/>
      <c r="M492" s="8"/>
      <c r="N492" s="4"/>
      <c r="O492" s="5"/>
      <c r="P492" s="8"/>
      <c r="Q492" s="4"/>
      <c r="R492" s="5"/>
      <c r="W492" s="67" t="s">
        <v>503</v>
      </c>
      <c r="X492" s="68" t="s">
        <v>504</v>
      </c>
      <c r="Y492" s="69">
        <v>80.61</v>
      </c>
      <c r="Z492" t="str">
        <f>IF(AND(Tabla1[[#This Row],[nudo inicial]]=Tabla3[[#This Row],[n1]],Tabla1[[#This Row],[nudo final]]=Tabla3[[#This Row],[n2]],Tabla1[[#This Row],[longitud]]=Tabla3[[#This Row],[long]]),"si","no")</f>
        <v>si</v>
      </c>
    </row>
    <row r="493" spans="2:26" ht="15.75" x14ac:dyDescent="0.25">
      <c r="B493" t="s">
        <v>504</v>
      </c>
      <c r="C493" t="s">
        <v>505</v>
      </c>
      <c r="D493" s="19">
        <v>175.11</v>
      </c>
      <c r="E493" s="3" t="s">
        <v>23</v>
      </c>
      <c r="F493" s="3" t="s">
        <v>28</v>
      </c>
      <c r="G493" s="8" t="s">
        <v>57</v>
      </c>
      <c r="H493" s="4" t="s">
        <v>23</v>
      </c>
      <c r="I493" s="5">
        <v>1</v>
      </c>
      <c r="J493" s="8" t="s">
        <v>17</v>
      </c>
      <c r="K493" s="4" t="s">
        <v>23</v>
      </c>
      <c r="L493" s="5">
        <v>1</v>
      </c>
      <c r="M493" s="8"/>
      <c r="N493" s="4"/>
      <c r="O493" s="5"/>
      <c r="P493" s="8"/>
      <c r="Q493" s="4"/>
      <c r="R493" s="5"/>
      <c r="W493" s="67" t="s">
        <v>504</v>
      </c>
      <c r="X493" s="68" t="s">
        <v>505</v>
      </c>
      <c r="Y493" s="69">
        <v>175.11</v>
      </c>
      <c r="Z493" t="str">
        <f>IF(AND(Tabla1[[#This Row],[nudo inicial]]=Tabla3[[#This Row],[n1]],Tabla1[[#This Row],[nudo final]]=Tabla3[[#This Row],[n2]],Tabla1[[#This Row],[longitud]]=Tabla3[[#This Row],[long]]),"si","no")</f>
        <v>si</v>
      </c>
    </row>
    <row r="494" spans="2:26" ht="15.75" x14ac:dyDescent="0.25">
      <c r="B494" t="s">
        <v>504</v>
      </c>
      <c r="C494" t="s">
        <v>506</v>
      </c>
      <c r="D494" s="19">
        <v>92.56</v>
      </c>
      <c r="E494" s="3" t="s">
        <v>23</v>
      </c>
      <c r="F494" s="3" t="s">
        <v>25</v>
      </c>
      <c r="G494" s="8" t="s">
        <v>58</v>
      </c>
      <c r="H494" s="4" t="s">
        <v>23</v>
      </c>
      <c r="I494" s="5">
        <v>1</v>
      </c>
      <c r="J494" s="8"/>
      <c r="K494" s="4"/>
      <c r="L494" s="5"/>
      <c r="M494" s="8"/>
      <c r="N494" s="4"/>
      <c r="O494" s="5"/>
      <c r="P494" s="8"/>
      <c r="Q494" s="4"/>
      <c r="R494" s="5"/>
      <c r="W494" s="67" t="s">
        <v>504</v>
      </c>
      <c r="X494" s="68" t="s">
        <v>506</v>
      </c>
      <c r="Y494" s="69">
        <v>92.56</v>
      </c>
      <c r="Z494" t="str">
        <f>IF(AND(Tabla1[[#This Row],[nudo inicial]]=Tabla3[[#This Row],[n1]],Tabla1[[#This Row],[nudo final]]=Tabla3[[#This Row],[n2]],Tabla1[[#This Row],[longitud]]=Tabla3[[#This Row],[long]]),"si","no")</f>
        <v>si</v>
      </c>
    </row>
    <row r="495" spans="2:26" ht="15.75" x14ac:dyDescent="0.25">
      <c r="B495" t="s">
        <v>506</v>
      </c>
      <c r="C495" t="s">
        <v>507</v>
      </c>
      <c r="D495" s="19">
        <v>4.4400000000000004</v>
      </c>
      <c r="E495" s="3" t="s">
        <v>23</v>
      </c>
      <c r="F495" s="3" t="s">
        <v>25</v>
      </c>
      <c r="G495" s="8" t="s">
        <v>57</v>
      </c>
      <c r="H495" s="4" t="s">
        <v>23</v>
      </c>
      <c r="I495" s="5">
        <v>1</v>
      </c>
      <c r="J495" s="8" t="s">
        <v>17</v>
      </c>
      <c r="K495" s="4" t="s">
        <v>23</v>
      </c>
      <c r="L495" s="5">
        <v>1</v>
      </c>
      <c r="M495" s="8"/>
      <c r="N495" s="4"/>
      <c r="O495" s="5"/>
      <c r="P495" s="8"/>
      <c r="Q495" s="4"/>
      <c r="R495" s="5"/>
      <c r="W495" s="67" t="s">
        <v>506</v>
      </c>
      <c r="X495" s="68" t="s">
        <v>507</v>
      </c>
      <c r="Y495" s="69">
        <v>4.4400000000000004</v>
      </c>
      <c r="Z495" t="str">
        <f>IF(AND(Tabla1[[#This Row],[nudo inicial]]=Tabla3[[#This Row],[n1]],Tabla1[[#This Row],[nudo final]]=Tabla3[[#This Row],[n2]],Tabla1[[#This Row],[longitud]]=Tabla3[[#This Row],[long]]),"si","no")</f>
        <v>si</v>
      </c>
    </row>
    <row r="496" spans="2:26" ht="15.75" x14ac:dyDescent="0.25">
      <c r="B496" t="s">
        <v>506</v>
      </c>
      <c r="C496" t="s">
        <v>508</v>
      </c>
      <c r="D496" s="19">
        <v>44.7</v>
      </c>
      <c r="E496" s="3" t="s">
        <v>56</v>
      </c>
      <c r="F496" s="3" t="s">
        <v>25</v>
      </c>
      <c r="G496" s="8" t="s">
        <v>58</v>
      </c>
      <c r="H496" s="4" t="s">
        <v>23</v>
      </c>
      <c r="I496" s="5">
        <v>1</v>
      </c>
      <c r="J496" s="8" t="s">
        <v>15</v>
      </c>
      <c r="K496" s="4" t="s">
        <v>56</v>
      </c>
      <c r="L496" s="5">
        <v>1</v>
      </c>
      <c r="M496" s="8" t="s">
        <v>17</v>
      </c>
      <c r="N496" s="4" t="s">
        <v>56</v>
      </c>
      <c r="O496" s="5">
        <v>1</v>
      </c>
      <c r="P496" s="8"/>
      <c r="Q496" s="4"/>
      <c r="R496" s="5"/>
      <c r="W496" s="67" t="s">
        <v>506</v>
      </c>
      <c r="X496" s="68" t="s">
        <v>508</v>
      </c>
      <c r="Y496" s="69">
        <v>44.7</v>
      </c>
      <c r="Z496" t="str">
        <f>IF(AND(Tabla1[[#This Row],[nudo inicial]]=Tabla3[[#This Row],[n1]],Tabla1[[#This Row],[nudo final]]=Tabla3[[#This Row],[n2]],Tabla1[[#This Row],[longitud]]=Tabla3[[#This Row],[long]]),"si","no")</f>
        <v>si</v>
      </c>
    </row>
    <row r="497" spans="1:26" ht="31.5" x14ac:dyDescent="0.25">
      <c r="B497" t="s">
        <v>502</v>
      </c>
      <c r="C497" t="s">
        <v>634</v>
      </c>
      <c r="D497" s="19">
        <v>888.73</v>
      </c>
      <c r="E497" s="3" t="s">
        <v>30</v>
      </c>
      <c r="F497" s="3" t="s">
        <v>25</v>
      </c>
      <c r="G497" s="8" t="s">
        <v>57</v>
      </c>
      <c r="H497" s="4" t="s">
        <v>30</v>
      </c>
      <c r="I497" s="5">
        <v>1</v>
      </c>
      <c r="J497" s="8" t="s">
        <v>16</v>
      </c>
      <c r="K497" s="4" t="s">
        <v>30</v>
      </c>
      <c r="L497" s="5">
        <v>6</v>
      </c>
      <c r="M497" s="8"/>
      <c r="N497" s="4"/>
      <c r="O497" s="5"/>
      <c r="P497" s="8"/>
      <c r="Q497" s="4"/>
      <c r="R497" s="5"/>
      <c r="W497" s="67" t="s">
        <v>502</v>
      </c>
      <c r="X497" s="68" t="s">
        <v>634</v>
      </c>
      <c r="Y497" s="69">
        <v>888.73</v>
      </c>
      <c r="Z497" t="str">
        <f>IF(AND(Tabla1[[#This Row],[nudo inicial]]=Tabla3[[#This Row],[n1]],Tabla1[[#This Row],[nudo final]]=Tabla3[[#This Row],[n2]],Tabla1[[#This Row],[longitud]]=Tabla3[[#This Row],[long]]),"si","no")</f>
        <v>si</v>
      </c>
    </row>
    <row r="498" spans="1:26" ht="15.75" x14ac:dyDescent="0.25">
      <c r="B498" t="s">
        <v>503</v>
      </c>
      <c r="C498" t="s">
        <v>509</v>
      </c>
      <c r="D498" s="19">
        <v>167.43</v>
      </c>
      <c r="E498" s="3" t="s">
        <v>23</v>
      </c>
      <c r="F498" s="3" t="s">
        <v>28</v>
      </c>
      <c r="G498" s="8" t="s">
        <v>57</v>
      </c>
      <c r="H498" s="4" t="s">
        <v>23</v>
      </c>
      <c r="I498" s="5">
        <v>1</v>
      </c>
      <c r="J498" s="8"/>
      <c r="K498" s="4"/>
      <c r="L498" s="5"/>
      <c r="M498" s="8"/>
      <c r="N498" s="4"/>
      <c r="O498" s="5"/>
      <c r="P498" s="8"/>
      <c r="Q498" s="4"/>
      <c r="R498" s="5"/>
      <c r="W498" s="67" t="s">
        <v>503</v>
      </c>
      <c r="X498" s="68" t="s">
        <v>509</v>
      </c>
      <c r="Y498" s="69">
        <v>167.43</v>
      </c>
      <c r="Z498" t="str">
        <f>IF(AND(Tabla1[[#This Row],[nudo inicial]]=Tabla3[[#This Row],[n1]],Tabla1[[#This Row],[nudo final]]=Tabla3[[#This Row],[n2]],Tabla1[[#This Row],[longitud]]=Tabla3[[#This Row],[long]]),"si","no")</f>
        <v>si</v>
      </c>
    </row>
    <row r="499" spans="1:26" ht="15.75" x14ac:dyDescent="0.25">
      <c r="B499" t="s">
        <v>509</v>
      </c>
      <c r="C499" t="s">
        <v>510</v>
      </c>
      <c r="D499" s="19">
        <v>193.79</v>
      </c>
      <c r="E499" s="3" t="s">
        <v>53</v>
      </c>
      <c r="F499" s="3" t="s">
        <v>25</v>
      </c>
      <c r="G499" s="8" t="s">
        <v>15</v>
      </c>
      <c r="H499" s="4" t="s">
        <v>53</v>
      </c>
      <c r="I499" s="5">
        <v>1</v>
      </c>
      <c r="J499" s="8" t="s">
        <v>32</v>
      </c>
      <c r="K499" s="4" t="s">
        <v>53</v>
      </c>
      <c r="L499" s="5">
        <v>1</v>
      </c>
      <c r="M499" s="8" t="s">
        <v>16</v>
      </c>
      <c r="N499" s="4" t="s">
        <v>53</v>
      </c>
      <c r="O499" s="5">
        <v>1</v>
      </c>
      <c r="P499" s="8" t="s">
        <v>17</v>
      </c>
      <c r="Q499" s="4" t="s">
        <v>53</v>
      </c>
      <c r="R499" s="5">
        <v>1</v>
      </c>
      <c r="W499" s="67" t="s">
        <v>509</v>
      </c>
      <c r="X499" s="68" t="s">
        <v>510</v>
      </c>
      <c r="Y499" s="69">
        <v>193.79</v>
      </c>
      <c r="Z499" t="str">
        <f>IF(AND(Tabla1[[#This Row],[nudo inicial]]=Tabla3[[#This Row],[n1]],Tabla1[[#This Row],[nudo final]]=Tabla3[[#This Row],[n2]],Tabla1[[#This Row],[longitud]]=Tabla3[[#This Row],[long]]),"si","no")</f>
        <v>si</v>
      </c>
    </row>
    <row r="500" spans="1:26" ht="15.75" x14ac:dyDescent="0.25">
      <c r="B500" t="s">
        <v>481</v>
      </c>
      <c r="C500" t="s">
        <v>511</v>
      </c>
      <c r="D500" s="19">
        <v>50.61</v>
      </c>
      <c r="E500" s="3" t="s">
        <v>41</v>
      </c>
      <c r="F500" s="3" t="s">
        <v>26</v>
      </c>
      <c r="G500" s="8" t="s">
        <v>58</v>
      </c>
      <c r="H500" s="4" t="s">
        <v>43</v>
      </c>
      <c r="I500" s="5">
        <v>1</v>
      </c>
      <c r="J500" s="8" t="s">
        <v>15</v>
      </c>
      <c r="K500" s="4" t="s">
        <v>41</v>
      </c>
      <c r="L500" s="5">
        <v>1</v>
      </c>
      <c r="M500" s="8" t="s">
        <v>32</v>
      </c>
      <c r="N500" s="4" t="s">
        <v>41</v>
      </c>
      <c r="O500" s="5">
        <v>1</v>
      </c>
      <c r="P500" s="8" t="s">
        <v>16</v>
      </c>
      <c r="Q500" s="4" t="s">
        <v>41</v>
      </c>
      <c r="R500" s="5">
        <v>1</v>
      </c>
      <c r="W500" s="67" t="s">
        <v>481</v>
      </c>
      <c r="X500" s="68" t="s">
        <v>511</v>
      </c>
      <c r="Y500" s="69">
        <v>50.61</v>
      </c>
      <c r="Z500" t="str">
        <f>IF(AND(Tabla1[[#This Row],[nudo inicial]]=Tabla3[[#This Row],[n1]],Tabla1[[#This Row],[nudo final]]=Tabla3[[#This Row],[n2]],Tabla1[[#This Row],[longitud]]=Tabla3[[#This Row],[long]]),"si","no")</f>
        <v>si</v>
      </c>
    </row>
    <row r="501" spans="1:26" ht="15.75" x14ac:dyDescent="0.25">
      <c r="B501" t="s">
        <v>511</v>
      </c>
      <c r="C501" t="s">
        <v>512</v>
      </c>
      <c r="D501" s="19">
        <v>19.100000000000001</v>
      </c>
      <c r="E501" s="3" t="s">
        <v>23</v>
      </c>
      <c r="F501" s="3" t="s">
        <v>25</v>
      </c>
      <c r="G501" s="8" t="s">
        <v>58</v>
      </c>
      <c r="H501" s="4" t="s">
        <v>41</v>
      </c>
      <c r="I501" s="5">
        <v>1</v>
      </c>
      <c r="J501" s="8" t="s">
        <v>15</v>
      </c>
      <c r="K501" s="4" t="s">
        <v>23</v>
      </c>
      <c r="L501" s="5">
        <v>1</v>
      </c>
      <c r="M501" s="8" t="s">
        <v>32</v>
      </c>
      <c r="N501" s="4" t="s">
        <v>23</v>
      </c>
      <c r="O501" s="5">
        <v>1</v>
      </c>
      <c r="P501" s="8"/>
      <c r="Q501" s="4"/>
      <c r="R501" s="5"/>
      <c r="W501" s="67" t="s">
        <v>511</v>
      </c>
      <c r="X501" s="68" t="s">
        <v>512</v>
      </c>
      <c r="Y501" s="69">
        <v>19.100000000000001</v>
      </c>
      <c r="Z501" t="str">
        <f>IF(AND(Tabla1[[#This Row],[nudo inicial]]=Tabla3[[#This Row],[n1]],Tabla1[[#This Row],[nudo final]]=Tabla3[[#This Row],[n2]],Tabla1[[#This Row],[longitud]]=Tabla3[[#This Row],[long]]),"si","no")</f>
        <v>si</v>
      </c>
    </row>
    <row r="502" spans="1:26" ht="15.75" x14ac:dyDescent="0.25">
      <c r="B502" t="s">
        <v>512</v>
      </c>
      <c r="C502" t="s">
        <v>513</v>
      </c>
      <c r="D502" s="19">
        <v>15.94</v>
      </c>
      <c r="E502" s="3" t="s">
        <v>23</v>
      </c>
      <c r="F502" s="3" t="s">
        <v>25</v>
      </c>
      <c r="G502" s="8" t="s">
        <v>58</v>
      </c>
      <c r="H502" s="4" t="s">
        <v>23</v>
      </c>
      <c r="I502" s="5">
        <v>1</v>
      </c>
      <c r="J502" s="8" t="s">
        <v>17</v>
      </c>
      <c r="K502" s="4" t="s">
        <v>23</v>
      </c>
      <c r="L502" s="5">
        <v>1</v>
      </c>
      <c r="M502" s="8"/>
      <c r="N502" s="4"/>
      <c r="O502" s="5"/>
      <c r="P502" s="8"/>
      <c r="Q502" s="4"/>
      <c r="R502" s="5"/>
      <c r="W502" s="67" t="s">
        <v>512</v>
      </c>
      <c r="X502" s="68" t="s">
        <v>513</v>
      </c>
      <c r="Y502" s="69">
        <v>15.94</v>
      </c>
      <c r="Z502" t="str">
        <f>IF(AND(Tabla1[[#This Row],[nudo inicial]]=Tabla3[[#This Row],[n1]],Tabla1[[#This Row],[nudo final]]=Tabla3[[#This Row],[n2]],Tabla1[[#This Row],[longitud]]=Tabla3[[#This Row],[long]]),"si","no")</f>
        <v>si</v>
      </c>
    </row>
    <row r="503" spans="1:26" ht="15.75" x14ac:dyDescent="0.25">
      <c r="B503" t="s">
        <v>512</v>
      </c>
      <c r="C503" t="s">
        <v>514</v>
      </c>
      <c r="D503" s="19">
        <v>25.91</v>
      </c>
      <c r="E503" s="3" t="s">
        <v>23</v>
      </c>
      <c r="F503" s="3" t="s">
        <v>25</v>
      </c>
      <c r="G503" s="8" t="s">
        <v>57</v>
      </c>
      <c r="H503" s="4" t="s">
        <v>23</v>
      </c>
      <c r="I503" s="5">
        <v>1</v>
      </c>
      <c r="J503" s="8"/>
      <c r="K503" s="4"/>
      <c r="L503" s="5"/>
      <c r="M503" s="8"/>
      <c r="N503" s="4"/>
      <c r="O503" s="5"/>
      <c r="P503" s="8"/>
      <c r="Q503" s="4"/>
      <c r="R503" s="5"/>
      <c r="W503" s="67" t="s">
        <v>512</v>
      </c>
      <c r="X503" s="68" t="s">
        <v>514</v>
      </c>
      <c r="Y503" s="69">
        <v>25.91</v>
      </c>
      <c r="Z503" t="str">
        <f>IF(AND(Tabla1[[#This Row],[nudo inicial]]=Tabla3[[#This Row],[n1]],Tabla1[[#This Row],[nudo final]]=Tabla3[[#This Row],[n2]],Tabla1[[#This Row],[longitud]]=Tabla3[[#This Row],[long]]),"si","no")</f>
        <v>si</v>
      </c>
    </row>
    <row r="504" spans="1:26" ht="15.75" x14ac:dyDescent="0.25">
      <c r="B504" t="s">
        <v>514</v>
      </c>
      <c r="C504" t="s">
        <v>515</v>
      </c>
      <c r="D504" s="19">
        <v>18.12</v>
      </c>
      <c r="E504" s="3" t="s">
        <v>23</v>
      </c>
      <c r="F504" s="3" t="s">
        <v>25</v>
      </c>
      <c r="G504" s="8" t="s">
        <v>58</v>
      </c>
      <c r="H504" s="4" t="s">
        <v>23</v>
      </c>
      <c r="I504" s="5">
        <v>1</v>
      </c>
      <c r="J504" s="8" t="s">
        <v>17</v>
      </c>
      <c r="K504" s="4" t="s">
        <v>23</v>
      </c>
      <c r="L504" s="5">
        <v>1</v>
      </c>
      <c r="M504" s="8"/>
      <c r="N504" s="4"/>
      <c r="O504" s="5"/>
      <c r="P504" s="8"/>
      <c r="Q504" s="4"/>
      <c r="R504" s="5"/>
      <c r="W504" s="67" t="s">
        <v>514</v>
      </c>
      <c r="X504" s="68" t="s">
        <v>515</v>
      </c>
      <c r="Y504" s="69">
        <v>18.12</v>
      </c>
      <c r="Z504" t="str">
        <f>IF(AND(Tabla1[[#This Row],[nudo inicial]]=Tabla3[[#This Row],[n1]],Tabla1[[#This Row],[nudo final]]=Tabla3[[#This Row],[n2]],Tabla1[[#This Row],[longitud]]=Tabla3[[#This Row],[long]]),"si","no")</f>
        <v>si</v>
      </c>
    </row>
    <row r="505" spans="1:26" ht="15.75" x14ac:dyDescent="0.25">
      <c r="B505" t="s">
        <v>514</v>
      </c>
      <c r="C505" t="s">
        <v>516</v>
      </c>
      <c r="D505" s="19">
        <v>35</v>
      </c>
      <c r="E505" s="3" t="s">
        <v>53</v>
      </c>
      <c r="F505" s="3" t="s">
        <v>25</v>
      </c>
      <c r="G505" s="8" t="s">
        <v>57</v>
      </c>
      <c r="H505" s="4" t="s">
        <v>23</v>
      </c>
      <c r="I505" s="5">
        <v>1</v>
      </c>
      <c r="J505" s="8" t="s">
        <v>15</v>
      </c>
      <c r="K505" s="4" t="s">
        <v>53</v>
      </c>
      <c r="L505" s="5">
        <v>1</v>
      </c>
      <c r="M505" s="8" t="s">
        <v>32</v>
      </c>
      <c r="N505" s="4" t="s">
        <v>53</v>
      </c>
      <c r="O505" s="5">
        <v>1</v>
      </c>
      <c r="P505" s="8" t="s">
        <v>16</v>
      </c>
      <c r="Q505" s="4" t="s">
        <v>53</v>
      </c>
      <c r="R505" s="5">
        <v>1</v>
      </c>
      <c r="W505" s="67" t="s">
        <v>514</v>
      </c>
      <c r="X505" s="68" t="s">
        <v>516</v>
      </c>
      <c r="Y505" s="69">
        <v>35</v>
      </c>
      <c r="Z505" t="str">
        <f>IF(AND(Tabla1[[#This Row],[nudo inicial]]=Tabla3[[#This Row],[n1]],Tabla1[[#This Row],[nudo final]]=Tabla3[[#This Row],[n2]],Tabla1[[#This Row],[longitud]]=Tabla3[[#This Row],[long]]),"si","no")</f>
        <v>si</v>
      </c>
    </row>
    <row r="506" spans="1:26" ht="15.75" x14ac:dyDescent="0.25">
      <c r="B506" t="s">
        <v>516</v>
      </c>
      <c r="C506" t="s">
        <v>517</v>
      </c>
      <c r="D506" s="19">
        <v>29.08</v>
      </c>
      <c r="E506" s="3" t="s">
        <v>53</v>
      </c>
      <c r="F506" s="3" t="s">
        <v>25</v>
      </c>
      <c r="G506" s="8" t="s">
        <v>57</v>
      </c>
      <c r="H506" s="4" t="s">
        <v>53</v>
      </c>
      <c r="I506" s="5">
        <v>1</v>
      </c>
      <c r="J506" s="8" t="s">
        <v>17</v>
      </c>
      <c r="K506" s="4" t="s">
        <v>53</v>
      </c>
      <c r="L506" s="5">
        <v>1</v>
      </c>
      <c r="M506" s="8"/>
      <c r="N506" s="4"/>
      <c r="O506" s="5"/>
      <c r="P506" s="8"/>
      <c r="Q506" s="4"/>
      <c r="R506" s="5"/>
      <c r="W506" s="67" t="s">
        <v>516</v>
      </c>
      <c r="X506" s="68" t="s">
        <v>517</v>
      </c>
      <c r="Y506" s="69">
        <v>29.08</v>
      </c>
      <c r="Z506" t="str">
        <f>IF(AND(Tabla1[[#This Row],[nudo inicial]]=Tabla3[[#This Row],[n1]],Tabla1[[#This Row],[nudo final]]=Tabla3[[#This Row],[n2]],Tabla1[[#This Row],[longitud]]=Tabla3[[#This Row],[long]]),"si","no")</f>
        <v>si</v>
      </c>
    </row>
    <row r="507" spans="1:26" ht="15.75" x14ac:dyDescent="0.25">
      <c r="B507" t="s">
        <v>516</v>
      </c>
      <c r="C507" t="s">
        <v>518</v>
      </c>
      <c r="D507" s="19">
        <v>19.71</v>
      </c>
      <c r="E507" s="3" t="s">
        <v>53</v>
      </c>
      <c r="F507" s="3" t="s">
        <v>25</v>
      </c>
      <c r="G507" s="8" t="s">
        <v>58</v>
      </c>
      <c r="H507" s="4" t="s">
        <v>53</v>
      </c>
      <c r="I507" s="5">
        <v>1</v>
      </c>
      <c r="J507" s="8"/>
      <c r="K507" s="4"/>
      <c r="L507" s="5"/>
      <c r="M507" s="8"/>
      <c r="N507" s="4"/>
      <c r="O507" s="5"/>
      <c r="P507" s="8"/>
      <c r="Q507" s="4"/>
      <c r="R507" s="5"/>
      <c r="W507" s="67" t="s">
        <v>516</v>
      </c>
      <c r="X507" s="68" t="s">
        <v>518</v>
      </c>
      <c r="Y507" s="69">
        <v>19.71</v>
      </c>
      <c r="Z507" t="str">
        <f>IF(AND(Tabla1[[#This Row],[nudo inicial]]=Tabla3[[#This Row],[n1]],Tabla1[[#This Row],[nudo final]]=Tabla3[[#This Row],[n2]],Tabla1[[#This Row],[longitud]]=Tabla3[[#This Row],[long]]),"si","no")</f>
        <v>si</v>
      </c>
    </row>
    <row r="508" spans="1:26" ht="15.75" x14ac:dyDescent="0.25">
      <c r="B508" t="s">
        <v>518</v>
      </c>
      <c r="C508" t="s">
        <v>519</v>
      </c>
      <c r="D508" s="19">
        <v>22.82</v>
      </c>
      <c r="E508" s="3" t="s">
        <v>53</v>
      </c>
      <c r="F508" s="3" t="s">
        <v>25</v>
      </c>
      <c r="G508" s="8" t="s">
        <v>58</v>
      </c>
      <c r="H508" s="4" t="s">
        <v>53</v>
      </c>
      <c r="I508" s="5">
        <v>1</v>
      </c>
      <c r="J508" s="8" t="s">
        <v>17</v>
      </c>
      <c r="K508" s="4" t="s">
        <v>53</v>
      </c>
      <c r="L508" s="5">
        <v>1</v>
      </c>
      <c r="M508" s="8"/>
      <c r="N508" s="4"/>
      <c r="O508" s="5"/>
      <c r="P508" s="8"/>
      <c r="Q508" s="4"/>
      <c r="R508" s="5"/>
      <c r="W508" s="67" t="s">
        <v>518</v>
      </c>
      <c r="X508" s="68" t="s">
        <v>519</v>
      </c>
      <c r="Y508" s="69">
        <v>22.82</v>
      </c>
      <c r="Z508" t="str">
        <f>IF(AND(Tabla1[[#This Row],[nudo inicial]]=Tabla3[[#This Row],[n1]],Tabla1[[#This Row],[nudo final]]=Tabla3[[#This Row],[n2]],Tabla1[[#This Row],[longitud]]=Tabla3[[#This Row],[long]]),"si","no")</f>
        <v>si</v>
      </c>
    </row>
    <row r="509" spans="1:26" ht="15.75" x14ac:dyDescent="0.25">
      <c r="A509" s="22" t="s">
        <v>528</v>
      </c>
      <c r="B509" t="s">
        <v>518</v>
      </c>
      <c r="C509" t="s">
        <v>520</v>
      </c>
      <c r="D509" s="19">
        <v>40.369999999999997</v>
      </c>
      <c r="E509" s="3" t="s">
        <v>53</v>
      </c>
      <c r="F509" s="3" t="s">
        <v>25</v>
      </c>
      <c r="G509" s="8" t="s">
        <v>57</v>
      </c>
      <c r="H509" s="4" t="s">
        <v>53</v>
      </c>
      <c r="I509" s="5">
        <v>1</v>
      </c>
      <c r="J509" s="8" t="s">
        <v>16</v>
      </c>
      <c r="K509" s="4" t="s">
        <v>53</v>
      </c>
      <c r="L509" s="5">
        <v>1</v>
      </c>
      <c r="M509" s="8" t="s">
        <v>17</v>
      </c>
      <c r="N509" s="4" t="s">
        <v>53</v>
      </c>
      <c r="O509" s="5">
        <v>1</v>
      </c>
      <c r="P509" s="8"/>
      <c r="Q509" s="4"/>
      <c r="R509" s="5"/>
      <c r="W509" s="67" t="s">
        <v>518</v>
      </c>
      <c r="X509" s="68" t="s">
        <v>520</v>
      </c>
      <c r="Y509" s="69">
        <v>40.369999999999997</v>
      </c>
      <c r="Z509" t="str">
        <f>IF(AND(Tabla1[[#This Row],[nudo inicial]]=Tabla3[[#This Row],[n1]],Tabla1[[#This Row],[nudo final]]=Tabla3[[#This Row],[n2]],Tabla1[[#This Row],[longitud]]=Tabla3[[#This Row],[long]]),"si","no")</f>
        <v>si</v>
      </c>
    </row>
    <row r="510" spans="1:26" ht="30" x14ac:dyDescent="0.25">
      <c r="A510" s="22"/>
      <c r="B510" s="22" t="s">
        <v>511</v>
      </c>
      <c r="C510" s="22" t="s">
        <v>557</v>
      </c>
      <c r="D510" s="23">
        <v>123.77</v>
      </c>
      <c r="E510" s="24" t="s">
        <v>41</v>
      </c>
      <c r="F510" s="24" t="s">
        <v>26</v>
      </c>
      <c r="G510" s="25" t="s">
        <v>57</v>
      </c>
      <c r="H510" s="26" t="s">
        <v>41</v>
      </c>
      <c r="I510" s="27">
        <v>1</v>
      </c>
      <c r="J510" s="25" t="s">
        <v>34</v>
      </c>
      <c r="K510" s="26"/>
      <c r="L510" s="27">
        <v>1</v>
      </c>
      <c r="M510" s="25"/>
      <c r="N510" s="26"/>
      <c r="O510" s="27"/>
      <c r="P510" s="25"/>
      <c r="Q510" s="26"/>
      <c r="R510" s="27"/>
      <c r="S510" s="22"/>
      <c r="T510" s="22"/>
      <c r="U510" s="22"/>
      <c r="W510" s="67" t="s">
        <v>511</v>
      </c>
      <c r="X510" s="68" t="s">
        <v>557</v>
      </c>
      <c r="Y510" s="69">
        <v>123.77</v>
      </c>
      <c r="Z510" t="str">
        <f>IF(AND(Tabla1[[#This Row],[nudo inicial]]=Tabla3[[#This Row],[n1]],Tabla1[[#This Row],[nudo final]]=Tabla3[[#This Row],[n2]],Tabla1[[#This Row],[longitud]]=Tabla3[[#This Row],[long]]),"si","no")</f>
        <v>si</v>
      </c>
    </row>
    <row r="511" spans="1:26" ht="15.75" x14ac:dyDescent="0.25">
      <c r="A511" s="22"/>
      <c r="B511" s="22" t="s">
        <v>557</v>
      </c>
      <c r="C511" s="22" t="s">
        <v>558</v>
      </c>
      <c r="D511" s="23">
        <v>96.19</v>
      </c>
      <c r="E511" s="24" t="s">
        <v>23</v>
      </c>
      <c r="F511" s="24" t="s">
        <v>26</v>
      </c>
      <c r="G511" s="25" t="s">
        <v>536</v>
      </c>
      <c r="H511" s="26" t="s">
        <v>41</v>
      </c>
      <c r="I511" s="27">
        <v>1</v>
      </c>
      <c r="J511" s="25" t="s">
        <v>15</v>
      </c>
      <c r="K511" s="26" t="s">
        <v>23</v>
      </c>
      <c r="L511" s="27">
        <v>1</v>
      </c>
      <c r="M511" s="25" t="s">
        <v>32</v>
      </c>
      <c r="N511" s="26" t="s">
        <v>23</v>
      </c>
      <c r="O511" s="27">
        <v>1</v>
      </c>
      <c r="P511" s="25" t="s">
        <v>17</v>
      </c>
      <c r="Q511" s="26" t="s">
        <v>23</v>
      </c>
      <c r="R511" s="27">
        <v>1</v>
      </c>
      <c r="S511" s="22"/>
      <c r="T511" s="22"/>
      <c r="U511" s="22"/>
      <c r="W511" s="67" t="s">
        <v>557</v>
      </c>
      <c r="X511" s="68" t="s">
        <v>558</v>
      </c>
      <c r="Y511" s="69">
        <v>96.19</v>
      </c>
      <c r="Z511" t="str">
        <f>IF(AND(Tabla1[[#This Row],[nudo inicial]]=Tabla3[[#This Row],[n1]],Tabla1[[#This Row],[nudo final]]=Tabla3[[#This Row],[n2]],Tabla1[[#This Row],[longitud]]=Tabla3[[#This Row],[long]]),"si","no")</f>
        <v>si</v>
      </c>
    </row>
    <row r="512" spans="1:26" ht="15.75" x14ac:dyDescent="0.25">
      <c r="A512" s="22"/>
      <c r="B512" s="22" t="s">
        <v>557</v>
      </c>
      <c r="C512" s="22" t="s">
        <v>559</v>
      </c>
      <c r="D512" s="23">
        <v>139.22999999999999</v>
      </c>
      <c r="E512" s="24" t="s">
        <v>41</v>
      </c>
      <c r="F512" s="24" t="s">
        <v>26</v>
      </c>
      <c r="G512" s="25" t="s">
        <v>536</v>
      </c>
      <c r="H512" s="26" t="s">
        <v>41</v>
      </c>
      <c r="I512" s="27">
        <v>1</v>
      </c>
      <c r="J512" s="25" t="s">
        <v>32</v>
      </c>
      <c r="K512" s="26" t="s">
        <v>41</v>
      </c>
      <c r="L512" s="27">
        <v>1</v>
      </c>
      <c r="M512" s="25"/>
      <c r="N512" s="26"/>
      <c r="O512" s="27"/>
      <c r="P512" s="25"/>
      <c r="Q512" s="26"/>
      <c r="R512" s="27"/>
      <c r="S512" s="22"/>
      <c r="T512" s="22"/>
      <c r="U512" s="22"/>
      <c r="W512" s="67" t="s">
        <v>557</v>
      </c>
      <c r="X512" s="68" t="s">
        <v>559</v>
      </c>
      <c r="Y512" s="69">
        <v>139.22999999999999</v>
      </c>
      <c r="Z512" t="str">
        <f>IF(AND(Tabla1[[#This Row],[nudo inicial]]=Tabla3[[#This Row],[n1]],Tabla1[[#This Row],[nudo final]]=Tabla3[[#This Row],[n2]],Tabla1[[#This Row],[longitud]]=Tabla3[[#This Row],[long]]),"si","no")</f>
        <v>si</v>
      </c>
    </row>
    <row r="513" spans="2:26" ht="15.75" x14ac:dyDescent="0.25">
      <c r="B513" s="22" t="s">
        <v>559</v>
      </c>
      <c r="C513" s="22" t="s">
        <v>521</v>
      </c>
      <c r="D513" s="23">
        <v>57.41</v>
      </c>
      <c r="E513" s="24" t="s">
        <v>41</v>
      </c>
      <c r="F513" s="24" t="s">
        <v>26</v>
      </c>
      <c r="G513" s="25" t="s">
        <v>536</v>
      </c>
      <c r="H513" s="26" t="s">
        <v>41</v>
      </c>
      <c r="I513" s="27">
        <v>1</v>
      </c>
      <c r="J513" s="25"/>
      <c r="K513" s="26"/>
      <c r="L513" s="27"/>
      <c r="M513" s="25"/>
      <c r="N513" s="26"/>
      <c r="O513" s="27"/>
      <c r="P513" s="25"/>
      <c r="Q513" s="26"/>
      <c r="R513" s="27"/>
      <c r="S513" s="22"/>
      <c r="T513" s="22"/>
      <c r="U513" s="22"/>
      <c r="W513" s="67" t="s">
        <v>559</v>
      </c>
      <c r="X513" s="68" t="s">
        <v>521</v>
      </c>
      <c r="Y513" s="69">
        <v>57.41</v>
      </c>
      <c r="Z513" t="str">
        <f>IF(AND(Tabla1[[#This Row],[nudo inicial]]=Tabla3[[#This Row],[n1]],Tabla1[[#This Row],[nudo final]]=Tabla3[[#This Row],[n2]],Tabla1[[#This Row],[longitud]]=Tabla3[[#This Row],[long]]),"si","no")</f>
        <v>si</v>
      </c>
    </row>
    <row r="514" spans="2:26" ht="15.75" x14ac:dyDescent="0.25">
      <c r="B514" t="s">
        <v>521</v>
      </c>
      <c r="C514" t="s">
        <v>522</v>
      </c>
      <c r="D514" s="19">
        <v>11.02</v>
      </c>
      <c r="E514" s="3" t="s">
        <v>53</v>
      </c>
      <c r="F514" s="3" t="s">
        <v>26</v>
      </c>
      <c r="G514" s="8" t="s">
        <v>58</v>
      </c>
      <c r="H514" s="4" t="s">
        <v>41</v>
      </c>
      <c r="I514" s="5">
        <v>1</v>
      </c>
      <c r="J514" s="8" t="s">
        <v>15</v>
      </c>
      <c r="K514" s="4" t="s">
        <v>53</v>
      </c>
      <c r="L514" s="5">
        <v>1</v>
      </c>
      <c r="M514" s="8"/>
      <c r="N514" s="4"/>
      <c r="O514" s="5"/>
      <c r="P514" s="8"/>
      <c r="Q514" s="4"/>
      <c r="R514" s="5"/>
      <c r="W514" s="67" t="s">
        <v>521</v>
      </c>
      <c r="X514" s="68" t="s">
        <v>522</v>
      </c>
      <c r="Y514" s="69">
        <v>11.02</v>
      </c>
      <c r="Z514" t="str">
        <f>IF(AND(Tabla1[[#This Row],[nudo inicial]]=Tabla3[[#This Row],[n1]],Tabla1[[#This Row],[nudo final]]=Tabla3[[#This Row],[n2]],Tabla1[[#This Row],[longitud]]=Tabla3[[#This Row],[long]]),"si","no")</f>
        <v>si</v>
      </c>
    </row>
    <row r="515" spans="2:26" ht="15.75" x14ac:dyDescent="0.25">
      <c r="B515" t="s">
        <v>522</v>
      </c>
      <c r="C515" t="s">
        <v>523</v>
      </c>
      <c r="D515" s="19">
        <v>54.87</v>
      </c>
      <c r="E515" s="3" t="s">
        <v>53</v>
      </c>
      <c r="F515" s="3" t="s">
        <v>25</v>
      </c>
      <c r="G515" s="8" t="s">
        <v>32</v>
      </c>
      <c r="H515" s="4" t="s">
        <v>53</v>
      </c>
      <c r="I515" s="5">
        <v>1</v>
      </c>
      <c r="J515" s="8"/>
      <c r="K515" s="4"/>
      <c r="L515" s="5"/>
      <c r="M515" s="8"/>
      <c r="N515" s="4"/>
      <c r="O515" s="5"/>
      <c r="P515" s="8"/>
      <c r="Q515" s="4"/>
      <c r="R515" s="5"/>
      <c r="W515" s="67" t="s">
        <v>522</v>
      </c>
      <c r="X515" s="68" t="s">
        <v>523</v>
      </c>
      <c r="Y515" s="69">
        <v>54.87</v>
      </c>
      <c r="Z515" t="str">
        <f>IF(AND(Tabla1[[#This Row],[nudo inicial]]=Tabla3[[#This Row],[n1]],Tabla1[[#This Row],[nudo final]]=Tabla3[[#This Row],[n2]],Tabla1[[#This Row],[longitud]]=Tabla3[[#This Row],[long]]),"si","no")</f>
        <v>si</v>
      </c>
    </row>
    <row r="516" spans="2:26" ht="15.75" x14ac:dyDescent="0.25">
      <c r="B516" t="s">
        <v>523</v>
      </c>
      <c r="C516" t="s">
        <v>524</v>
      </c>
      <c r="D516" s="19">
        <v>45.13</v>
      </c>
      <c r="E516" s="3" t="s">
        <v>56</v>
      </c>
      <c r="F516" s="3" t="s">
        <v>25</v>
      </c>
      <c r="G516" s="8" t="s">
        <v>58</v>
      </c>
      <c r="H516" s="4" t="s">
        <v>53</v>
      </c>
      <c r="I516" s="5">
        <v>1</v>
      </c>
      <c r="J516" s="8" t="s">
        <v>15</v>
      </c>
      <c r="K516" s="4" t="s">
        <v>56</v>
      </c>
      <c r="L516" s="5">
        <v>1</v>
      </c>
      <c r="M516" s="8" t="s">
        <v>17</v>
      </c>
      <c r="N516" s="4" t="s">
        <v>56</v>
      </c>
      <c r="O516" s="5">
        <v>1</v>
      </c>
      <c r="P516" s="8"/>
      <c r="Q516" s="4"/>
      <c r="R516" s="5"/>
      <c r="W516" s="67" t="s">
        <v>523</v>
      </c>
      <c r="X516" s="68" t="s">
        <v>524</v>
      </c>
      <c r="Y516" s="69">
        <v>45.13</v>
      </c>
      <c r="Z516" t="str">
        <f>IF(AND(Tabla1[[#This Row],[nudo inicial]]=Tabla3[[#This Row],[n1]],Tabla1[[#This Row],[nudo final]]=Tabla3[[#This Row],[n2]],Tabla1[[#This Row],[longitud]]=Tabla3[[#This Row],[long]]),"si","no")</f>
        <v>si</v>
      </c>
    </row>
    <row r="517" spans="2:26" ht="15.75" x14ac:dyDescent="0.25">
      <c r="B517" t="s">
        <v>523</v>
      </c>
      <c r="C517" t="s">
        <v>525</v>
      </c>
      <c r="D517" s="19">
        <v>30.08</v>
      </c>
      <c r="E517" s="3" t="s">
        <v>53</v>
      </c>
      <c r="F517" s="3" t="s">
        <v>25</v>
      </c>
      <c r="G517" s="8" t="s">
        <v>57</v>
      </c>
      <c r="H517" s="4" t="s">
        <v>53</v>
      </c>
      <c r="I517" s="5">
        <v>1</v>
      </c>
      <c r="J517" s="8"/>
      <c r="K517" s="4"/>
      <c r="L517" s="5"/>
      <c r="M517" s="8"/>
      <c r="N517" s="4"/>
      <c r="O517" s="5"/>
      <c r="P517" s="8"/>
      <c r="Q517" s="4"/>
      <c r="R517" s="5"/>
      <c r="W517" s="67" t="s">
        <v>523</v>
      </c>
      <c r="X517" s="68" t="s">
        <v>525</v>
      </c>
      <c r="Y517" s="69">
        <v>30.08</v>
      </c>
      <c r="Z517" t="str">
        <f>IF(AND(Tabla1[[#This Row],[nudo inicial]]=Tabla3[[#This Row],[n1]],Tabla1[[#This Row],[nudo final]]=Tabla3[[#This Row],[n2]],Tabla1[[#This Row],[longitud]]=Tabla3[[#This Row],[long]]),"si","no")</f>
        <v>si</v>
      </c>
    </row>
    <row r="518" spans="2:26" ht="15.75" x14ac:dyDescent="0.25">
      <c r="B518" t="s">
        <v>525</v>
      </c>
      <c r="C518" t="s">
        <v>526</v>
      </c>
      <c r="D518" s="19">
        <v>16.84</v>
      </c>
      <c r="E518" s="3" t="s">
        <v>53</v>
      </c>
      <c r="F518" s="3" t="s">
        <v>25</v>
      </c>
      <c r="G518" s="8" t="s">
        <v>57</v>
      </c>
      <c r="H518" s="4" t="s">
        <v>53</v>
      </c>
      <c r="I518" s="5">
        <v>1</v>
      </c>
      <c r="J518" s="8" t="s">
        <v>17</v>
      </c>
      <c r="K518" s="4" t="s">
        <v>53</v>
      </c>
      <c r="L518" s="5">
        <v>1</v>
      </c>
      <c r="M518" s="8"/>
      <c r="N518" s="4"/>
      <c r="O518" s="5"/>
      <c r="P518" s="8"/>
      <c r="Q518" s="4"/>
      <c r="R518" s="5"/>
      <c r="W518" s="67" t="s">
        <v>525</v>
      </c>
      <c r="X518" s="68" t="s">
        <v>526</v>
      </c>
      <c r="Y518" s="69">
        <v>16.84</v>
      </c>
      <c r="Z518" t="str">
        <f>IF(AND(Tabla1[[#This Row],[nudo inicial]]=Tabla3[[#This Row],[n1]],Tabla1[[#This Row],[nudo final]]=Tabla3[[#This Row],[n2]],Tabla1[[#This Row],[longitud]]=Tabla3[[#This Row],[long]]),"si","no")</f>
        <v>si</v>
      </c>
    </row>
    <row r="519" spans="2:26" ht="15.75" x14ac:dyDescent="0.25">
      <c r="B519" t="s">
        <v>525</v>
      </c>
      <c r="C519" t="s">
        <v>527</v>
      </c>
      <c r="D519" s="19">
        <v>77.66</v>
      </c>
      <c r="E519" s="3" t="s">
        <v>53</v>
      </c>
      <c r="F519" s="3" t="s">
        <v>25</v>
      </c>
      <c r="G519" s="8" t="s">
        <v>58</v>
      </c>
      <c r="H519" s="4" t="s">
        <v>53</v>
      </c>
      <c r="I519" s="5">
        <v>1</v>
      </c>
      <c r="J519" s="8" t="s">
        <v>17</v>
      </c>
      <c r="K519" s="4" t="s">
        <v>53</v>
      </c>
      <c r="L519" s="5">
        <v>1</v>
      </c>
      <c r="M519" s="8"/>
      <c r="N519" s="4"/>
      <c r="O519" s="5"/>
      <c r="P519" s="8"/>
      <c r="Q519" s="4"/>
      <c r="R519" s="5"/>
      <c r="W519" s="67" t="s">
        <v>525</v>
      </c>
      <c r="X519" s="68" t="s">
        <v>527</v>
      </c>
      <c r="Y519" s="69">
        <v>77.66</v>
      </c>
      <c r="Z519" t="str">
        <f>IF(AND(Tabla1[[#This Row],[nudo inicial]]=Tabla3[[#This Row],[n1]],Tabla1[[#This Row],[nudo final]]=Tabla3[[#This Row],[n2]],Tabla1[[#This Row],[longitud]]=Tabla3[[#This Row],[long]]),"si","no")</f>
        <v>si</v>
      </c>
    </row>
    <row r="520" spans="2:26" ht="15.75" x14ac:dyDescent="0.25">
      <c r="B520" t="s">
        <v>521</v>
      </c>
      <c r="C520" t="s">
        <v>529</v>
      </c>
      <c r="D520" s="19">
        <v>16.170000000000002</v>
      </c>
      <c r="E520" s="3" t="s">
        <v>41</v>
      </c>
      <c r="F520" s="3" t="s">
        <v>26</v>
      </c>
      <c r="G520" s="8" t="s">
        <v>57</v>
      </c>
      <c r="H520" s="4" t="s">
        <v>41</v>
      </c>
      <c r="I520" s="5">
        <v>1</v>
      </c>
      <c r="J520" s="8"/>
      <c r="K520" s="4"/>
      <c r="L520" s="5"/>
      <c r="M520" s="8"/>
      <c r="N520" s="4"/>
      <c r="O520" s="5"/>
      <c r="P520" s="8"/>
      <c r="Q520" s="4"/>
      <c r="R520" s="5"/>
      <c r="W520" s="67" t="s">
        <v>521</v>
      </c>
      <c r="X520" s="68" t="s">
        <v>529</v>
      </c>
      <c r="Y520" s="69">
        <v>16.170000000000002</v>
      </c>
      <c r="Z520" t="str">
        <f>IF(AND(Tabla1[[#This Row],[nudo inicial]]=Tabla3[[#This Row],[n1]],Tabla1[[#This Row],[nudo final]]=Tabla3[[#This Row],[n2]],Tabla1[[#This Row],[longitud]]=Tabla3[[#This Row],[long]]),"si","no")</f>
        <v>si</v>
      </c>
    </row>
    <row r="521" spans="2:26" ht="30" x14ac:dyDescent="0.25">
      <c r="B521" t="s">
        <v>529</v>
      </c>
      <c r="C521" t="s">
        <v>530</v>
      </c>
      <c r="D521" s="19">
        <v>61.39</v>
      </c>
      <c r="E521" s="3" t="s">
        <v>23</v>
      </c>
      <c r="F521" s="3" t="s">
        <v>25</v>
      </c>
      <c r="G521" s="8" t="s">
        <v>58</v>
      </c>
      <c r="H521" s="4" t="s">
        <v>41</v>
      </c>
      <c r="I521" s="5">
        <v>1</v>
      </c>
      <c r="J521" s="8" t="s">
        <v>15</v>
      </c>
      <c r="K521" s="4" t="s">
        <v>23</v>
      </c>
      <c r="L521" s="5">
        <v>1</v>
      </c>
      <c r="M521" s="8" t="s">
        <v>33</v>
      </c>
      <c r="N521" s="4"/>
      <c r="O521" s="5">
        <v>1</v>
      </c>
      <c r="P521" s="8"/>
      <c r="Q521" s="4"/>
      <c r="R521" s="5"/>
      <c r="W521" s="67" t="s">
        <v>529</v>
      </c>
      <c r="X521" s="68" t="s">
        <v>530</v>
      </c>
      <c r="Y521" s="69">
        <v>61.39</v>
      </c>
      <c r="Z521" t="str">
        <f>IF(AND(Tabla1[[#This Row],[nudo inicial]]=Tabla3[[#This Row],[n1]],Tabla1[[#This Row],[nudo final]]=Tabla3[[#This Row],[n2]],Tabla1[[#This Row],[longitud]]=Tabla3[[#This Row],[long]]),"si","no")</f>
        <v>si</v>
      </c>
    </row>
    <row r="522" spans="2:26" ht="30" x14ac:dyDescent="0.25">
      <c r="B522" t="s">
        <v>529</v>
      </c>
      <c r="C522" t="s">
        <v>531</v>
      </c>
      <c r="D522" s="19">
        <v>56.34</v>
      </c>
      <c r="E522" s="3" t="s">
        <v>41</v>
      </c>
      <c r="F522" s="3" t="s">
        <v>26</v>
      </c>
      <c r="G522" s="8" t="s">
        <v>57</v>
      </c>
      <c r="H522" s="4" t="s">
        <v>41</v>
      </c>
      <c r="I522" s="5">
        <v>1</v>
      </c>
      <c r="J522" s="8" t="s">
        <v>33</v>
      </c>
      <c r="K522" s="4"/>
      <c r="L522" s="5">
        <v>1</v>
      </c>
      <c r="M522" s="8" t="s">
        <v>32</v>
      </c>
      <c r="N522" s="4" t="s">
        <v>41</v>
      </c>
      <c r="O522" s="5">
        <v>1</v>
      </c>
      <c r="P522" s="8"/>
      <c r="Q522" s="4"/>
      <c r="R522" s="5"/>
      <c r="W522" s="67" t="s">
        <v>529</v>
      </c>
      <c r="X522" s="68" t="s">
        <v>531</v>
      </c>
      <c r="Y522" s="69">
        <v>56.34</v>
      </c>
      <c r="Z522" t="str">
        <f>IF(AND(Tabla1[[#This Row],[nudo inicial]]=Tabla3[[#This Row],[n1]],Tabla1[[#This Row],[nudo final]]=Tabla3[[#This Row],[n2]],Tabla1[[#This Row],[longitud]]=Tabla3[[#This Row],[long]]),"si","no")</f>
        <v>si</v>
      </c>
    </row>
    <row r="523" spans="2:26" ht="15.75" x14ac:dyDescent="0.25">
      <c r="B523" t="s">
        <v>489</v>
      </c>
      <c r="C523" t="s">
        <v>532</v>
      </c>
      <c r="D523" s="19">
        <v>70.150000000000006</v>
      </c>
      <c r="E523" s="3" t="s">
        <v>126</v>
      </c>
      <c r="F523" s="3" t="s">
        <v>26</v>
      </c>
      <c r="G523" s="8" t="s">
        <v>58</v>
      </c>
      <c r="H523" s="4" t="s">
        <v>30</v>
      </c>
      <c r="I523" s="5">
        <v>1</v>
      </c>
      <c r="J523" s="8" t="s">
        <v>15</v>
      </c>
      <c r="K523" s="4" t="s">
        <v>126</v>
      </c>
      <c r="L523" s="5">
        <v>1</v>
      </c>
      <c r="M523" s="8"/>
      <c r="N523" s="4"/>
      <c r="O523" s="5"/>
      <c r="P523" s="8"/>
      <c r="Q523" s="4"/>
      <c r="R523" s="5"/>
      <c r="W523" s="67" t="s">
        <v>489</v>
      </c>
      <c r="X523" s="68" t="s">
        <v>532</v>
      </c>
      <c r="Y523" s="69">
        <v>70.150000000000006</v>
      </c>
      <c r="Z523" t="str">
        <f>IF(AND(Tabla1[[#This Row],[nudo inicial]]=Tabla3[[#This Row],[n1]],Tabla1[[#This Row],[nudo final]]=Tabla3[[#This Row],[n2]],Tabla1[[#This Row],[longitud]]=Tabla3[[#This Row],[long]]),"si","no")</f>
        <v>si</v>
      </c>
    </row>
    <row r="524" spans="2:26" ht="15.75" x14ac:dyDescent="0.25">
      <c r="B524" t="s">
        <v>532</v>
      </c>
      <c r="C524" t="s">
        <v>533</v>
      </c>
      <c r="D524" s="19">
        <v>84.19</v>
      </c>
      <c r="E524" s="3" t="s">
        <v>56</v>
      </c>
      <c r="F524" s="3" t="s">
        <v>25</v>
      </c>
      <c r="G524" s="8" t="s">
        <v>58</v>
      </c>
      <c r="H524" s="4" t="s">
        <v>126</v>
      </c>
      <c r="I524" s="5">
        <v>1</v>
      </c>
      <c r="J524" s="8" t="s">
        <v>15</v>
      </c>
      <c r="K524" s="4" t="s">
        <v>56</v>
      </c>
      <c r="L524" s="5">
        <v>1</v>
      </c>
      <c r="M524" s="8" t="s">
        <v>32</v>
      </c>
      <c r="N524" s="4" t="s">
        <v>56</v>
      </c>
      <c r="O524" s="5">
        <v>1</v>
      </c>
      <c r="P524" s="8" t="s">
        <v>17</v>
      </c>
      <c r="Q524" s="4" t="s">
        <v>56</v>
      </c>
      <c r="R524" s="5">
        <v>1</v>
      </c>
      <c r="W524" s="67" t="s">
        <v>532</v>
      </c>
      <c r="X524" s="68" t="s">
        <v>533</v>
      </c>
      <c r="Y524" s="69">
        <v>84.19</v>
      </c>
      <c r="Z524" t="str">
        <f>IF(AND(Tabla1[[#This Row],[nudo inicial]]=Tabla3[[#This Row],[n1]],Tabla1[[#This Row],[nudo final]]=Tabla3[[#This Row],[n2]],Tabla1[[#This Row],[longitud]]=Tabla3[[#This Row],[long]]),"si","no")</f>
        <v>si</v>
      </c>
    </row>
    <row r="525" spans="2:26" ht="30" x14ac:dyDescent="0.25">
      <c r="B525" t="s">
        <v>532</v>
      </c>
      <c r="C525" t="s">
        <v>534</v>
      </c>
      <c r="D525" s="19">
        <v>53.11</v>
      </c>
      <c r="E525" s="3" t="s">
        <v>126</v>
      </c>
      <c r="F525" s="3" t="s">
        <v>26</v>
      </c>
      <c r="G525" s="8" t="s">
        <v>57</v>
      </c>
      <c r="H525" s="4" t="s">
        <v>126</v>
      </c>
      <c r="I525" s="5">
        <v>1</v>
      </c>
      <c r="J525" s="8" t="s">
        <v>34</v>
      </c>
      <c r="K525" s="4"/>
      <c r="L525" s="5">
        <v>1</v>
      </c>
      <c r="M525" s="8"/>
      <c r="N525" s="4"/>
      <c r="O525" s="5"/>
      <c r="P525" s="8"/>
      <c r="Q525" s="4"/>
      <c r="R525" s="5"/>
      <c r="W525" s="67" t="s">
        <v>532</v>
      </c>
      <c r="X525" s="68" t="s">
        <v>534</v>
      </c>
      <c r="Y525" s="69">
        <v>53.11</v>
      </c>
      <c r="Z525" t="str">
        <f>IF(AND(Tabla1[[#This Row],[nudo inicial]]=Tabla3[[#This Row],[n1]],Tabla1[[#This Row],[nudo final]]=Tabla3[[#This Row],[n2]],Tabla1[[#This Row],[longitud]]=Tabla3[[#This Row],[long]]),"si","no")</f>
        <v>si</v>
      </c>
    </row>
    <row r="526" spans="2:26" ht="15.75" x14ac:dyDescent="0.25">
      <c r="B526" t="s">
        <v>534</v>
      </c>
      <c r="C526" t="s">
        <v>535</v>
      </c>
      <c r="D526" s="19">
        <v>139.27000000000001</v>
      </c>
      <c r="E526" s="3" t="s">
        <v>53</v>
      </c>
      <c r="F526" s="3" t="s">
        <v>25</v>
      </c>
      <c r="G526" s="8" t="s">
        <v>536</v>
      </c>
      <c r="H526" s="4" t="s">
        <v>30</v>
      </c>
      <c r="I526" s="5">
        <v>1</v>
      </c>
      <c r="J526" s="8" t="s">
        <v>15</v>
      </c>
      <c r="K526" s="4" t="s">
        <v>53</v>
      </c>
      <c r="L526" s="5">
        <v>1</v>
      </c>
      <c r="M526" s="8" t="s">
        <v>32</v>
      </c>
      <c r="N526" s="4" t="s">
        <v>53</v>
      </c>
      <c r="O526" s="5">
        <v>1</v>
      </c>
      <c r="P526" s="8" t="s">
        <v>17</v>
      </c>
      <c r="Q526" s="4" t="s">
        <v>53</v>
      </c>
      <c r="R526" s="5">
        <v>1</v>
      </c>
      <c r="W526" s="67" t="s">
        <v>534</v>
      </c>
      <c r="X526" s="68" t="s">
        <v>535</v>
      </c>
      <c r="Y526" s="69">
        <v>139.27000000000001</v>
      </c>
      <c r="Z526" t="str">
        <f>IF(AND(Tabla1[[#This Row],[nudo inicial]]=Tabla3[[#This Row],[n1]],Tabla1[[#This Row],[nudo final]]=Tabla3[[#This Row],[n2]],Tabla1[[#This Row],[longitud]]=Tabla3[[#This Row],[long]]),"si","no")</f>
        <v>si</v>
      </c>
    </row>
    <row r="527" spans="2:26" ht="15.75" x14ac:dyDescent="0.25">
      <c r="B527" t="s">
        <v>534</v>
      </c>
      <c r="C527" t="s">
        <v>537</v>
      </c>
      <c r="D527" s="19">
        <v>8.5299999999999994</v>
      </c>
      <c r="E527" s="3" t="s">
        <v>126</v>
      </c>
      <c r="F527" s="3" t="s">
        <v>26</v>
      </c>
      <c r="G527" s="8" t="s">
        <v>536</v>
      </c>
      <c r="H527" s="4" t="s">
        <v>30</v>
      </c>
      <c r="I527" s="5">
        <v>1</v>
      </c>
      <c r="J527" s="8" t="s">
        <v>15</v>
      </c>
      <c r="K527" s="4" t="s">
        <v>126</v>
      </c>
      <c r="L527" s="5">
        <v>1</v>
      </c>
      <c r="M527" s="8"/>
      <c r="N527" s="4"/>
      <c r="O527" s="5"/>
      <c r="P527" s="8"/>
      <c r="Q527" s="4"/>
      <c r="R527" s="5"/>
      <c r="W527" s="67" t="s">
        <v>534</v>
      </c>
      <c r="X527" s="68" t="s">
        <v>537</v>
      </c>
      <c r="Y527" s="69">
        <v>8.5299999999999994</v>
      </c>
      <c r="Z527" t="str">
        <f>IF(AND(Tabla1[[#This Row],[nudo inicial]]=Tabla3[[#This Row],[n1]],Tabla1[[#This Row],[nudo final]]=Tabla3[[#This Row],[n2]],Tabla1[[#This Row],[longitud]]=Tabla3[[#This Row],[long]]),"si","no")</f>
        <v>si</v>
      </c>
    </row>
    <row r="528" spans="2:26" ht="15.75" x14ac:dyDescent="0.25">
      <c r="B528" t="s">
        <v>537</v>
      </c>
      <c r="C528" t="s">
        <v>538</v>
      </c>
      <c r="D528" s="19">
        <v>115.68</v>
      </c>
      <c r="E528" s="3" t="s">
        <v>126</v>
      </c>
      <c r="F528" s="3" t="s">
        <v>25</v>
      </c>
      <c r="G528" s="8" t="s">
        <v>32</v>
      </c>
      <c r="H528" s="4" t="s">
        <v>126</v>
      </c>
      <c r="I528" s="5">
        <v>1</v>
      </c>
      <c r="J528" s="8" t="s">
        <v>6</v>
      </c>
      <c r="K528" s="4" t="s">
        <v>55</v>
      </c>
      <c r="L528" s="5">
        <v>1</v>
      </c>
      <c r="M528" s="8"/>
      <c r="N528" s="4"/>
      <c r="O528" s="5"/>
      <c r="P528" s="8"/>
      <c r="Q528" s="4"/>
      <c r="R528" s="5"/>
      <c r="W528" s="67" t="s">
        <v>537</v>
      </c>
      <c r="X528" s="68" t="s">
        <v>538</v>
      </c>
      <c r="Y528" s="69">
        <v>115.68</v>
      </c>
      <c r="Z528" t="str">
        <f>IF(AND(Tabla1[[#This Row],[nudo inicial]]=Tabla3[[#This Row],[n1]],Tabla1[[#This Row],[nudo final]]=Tabla3[[#This Row],[n2]],Tabla1[[#This Row],[longitud]]=Tabla3[[#This Row],[long]]),"si","no")</f>
        <v>si</v>
      </c>
    </row>
    <row r="529" spans="2:26" ht="15.75" x14ac:dyDescent="0.25">
      <c r="B529" t="s">
        <v>538</v>
      </c>
      <c r="C529" t="s">
        <v>539</v>
      </c>
      <c r="D529" s="19">
        <v>15.53</v>
      </c>
      <c r="E529" s="3" t="s">
        <v>55</v>
      </c>
      <c r="F529" s="3" t="s">
        <v>25</v>
      </c>
      <c r="G529" s="8" t="s">
        <v>32</v>
      </c>
      <c r="H529" s="4" t="s">
        <v>55</v>
      </c>
      <c r="I529" s="5">
        <v>1</v>
      </c>
      <c r="J529" s="8"/>
      <c r="K529" s="4"/>
      <c r="L529" s="5"/>
      <c r="M529" s="8"/>
      <c r="N529" s="4"/>
      <c r="O529" s="5"/>
      <c r="P529" s="8"/>
      <c r="Q529" s="4"/>
      <c r="R529" s="5"/>
      <c r="W529" s="67" t="s">
        <v>538</v>
      </c>
      <c r="X529" s="68" t="s">
        <v>539</v>
      </c>
      <c r="Y529" s="69">
        <v>15.53</v>
      </c>
      <c r="Z529" t="str">
        <f>IF(AND(Tabla1[[#This Row],[nudo inicial]]=Tabla3[[#This Row],[n1]],Tabla1[[#This Row],[nudo final]]=Tabla3[[#This Row],[n2]],Tabla1[[#This Row],[longitud]]=Tabla3[[#This Row],[long]]),"si","no")</f>
        <v>si</v>
      </c>
    </row>
    <row r="530" spans="2:26" ht="15.75" x14ac:dyDescent="0.25">
      <c r="B530" t="s">
        <v>539</v>
      </c>
      <c r="C530" t="s">
        <v>541</v>
      </c>
      <c r="D530" s="19">
        <v>88.01</v>
      </c>
      <c r="E530" s="3" t="s">
        <v>55</v>
      </c>
      <c r="F530" s="3" t="s">
        <v>25</v>
      </c>
      <c r="G530" s="8" t="s">
        <v>58</v>
      </c>
      <c r="H530" s="4" t="s">
        <v>55</v>
      </c>
      <c r="I530" s="5">
        <v>1</v>
      </c>
      <c r="J530" s="8"/>
      <c r="K530" s="4"/>
      <c r="L530" s="5"/>
      <c r="M530" s="8"/>
      <c r="N530" s="4"/>
      <c r="O530" s="5"/>
      <c r="P530" s="8"/>
      <c r="Q530" s="4"/>
      <c r="R530" s="5"/>
      <c r="W530" s="67" t="s">
        <v>539</v>
      </c>
      <c r="X530" s="68" t="s">
        <v>541</v>
      </c>
      <c r="Y530" s="69">
        <v>88.01</v>
      </c>
      <c r="Z530" t="str">
        <f>IF(AND(Tabla1[[#This Row],[nudo inicial]]=Tabla3[[#This Row],[n1]],Tabla1[[#This Row],[nudo final]]=Tabla3[[#This Row],[n2]],Tabla1[[#This Row],[longitud]]=Tabla3[[#This Row],[long]]),"si","no")</f>
        <v>si</v>
      </c>
    </row>
    <row r="531" spans="2:26" ht="15.75" x14ac:dyDescent="0.25">
      <c r="B531" t="s">
        <v>541</v>
      </c>
      <c r="C531" t="s">
        <v>540</v>
      </c>
      <c r="D531" s="19">
        <v>102.28</v>
      </c>
      <c r="E531" s="3" t="s">
        <v>23</v>
      </c>
      <c r="F531" s="3" t="s">
        <v>25</v>
      </c>
      <c r="G531" s="8" t="s">
        <v>15</v>
      </c>
      <c r="H531" s="4" t="s">
        <v>23</v>
      </c>
      <c r="I531" s="5">
        <v>1</v>
      </c>
      <c r="J531" s="8" t="s">
        <v>16</v>
      </c>
      <c r="K531" s="4" t="s">
        <v>23</v>
      </c>
      <c r="L531" s="5">
        <v>1</v>
      </c>
      <c r="M531" s="8" t="s">
        <v>17</v>
      </c>
      <c r="N531" s="4" t="s">
        <v>23</v>
      </c>
      <c r="O531" s="5">
        <v>1</v>
      </c>
      <c r="P531" s="8"/>
      <c r="Q531" s="4"/>
      <c r="R531" s="5"/>
      <c r="W531" s="67" t="s">
        <v>541</v>
      </c>
      <c r="X531" s="68" t="s">
        <v>540</v>
      </c>
      <c r="Y531" s="69">
        <v>102.28</v>
      </c>
      <c r="Z531" t="str">
        <f>IF(AND(Tabla1[[#This Row],[nudo inicial]]=Tabla3[[#This Row],[n1]],Tabla1[[#This Row],[nudo final]]=Tabla3[[#This Row],[n2]],Tabla1[[#This Row],[longitud]]=Tabla3[[#This Row],[long]]),"si","no")</f>
        <v>si</v>
      </c>
    </row>
    <row r="532" spans="2:26" ht="15.75" x14ac:dyDescent="0.25">
      <c r="B532" t="s">
        <v>539</v>
      </c>
      <c r="C532" t="s">
        <v>542</v>
      </c>
      <c r="D532" s="19">
        <v>160.09</v>
      </c>
      <c r="E532" s="3" t="s">
        <v>55</v>
      </c>
      <c r="F532" s="3" t="s">
        <v>25</v>
      </c>
      <c r="G532" s="8" t="s">
        <v>58</v>
      </c>
      <c r="H532" s="4" t="s">
        <v>55</v>
      </c>
      <c r="I532" s="5">
        <v>1</v>
      </c>
      <c r="J532" s="8"/>
      <c r="K532" s="4"/>
      <c r="L532" s="5"/>
      <c r="M532" s="8"/>
      <c r="N532" s="4"/>
      <c r="O532" s="5"/>
      <c r="P532" s="8"/>
      <c r="Q532" s="4"/>
      <c r="R532" s="5"/>
      <c r="W532" s="67" t="s">
        <v>539</v>
      </c>
      <c r="X532" s="68" t="s">
        <v>542</v>
      </c>
      <c r="Y532" s="69">
        <v>160.09</v>
      </c>
      <c r="Z532" t="str">
        <f>IF(AND(Tabla1[[#This Row],[nudo inicial]]=Tabla3[[#This Row],[n1]],Tabla1[[#This Row],[nudo final]]=Tabla3[[#This Row],[n2]],Tabla1[[#This Row],[longitud]]=Tabla3[[#This Row],[long]]),"si","no")</f>
        <v>si</v>
      </c>
    </row>
    <row r="533" spans="2:26" ht="15.75" x14ac:dyDescent="0.25">
      <c r="B533" t="s">
        <v>542</v>
      </c>
      <c r="C533" t="s">
        <v>543</v>
      </c>
      <c r="D533" s="19">
        <v>9.17</v>
      </c>
      <c r="E533" s="3" t="s">
        <v>55</v>
      </c>
      <c r="F533" s="3" t="s">
        <v>25</v>
      </c>
      <c r="G533" s="8" t="s">
        <v>58</v>
      </c>
      <c r="H533" s="4" t="s">
        <v>55</v>
      </c>
      <c r="I533" s="5">
        <v>1</v>
      </c>
      <c r="J533" s="8" t="s">
        <v>32</v>
      </c>
      <c r="K533" s="4" t="s">
        <v>55</v>
      </c>
      <c r="L533" s="5">
        <v>1</v>
      </c>
      <c r="M533" s="8"/>
      <c r="N533" s="4"/>
      <c r="O533" s="5"/>
      <c r="P533" s="8"/>
      <c r="Q533" s="4"/>
      <c r="R533" s="5"/>
      <c r="W533" s="67" t="s">
        <v>542</v>
      </c>
      <c r="X533" s="68" t="s">
        <v>543</v>
      </c>
      <c r="Y533" s="69">
        <v>9.17</v>
      </c>
      <c r="Z533" t="str">
        <f>IF(AND(Tabla1[[#This Row],[nudo inicial]]=Tabla3[[#This Row],[n1]],Tabla1[[#This Row],[nudo final]]=Tabla3[[#This Row],[n2]],Tabla1[[#This Row],[longitud]]=Tabla3[[#This Row],[long]]),"si","no")</f>
        <v>si</v>
      </c>
    </row>
    <row r="534" spans="2:26" ht="15.75" x14ac:dyDescent="0.25">
      <c r="B534" t="s">
        <v>543</v>
      </c>
      <c r="C534" t="s">
        <v>544</v>
      </c>
      <c r="D534" s="19">
        <v>77.569999999999993</v>
      </c>
      <c r="E534" s="3" t="s">
        <v>23</v>
      </c>
      <c r="F534" s="3" t="s">
        <v>26</v>
      </c>
      <c r="G534" s="8" t="s">
        <v>15</v>
      </c>
      <c r="H534" s="4" t="s">
        <v>23</v>
      </c>
      <c r="I534" s="5">
        <v>1</v>
      </c>
      <c r="J534" s="8"/>
      <c r="K534" s="4"/>
      <c r="L534" s="5"/>
      <c r="M534" s="8"/>
      <c r="N534" s="4"/>
      <c r="O534" s="5"/>
      <c r="P534" s="8"/>
      <c r="Q534" s="4"/>
      <c r="R534" s="5"/>
      <c r="W534" s="67" t="s">
        <v>543</v>
      </c>
      <c r="X534" s="68" t="s">
        <v>544</v>
      </c>
      <c r="Y534" s="69">
        <v>77.569999999999993</v>
      </c>
      <c r="Z534" t="str">
        <f>IF(AND(Tabla1[[#This Row],[nudo inicial]]=Tabla3[[#This Row],[n1]],Tabla1[[#This Row],[nudo final]]=Tabla3[[#This Row],[n2]],Tabla1[[#This Row],[longitud]]=Tabla3[[#This Row],[long]]),"si","no")</f>
        <v>si</v>
      </c>
    </row>
    <row r="535" spans="2:26" ht="15.75" x14ac:dyDescent="0.25">
      <c r="B535" t="s">
        <v>544</v>
      </c>
      <c r="C535" t="s">
        <v>545</v>
      </c>
      <c r="D535" s="19">
        <v>52.2</v>
      </c>
      <c r="E535" s="3" t="s">
        <v>53</v>
      </c>
      <c r="F535" s="3" t="s">
        <v>25</v>
      </c>
      <c r="G535" s="8" t="s">
        <v>58</v>
      </c>
      <c r="H535" s="4" t="s">
        <v>23</v>
      </c>
      <c r="I535" s="5">
        <v>1</v>
      </c>
      <c r="J535" s="8" t="s">
        <v>15</v>
      </c>
      <c r="K535" s="4" t="s">
        <v>53</v>
      </c>
      <c r="L535" s="5">
        <v>1</v>
      </c>
      <c r="M535" s="8" t="s">
        <v>32</v>
      </c>
      <c r="N535" s="4" t="s">
        <v>53</v>
      </c>
      <c r="O535" s="5">
        <v>1</v>
      </c>
      <c r="P535" s="8"/>
      <c r="Q535" s="4"/>
      <c r="R535" s="5"/>
      <c r="W535" s="67" t="s">
        <v>544</v>
      </c>
      <c r="X535" s="68" t="s">
        <v>545</v>
      </c>
      <c r="Y535" s="69">
        <v>52.2</v>
      </c>
      <c r="Z535" t="str">
        <f>IF(AND(Tabla1[[#This Row],[nudo inicial]]=Tabla3[[#This Row],[n1]],Tabla1[[#This Row],[nudo final]]=Tabla3[[#This Row],[n2]],Tabla1[[#This Row],[longitud]]=Tabla3[[#This Row],[long]]),"si","no")</f>
        <v>si</v>
      </c>
    </row>
    <row r="536" spans="2:26" ht="15.75" x14ac:dyDescent="0.25">
      <c r="B536" t="s">
        <v>545</v>
      </c>
      <c r="C536" t="s">
        <v>546</v>
      </c>
      <c r="D536" s="19">
        <v>34.03</v>
      </c>
      <c r="E536" s="3" t="s">
        <v>53</v>
      </c>
      <c r="F536" s="3" t="s">
        <v>25</v>
      </c>
      <c r="G536" s="8" t="s">
        <v>58</v>
      </c>
      <c r="H536" s="4" t="s">
        <v>53</v>
      </c>
      <c r="I536" s="5">
        <v>1</v>
      </c>
      <c r="J536" s="8" t="s">
        <v>17</v>
      </c>
      <c r="K536" s="4" t="s">
        <v>53</v>
      </c>
      <c r="L536" s="5">
        <v>1</v>
      </c>
      <c r="M536" s="8"/>
      <c r="N536" s="4"/>
      <c r="O536" s="5"/>
      <c r="P536" s="8"/>
      <c r="Q536" s="4"/>
      <c r="R536" s="5"/>
      <c r="W536" s="67" t="s">
        <v>545</v>
      </c>
      <c r="X536" s="68" t="s">
        <v>546</v>
      </c>
      <c r="Y536" s="69">
        <v>34.03</v>
      </c>
      <c r="Z536" t="str">
        <f>IF(AND(Tabla1[[#This Row],[nudo inicial]]=Tabla3[[#This Row],[n1]],Tabla1[[#This Row],[nudo final]]=Tabla3[[#This Row],[n2]],Tabla1[[#This Row],[longitud]]=Tabla3[[#This Row],[long]]),"si","no")</f>
        <v>si</v>
      </c>
    </row>
    <row r="537" spans="2:26" ht="15.75" x14ac:dyDescent="0.25">
      <c r="B537" t="s">
        <v>545</v>
      </c>
      <c r="C537" t="s">
        <v>547</v>
      </c>
      <c r="D537" s="19">
        <v>114.73</v>
      </c>
      <c r="E537" s="3" t="s">
        <v>53</v>
      </c>
      <c r="F537" s="3" t="s">
        <v>25</v>
      </c>
      <c r="G537" s="8" t="s">
        <v>57</v>
      </c>
      <c r="H537" s="4" t="s">
        <v>53</v>
      </c>
      <c r="I537" s="5">
        <v>1</v>
      </c>
      <c r="J537" s="8" t="s">
        <v>16</v>
      </c>
      <c r="K537" s="4" t="s">
        <v>53</v>
      </c>
      <c r="L537" s="5">
        <v>1</v>
      </c>
      <c r="M537" s="8"/>
      <c r="N537" s="4"/>
      <c r="O537" s="5"/>
      <c r="P537" s="8"/>
      <c r="Q537" s="4"/>
      <c r="R537" s="5"/>
      <c r="W537" s="67" t="s">
        <v>545</v>
      </c>
      <c r="X537" s="68" t="s">
        <v>547</v>
      </c>
      <c r="Y537" s="69">
        <v>114.73</v>
      </c>
      <c r="Z537" t="str">
        <f>IF(AND(Tabla1[[#This Row],[nudo inicial]]=Tabla3[[#This Row],[n1]],Tabla1[[#This Row],[nudo final]]=Tabla3[[#This Row],[n2]],Tabla1[[#This Row],[longitud]]=Tabla3[[#This Row],[long]]),"si","no")</f>
        <v>si</v>
      </c>
    </row>
    <row r="538" spans="2:26" ht="15.75" x14ac:dyDescent="0.25">
      <c r="B538" t="s">
        <v>547</v>
      </c>
      <c r="C538" t="s">
        <v>548</v>
      </c>
      <c r="D538" s="19">
        <v>67.91</v>
      </c>
      <c r="E538" s="3" t="s">
        <v>53</v>
      </c>
      <c r="F538" s="3" t="s">
        <v>25</v>
      </c>
      <c r="G538" s="8" t="s">
        <v>58</v>
      </c>
      <c r="H538" s="4" t="s">
        <v>53</v>
      </c>
      <c r="I538" s="5">
        <v>1</v>
      </c>
      <c r="J538" s="8" t="s">
        <v>17</v>
      </c>
      <c r="K538" s="4" t="s">
        <v>53</v>
      </c>
      <c r="L538" s="5">
        <v>1</v>
      </c>
      <c r="M538" s="8"/>
      <c r="N538" s="4"/>
      <c r="O538" s="5"/>
      <c r="P538" s="8"/>
      <c r="Q538" s="4"/>
      <c r="R538" s="5"/>
      <c r="W538" s="67" t="s">
        <v>547</v>
      </c>
      <c r="X538" s="68" t="s">
        <v>548</v>
      </c>
      <c r="Y538" s="69">
        <v>67.91</v>
      </c>
      <c r="Z538" t="str">
        <f>IF(AND(Tabla1[[#This Row],[nudo inicial]]=Tabla3[[#This Row],[n1]],Tabla1[[#This Row],[nudo final]]=Tabla3[[#This Row],[n2]],Tabla1[[#This Row],[longitud]]=Tabla3[[#This Row],[long]]),"si","no")</f>
        <v>si</v>
      </c>
    </row>
    <row r="539" spans="2:26" ht="15.75" x14ac:dyDescent="0.25">
      <c r="B539" t="s">
        <v>547</v>
      </c>
      <c r="C539" t="s">
        <v>549</v>
      </c>
      <c r="D539" s="19">
        <v>16.04</v>
      </c>
      <c r="E539" s="3" t="s">
        <v>53</v>
      </c>
      <c r="F539" s="3" t="s">
        <v>25</v>
      </c>
      <c r="G539" s="8" t="s">
        <v>57</v>
      </c>
      <c r="H539" s="4" t="s">
        <v>53</v>
      </c>
      <c r="I539" s="5">
        <v>1</v>
      </c>
      <c r="J539" s="8" t="s">
        <v>17</v>
      </c>
      <c r="K539" s="4" t="s">
        <v>53</v>
      </c>
      <c r="L539" s="5">
        <v>1</v>
      </c>
      <c r="M539" s="8"/>
      <c r="N539" s="4"/>
      <c r="O539" s="5"/>
      <c r="P539" s="8"/>
      <c r="Q539" s="4"/>
      <c r="R539" s="5"/>
      <c r="W539" s="67" t="s">
        <v>547</v>
      </c>
      <c r="X539" s="68" t="s">
        <v>549</v>
      </c>
      <c r="Y539" s="69">
        <v>16.04</v>
      </c>
      <c r="Z539" t="str">
        <f>IF(AND(Tabla1[[#This Row],[nudo inicial]]=Tabla3[[#This Row],[n1]],Tabla1[[#This Row],[nudo final]]=Tabla3[[#This Row],[n2]],Tabla1[[#This Row],[longitud]]=Tabla3[[#This Row],[long]]),"si","no")</f>
        <v>si</v>
      </c>
    </row>
    <row r="540" spans="2:26" ht="15.75" x14ac:dyDescent="0.25">
      <c r="B540" t="s">
        <v>544</v>
      </c>
      <c r="C540" t="s">
        <v>550</v>
      </c>
      <c r="D540" s="19">
        <v>57.23</v>
      </c>
      <c r="E540" s="3" t="s">
        <v>23</v>
      </c>
      <c r="F540" s="3" t="s">
        <v>26</v>
      </c>
      <c r="G540" s="8" t="s">
        <v>57</v>
      </c>
      <c r="H540" s="4" t="s">
        <v>23</v>
      </c>
      <c r="I540" s="5">
        <v>1</v>
      </c>
      <c r="J540" s="8" t="s">
        <v>32</v>
      </c>
      <c r="K540" s="4" t="s">
        <v>23</v>
      </c>
      <c r="L540" s="5">
        <v>1</v>
      </c>
      <c r="M540" s="8" t="s">
        <v>6</v>
      </c>
      <c r="N540" s="4" t="s">
        <v>30</v>
      </c>
      <c r="O540" s="5">
        <v>1</v>
      </c>
      <c r="P540" s="8"/>
      <c r="Q540" s="4"/>
      <c r="R540" s="5"/>
      <c r="W540" s="67" t="s">
        <v>544</v>
      </c>
      <c r="X540" s="68" t="s">
        <v>550</v>
      </c>
      <c r="Y540" s="69">
        <v>57.23</v>
      </c>
      <c r="Z540" t="str">
        <f>IF(AND(Tabla1[[#This Row],[nudo inicial]]=Tabla3[[#This Row],[n1]],Tabla1[[#This Row],[nudo final]]=Tabla3[[#This Row],[n2]],Tabla1[[#This Row],[longitud]]=Tabla3[[#This Row],[long]]),"si","no")</f>
        <v>si</v>
      </c>
    </row>
    <row r="541" spans="2:26" ht="15.75" x14ac:dyDescent="0.25">
      <c r="B541" t="s">
        <v>534</v>
      </c>
      <c r="C541" t="s">
        <v>1218</v>
      </c>
      <c r="D541" s="19">
        <v>60.7</v>
      </c>
      <c r="E541" s="3" t="s">
        <v>30</v>
      </c>
      <c r="F541" s="3" t="s">
        <v>26</v>
      </c>
      <c r="G541" s="8" t="s">
        <v>536</v>
      </c>
      <c r="H541" s="4" t="s">
        <v>30</v>
      </c>
      <c r="I541" s="5">
        <v>1</v>
      </c>
      <c r="J541" s="8" t="s">
        <v>32</v>
      </c>
      <c r="K541" s="4" t="s">
        <v>30</v>
      </c>
      <c r="L541" s="5">
        <v>1</v>
      </c>
      <c r="M541" s="8"/>
      <c r="N541" s="4"/>
      <c r="O541" s="5"/>
      <c r="P541" s="8"/>
      <c r="Q541" s="4"/>
      <c r="R541" s="5"/>
      <c r="W541" s="67" t="s">
        <v>534</v>
      </c>
      <c r="X541" s="68" t="s">
        <v>1218</v>
      </c>
      <c r="Y541" s="69">
        <v>60.7</v>
      </c>
      <c r="Z541" t="str">
        <f>IF(AND(Tabla1[[#This Row],[nudo inicial]]=Tabla3[[#This Row],[n1]],Tabla1[[#This Row],[nudo final]]=Tabla3[[#This Row],[n2]],Tabla1[[#This Row],[longitud]]=Tabla3[[#This Row],[long]]),"si","no")</f>
        <v>si</v>
      </c>
    </row>
    <row r="542" spans="2:26" ht="15.75" x14ac:dyDescent="0.25">
      <c r="B542" t="s">
        <v>1218</v>
      </c>
      <c r="C542" t="s">
        <v>552</v>
      </c>
      <c r="D542" s="19">
        <v>104.64</v>
      </c>
      <c r="E542" s="3" t="s">
        <v>53</v>
      </c>
      <c r="F542" s="3" t="s">
        <v>25</v>
      </c>
      <c r="G542" s="8" t="s">
        <v>20</v>
      </c>
      <c r="H542" s="4" t="s">
        <v>30</v>
      </c>
      <c r="I542" s="5">
        <v>1</v>
      </c>
      <c r="J542" s="8" t="s">
        <v>16</v>
      </c>
      <c r="K542" s="4" t="s">
        <v>53</v>
      </c>
      <c r="L542" s="5">
        <v>2</v>
      </c>
      <c r="M542" s="8" t="s">
        <v>17</v>
      </c>
      <c r="N542" s="4" t="s">
        <v>53</v>
      </c>
      <c r="O542" s="5">
        <v>1</v>
      </c>
      <c r="P542" s="8" t="s">
        <v>15</v>
      </c>
      <c r="Q542" s="4" t="s">
        <v>53</v>
      </c>
      <c r="R542" s="5">
        <v>1</v>
      </c>
      <c r="W542" s="67" t="s">
        <v>1218</v>
      </c>
      <c r="X542" s="68" t="s">
        <v>552</v>
      </c>
      <c r="Y542" s="69">
        <v>104.64</v>
      </c>
      <c r="Z542" t="str">
        <f>IF(AND(Tabla1[[#This Row],[nudo inicial]]=Tabla3[[#This Row],[n1]],Tabla1[[#This Row],[nudo final]]=Tabla3[[#This Row],[n2]],Tabla1[[#This Row],[longitud]]=Tabla3[[#This Row],[long]]),"si","no")</f>
        <v>si</v>
      </c>
    </row>
    <row r="543" spans="2:26" ht="15.75" x14ac:dyDescent="0.25">
      <c r="B543" t="s">
        <v>1218</v>
      </c>
      <c r="C543" t="s">
        <v>550</v>
      </c>
      <c r="D543" s="19">
        <v>78.09</v>
      </c>
      <c r="E543" s="3" t="s">
        <v>30</v>
      </c>
      <c r="F543" s="3" t="s">
        <v>26</v>
      </c>
      <c r="G543" s="8"/>
      <c r="H543" s="4"/>
      <c r="I543" s="5"/>
      <c r="J543" s="8"/>
      <c r="K543" s="4"/>
      <c r="L543" s="5"/>
      <c r="M543" s="8"/>
      <c r="N543" s="4"/>
      <c r="O543" s="5"/>
      <c r="P543" s="8"/>
      <c r="Q543" s="4"/>
      <c r="R543" s="5"/>
      <c r="W543" s="67" t="s">
        <v>1218</v>
      </c>
      <c r="X543" s="68" t="s">
        <v>550</v>
      </c>
      <c r="Y543" s="69">
        <v>78.09</v>
      </c>
      <c r="Z543" t="str">
        <f>IF(AND(Tabla1[[#This Row],[nudo inicial]]=Tabla3[[#This Row],[n1]],Tabla1[[#This Row],[nudo final]]=Tabla3[[#This Row],[n2]],Tabla1[[#This Row],[longitud]]=Tabla3[[#This Row],[long]]),"si","no")</f>
        <v>si</v>
      </c>
    </row>
    <row r="544" spans="2:26" ht="15.75" x14ac:dyDescent="0.25">
      <c r="B544" t="s">
        <v>550</v>
      </c>
      <c r="C544" t="s">
        <v>553</v>
      </c>
      <c r="D544" s="19">
        <v>129</v>
      </c>
      <c r="E544" s="3" t="s">
        <v>23</v>
      </c>
      <c r="F544" s="3" t="s">
        <v>26</v>
      </c>
      <c r="G544" s="8" t="s">
        <v>536</v>
      </c>
      <c r="H544" s="4" t="s">
        <v>30</v>
      </c>
      <c r="I544" s="5">
        <v>1</v>
      </c>
      <c r="J544" s="8" t="s">
        <v>15</v>
      </c>
      <c r="K544" s="4" t="s">
        <v>23</v>
      </c>
      <c r="L544" s="5">
        <v>1</v>
      </c>
      <c r="M544" s="8" t="s">
        <v>32</v>
      </c>
      <c r="N544" s="4" t="s">
        <v>23</v>
      </c>
      <c r="O544" s="5">
        <v>1</v>
      </c>
      <c r="P544" s="8"/>
      <c r="Q544" s="4"/>
      <c r="R544" s="5"/>
      <c r="W544" s="67" t="s">
        <v>550</v>
      </c>
      <c r="X544" s="68" t="s">
        <v>553</v>
      </c>
      <c r="Y544" s="69">
        <v>129</v>
      </c>
      <c r="Z544" t="str">
        <f>IF(AND(Tabla1[[#This Row],[nudo inicial]]=Tabla3[[#This Row],[n1]],Tabla1[[#This Row],[nudo final]]=Tabla3[[#This Row],[n2]],Tabla1[[#This Row],[longitud]]=Tabla3[[#This Row],[long]]),"si","no")</f>
        <v>si</v>
      </c>
    </row>
    <row r="545" spans="2:26" ht="15.75" x14ac:dyDescent="0.25">
      <c r="B545" t="s">
        <v>489</v>
      </c>
      <c r="C545" t="s">
        <v>553</v>
      </c>
      <c r="D545" s="19">
        <v>8.2200000000000006</v>
      </c>
      <c r="E545" s="3" t="s">
        <v>126</v>
      </c>
      <c r="F545" s="3" t="s">
        <v>26</v>
      </c>
      <c r="G545" s="8" t="s">
        <v>58</v>
      </c>
      <c r="H545" s="4" t="s">
        <v>30</v>
      </c>
      <c r="I545" s="5">
        <v>1</v>
      </c>
      <c r="J545" s="8" t="s">
        <v>15</v>
      </c>
      <c r="K545" s="4" t="s">
        <v>126</v>
      </c>
      <c r="L545" s="5">
        <v>2</v>
      </c>
      <c r="M545" s="8" t="s">
        <v>32</v>
      </c>
      <c r="N545" s="4" t="s">
        <v>126</v>
      </c>
      <c r="O545" s="5">
        <v>1</v>
      </c>
      <c r="P545" s="8"/>
      <c r="Q545" s="4"/>
      <c r="R545" s="5"/>
      <c r="W545" s="67" t="s">
        <v>489</v>
      </c>
      <c r="X545" s="68" t="s">
        <v>553</v>
      </c>
      <c r="Y545" s="69">
        <v>8.2200000000000006</v>
      </c>
      <c r="Z545" t="str">
        <f>IF(AND(Tabla1[[#This Row],[nudo inicial]]=Tabla3[[#This Row],[n1]],Tabla1[[#This Row],[nudo final]]=Tabla3[[#This Row],[n2]],Tabla1[[#This Row],[longitud]]=Tabla3[[#This Row],[long]]),"si","no")</f>
        <v>si</v>
      </c>
    </row>
    <row r="546" spans="2:26" ht="15.75" x14ac:dyDescent="0.25">
      <c r="B546" t="s">
        <v>493</v>
      </c>
      <c r="C546" t="s">
        <v>553</v>
      </c>
      <c r="D546" s="19">
        <v>3.08</v>
      </c>
      <c r="E546" s="3" t="s">
        <v>41</v>
      </c>
      <c r="F546" s="3" t="s">
        <v>26</v>
      </c>
      <c r="G546" s="8" t="s">
        <v>58</v>
      </c>
      <c r="H546" s="4" t="s">
        <v>41</v>
      </c>
      <c r="I546" s="5">
        <v>1</v>
      </c>
      <c r="J546" s="8"/>
      <c r="K546" s="4"/>
      <c r="L546" s="5"/>
      <c r="M546" s="8"/>
      <c r="N546" s="4"/>
      <c r="O546" s="5"/>
      <c r="P546" s="8"/>
      <c r="Q546" s="4"/>
      <c r="R546" s="5"/>
      <c r="W546" s="67" t="s">
        <v>493</v>
      </c>
      <c r="X546" s="68" t="s">
        <v>553</v>
      </c>
      <c r="Y546" s="69">
        <v>3.08</v>
      </c>
      <c r="Z546" t="str">
        <f>IF(AND(Tabla1[[#This Row],[nudo inicial]]=Tabla3[[#This Row],[n1]],Tabla1[[#This Row],[nudo final]]=Tabla3[[#This Row],[n2]],Tabla1[[#This Row],[longitud]]=Tabla3[[#This Row],[long]]),"si","no")</f>
        <v>si</v>
      </c>
    </row>
    <row r="547" spans="2:26" ht="15.75" x14ac:dyDescent="0.25">
      <c r="B547" t="s">
        <v>553</v>
      </c>
      <c r="C547" t="s">
        <v>551</v>
      </c>
      <c r="D547" s="19">
        <v>183.9</v>
      </c>
      <c r="E547" s="3" t="s">
        <v>23</v>
      </c>
      <c r="F547" s="3" t="s">
        <v>26</v>
      </c>
      <c r="G547" s="8" t="s">
        <v>58</v>
      </c>
      <c r="H547" s="4" t="s">
        <v>41</v>
      </c>
      <c r="I547" s="5">
        <v>1</v>
      </c>
      <c r="J547" s="8" t="s">
        <v>15</v>
      </c>
      <c r="K547" s="4" t="s">
        <v>23</v>
      </c>
      <c r="L547" s="5">
        <v>1</v>
      </c>
      <c r="M547" s="8" t="s">
        <v>32</v>
      </c>
      <c r="N547" s="4" t="s">
        <v>23</v>
      </c>
      <c r="O547" s="5">
        <v>1</v>
      </c>
      <c r="P547" s="8" t="s">
        <v>34</v>
      </c>
      <c r="Q547" s="4"/>
      <c r="R547" s="5">
        <v>1</v>
      </c>
      <c r="W547" s="67" t="s">
        <v>553</v>
      </c>
      <c r="X547" s="68" t="s">
        <v>551</v>
      </c>
      <c r="Y547" s="69">
        <v>183.9</v>
      </c>
      <c r="Z547" t="str">
        <f>IF(AND(Tabla1[[#This Row],[nudo inicial]]=Tabla3[[#This Row],[n1]],Tabla1[[#This Row],[nudo final]]=Tabla3[[#This Row],[n2]],Tabla1[[#This Row],[longitud]]=Tabla3[[#This Row],[long]]),"si","no")</f>
        <v>si</v>
      </c>
    </row>
    <row r="548" spans="2:26" ht="15.75" x14ac:dyDescent="0.25">
      <c r="B548" t="s">
        <v>551</v>
      </c>
      <c r="C548" t="s">
        <v>560</v>
      </c>
      <c r="D548" s="19">
        <v>130.71</v>
      </c>
      <c r="E548" s="3" t="s">
        <v>23</v>
      </c>
      <c r="F548" s="3" t="s">
        <v>26</v>
      </c>
      <c r="G548" s="8" t="s">
        <v>536</v>
      </c>
      <c r="H548" s="4" t="s">
        <v>23</v>
      </c>
      <c r="I548" s="5">
        <v>1</v>
      </c>
      <c r="J548" s="8"/>
      <c r="K548" s="4"/>
      <c r="L548" s="5"/>
      <c r="M548" s="8"/>
      <c r="N548" s="4"/>
      <c r="O548" s="5"/>
      <c r="P548" s="8"/>
      <c r="Q548" s="4"/>
      <c r="R548" s="5"/>
      <c r="W548" s="67" t="s">
        <v>551</v>
      </c>
      <c r="X548" s="68" t="s">
        <v>560</v>
      </c>
      <c r="Y548" s="69">
        <v>130.71</v>
      </c>
      <c r="Z548" t="str">
        <f>IF(AND(Tabla1[[#This Row],[nudo inicial]]=Tabla3[[#This Row],[n1]],Tabla1[[#This Row],[nudo final]]=Tabla3[[#This Row],[n2]],Tabla1[[#This Row],[longitud]]=Tabla3[[#This Row],[long]]),"si","no")</f>
        <v>si</v>
      </c>
    </row>
    <row r="549" spans="2:26" ht="15.75" x14ac:dyDescent="0.25">
      <c r="B549" t="s">
        <v>493</v>
      </c>
      <c r="C549" t="s">
        <v>554</v>
      </c>
      <c r="D549" s="19">
        <v>134.53</v>
      </c>
      <c r="E549" s="3" t="s">
        <v>41</v>
      </c>
      <c r="F549" s="3" t="s">
        <v>26</v>
      </c>
      <c r="G549" s="8" t="s">
        <v>58</v>
      </c>
      <c r="H549" s="4" t="s">
        <v>41</v>
      </c>
      <c r="I549" s="5">
        <v>1</v>
      </c>
      <c r="J549" s="8" t="s">
        <v>32</v>
      </c>
      <c r="K549" s="4" t="s">
        <v>41</v>
      </c>
      <c r="L549" s="5">
        <v>1</v>
      </c>
      <c r="M549" s="8"/>
      <c r="N549" s="4"/>
      <c r="O549" s="5"/>
      <c r="P549" s="8"/>
      <c r="Q549" s="4"/>
      <c r="R549" s="5"/>
      <c r="W549" s="67" t="s">
        <v>493</v>
      </c>
      <c r="X549" s="68" t="s">
        <v>554</v>
      </c>
      <c r="Y549" s="69">
        <v>134.53</v>
      </c>
      <c r="Z549" t="str">
        <f>IF(AND(Tabla1[[#This Row],[nudo inicial]]=Tabla3[[#This Row],[n1]],Tabla1[[#This Row],[nudo final]]=Tabla3[[#This Row],[n2]],Tabla1[[#This Row],[longitud]]=Tabla3[[#This Row],[long]]),"si","no")</f>
        <v>si</v>
      </c>
    </row>
    <row r="550" spans="2:26" ht="15.75" x14ac:dyDescent="0.25">
      <c r="B550" t="s">
        <v>554</v>
      </c>
      <c r="C550" t="s">
        <v>560</v>
      </c>
      <c r="D550" s="19">
        <v>134.56</v>
      </c>
      <c r="E550" s="3" t="s">
        <v>23</v>
      </c>
      <c r="F550" s="3" t="s">
        <v>25</v>
      </c>
      <c r="G550" s="8" t="s">
        <v>536</v>
      </c>
      <c r="H550" s="4" t="s">
        <v>41</v>
      </c>
      <c r="I550" s="5">
        <v>1</v>
      </c>
      <c r="J550" s="8" t="s">
        <v>15</v>
      </c>
      <c r="K550" s="4" t="s">
        <v>23</v>
      </c>
      <c r="L550" s="5">
        <v>1</v>
      </c>
      <c r="M550" s="8" t="s">
        <v>32</v>
      </c>
      <c r="N550" s="4" t="s">
        <v>23</v>
      </c>
      <c r="O550" s="5">
        <v>1</v>
      </c>
      <c r="P550" s="8"/>
      <c r="Q550" s="4"/>
      <c r="R550" s="5"/>
      <c r="W550" s="67" t="s">
        <v>554</v>
      </c>
      <c r="X550" s="68" t="s">
        <v>560</v>
      </c>
      <c r="Y550" s="69">
        <v>134.56</v>
      </c>
      <c r="Z550" t="str">
        <f>IF(AND(Tabla1[[#This Row],[nudo inicial]]=Tabla3[[#This Row],[n1]],Tabla1[[#This Row],[nudo final]]=Tabla3[[#This Row],[n2]],Tabla1[[#This Row],[longitud]]=Tabla3[[#This Row],[long]]),"si","no")</f>
        <v>si</v>
      </c>
    </row>
    <row r="551" spans="2:26" ht="15.75" x14ac:dyDescent="0.25">
      <c r="B551" t="s">
        <v>560</v>
      </c>
      <c r="C551" t="s">
        <v>561</v>
      </c>
      <c r="D551" s="19">
        <v>125.03</v>
      </c>
      <c r="E551" s="3" t="s">
        <v>23</v>
      </c>
      <c r="F551" s="3" t="s">
        <v>26</v>
      </c>
      <c r="G551" s="8" t="s">
        <v>536</v>
      </c>
      <c r="H551" s="4" t="s">
        <v>23</v>
      </c>
      <c r="I551" s="5">
        <v>1</v>
      </c>
      <c r="J551" s="8"/>
      <c r="K551" s="4"/>
      <c r="L551" s="5"/>
      <c r="M551" s="8"/>
      <c r="N551" s="4"/>
      <c r="O551" s="5"/>
      <c r="P551" s="8"/>
      <c r="Q551" s="4"/>
      <c r="R551" s="5"/>
      <c r="W551" s="67" t="s">
        <v>560</v>
      </c>
      <c r="X551" s="68" t="s">
        <v>561</v>
      </c>
      <c r="Y551" s="69">
        <v>125.03</v>
      </c>
      <c r="Z551" t="str">
        <f>IF(AND(Tabla1[[#This Row],[nudo inicial]]=Tabla3[[#This Row],[n1]],Tabla1[[#This Row],[nudo final]]=Tabla3[[#This Row],[n2]],Tabla1[[#This Row],[longitud]]=Tabla3[[#This Row],[long]]),"si","no")</f>
        <v>si</v>
      </c>
    </row>
    <row r="552" spans="2:26" ht="15.75" x14ac:dyDescent="0.25">
      <c r="B552" t="s">
        <v>561</v>
      </c>
      <c r="C552" t="s">
        <v>562</v>
      </c>
      <c r="D552" s="19">
        <v>10.55</v>
      </c>
      <c r="E552" s="3" t="s">
        <v>23</v>
      </c>
      <c r="F552" s="3" t="s">
        <v>25</v>
      </c>
      <c r="G552" s="8" t="s">
        <v>32</v>
      </c>
      <c r="H552" s="4" t="s">
        <v>23</v>
      </c>
      <c r="I552" s="5">
        <v>1</v>
      </c>
      <c r="J552" s="8"/>
      <c r="K552" s="4"/>
      <c r="L552" s="5"/>
      <c r="M552" s="8"/>
      <c r="N552" s="4"/>
      <c r="O552" s="5"/>
      <c r="P552" s="8"/>
      <c r="Q552" s="4"/>
      <c r="R552" s="5"/>
      <c r="W552" s="67" t="s">
        <v>561</v>
      </c>
      <c r="X552" s="68" t="s">
        <v>562</v>
      </c>
      <c r="Y552" s="69">
        <v>10.55</v>
      </c>
      <c r="Z552" t="str">
        <f>IF(AND(Tabla1[[#This Row],[nudo inicial]]=Tabla3[[#This Row],[n1]],Tabla1[[#This Row],[nudo final]]=Tabla3[[#This Row],[n2]],Tabla1[[#This Row],[longitud]]=Tabla3[[#This Row],[long]]),"si","no")</f>
        <v>si</v>
      </c>
    </row>
    <row r="553" spans="2:26" ht="30" x14ac:dyDescent="0.25">
      <c r="B553" t="s">
        <v>554</v>
      </c>
      <c r="C553" t="s">
        <v>559</v>
      </c>
      <c r="D553" s="19">
        <v>133.04</v>
      </c>
      <c r="E553" s="3" t="s">
        <v>41</v>
      </c>
      <c r="F553" s="3" t="s">
        <v>26</v>
      </c>
      <c r="G553" s="8" t="s">
        <v>536</v>
      </c>
      <c r="H553" s="4" t="s">
        <v>41</v>
      </c>
      <c r="I553" s="5">
        <v>1</v>
      </c>
      <c r="J553" s="8" t="s">
        <v>34</v>
      </c>
      <c r="K553" s="4"/>
      <c r="L553" s="5">
        <v>1</v>
      </c>
      <c r="M553" s="8"/>
      <c r="N553" s="4"/>
      <c r="O553" s="5"/>
      <c r="P553" s="8"/>
      <c r="Q553" s="4"/>
      <c r="R553" s="5"/>
      <c r="W553" s="67" t="s">
        <v>554</v>
      </c>
      <c r="X553" s="68" t="s">
        <v>559</v>
      </c>
      <c r="Y553" s="69">
        <v>133.04</v>
      </c>
      <c r="Z553" t="str">
        <f>IF(AND(Tabla1[[#This Row],[nudo inicial]]=Tabla3[[#This Row],[n1]],Tabla1[[#This Row],[nudo final]]=Tabla3[[#This Row],[n2]],Tabla1[[#This Row],[longitud]]=Tabla3[[#This Row],[long]]),"si","no")</f>
        <v>si</v>
      </c>
    </row>
    <row r="554" spans="2:26" ht="15.75" x14ac:dyDescent="0.25">
      <c r="B554" t="s">
        <v>531</v>
      </c>
      <c r="C554" t="s">
        <v>562</v>
      </c>
      <c r="D554" s="19">
        <v>8.25</v>
      </c>
      <c r="E554" s="3" t="s">
        <v>30</v>
      </c>
      <c r="F554" s="3" t="s">
        <v>25</v>
      </c>
      <c r="G554" s="8" t="s">
        <v>15</v>
      </c>
      <c r="H554" s="4" t="s">
        <v>30</v>
      </c>
      <c r="I554" s="5">
        <v>1</v>
      </c>
      <c r="J554" s="8"/>
      <c r="K554" s="4"/>
      <c r="L554" s="5"/>
      <c r="M554" s="8"/>
      <c r="N554" s="4"/>
      <c r="O554" s="5"/>
      <c r="P554" s="8"/>
      <c r="Q554" s="4"/>
      <c r="R554" s="5"/>
      <c r="W554" s="67" t="s">
        <v>531</v>
      </c>
      <c r="X554" s="68" t="s">
        <v>562</v>
      </c>
      <c r="Y554" s="69">
        <v>8.25</v>
      </c>
      <c r="Z554" t="str">
        <f>IF(AND(Tabla1[[#This Row],[nudo inicial]]=Tabla3[[#This Row],[n1]],Tabla1[[#This Row],[nudo final]]=Tabla3[[#This Row],[n2]],Tabla1[[#This Row],[longitud]]=Tabla3[[#This Row],[long]]),"si","no")</f>
        <v>si</v>
      </c>
    </row>
    <row r="555" spans="2:26" ht="15.75" x14ac:dyDescent="0.25">
      <c r="B555" t="s">
        <v>481</v>
      </c>
      <c r="C555" t="s">
        <v>563</v>
      </c>
      <c r="D555" s="19">
        <v>32.520000000000003</v>
      </c>
      <c r="E555" s="3" t="s">
        <v>53</v>
      </c>
      <c r="F555" s="3" t="s">
        <v>26</v>
      </c>
      <c r="G555" s="8" t="s">
        <v>58</v>
      </c>
      <c r="H555" s="4" t="s">
        <v>43</v>
      </c>
      <c r="I555" s="5">
        <v>1</v>
      </c>
      <c r="J555" s="8" t="s">
        <v>15</v>
      </c>
      <c r="K555" s="4" t="s">
        <v>53</v>
      </c>
      <c r="L555" s="5">
        <v>1</v>
      </c>
      <c r="M555" s="8" t="s">
        <v>32</v>
      </c>
      <c r="N555" s="4" t="s">
        <v>53</v>
      </c>
      <c r="O555" s="5">
        <v>1</v>
      </c>
      <c r="P555" s="8"/>
      <c r="Q555" s="4"/>
      <c r="R555" s="5"/>
      <c r="W555" s="67" t="s">
        <v>481</v>
      </c>
      <c r="X555" s="68" t="s">
        <v>563</v>
      </c>
      <c r="Y555" s="69">
        <v>32.520000000000003</v>
      </c>
      <c r="Z555" t="str">
        <f>IF(AND(Tabla1[[#This Row],[nudo inicial]]=Tabla3[[#This Row],[n1]],Tabla1[[#This Row],[nudo final]]=Tabla3[[#This Row],[n2]],Tabla1[[#This Row],[longitud]]=Tabla3[[#This Row],[long]]),"si","no")</f>
        <v>si</v>
      </c>
    </row>
    <row r="556" spans="2:26" ht="15.75" x14ac:dyDescent="0.25">
      <c r="B556" t="s">
        <v>563</v>
      </c>
      <c r="C556" t="s">
        <v>564</v>
      </c>
      <c r="D556" s="19">
        <v>31.4</v>
      </c>
      <c r="E556" s="3" t="s">
        <v>126</v>
      </c>
      <c r="F556" s="3" t="s">
        <v>26</v>
      </c>
      <c r="G556" s="8" t="s">
        <v>6</v>
      </c>
      <c r="H556" s="4" t="s">
        <v>126</v>
      </c>
      <c r="I556" s="5">
        <v>1</v>
      </c>
      <c r="J556" s="8"/>
      <c r="K556" s="4"/>
      <c r="L556" s="5"/>
      <c r="M556" s="8"/>
      <c r="N556" s="4"/>
      <c r="O556" s="5"/>
      <c r="P556" s="8"/>
      <c r="Q556" s="4"/>
      <c r="R556" s="5"/>
      <c r="W556" s="67" t="s">
        <v>563</v>
      </c>
      <c r="X556" s="68" t="s">
        <v>564</v>
      </c>
      <c r="Y556" s="69">
        <v>31.4</v>
      </c>
      <c r="Z556" t="str">
        <f>IF(AND(Tabla1[[#This Row],[nudo inicial]]=Tabla3[[#This Row],[n1]],Tabla1[[#This Row],[nudo final]]=Tabla3[[#This Row],[n2]],Tabla1[[#This Row],[longitud]]=Tabla3[[#This Row],[long]]),"si","no")</f>
        <v>si</v>
      </c>
    </row>
    <row r="557" spans="2:26" ht="15.75" x14ac:dyDescent="0.25">
      <c r="B557" t="s">
        <v>564</v>
      </c>
      <c r="C557" t="s">
        <v>566</v>
      </c>
      <c r="D557" s="19">
        <v>16.55</v>
      </c>
      <c r="E557" s="3" t="s">
        <v>53</v>
      </c>
      <c r="F557" s="3" t="s">
        <v>25</v>
      </c>
      <c r="G557" s="8" t="s">
        <v>58</v>
      </c>
      <c r="H557" s="4" t="s">
        <v>126</v>
      </c>
      <c r="I557" s="5">
        <v>1</v>
      </c>
      <c r="J557" s="8" t="s">
        <v>15</v>
      </c>
      <c r="K557" s="4" t="s">
        <v>53</v>
      </c>
      <c r="L557" s="5">
        <v>1</v>
      </c>
      <c r="M557" s="8" t="s">
        <v>32</v>
      </c>
      <c r="N557" s="4" t="s">
        <v>53</v>
      </c>
      <c r="O557" s="5">
        <v>1</v>
      </c>
      <c r="P557" s="8"/>
      <c r="Q557" s="4"/>
      <c r="R557" s="5"/>
      <c r="W557" s="67" t="s">
        <v>564</v>
      </c>
      <c r="X557" s="68" t="s">
        <v>566</v>
      </c>
      <c r="Y557" s="69">
        <v>16.55</v>
      </c>
      <c r="Z557" t="str">
        <f>IF(AND(Tabla1[[#This Row],[nudo inicial]]=Tabla3[[#This Row],[n1]],Tabla1[[#This Row],[nudo final]]=Tabla3[[#This Row],[n2]],Tabla1[[#This Row],[longitud]]=Tabla3[[#This Row],[long]]),"si","no")</f>
        <v>si</v>
      </c>
    </row>
    <row r="558" spans="2:26" ht="15.75" x14ac:dyDescent="0.25">
      <c r="B558" t="s">
        <v>564</v>
      </c>
      <c r="C558" t="s">
        <v>567</v>
      </c>
      <c r="D558" s="19">
        <v>36.78</v>
      </c>
      <c r="E558" s="3" t="s">
        <v>126</v>
      </c>
      <c r="F558" s="3" t="s">
        <v>26</v>
      </c>
      <c r="G558" s="8" t="s">
        <v>57</v>
      </c>
      <c r="H558" s="4" t="s">
        <v>126</v>
      </c>
      <c r="I558" s="5">
        <v>1</v>
      </c>
      <c r="J558" s="8"/>
      <c r="K558" s="4"/>
      <c r="L558" s="5"/>
      <c r="M558" s="8"/>
      <c r="N558" s="4"/>
      <c r="O558" s="5"/>
      <c r="P558" s="8"/>
      <c r="Q558" s="4"/>
      <c r="R558" s="5"/>
      <c r="W558" s="67" t="s">
        <v>564</v>
      </c>
      <c r="X558" s="68" t="s">
        <v>567</v>
      </c>
      <c r="Y558" s="69">
        <v>36.78</v>
      </c>
      <c r="Z558" t="str">
        <f>IF(AND(Tabla1[[#This Row],[nudo inicial]]=Tabla3[[#This Row],[n1]],Tabla1[[#This Row],[nudo final]]=Tabla3[[#This Row],[n2]],Tabla1[[#This Row],[longitud]]=Tabla3[[#This Row],[long]]),"si","no")</f>
        <v>si</v>
      </c>
    </row>
    <row r="559" spans="2:26" ht="15.75" x14ac:dyDescent="0.25">
      <c r="B559" t="s">
        <v>461</v>
      </c>
      <c r="C559" t="s">
        <v>567</v>
      </c>
      <c r="D559" s="19">
        <v>13</v>
      </c>
      <c r="E559" s="3" t="s">
        <v>23</v>
      </c>
      <c r="F559" s="3" t="s">
        <v>25</v>
      </c>
      <c r="G559" s="8" t="s">
        <v>15</v>
      </c>
      <c r="H559" s="4" t="s">
        <v>23</v>
      </c>
      <c r="I559" s="5">
        <v>2</v>
      </c>
      <c r="J559" s="8" t="s">
        <v>32</v>
      </c>
      <c r="K559" s="4" t="s">
        <v>23</v>
      </c>
      <c r="L559" s="5">
        <v>1</v>
      </c>
      <c r="M559" s="8"/>
      <c r="N559" s="4"/>
      <c r="O559" s="5"/>
      <c r="P559" s="8"/>
      <c r="Q559" s="4"/>
      <c r="R559" s="5"/>
      <c r="W559" s="67" t="s">
        <v>461</v>
      </c>
      <c r="X559" s="68" t="s">
        <v>567</v>
      </c>
      <c r="Y559" s="69">
        <v>13</v>
      </c>
      <c r="Z559" t="str">
        <f>IF(AND(Tabla1[[#This Row],[nudo inicial]]=Tabla3[[#This Row],[n1]],Tabla1[[#This Row],[nudo final]]=Tabla3[[#This Row],[n2]],Tabla1[[#This Row],[longitud]]=Tabla3[[#This Row],[long]]),"si","no")</f>
        <v>si</v>
      </c>
    </row>
    <row r="560" spans="2:26" ht="30" x14ac:dyDescent="0.25">
      <c r="B560" t="s">
        <v>567</v>
      </c>
      <c r="C560" t="s">
        <v>568</v>
      </c>
      <c r="D560" s="19">
        <v>87.15</v>
      </c>
      <c r="E560" s="3" t="s">
        <v>23</v>
      </c>
      <c r="F560" s="3" t="s">
        <v>25</v>
      </c>
      <c r="G560" s="8" t="s">
        <v>58</v>
      </c>
      <c r="H560" s="4" t="s">
        <v>126</v>
      </c>
      <c r="I560" s="5">
        <v>1</v>
      </c>
      <c r="J560" s="8" t="s">
        <v>15</v>
      </c>
      <c r="K560" s="4" t="s">
        <v>23</v>
      </c>
      <c r="L560" s="5">
        <v>1</v>
      </c>
      <c r="M560" s="8" t="s">
        <v>33</v>
      </c>
      <c r="N560" s="4"/>
      <c r="O560" s="5">
        <v>1</v>
      </c>
      <c r="P560" s="8"/>
      <c r="Q560" s="4"/>
      <c r="R560" s="5"/>
      <c r="W560" s="67" t="s">
        <v>567</v>
      </c>
      <c r="X560" s="68" t="s">
        <v>568</v>
      </c>
      <c r="Y560" s="69">
        <v>87.15</v>
      </c>
      <c r="Z560" t="str">
        <f>IF(AND(Tabla1[[#This Row],[nudo inicial]]=Tabla3[[#This Row],[n1]],Tabla1[[#This Row],[nudo final]]=Tabla3[[#This Row],[n2]],Tabla1[[#This Row],[longitud]]=Tabla3[[#This Row],[long]]),"si","no")</f>
        <v>si</v>
      </c>
    </row>
    <row r="561" spans="2:26" ht="15.75" x14ac:dyDescent="0.25">
      <c r="B561" t="s">
        <v>568</v>
      </c>
      <c r="C561" t="s">
        <v>565</v>
      </c>
      <c r="D561" s="19">
        <v>130.76</v>
      </c>
      <c r="E561" s="3" t="s">
        <v>23</v>
      </c>
      <c r="F561" s="3" t="s">
        <v>26</v>
      </c>
      <c r="G561" s="8" t="s">
        <v>58</v>
      </c>
      <c r="H561" s="4" t="s">
        <v>23</v>
      </c>
      <c r="I561" s="5">
        <v>1</v>
      </c>
      <c r="J561" s="8" t="s">
        <v>17</v>
      </c>
      <c r="K561" s="4" t="s">
        <v>23</v>
      </c>
      <c r="L561" s="5">
        <v>1</v>
      </c>
      <c r="M561" s="8"/>
      <c r="N561" s="4"/>
      <c r="O561" s="5"/>
      <c r="P561" s="8"/>
      <c r="Q561" s="4"/>
      <c r="R561" s="5"/>
      <c r="W561" s="67" t="s">
        <v>568</v>
      </c>
      <c r="X561" s="68" t="s">
        <v>565</v>
      </c>
      <c r="Y561" s="69">
        <v>130.76</v>
      </c>
      <c r="Z561" t="str">
        <f>IF(AND(Tabla1[[#This Row],[nudo inicial]]=Tabla3[[#This Row],[n1]],Tabla1[[#This Row],[nudo final]]=Tabla3[[#This Row],[n2]],Tabla1[[#This Row],[longitud]]=Tabla3[[#This Row],[long]]),"si","no")</f>
        <v>si</v>
      </c>
    </row>
    <row r="562" spans="2:26" ht="15.75" x14ac:dyDescent="0.25">
      <c r="B562" t="s">
        <v>568</v>
      </c>
      <c r="C562" t="s">
        <v>569</v>
      </c>
      <c r="D562" s="19">
        <v>44</v>
      </c>
      <c r="E562" s="3" t="s">
        <v>23</v>
      </c>
      <c r="F562" s="3" t="s">
        <v>25</v>
      </c>
      <c r="G562" s="8" t="s">
        <v>57</v>
      </c>
      <c r="H562" s="4" t="s">
        <v>23</v>
      </c>
      <c r="I562" s="5">
        <v>1</v>
      </c>
      <c r="J562" s="8"/>
      <c r="K562" s="4"/>
      <c r="L562" s="5"/>
      <c r="M562" s="8"/>
      <c r="N562" s="4"/>
      <c r="O562" s="5"/>
      <c r="P562" s="8"/>
      <c r="Q562" s="4"/>
      <c r="R562" s="5"/>
      <c r="W562" s="67" t="s">
        <v>568</v>
      </c>
      <c r="X562" s="68" t="s">
        <v>569</v>
      </c>
      <c r="Y562" s="69">
        <v>44</v>
      </c>
      <c r="Z562" t="str">
        <f>IF(AND(Tabla1[[#This Row],[nudo inicial]]=Tabla3[[#This Row],[n1]],Tabla1[[#This Row],[nudo final]]=Tabla3[[#This Row],[n2]],Tabla1[[#This Row],[longitud]]=Tabla3[[#This Row],[long]]),"si","no")</f>
        <v>si</v>
      </c>
    </row>
    <row r="563" spans="2:26" ht="15.75" x14ac:dyDescent="0.25">
      <c r="B563" t="s">
        <v>557</v>
      </c>
      <c r="C563" t="s">
        <v>569</v>
      </c>
      <c r="D563" s="19">
        <v>139.22</v>
      </c>
      <c r="E563" s="3" t="s">
        <v>126</v>
      </c>
      <c r="F563" s="3" t="s">
        <v>26</v>
      </c>
      <c r="G563" s="8" t="s">
        <v>536</v>
      </c>
      <c r="H563" s="4" t="s">
        <v>41</v>
      </c>
      <c r="I563" s="5">
        <v>1</v>
      </c>
      <c r="J563" s="8" t="s">
        <v>15</v>
      </c>
      <c r="K563" s="4" t="s">
        <v>126</v>
      </c>
      <c r="L563" s="5">
        <v>1</v>
      </c>
      <c r="M563" s="8" t="s">
        <v>32</v>
      </c>
      <c r="N563" s="4" t="s">
        <v>126</v>
      </c>
      <c r="O563" s="5">
        <v>1</v>
      </c>
      <c r="P563" s="8"/>
      <c r="Q563" s="4"/>
      <c r="R563" s="5"/>
      <c r="W563" s="67" t="s">
        <v>557</v>
      </c>
      <c r="X563" s="68" t="s">
        <v>569</v>
      </c>
      <c r="Y563" s="69">
        <v>139.22</v>
      </c>
      <c r="Z563" t="str">
        <f>IF(AND(Tabla1[[#This Row],[nudo inicial]]=Tabla3[[#This Row],[n1]],Tabla1[[#This Row],[nudo final]]=Tabla3[[#This Row],[n2]],Tabla1[[#This Row],[longitud]]=Tabla3[[#This Row],[long]]),"si","no")</f>
        <v>si</v>
      </c>
    </row>
    <row r="564" spans="2:26" ht="15.75" x14ac:dyDescent="0.25">
      <c r="B564" t="s">
        <v>569</v>
      </c>
      <c r="C564" t="s">
        <v>570</v>
      </c>
      <c r="D564" s="19">
        <v>139.46</v>
      </c>
      <c r="E564" s="3" t="s">
        <v>23</v>
      </c>
      <c r="F564" s="3" t="s">
        <v>25</v>
      </c>
      <c r="G564" s="8" t="s">
        <v>536</v>
      </c>
      <c r="H564" s="4" t="s">
        <v>126</v>
      </c>
      <c r="I564" s="5">
        <v>1</v>
      </c>
      <c r="J564" s="8" t="s">
        <v>15</v>
      </c>
      <c r="K564" s="4" t="s">
        <v>23</v>
      </c>
      <c r="L564" s="5">
        <v>2</v>
      </c>
      <c r="M564" s="8"/>
      <c r="N564" s="4"/>
      <c r="O564" s="5"/>
      <c r="P564" s="8"/>
      <c r="Q564" s="4"/>
      <c r="R564" s="5"/>
      <c r="W564" s="67" t="s">
        <v>569</v>
      </c>
      <c r="X564" s="68" t="s">
        <v>570</v>
      </c>
      <c r="Y564" s="69">
        <v>139.46</v>
      </c>
      <c r="Z564" t="str">
        <f>IF(AND(Tabla1[[#This Row],[nudo inicial]]=Tabla3[[#This Row],[n1]],Tabla1[[#This Row],[nudo final]]=Tabla3[[#This Row],[n2]],Tabla1[[#This Row],[longitud]]=Tabla3[[#This Row],[long]]),"si","no")</f>
        <v>si</v>
      </c>
    </row>
    <row r="565" spans="2:26" ht="15.75" x14ac:dyDescent="0.25">
      <c r="B565" t="s">
        <v>559</v>
      </c>
      <c r="C565" t="s">
        <v>570</v>
      </c>
      <c r="D565" s="19">
        <v>139.31</v>
      </c>
      <c r="E565" s="3" t="s">
        <v>41</v>
      </c>
      <c r="F565" s="3" t="s">
        <v>26</v>
      </c>
      <c r="G565" s="8" t="s">
        <v>536</v>
      </c>
      <c r="H565" s="4" t="s">
        <v>41</v>
      </c>
      <c r="I565" s="5">
        <v>1</v>
      </c>
      <c r="J565" s="8" t="s">
        <v>32</v>
      </c>
      <c r="K565" s="4" t="s">
        <v>41</v>
      </c>
      <c r="L565" s="5">
        <v>1</v>
      </c>
      <c r="M565" s="8"/>
      <c r="N565" s="4"/>
      <c r="O565" s="5"/>
      <c r="P565" s="8"/>
      <c r="Q565" s="4"/>
      <c r="R565" s="5"/>
      <c r="W565" s="67" t="s">
        <v>559</v>
      </c>
      <c r="X565" s="68" t="s">
        <v>570</v>
      </c>
      <c r="Y565" s="69">
        <v>139.31</v>
      </c>
      <c r="Z565" t="str">
        <f>IF(AND(Tabla1[[#This Row],[nudo inicial]]=Tabla3[[#This Row],[n1]],Tabla1[[#This Row],[nudo final]]=Tabla3[[#This Row],[n2]],Tabla1[[#This Row],[longitud]]=Tabla3[[#This Row],[long]]),"si","no")</f>
        <v>si</v>
      </c>
    </row>
    <row r="566" spans="2:26" ht="15.75" x14ac:dyDescent="0.25">
      <c r="B566" t="s">
        <v>570</v>
      </c>
      <c r="C566" t="s">
        <v>571</v>
      </c>
      <c r="D566" s="19">
        <v>62.61</v>
      </c>
      <c r="E566" s="3" t="s">
        <v>23</v>
      </c>
      <c r="F566" s="3" t="s">
        <v>25</v>
      </c>
      <c r="G566" s="8" t="s">
        <v>536</v>
      </c>
      <c r="H566" s="4" t="s">
        <v>41</v>
      </c>
      <c r="I566" s="5">
        <v>1</v>
      </c>
      <c r="J566" s="8" t="s">
        <v>15</v>
      </c>
      <c r="K566" s="4" t="s">
        <v>23</v>
      </c>
      <c r="L566" s="5">
        <v>1</v>
      </c>
      <c r="M566" s="8"/>
      <c r="N566" s="4"/>
      <c r="O566" s="5"/>
      <c r="P566" s="8"/>
      <c r="Q566" s="4"/>
      <c r="R566" s="5"/>
      <c r="W566" s="67" t="s">
        <v>570</v>
      </c>
      <c r="X566" s="68" t="s">
        <v>571</v>
      </c>
      <c r="Y566" s="69">
        <v>62.61</v>
      </c>
      <c r="Z566" t="str">
        <f>IF(AND(Tabla1[[#This Row],[nudo inicial]]=Tabla3[[#This Row],[n1]],Tabla1[[#This Row],[nudo final]]=Tabla3[[#This Row],[n2]],Tabla1[[#This Row],[longitud]]=Tabla3[[#This Row],[long]]),"si","no")</f>
        <v>si</v>
      </c>
    </row>
    <row r="567" spans="2:26" ht="15.75" x14ac:dyDescent="0.25">
      <c r="B567" t="s">
        <v>571</v>
      </c>
      <c r="C567" t="s">
        <v>572</v>
      </c>
      <c r="D567" s="19">
        <v>63.71</v>
      </c>
      <c r="E567" s="3" t="s">
        <v>53</v>
      </c>
      <c r="F567" s="3" t="s">
        <v>25</v>
      </c>
      <c r="G567" s="8" t="s">
        <v>58</v>
      </c>
      <c r="H567" s="4" t="s">
        <v>23</v>
      </c>
      <c r="I567" s="5">
        <v>1</v>
      </c>
      <c r="J567" s="8" t="s">
        <v>15</v>
      </c>
      <c r="K567" s="4" t="s">
        <v>53</v>
      </c>
      <c r="L567" s="5">
        <v>1</v>
      </c>
      <c r="M567" s="8" t="s">
        <v>17</v>
      </c>
      <c r="N567" s="4" t="s">
        <v>53</v>
      </c>
      <c r="O567" s="5">
        <v>1</v>
      </c>
      <c r="P567" s="8"/>
      <c r="Q567" s="4"/>
      <c r="R567" s="5"/>
      <c r="W567" s="67" t="s">
        <v>571</v>
      </c>
      <c r="X567" s="68" t="s">
        <v>572</v>
      </c>
      <c r="Y567" s="69">
        <v>63.71</v>
      </c>
      <c r="Z567" t="str">
        <f>IF(AND(Tabla1[[#This Row],[nudo inicial]]=Tabla3[[#This Row],[n1]],Tabla1[[#This Row],[nudo final]]=Tabla3[[#This Row],[n2]],Tabla1[[#This Row],[longitud]]=Tabla3[[#This Row],[long]]),"si","no")</f>
        <v>si</v>
      </c>
    </row>
    <row r="568" spans="2:26" ht="15.75" x14ac:dyDescent="0.25">
      <c r="B568" t="s">
        <v>571</v>
      </c>
      <c r="C568" t="s">
        <v>573</v>
      </c>
      <c r="D568" s="19">
        <v>55.32</v>
      </c>
      <c r="E568" s="3" t="s">
        <v>23</v>
      </c>
      <c r="F568" s="3" t="s">
        <v>25</v>
      </c>
      <c r="G568" s="8" t="s">
        <v>57</v>
      </c>
      <c r="H568" s="4" t="s">
        <v>23</v>
      </c>
      <c r="I568" s="5">
        <v>1</v>
      </c>
      <c r="J568" s="8" t="s">
        <v>6</v>
      </c>
      <c r="K568" s="4" t="s">
        <v>126</v>
      </c>
      <c r="L568" s="5">
        <v>1</v>
      </c>
      <c r="M568" s="8"/>
      <c r="N568" s="4"/>
      <c r="O568" s="5"/>
      <c r="P568" s="8"/>
      <c r="Q568" s="4"/>
      <c r="R568" s="5"/>
      <c r="W568" s="67" t="s">
        <v>571</v>
      </c>
      <c r="X568" s="68" t="s">
        <v>573</v>
      </c>
      <c r="Y568" s="69">
        <v>55.32</v>
      </c>
      <c r="Z568" t="str">
        <f>IF(AND(Tabla1[[#This Row],[nudo inicial]]=Tabla3[[#This Row],[n1]],Tabla1[[#This Row],[nudo final]]=Tabla3[[#This Row],[n2]],Tabla1[[#This Row],[longitud]]=Tabla3[[#This Row],[long]]),"si","no")</f>
        <v>si</v>
      </c>
    </row>
    <row r="569" spans="2:26" ht="15.75" x14ac:dyDescent="0.25">
      <c r="B569" t="s">
        <v>573</v>
      </c>
      <c r="C569" t="s">
        <v>574</v>
      </c>
      <c r="D569" s="19">
        <v>20.53</v>
      </c>
      <c r="E569" s="3" t="s">
        <v>126</v>
      </c>
      <c r="F569" s="3" t="s">
        <v>26</v>
      </c>
      <c r="G569" s="8" t="s">
        <v>32</v>
      </c>
      <c r="H569" s="4" t="s">
        <v>126</v>
      </c>
      <c r="I569" s="5">
        <v>1</v>
      </c>
      <c r="J569" s="8"/>
      <c r="K569" s="4"/>
      <c r="L569" s="5"/>
      <c r="M569" s="8"/>
      <c r="N569" s="4"/>
      <c r="O569" s="5"/>
      <c r="P569" s="8"/>
      <c r="Q569" s="4"/>
      <c r="R569" s="5"/>
      <c r="W569" s="67" t="s">
        <v>573</v>
      </c>
      <c r="X569" s="68" t="s">
        <v>574</v>
      </c>
      <c r="Y569" s="69">
        <v>20.53</v>
      </c>
      <c r="Z569" t="str">
        <f>IF(AND(Tabla1[[#This Row],[nudo inicial]]=Tabla3[[#This Row],[n1]],Tabla1[[#This Row],[nudo final]]=Tabla3[[#This Row],[n2]],Tabla1[[#This Row],[longitud]]=Tabla3[[#This Row],[long]]),"si","no")</f>
        <v>si</v>
      </c>
    </row>
    <row r="570" spans="2:26" ht="15.75" x14ac:dyDescent="0.25">
      <c r="B570" t="s">
        <v>562</v>
      </c>
      <c r="C570" t="s">
        <v>575</v>
      </c>
      <c r="D570" s="19">
        <v>128.66999999999999</v>
      </c>
      <c r="E570" s="3" t="s">
        <v>23</v>
      </c>
      <c r="F570" s="3" t="s">
        <v>25</v>
      </c>
      <c r="G570" s="8" t="s">
        <v>536</v>
      </c>
      <c r="H570" s="4" t="s">
        <v>30</v>
      </c>
      <c r="I570" s="5">
        <v>1</v>
      </c>
      <c r="J570" s="8" t="s">
        <v>15</v>
      </c>
      <c r="K570" s="4" t="s">
        <v>23</v>
      </c>
      <c r="L570" s="5">
        <v>1</v>
      </c>
      <c r="M570" s="8" t="s">
        <v>32</v>
      </c>
      <c r="N570" s="4" t="s">
        <v>23</v>
      </c>
      <c r="O570" s="5">
        <v>1</v>
      </c>
      <c r="P570" s="8"/>
      <c r="Q570" s="4"/>
      <c r="R570" s="5"/>
      <c r="W570" s="67" t="s">
        <v>562</v>
      </c>
      <c r="X570" s="68" t="s">
        <v>575</v>
      </c>
      <c r="Y570" s="69">
        <v>128.66999999999999</v>
      </c>
      <c r="Z570" t="str">
        <f>IF(AND(Tabla1[[#This Row],[nudo inicial]]=Tabla3[[#This Row],[n1]],Tabla1[[#This Row],[nudo final]]=Tabla3[[#This Row],[n2]],Tabla1[[#This Row],[longitud]]=Tabla3[[#This Row],[long]]),"si","no")</f>
        <v>si</v>
      </c>
    </row>
    <row r="571" spans="2:26" ht="15.75" x14ac:dyDescent="0.25">
      <c r="B571" t="s">
        <v>575</v>
      </c>
      <c r="C571" t="s">
        <v>574</v>
      </c>
      <c r="D571" s="19">
        <v>11.5</v>
      </c>
      <c r="E571" s="3" t="s">
        <v>23</v>
      </c>
      <c r="F571" s="3" t="s">
        <v>26</v>
      </c>
      <c r="G571" s="8" t="s">
        <v>6</v>
      </c>
      <c r="H571" s="4" t="s">
        <v>126</v>
      </c>
      <c r="I571" s="5">
        <v>1</v>
      </c>
      <c r="J571" s="8"/>
      <c r="K571" s="4"/>
      <c r="L571" s="5"/>
      <c r="M571" s="8"/>
      <c r="N571" s="4"/>
      <c r="O571" s="5"/>
      <c r="P571" s="8"/>
      <c r="Q571" s="4"/>
      <c r="R571" s="5"/>
      <c r="W571" s="67" t="s">
        <v>575</v>
      </c>
      <c r="X571" s="68" t="s">
        <v>574</v>
      </c>
      <c r="Y571" s="69">
        <v>11.5</v>
      </c>
      <c r="Z571" t="str">
        <f>IF(AND(Tabla1[[#This Row],[nudo inicial]]=Tabla3[[#This Row],[n1]],Tabla1[[#This Row],[nudo final]]=Tabla3[[#This Row],[n2]],Tabla1[[#This Row],[longitud]]=Tabla3[[#This Row],[long]]),"si","no")</f>
        <v>si</v>
      </c>
    </row>
    <row r="572" spans="2:26" ht="15.75" x14ac:dyDescent="0.25">
      <c r="B572" t="s">
        <v>569</v>
      </c>
      <c r="C572" t="s">
        <v>576</v>
      </c>
      <c r="D572" s="19">
        <v>94.4</v>
      </c>
      <c r="E572" s="3" t="s">
        <v>126</v>
      </c>
      <c r="F572" s="3" t="s">
        <v>26</v>
      </c>
      <c r="G572" s="8" t="s">
        <v>536</v>
      </c>
      <c r="H572" s="4" t="s">
        <v>126</v>
      </c>
      <c r="I572" s="5">
        <v>1</v>
      </c>
      <c r="J572" s="8"/>
      <c r="K572" s="4"/>
      <c r="L572" s="5"/>
      <c r="M572" s="8"/>
      <c r="N572" s="4"/>
      <c r="O572" s="5"/>
      <c r="P572" s="8"/>
      <c r="Q572" s="4"/>
      <c r="R572" s="5"/>
      <c r="W572" s="67" t="s">
        <v>569</v>
      </c>
      <c r="X572" s="68" t="s">
        <v>576</v>
      </c>
      <c r="Y572" s="69">
        <v>94.4</v>
      </c>
      <c r="Z572" t="str">
        <f>IF(AND(Tabla1[[#This Row],[nudo inicial]]=Tabla3[[#This Row],[n1]],Tabla1[[#This Row],[nudo final]]=Tabla3[[#This Row],[n2]],Tabla1[[#This Row],[longitud]]=Tabla3[[#This Row],[long]]),"si","no")</f>
        <v>si</v>
      </c>
    </row>
    <row r="573" spans="2:26" ht="15.75" x14ac:dyDescent="0.25">
      <c r="B573" t="s">
        <v>576</v>
      </c>
      <c r="C573" t="s">
        <v>577</v>
      </c>
      <c r="D573" s="19">
        <v>10.54</v>
      </c>
      <c r="E573" s="3" t="s">
        <v>23</v>
      </c>
      <c r="F573" s="3" t="s">
        <v>26</v>
      </c>
      <c r="G573" s="8" t="s">
        <v>15</v>
      </c>
      <c r="H573" s="4" t="s">
        <v>23</v>
      </c>
      <c r="I573" s="5">
        <v>1</v>
      </c>
      <c r="J573" s="8" t="s">
        <v>32</v>
      </c>
      <c r="K573" s="4" t="s">
        <v>23</v>
      </c>
      <c r="L573" s="5">
        <v>1</v>
      </c>
      <c r="M573" s="8"/>
      <c r="N573" s="4"/>
      <c r="O573" s="5"/>
      <c r="P573" s="8"/>
      <c r="Q573" s="4"/>
      <c r="R573" s="5"/>
      <c r="W573" s="67" t="s">
        <v>576</v>
      </c>
      <c r="X573" s="68" t="s">
        <v>577</v>
      </c>
      <c r="Y573" s="69">
        <v>10.54</v>
      </c>
      <c r="Z573" t="str">
        <f>IF(AND(Tabla1[[#This Row],[nudo inicial]]=Tabla3[[#This Row],[n1]],Tabla1[[#This Row],[nudo final]]=Tabla3[[#This Row],[n2]],Tabla1[[#This Row],[longitud]]=Tabla3[[#This Row],[long]]),"si","no")</f>
        <v>si</v>
      </c>
    </row>
    <row r="574" spans="2:26" ht="15.75" x14ac:dyDescent="0.25">
      <c r="B574" t="s">
        <v>577</v>
      </c>
      <c r="C574" t="s">
        <v>578</v>
      </c>
      <c r="D574" s="19">
        <v>7.8</v>
      </c>
      <c r="E574" s="3" t="s">
        <v>23</v>
      </c>
      <c r="F574" s="3" t="s">
        <v>26</v>
      </c>
      <c r="G574" s="8" t="s">
        <v>57</v>
      </c>
      <c r="H574" s="4" t="s">
        <v>23</v>
      </c>
      <c r="I574" s="5">
        <v>1</v>
      </c>
      <c r="J574" s="8" t="s">
        <v>17</v>
      </c>
      <c r="K574" s="4" t="s">
        <v>23</v>
      </c>
      <c r="L574" s="5">
        <v>1</v>
      </c>
      <c r="M574" s="8"/>
      <c r="N574" s="4"/>
      <c r="O574" s="5"/>
      <c r="P574" s="8"/>
      <c r="Q574" s="4"/>
      <c r="R574" s="5"/>
      <c r="W574" s="67" t="s">
        <v>577</v>
      </c>
      <c r="X574" s="68" t="s">
        <v>578</v>
      </c>
      <c r="Y574" s="69">
        <v>7.8</v>
      </c>
      <c r="Z574" t="str">
        <f>IF(AND(Tabla1[[#This Row],[nudo inicial]]=Tabla3[[#This Row],[n1]],Tabla1[[#This Row],[nudo final]]=Tabla3[[#This Row],[n2]],Tabla1[[#This Row],[longitud]]=Tabla3[[#This Row],[long]]),"si","no")</f>
        <v>si</v>
      </c>
    </row>
    <row r="575" spans="2:26" ht="30" x14ac:dyDescent="0.25">
      <c r="B575" t="s">
        <v>577</v>
      </c>
      <c r="C575" t="s">
        <v>579</v>
      </c>
      <c r="D575" s="19">
        <v>148.37</v>
      </c>
      <c r="E575" s="3" t="s">
        <v>23</v>
      </c>
      <c r="F575" s="3" t="s">
        <v>26</v>
      </c>
      <c r="G575" s="8" t="s">
        <v>58</v>
      </c>
      <c r="H575" s="4" t="s">
        <v>23</v>
      </c>
      <c r="I575" s="5">
        <v>1</v>
      </c>
      <c r="J575" s="8" t="s">
        <v>34</v>
      </c>
      <c r="K575" s="4"/>
      <c r="L575" s="5">
        <v>1</v>
      </c>
      <c r="M575" s="8"/>
      <c r="N575" s="4"/>
      <c r="O575" s="5"/>
      <c r="P575" s="8"/>
      <c r="Q575" s="4"/>
      <c r="R575" s="5"/>
      <c r="W575" s="67" t="s">
        <v>577</v>
      </c>
      <c r="X575" s="68" t="s">
        <v>579</v>
      </c>
      <c r="Y575" s="69">
        <v>148.37</v>
      </c>
      <c r="Z575" t="str">
        <f>IF(AND(Tabla1[[#This Row],[nudo inicial]]=Tabla3[[#This Row],[n1]],Tabla1[[#This Row],[nudo final]]=Tabla3[[#This Row],[n2]],Tabla1[[#This Row],[longitud]]=Tabla3[[#This Row],[long]]),"si","no")</f>
        <v>si</v>
      </c>
    </row>
    <row r="576" spans="2:26" ht="30" x14ac:dyDescent="0.25">
      <c r="B576" t="s">
        <v>570</v>
      </c>
      <c r="C576" t="s">
        <v>580</v>
      </c>
      <c r="D576" s="19">
        <v>62.1</v>
      </c>
      <c r="E576" s="3" t="s">
        <v>55</v>
      </c>
      <c r="F576" s="3" t="s">
        <v>26</v>
      </c>
      <c r="G576" s="8" t="s">
        <v>536</v>
      </c>
      <c r="H576" s="4" t="s">
        <v>41</v>
      </c>
      <c r="I576" s="5">
        <v>1</v>
      </c>
      <c r="J576" s="8" t="s">
        <v>15</v>
      </c>
      <c r="K576" s="4" t="s">
        <v>55</v>
      </c>
      <c r="L576" s="5">
        <v>1</v>
      </c>
      <c r="M576" s="8" t="s">
        <v>33</v>
      </c>
      <c r="N576" s="4"/>
      <c r="O576" s="5">
        <v>1</v>
      </c>
      <c r="P576" s="8"/>
      <c r="Q576" s="4"/>
      <c r="R576" s="5"/>
      <c r="W576" s="67" t="s">
        <v>570</v>
      </c>
      <c r="X576" s="68" t="s">
        <v>580</v>
      </c>
      <c r="Y576" s="69">
        <v>62.1</v>
      </c>
      <c r="Z576" t="str">
        <f>IF(AND(Tabla1[[#This Row],[nudo inicial]]=Tabla3[[#This Row],[n1]],Tabla1[[#This Row],[nudo final]]=Tabla3[[#This Row],[n2]],Tabla1[[#This Row],[longitud]]=Tabla3[[#This Row],[long]]),"si","no")</f>
        <v>si</v>
      </c>
    </row>
    <row r="577" spans="2:26" ht="15.75" x14ac:dyDescent="0.25">
      <c r="B577" t="s">
        <v>580</v>
      </c>
      <c r="C577" t="s">
        <v>581</v>
      </c>
      <c r="D577" s="19">
        <v>44.99</v>
      </c>
      <c r="E577" s="3" t="s">
        <v>53</v>
      </c>
      <c r="F577" s="3" t="s">
        <v>25</v>
      </c>
      <c r="G577" s="8" t="s">
        <v>58</v>
      </c>
      <c r="H577" s="4" t="s">
        <v>55</v>
      </c>
      <c r="I577" s="5">
        <v>1</v>
      </c>
      <c r="J577" s="8" t="s">
        <v>15</v>
      </c>
      <c r="K577" s="4" t="s">
        <v>53</v>
      </c>
      <c r="L577" s="5">
        <v>1</v>
      </c>
      <c r="M577" s="8" t="s">
        <v>17</v>
      </c>
      <c r="N577" s="4" t="s">
        <v>53</v>
      </c>
      <c r="O577" s="5">
        <v>1</v>
      </c>
      <c r="P577" s="8"/>
      <c r="Q577" s="4"/>
      <c r="R577" s="5"/>
      <c r="W577" s="67" t="s">
        <v>580</v>
      </c>
      <c r="X577" s="68" t="s">
        <v>581</v>
      </c>
      <c r="Y577" s="69">
        <v>44.99</v>
      </c>
      <c r="Z577" t="str">
        <f>IF(AND(Tabla1[[#This Row],[nudo inicial]]=Tabla3[[#This Row],[n1]],Tabla1[[#This Row],[nudo final]]=Tabla3[[#This Row],[n2]],Tabla1[[#This Row],[longitud]]=Tabla3[[#This Row],[long]]),"si","no")</f>
        <v>si</v>
      </c>
    </row>
    <row r="578" spans="2:26" ht="15.75" x14ac:dyDescent="0.25">
      <c r="B578" t="s">
        <v>580</v>
      </c>
      <c r="C578" t="s">
        <v>579</v>
      </c>
      <c r="D578" s="19">
        <v>83.74</v>
      </c>
      <c r="E578" s="3" t="s">
        <v>55</v>
      </c>
      <c r="F578" s="3" t="s">
        <v>26</v>
      </c>
      <c r="G578" s="8" t="s">
        <v>57</v>
      </c>
      <c r="H578" s="4" t="s">
        <v>55</v>
      </c>
      <c r="I578" s="5">
        <v>1</v>
      </c>
      <c r="J578" s="8" t="s">
        <v>32</v>
      </c>
      <c r="K578" s="4" t="s">
        <v>55</v>
      </c>
      <c r="L578" s="5">
        <v>1</v>
      </c>
      <c r="M578" s="8"/>
      <c r="N578" s="4"/>
      <c r="O578" s="5"/>
      <c r="P578" s="8"/>
      <c r="Q578" s="4"/>
      <c r="R578" s="5"/>
      <c r="W578" s="67" t="s">
        <v>580</v>
      </c>
      <c r="X578" s="68" t="s">
        <v>579</v>
      </c>
      <c r="Y578" s="69">
        <v>83.74</v>
      </c>
      <c r="Z578" t="str">
        <f>IF(AND(Tabla1[[#This Row],[nudo inicial]]=Tabla3[[#This Row],[n1]],Tabla1[[#This Row],[nudo final]]=Tabla3[[#This Row],[n2]],Tabla1[[#This Row],[longitud]]=Tabla3[[#This Row],[long]]),"si","no")</f>
        <v>si</v>
      </c>
    </row>
    <row r="579" spans="2:26" ht="15.75" x14ac:dyDescent="0.25">
      <c r="B579" t="s">
        <v>579</v>
      </c>
      <c r="C579" t="s">
        <v>582</v>
      </c>
      <c r="D579" s="19">
        <v>50.45</v>
      </c>
      <c r="E579" s="3" t="s">
        <v>23</v>
      </c>
      <c r="F579" s="3" t="s">
        <v>26</v>
      </c>
      <c r="G579" s="8" t="s">
        <v>536</v>
      </c>
      <c r="H579" s="4" t="s">
        <v>55</v>
      </c>
      <c r="I579" s="5">
        <v>1</v>
      </c>
      <c r="J579" s="8" t="s">
        <v>15</v>
      </c>
      <c r="K579" s="4" t="s">
        <v>23</v>
      </c>
      <c r="L579" s="5">
        <v>1</v>
      </c>
      <c r="M579" s="8"/>
      <c r="N579" s="4"/>
      <c r="O579" s="5"/>
      <c r="P579" s="8"/>
      <c r="Q579" s="4"/>
      <c r="R579" s="5"/>
      <c r="W579" s="67" t="s">
        <v>579</v>
      </c>
      <c r="X579" s="68" t="s">
        <v>582</v>
      </c>
      <c r="Y579" s="69">
        <v>50.45</v>
      </c>
      <c r="Z579" t="str">
        <f>IF(AND(Tabla1[[#This Row],[nudo inicial]]=Tabla3[[#This Row],[n1]],Tabla1[[#This Row],[nudo final]]=Tabla3[[#This Row],[n2]],Tabla1[[#This Row],[longitud]]=Tabla3[[#This Row],[long]]),"si","no")</f>
        <v>si</v>
      </c>
    </row>
    <row r="580" spans="2:26" ht="15.75" x14ac:dyDescent="0.25">
      <c r="B580" t="s">
        <v>582</v>
      </c>
      <c r="C580" t="s">
        <v>583</v>
      </c>
      <c r="D580" s="19">
        <v>99.84</v>
      </c>
      <c r="E580" s="3" t="s">
        <v>53</v>
      </c>
      <c r="F580" s="3" t="s">
        <v>25</v>
      </c>
      <c r="G580" s="8" t="s">
        <v>58</v>
      </c>
      <c r="H580" s="4" t="s">
        <v>23</v>
      </c>
      <c r="I580" s="5">
        <v>1</v>
      </c>
      <c r="J580" s="8" t="s">
        <v>15</v>
      </c>
      <c r="K580" s="4" t="s">
        <v>53</v>
      </c>
      <c r="L580" s="5">
        <v>1</v>
      </c>
      <c r="M580" s="8" t="s">
        <v>32</v>
      </c>
      <c r="N580" s="4" t="s">
        <v>53</v>
      </c>
      <c r="O580" s="5">
        <v>1</v>
      </c>
      <c r="P580" s="8" t="s">
        <v>16</v>
      </c>
      <c r="Q580" s="4" t="s">
        <v>53</v>
      </c>
      <c r="R580" s="5">
        <v>1</v>
      </c>
      <c r="S580" t="s">
        <v>17</v>
      </c>
      <c r="T580" t="s">
        <v>53</v>
      </c>
      <c r="U580">
        <v>1</v>
      </c>
      <c r="W580" s="67" t="s">
        <v>582</v>
      </c>
      <c r="X580" s="68" t="s">
        <v>583</v>
      </c>
      <c r="Y580" s="69">
        <v>99.84</v>
      </c>
      <c r="Z580" t="str">
        <f>IF(AND(Tabla1[[#This Row],[nudo inicial]]=Tabla3[[#This Row],[n1]],Tabla1[[#This Row],[nudo final]]=Tabla3[[#This Row],[n2]],Tabla1[[#This Row],[longitud]]=Tabla3[[#This Row],[long]]),"si","no")</f>
        <v>si</v>
      </c>
    </row>
    <row r="581" spans="2:26" ht="30" x14ac:dyDescent="0.25">
      <c r="B581" t="s">
        <v>582</v>
      </c>
      <c r="C581" t="s">
        <v>584</v>
      </c>
      <c r="D581" s="19">
        <v>89.23</v>
      </c>
      <c r="E581" s="3" t="s">
        <v>23</v>
      </c>
      <c r="F581" s="3" t="s">
        <v>26</v>
      </c>
      <c r="G581" s="8" t="s">
        <v>57</v>
      </c>
      <c r="H581" s="4" t="s">
        <v>23</v>
      </c>
      <c r="I581" s="5">
        <v>1</v>
      </c>
      <c r="J581" s="8" t="s">
        <v>33</v>
      </c>
      <c r="K581" s="4"/>
      <c r="L581" s="5">
        <v>1</v>
      </c>
      <c r="M581" s="8" t="s">
        <v>6</v>
      </c>
      <c r="N581" s="4" t="s">
        <v>55</v>
      </c>
      <c r="O581" s="5">
        <v>1</v>
      </c>
      <c r="P581" s="8"/>
      <c r="Q581" s="4"/>
      <c r="R581" s="5"/>
      <c r="W581" s="67" t="s">
        <v>582</v>
      </c>
      <c r="X581" s="68" t="s">
        <v>584</v>
      </c>
      <c r="Y581" s="69">
        <v>89.23</v>
      </c>
      <c r="Z581" t="str">
        <f>IF(AND(Tabla1[[#This Row],[nudo inicial]]=Tabla3[[#This Row],[n1]],Tabla1[[#This Row],[nudo final]]=Tabla3[[#This Row],[n2]],Tabla1[[#This Row],[longitud]]=Tabla3[[#This Row],[long]]),"si","no")</f>
        <v>si</v>
      </c>
    </row>
    <row r="582" spans="2:26" ht="15.75" x14ac:dyDescent="0.25">
      <c r="B582" t="s">
        <v>574</v>
      </c>
      <c r="C582" t="s">
        <v>584</v>
      </c>
      <c r="D582" s="19">
        <v>145.32</v>
      </c>
      <c r="E582" s="3" t="s">
        <v>23</v>
      </c>
      <c r="F582" s="3" t="s">
        <v>26</v>
      </c>
      <c r="G582" s="8" t="s">
        <v>536</v>
      </c>
      <c r="H582" s="4" t="s">
        <v>126</v>
      </c>
      <c r="I582" s="5">
        <v>1</v>
      </c>
      <c r="J582" s="8" t="s">
        <v>15</v>
      </c>
      <c r="K582" s="4" t="s">
        <v>23</v>
      </c>
      <c r="L582" s="5">
        <v>2</v>
      </c>
      <c r="M582" s="8" t="s">
        <v>32</v>
      </c>
      <c r="N582" s="4" t="s">
        <v>23</v>
      </c>
      <c r="O582" s="5"/>
      <c r="P582" s="8"/>
      <c r="Q582" s="4"/>
      <c r="R582" s="5"/>
      <c r="W582" s="67" t="s">
        <v>574</v>
      </c>
      <c r="X582" s="68" t="s">
        <v>584</v>
      </c>
      <c r="Y582" s="69">
        <v>145.32</v>
      </c>
      <c r="Z582" t="str">
        <f>IF(AND(Tabla1[[#This Row],[nudo inicial]]=Tabla3[[#This Row],[n1]],Tabla1[[#This Row],[nudo final]]=Tabla3[[#This Row],[n2]],Tabla1[[#This Row],[longitud]]=Tabla3[[#This Row],[long]]),"si","no")</f>
        <v>si</v>
      </c>
    </row>
    <row r="583" spans="2:26" ht="15.75" x14ac:dyDescent="0.25">
      <c r="B583" t="s">
        <v>579</v>
      </c>
      <c r="C583" t="s">
        <v>475</v>
      </c>
      <c r="D583" s="19">
        <v>139.82</v>
      </c>
      <c r="E583" s="3" t="s">
        <v>55</v>
      </c>
      <c r="F583" s="3" t="s">
        <v>26</v>
      </c>
      <c r="G583" s="8" t="s">
        <v>536</v>
      </c>
      <c r="H583" s="4" t="s">
        <v>55</v>
      </c>
      <c r="I583" s="5">
        <v>1</v>
      </c>
      <c r="J583" s="8" t="s">
        <v>32</v>
      </c>
      <c r="K583" s="4" t="s">
        <v>55</v>
      </c>
      <c r="L583" s="5">
        <v>1</v>
      </c>
      <c r="M583" s="8"/>
      <c r="N583" s="4"/>
      <c r="O583" s="5"/>
      <c r="P583" s="8"/>
      <c r="Q583" s="4"/>
      <c r="R583" s="5"/>
      <c r="W583" s="67" t="s">
        <v>579</v>
      </c>
      <c r="X583" s="68" t="s">
        <v>475</v>
      </c>
      <c r="Y583" s="69">
        <v>139.82</v>
      </c>
      <c r="Z583" t="str">
        <f>IF(AND(Tabla1[[#This Row],[nudo inicial]]=Tabla3[[#This Row],[n1]],Tabla1[[#This Row],[nudo final]]=Tabla3[[#This Row],[n2]],Tabla1[[#This Row],[longitud]]=Tabla3[[#This Row],[long]]),"si","no")</f>
        <v>si</v>
      </c>
    </row>
    <row r="584" spans="2:26" ht="15.75" x14ac:dyDescent="0.25">
      <c r="B584" t="s">
        <v>475</v>
      </c>
      <c r="C584" t="s">
        <v>585</v>
      </c>
      <c r="D584" s="19">
        <v>122.96</v>
      </c>
      <c r="E584" s="3" t="s">
        <v>55</v>
      </c>
      <c r="F584" s="3" t="s">
        <v>26</v>
      </c>
      <c r="G584" s="8" t="s">
        <v>58</v>
      </c>
      <c r="H584" s="4" t="s">
        <v>55</v>
      </c>
      <c r="I584" s="5">
        <v>1</v>
      </c>
      <c r="J584" s="8"/>
      <c r="K584" s="4"/>
      <c r="L584" s="5"/>
      <c r="M584" s="8"/>
      <c r="N584" s="4"/>
      <c r="O584" s="5"/>
      <c r="P584" s="8"/>
      <c r="Q584" s="4"/>
      <c r="R584" s="5"/>
      <c r="W584" s="67" t="s">
        <v>475</v>
      </c>
      <c r="X584" s="68" t="s">
        <v>585</v>
      </c>
      <c r="Y584" s="69">
        <v>122.96</v>
      </c>
      <c r="Z584" t="str">
        <f>IF(AND(Tabla1[[#This Row],[nudo inicial]]=Tabla3[[#This Row],[n1]],Tabla1[[#This Row],[nudo final]]=Tabla3[[#This Row],[n2]],Tabla1[[#This Row],[longitud]]=Tabla3[[#This Row],[long]]),"si","no")</f>
        <v>si</v>
      </c>
    </row>
    <row r="585" spans="2:26" ht="15.75" x14ac:dyDescent="0.25">
      <c r="B585" t="s">
        <v>584</v>
      </c>
      <c r="C585" t="s">
        <v>585</v>
      </c>
      <c r="D585" s="19">
        <v>136.38</v>
      </c>
      <c r="E585" s="3" t="s">
        <v>55</v>
      </c>
      <c r="F585" s="3" t="s">
        <v>26</v>
      </c>
      <c r="G585" s="8" t="s">
        <v>536</v>
      </c>
      <c r="H585" s="4" t="s">
        <v>55</v>
      </c>
      <c r="I585" s="5">
        <v>1</v>
      </c>
      <c r="J585" s="8" t="s">
        <v>32</v>
      </c>
      <c r="K585" s="4" t="s">
        <v>55</v>
      </c>
      <c r="L585" s="5">
        <v>1</v>
      </c>
      <c r="M585" s="8"/>
      <c r="N585" s="4"/>
      <c r="O585" s="5"/>
      <c r="P585" s="8"/>
      <c r="Q585" s="4"/>
      <c r="R585" s="5"/>
      <c r="W585" s="67" t="s">
        <v>584</v>
      </c>
      <c r="X585" s="68" t="s">
        <v>585</v>
      </c>
      <c r="Y585" s="69">
        <v>136.38</v>
      </c>
      <c r="Z585" t="str">
        <f>IF(AND(Tabla1[[#This Row],[nudo inicial]]=Tabla3[[#This Row],[n1]],Tabla1[[#This Row],[nudo final]]=Tabla3[[#This Row],[n2]],Tabla1[[#This Row],[longitud]]=Tabla3[[#This Row],[long]]),"si","no")</f>
        <v>si</v>
      </c>
    </row>
    <row r="586" spans="2:26" ht="15.75" x14ac:dyDescent="0.25">
      <c r="B586" t="s">
        <v>585</v>
      </c>
      <c r="C586" t="s">
        <v>586</v>
      </c>
      <c r="D586" s="19">
        <v>60.3</v>
      </c>
      <c r="E586" s="3" t="s">
        <v>55</v>
      </c>
      <c r="F586" s="3" t="s">
        <v>26</v>
      </c>
      <c r="G586" s="8" t="s">
        <v>536</v>
      </c>
      <c r="H586" s="4" t="s">
        <v>55</v>
      </c>
      <c r="I586" s="5">
        <v>1</v>
      </c>
      <c r="J586" s="8"/>
      <c r="K586" s="4"/>
      <c r="L586" s="5"/>
      <c r="M586" s="8"/>
      <c r="N586" s="4"/>
      <c r="O586" s="5"/>
      <c r="P586" s="8"/>
      <c r="Q586" s="4"/>
      <c r="R586" s="5"/>
      <c r="W586" s="67" t="s">
        <v>585</v>
      </c>
      <c r="X586" s="68" t="s">
        <v>586</v>
      </c>
      <c r="Y586" s="69">
        <v>60.3</v>
      </c>
      <c r="Z586" t="str">
        <f>IF(AND(Tabla1[[#This Row],[nudo inicial]]=Tabla3[[#This Row],[n1]],Tabla1[[#This Row],[nudo final]]=Tabla3[[#This Row],[n2]],Tabla1[[#This Row],[longitud]]=Tabla3[[#This Row],[long]]),"si","no")</f>
        <v>si</v>
      </c>
    </row>
    <row r="587" spans="2:26" ht="15.75" x14ac:dyDescent="0.25">
      <c r="B587" t="s">
        <v>586</v>
      </c>
      <c r="C587" t="s">
        <v>587</v>
      </c>
      <c r="D587" s="19">
        <v>18</v>
      </c>
      <c r="E587" s="3" t="s">
        <v>23</v>
      </c>
      <c r="F587" s="3" t="s">
        <v>26</v>
      </c>
      <c r="G587" s="8" t="s">
        <v>15</v>
      </c>
      <c r="H587" s="4" t="s">
        <v>23</v>
      </c>
      <c r="I587" s="5">
        <v>1</v>
      </c>
      <c r="J587" s="8" t="s">
        <v>32</v>
      </c>
      <c r="K587" s="4" t="s">
        <v>23</v>
      </c>
      <c r="L587" s="5">
        <v>1</v>
      </c>
      <c r="M587" s="8"/>
      <c r="N587" s="4"/>
      <c r="O587" s="5"/>
      <c r="P587" s="8"/>
      <c r="Q587" s="4"/>
      <c r="R587" s="5"/>
      <c r="W587" s="67" t="s">
        <v>586</v>
      </c>
      <c r="X587" s="68" t="s">
        <v>587</v>
      </c>
      <c r="Y587" s="69">
        <v>18</v>
      </c>
      <c r="Z587" t="str">
        <f>IF(AND(Tabla1[[#This Row],[nudo inicial]]=Tabla3[[#This Row],[n1]],Tabla1[[#This Row],[nudo final]]=Tabla3[[#This Row],[n2]],Tabla1[[#This Row],[longitud]]=Tabla3[[#This Row],[long]]),"si","no")</f>
        <v>si</v>
      </c>
    </row>
    <row r="588" spans="2:26" ht="30" x14ac:dyDescent="0.25">
      <c r="B588" t="s">
        <v>587</v>
      </c>
      <c r="C588" t="s">
        <v>588</v>
      </c>
      <c r="D588" s="19">
        <v>50.77</v>
      </c>
      <c r="E588" s="3" t="s">
        <v>23</v>
      </c>
      <c r="F588" s="3" t="s">
        <v>26</v>
      </c>
      <c r="G588" s="8" t="s">
        <v>57</v>
      </c>
      <c r="H588" s="4" t="s">
        <v>23</v>
      </c>
      <c r="I588" s="5">
        <v>1</v>
      </c>
      <c r="J588" s="8" t="s">
        <v>33</v>
      </c>
      <c r="K588" s="4"/>
      <c r="L588" s="5">
        <v>1</v>
      </c>
      <c r="M588" s="8"/>
      <c r="N588" s="4"/>
      <c r="O588" s="5"/>
      <c r="P588" s="8"/>
      <c r="Q588" s="4"/>
      <c r="R588" s="5"/>
      <c r="W588" s="67" t="s">
        <v>587</v>
      </c>
      <c r="X588" s="68" t="s">
        <v>588</v>
      </c>
      <c r="Y588" s="69">
        <v>50.77</v>
      </c>
      <c r="Z588" t="str">
        <f>IF(AND(Tabla1[[#This Row],[nudo inicial]]=Tabla3[[#This Row],[n1]],Tabla1[[#This Row],[nudo final]]=Tabla3[[#This Row],[n2]],Tabla1[[#This Row],[longitud]]=Tabla3[[#This Row],[long]]),"si","no")</f>
        <v>si</v>
      </c>
    </row>
    <row r="589" spans="2:26" ht="15.75" x14ac:dyDescent="0.25">
      <c r="B589" t="s">
        <v>588</v>
      </c>
      <c r="C589" t="s">
        <v>589</v>
      </c>
      <c r="D589" s="19">
        <v>55.38</v>
      </c>
      <c r="E589" s="3" t="s">
        <v>53</v>
      </c>
      <c r="F589" s="3" t="s">
        <v>25</v>
      </c>
      <c r="G589" s="8" t="s">
        <v>58</v>
      </c>
      <c r="H589" s="4" t="s">
        <v>23</v>
      </c>
      <c r="I589" s="5">
        <v>1</v>
      </c>
      <c r="J589" s="8" t="s">
        <v>15</v>
      </c>
      <c r="K589" s="4" t="s">
        <v>53</v>
      </c>
      <c r="L589" s="5">
        <v>1</v>
      </c>
      <c r="M589" s="8" t="s">
        <v>17</v>
      </c>
      <c r="N589" s="4" t="s">
        <v>53</v>
      </c>
      <c r="O589" s="5">
        <v>1</v>
      </c>
      <c r="P589" s="8"/>
      <c r="Q589" s="4"/>
      <c r="R589" s="5"/>
      <c r="W589" s="67" t="s">
        <v>588</v>
      </c>
      <c r="X589" s="68" t="s">
        <v>589</v>
      </c>
      <c r="Y589" s="69">
        <v>55.38</v>
      </c>
      <c r="Z589" t="str">
        <f>IF(AND(Tabla1[[#This Row],[nudo inicial]]=Tabla3[[#This Row],[n1]],Tabla1[[#This Row],[nudo final]]=Tabla3[[#This Row],[n2]],Tabla1[[#This Row],[longitud]]=Tabla3[[#This Row],[long]]),"si","no")</f>
        <v>si</v>
      </c>
    </row>
    <row r="590" spans="2:26" ht="15.75" x14ac:dyDescent="0.25">
      <c r="B590" t="s">
        <v>588</v>
      </c>
      <c r="C590" t="s">
        <v>590</v>
      </c>
      <c r="D590" s="19">
        <v>156.28</v>
      </c>
      <c r="E590" s="3" t="s">
        <v>53</v>
      </c>
      <c r="F590" s="3" t="s">
        <v>25</v>
      </c>
      <c r="G590" s="8" t="s">
        <v>58</v>
      </c>
      <c r="H590" s="4" t="s">
        <v>23</v>
      </c>
      <c r="I590" s="5">
        <v>1</v>
      </c>
      <c r="J590" s="8" t="s">
        <v>15</v>
      </c>
      <c r="K590" s="4" t="s">
        <v>53</v>
      </c>
      <c r="L590" s="5">
        <v>1</v>
      </c>
      <c r="M590" s="8" t="s">
        <v>17</v>
      </c>
      <c r="N590" s="4" t="s">
        <v>53</v>
      </c>
      <c r="O590" s="5">
        <v>1</v>
      </c>
      <c r="P590" s="8"/>
      <c r="Q590" s="4"/>
      <c r="R590" s="5"/>
      <c r="W590" s="67" t="s">
        <v>588</v>
      </c>
      <c r="X590" s="68" t="s">
        <v>590</v>
      </c>
      <c r="Y590" s="69">
        <v>156.28</v>
      </c>
      <c r="Z590" t="str">
        <f>IF(AND(Tabla1[[#This Row],[nudo inicial]]=Tabla3[[#This Row],[n1]],Tabla1[[#This Row],[nudo final]]=Tabla3[[#This Row],[n2]],Tabla1[[#This Row],[longitud]]=Tabla3[[#This Row],[long]]),"si","no")</f>
        <v>si</v>
      </c>
    </row>
    <row r="591" spans="2:26" ht="15.75" x14ac:dyDescent="0.25">
      <c r="B591" t="s">
        <v>587</v>
      </c>
      <c r="C591" t="s">
        <v>591</v>
      </c>
      <c r="D591" s="19">
        <v>160.62</v>
      </c>
      <c r="E591" s="3" t="s">
        <v>23</v>
      </c>
      <c r="F591" s="3" t="s">
        <v>26</v>
      </c>
      <c r="G591" s="8" t="s">
        <v>58</v>
      </c>
      <c r="H591" s="4" t="s">
        <v>23</v>
      </c>
      <c r="I591" s="5">
        <v>1</v>
      </c>
      <c r="J591" s="8" t="s">
        <v>32</v>
      </c>
      <c r="K591" s="4" t="s">
        <v>23</v>
      </c>
      <c r="L591" s="5">
        <v>1</v>
      </c>
      <c r="M591" s="8"/>
      <c r="N591" s="4"/>
      <c r="O591" s="5"/>
      <c r="P591" s="8"/>
      <c r="Q591" s="4"/>
      <c r="R591" s="5"/>
      <c r="W591" s="67" t="s">
        <v>587</v>
      </c>
      <c r="X591" s="68" t="s">
        <v>591</v>
      </c>
      <c r="Y591" s="69">
        <v>160.62</v>
      </c>
      <c r="Z591" t="str">
        <f>IF(AND(Tabla1[[#This Row],[nudo inicial]]=Tabla3[[#This Row],[n1]],Tabla1[[#This Row],[nudo final]]=Tabla3[[#This Row],[n2]],Tabla1[[#This Row],[longitud]]=Tabla3[[#This Row],[long]]),"si","no")</f>
        <v>si</v>
      </c>
    </row>
    <row r="592" spans="2:26" ht="15.75" x14ac:dyDescent="0.25">
      <c r="B592" t="s">
        <v>591</v>
      </c>
      <c r="C592" t="s">
        <v>592</v>
      </c>
      <c r="D592" s="19">
        <v>9.08</v>
      </c>
      <c r="E592" s="3" t="s">
        <v>23</v>
      </c>
      <c r="F592" s="3" t="s">
        <v>26</v>
      </c>
      <c r="G592" s="8" t="s">
        <v>58</v>
      </c>
      <c r="H592" s="4" t="s">
        <v>23</v>
      </c>
      <c r="I592" s="5">
        <v>1</v>
      </c>
      <c r="J592" s="8"/>
      <c r="K592" s="4"/>
      <c r="L592" s="5"/>
      <c r="M592" s="8"/>
      <c r="N592" s="4"/>
      <c r="O592" s="5"/>
      <c r="P592" s="8"/>
      <c r="Q592" s="4"/>
      <c r="R592" s="5"/>
      <c r="W592" s="67" t="s">
        <v>591</v>
      </c>
      <c r="X592" s="68" t="s">
        <v>592</v>
      </c>
      <c r="Y592" s="69">
        <v>9.08</v>
      </c>
      <c r="Z592" t="str">
        <f>IF(AND(Tabla1[[#This Row],[nudo inicial]]=Tabla3[[#This Row],[n1]],Tabla1[[#This Row],[nudo final]]=Tabla3[[#This Row],[n2]],Tabla1[[#This Row],[longitud]]=Tabla3[[#This Row],[long]]),"si","no")</f>
        <v>si</v>
      </c>
    </row>
    <row r="593" spans="2:26" ht="15.75" x14ac:dyDescent="0.25">
      <c r="B593" t="s">
        <v>592</v>
      </c>
      <c r="C593" t="s">
        <v>593</v>
      </c>
      <c r="D593" s="19">
        <v>35.58</v>
      </c>
      <c r="E593" s="3" t="s">
        <v>23</v>
      </c>
      <c r="F593" s="3" t="s">
        <v>27</v>
      </c>
      <c r="G593" s="8" t="s">
        <v>57</v>
      </c>
      <c r="H593" s="4" t="s">
        <v>23</v>
      </c>
      <c r="I593" s="5">
        <v>1</v>
      </c>
      <c r="J593" s="8" t="s">
        <v>15</v>
      </c>
      <c r="K593" s="4" t="s">
        <v>53</v>
      </c>
      <c r="L593" s="5">
        <v>1</v>
      </c>
      <c r="M593" s="8" t="s">
        <v>17</v>
      </c>
      <c r="N593" s="4" t="s">
        <v>53</v>
      </c>
      <c r="O593" s="5">
        <v>1</v>
      </c>
      <c r="P593" s="8"/>
      <c r="Q593" s="4"/>
      <c r="R593" s="5"/>
      <c r="W593" s="67" t="s">
        <v>592</v>
      </c>
      <c r="X593" s="68" t="s">
        <v>593</v>
      </c>
      <c r="Y593" s="69">
        <v>35.58</v>
      </c>
      <c r="Z593" t="str">
        <f>IF(AND(Tabla1[[#This Row],[nudo inicial]]=Tabla3[[#This Row],[n1]],Tabla1[[#This Row],[nudo final]]=Tabla3[[#This Row],[n2]],Tabla1[[#This Row],[longitud]]=Tabla3[[#This Row],[long]]),"si","no")</f>
        <v>si</v>
      </c>
    </row>
    <row r="594" spans="2:26" ht="15.75" x14ac:dyDescent="0.25">
      <c r="B594" t="s">
        <v>591</v>
      </c>
      <c r="C594" t="s">
        <v>594</v>
      </c>
      <c r="D594" s="19">
        <v>166.52</v>
      </c>
      <c r="E594" s="3" t="s">
        <v>23</v>
      </c>
      <c r="F594" s="3" t="s">
        <v>26</v>
      </c>
      <c r="G594" s="8" t="s">
        <v>58</v>
      </c>
      <c r="H594" s="4" t="s">
        <v>23</v>
      </c>
      <c r="I594" s="5">
        <v>1</v>
      </c>
      <c r="J594" s="8" t="s">
        <v>6</v>
      </c>
      <c r="K594" s="4" t="s">
        <v>55</v>
      </c>
      <c r="L594" s="5">
        <v>1</v>
      </c>
      <c r="M594" s="8"/>
      <c r="N594" s="4"/>
      <c r="O594" s="5"/>
      <c r="P594" s="8"/>
      <c r="Q594" s="4"/>
      <c r="R594" s="5"/>
      <c r="W594" s="67" t="s">
        <v>591</v>
      </c>
      <c r="X594" s="68" t="s">
        <v>594</v>
      </c>
      <c r="Y594" s="69">
        <v>166.52</v>
      </c>
      <c r="Z594" t="str">
        <f>IF(AND(Tabla1[[#This Row],[nudo inicial]]=Tabla3[[#This Row],[n1]],Tabla1[[#This Row],[nudo final]]=Tabla3[[#This Row],[n2]],Tabla1[[#This Row],[longitud]]=Tabla3[[#This Row],[long]]),"si","no")</f>
        <v>si</v>
      </c>
    </row>
    <row r="595" spans="2:26" ht="15.75" x14ac:dyDescent="0.25">
      <c r="B595" t="s">
        <v>585</v>
      </c>
      <c r="C595" t="s">
        <v>594</v>
      </c>
      <c r="D595" s="19">
        <v>134.69999999999999</v>
      </c>
      <c r="E595" s="3" t="s">
        <v>55</v>
      </c>
      <c r="F595" s="3" t="s">
        <v>26</v>
      </c>
      <c r="G595" s="8" t="s">
        <v>536</v>
      </c>
      <c r="H595" s="4" t="s">
        <v>55</v>
      </c>
      <c r="I595" s="5">
        <v>1</v>
      </c>
      <c r="J595" s="8" t="s">
        <v>32</v>
      </c>
      <c r="K595" s="4" t="s">
        <v>55</v>
      </c>
      <c r="L595" s="5">
        <v>1</v>
      </c>
      <c r="M595" s="8"/>
      <c r="N595" s="4"/>
      <c r="O595" s="5"/>
      <c r="P595" s="8"/>
      <c r="Q595" s="4"/>
      <c r="R595" s="5"/>
      <c r="W595" s="67" t="s">
        <v>585</v>
      </c>
      <c r="X595" s="68" t="s">
        <v>594</v>
      </c>
      <c r="Y595" s="69">
        <v>134.69999999999999</v>
      </c>
      <c r="Z595" t="str">
        <f>IF(AND(Tabla1[[#This Row],[nudo inicial]]=Tabla3[[#This Row],[n1]],Tabla1[[#This Row],[nudo final]]=Tabla3[[#This Row],[n2]],Tabla1[[#This Row],[longitud]]=Tabla3[[#This Row],[long]]),"si","no")</f>
        <v>si</v>
      </c>
    </row>
    <row r="596" spans="2:26" ht="15.75" x14ac:dyDescent="0.25">
      <c r="B596" t="s">
        <v>594</v>
      </c>
      <c r="C596" t="s">
        <v>595</v>
      </c>
      <c r="D596" s="19">
        <v>137.05000000000001</v>
      </c>
      <c r="E596" s="3" t="s">
        <v>23</v>
      </c>
      <c r="F596" s="3" t="s">
        <v>26</v>
      </c>
      <c r="G596" s="8" t="s">
        <v>536</v>
      </c>
      <c r="H596" s="4" t="s">
        <v>55</v>
      </c>
      <c r="I596" s="5">
        <v>1</v>
      </c>
      <c r="J596" s="8" t="s">
        <v>15</v>
      </c>
      <c r="K596" s="4" t="s">
        <v>23</v>
      </c>
      <c r="L596" s="5">
        <v>1</v>
      </c>
      <c r="M596" s="8" t="s">
        <v>32</v>
      </c>
      <c r="N596" s="4" t="s">
        <v>23</v>
      </c>
      <c r="O596" s="5">
        <v>1</v>
      </c>
      <c r="P596" s="8"/>
      <c r="Q596" s="4"/>
      <c r="R596" s="5"/>
      <c r="W596" s="67" t="s">
        <v>594</v>
      </c>
      <c r="X596" s="68" t="s">
        <v>595</v>
      </c>
      <c r="Y596" s="69">
        <v>137.05000000000001</v>
      </c>
      <c r="Z596" t="str">
        <f>IF(AND(Tabla1[[#This Row],[nudo inicial]]=Tabla3[[#This Row],[n1]],Tabla1[[#This Row],[nudo final]]=Tabla3[[#This Row],[n2]],Tabla1[[#This Row],[longitud]]=Tabla3[[#This Row],[long]]),"si","no")</f>
        <v>si</v>
      </c>
    </row>
    <row r="597" spans="2:26" ht="15.75" x14ac:dyDescent="0.25">
      <c r="B597" t="s">
        <v>584</v>
      </c>
      <c r="C597" t="s">
        <v>595</v>
      </c>
      <c r="D597" s="19">
        <v>135.47</v>
      </c>
      <c r="E597" s="3" t="s">
        <v>23</v>
      </c>
      <c r="F597" s="3" t="s">
        <v>25</v>
      </c>
      <c r="G597" s="8" t="s">
        <v>536</v>
      </c>
      <c r="H597" s="4" t="s">
        <v>55</v>
      </c>
      <c r="I597" s="5">
        <v>1</v>
      </c>
      <c r="J597" s="8" t="s">
        <v>15</v>
      </c>
      <c r="K597" s="4" t="s">
        <v>23</v>
      </c>
      <c r="L597" s="5">
        <v>1</v>
      </c>
      <c r="M597" s="8" t="s">
        <v>32</v>
      </c>
      <c r="N597" s="4" t="s">
        <v>23</v>
      </c>
      <c r="O597" s="5">
        <v>1</v>
      </c>
      <c r="P597" s="8"/>
      <c r="Q597" s="4"/>
      <c r="R597" s="5"/>
      <c r="W597" s="67" t="s">
        <v>584</v>
      </c>
      <c r="X597" s="68" t="s">
        <v>595</v>
      </c>
      <c r="Y597" s="69">
        <v>135.47</v>
      </c>
      <c r="Z597" t="str">
        <f>IF(AND(Tabla1[[#This Row],[nudo inicial]]=Tabla3[[#This Row],[n1]],Tabla1[[#This Row],[nudo final]]=Tabla3[[#This Row],[n2]],Tabla1[[#This Row],[longitud]]=Tabla3[[#This Row],[long]]),"si","no")</f>
        <v>si</v>
      </c>
    </row>
    <row r="598" spans="2:26" ht="15.75" x14ac:dyDescent="0.25">
      <c r="B598" t="s">
        <v>595</v>
      </c>
      <c r="C598" t="s">
        <v>596</v>
      </c>
      <c r="D598" s="19">
        <v>95.07</v>
      </c>
      <c r="E598" s="3" t="s">
        <v>23</v>
      </c>
      <c r="F598" s="3" t="s">
        <v>26</v>
      </c>
      <c r="G598" s="8" t="s">
        <v>536</v>
      </c>
      <c r="H598" s="4" t="s">
        <v>23</v>
      </c>
      <c r="I598" s="5">
        <v>1</v>
      </c>
      <c r="J598" s="8" t="s">
        <v>32</v>
      </c>
      <c r="K598" s="4" t="s">
        <v>23</v>
      </c>
      <c r="L598" s="5">
        <v>1</v>
      </c>
      <c r="M598" s="8"/>
      <c r="N598" s="4"/>
      <c r="O598" s="5"/>
      <c r="P598" s="8"/>
      <c r="Q598" s="4"/>
      <c r="R598" s="5"/>
      <c r="W598" s="67" t="s">
        <v>595</v>
      </c>
      <c r="X598" s="68" t="s">
        <v>596</v>
      </c>
      <c r="Y598" s="69">
        <v>95.07</v>
      </c>
      <c r="Z598" t="str">
        <f>IF(AND(Tabla1[[#This Row],[nudo inicial]]=Tabla3[[#This Row],[n1]],Tabla1[[#This Row],[nudo final]]=Tabla3[[#This Row],[n2]],Tabla1[[#This Row],[longitud]]=Tabla3[[#This Row],[long]]),"si","no")</f>
        <v>si</v>
      </c>
    </row>
    <row r="599" spans="2:26" ht="15.75" x14ac:dyDescent="0.25">
      <c r="B599" t="s">
        <v>596</v>
      </c>
      <c r="C599" t="s">
        <v>597</v>
      </c>
      <c r="D599" s="19">
        <v>71.959999999999994</v>
      </c>
      <c r="E599" s="3" t="s">
        <v>126</v>
      </c>
      <c r="F599" s="3" t="s">
        <v>26</v>
      </c>
      <c r="G599" s="8" t="s">
        <v>58</v>
      </c>
      <c r="H599" s="4" t="s">
        <v>23</v>
      </c>
      <c r="I599" s="5">
        <v>1</v>
      </c>
      <c r="J599" s="8" t="s">
        <v>6</v>
      </c>
      <c r="K599" s="4" t="s">
        <v>126</v>
      </c>
      <c r="L599" s="5">
        <v>1</v>
      </c>
      <c r="M599" s="8" t="s">
        <v>17</v>
      </c>
      <c r="N599" s="4" t="s">
        <v>126</v>
      </c>
      <c r="O599" s="5">
        <v>1</v>
      </c>
      <c r="P599" s="8"/>
      <c r="Q599" s="4"/>
      <c r="R599" s="5"/>
      <c r="W599" s="67" t="s">
        <v>596</v>
      </c>
      <c r="X599" s="68" t="s">
        <v>597</v>
      </c>
      <c r="Y599" s="69">
        <v>71.959999999999994</v>
      </c>
      <c r="Z599" t="str">
        <f>IF(AND(Tabla1[[#This Row],[nudo inicial]]=Tabla3[[#This Row],[n1]],Tabla1[[#This Row],[nudo final]]=Tabla3[[#This Row],[n2]],Tabla1[[#This Row],[longitud]]=Tabla3[[#This Row],[long]]),"si","no")</f>
        <v>si</v>
      </c>
    </row>
    <row r="600" spans="2:26" ht="30" x14ac:dyDescent="0.25">
      <c r="B600" t="s">
        <v>596</v>
      </c>
      <c r="C600" t="s">
        <v>598</v>
      </c>
      <c r="D600" s="19">
        <v>45.91</v>
      </c>
      <c r="E600" s="3" t="s">
        <v>23</v>
      </c>
      <c r="F600" s="3" t="s">
        <v>26</v>
      </c>
      <c r="G600" s="8" t="s">
        <v>57</v>
      </c>
      <c r="H600" s="4" t="s">
        <v>23</v>
      </c>
      <c r="I600" s="5">
        <v>1</v>
      </c>
      <c r="J600" s="8" t="s">
        <v>33</v>
      </c>
      <c r="K600" s="4"/>
      <c r="L600" s="5">
        <v>1</v>
      </c>
      <c r="M600" s="8" t="s">
        <v>6</v>
      </c>
      <c r="N600" s="4" t="s">
        <v>126</v>
      </c>
      <c r="O600" s="5">
        <v>1</v>
      </c>
      <c r="P600" s="8"/>
      <c r="Q600" s="4"/>
      <c r="R600" s="5"/>
      <c r="W600" s="67" t="s">
        <v>596</v>
      </c>
      <c r="X600" s="68" t="s">
        <v>598</v>
      </c>
      <c r="Y600" s="69">
        <v>45.91</v>
      </c>
      <c r="Z600" t="str">
        <f>IF(AND(Tabla1[[#This Row],[nudo inicial]]=Tabla3[[#This Row],[n1]],Tabla1[[#This Row],[nudo final]]=Tabla3[[#This Row],[n2]],Tabla1[[#This Row],[longitud]]=Tabla3[[#This Row],[long]]),"si","no")</f>
        <v>si</v>
      </c>
    </row>
    <row r="601" spans="2:26" ht="15.75" x14ac:dyDescent="0.25">
      <c r="B601" t="s">
        <v>574</v>
      </c>
      <c r="C601" t="s">
        <v>598</v>
      </c>
      <c r="D601" s="19">
        <v>133.57</v>
      </c>
      <c r="E601" s="3" t="s">
        <v>126</v>
      </c>
      <c r="F601" s="3" t="s">
        <v>26</v>
      </c>
      <c r="G601" s="8" t="s">
        <v>536</v>
      </c>
      <c r="H601" s="4" t="s">
        <v>126</v>
      </c>
      <c r="I601" s="5">
        <v>1</v>
      </c>
      <c r="J601" s="8" t="s">
        <v>18</v>
      </c>
      <c r="K601" s="4" t="s">
        <v>126</v>
      </c>
      <c r="L601" s="5">
        <v>1</v>
      </c>
      <c r="M601" s="8" t="s">
        <v>32</v>
      </c>
      <c r="N601" s="4" t="s">
        <v>126</v>
      </c>
      <c r="O601" s="5">
        <v>1</v>
      </c>
      <c r="P601" s="8"/>
      <c r="Q601" s="4"/>
      <c r="R601" s="5"/>
      <c r="W601" s="67" t="s">
        <v>574</v>
      </c>
      <c r="X601" s="68" t="s">
        <v>598</v>
      </c>
      <c r="Y601" s="69">
        <v>133.57</v>
      </c>
      <c r="Z601" t="str">
        <f>IF(AND(Tabla1[[#This Row],[nudo inicial]]=Tabla3[[#This Row],[n1]],Tabla1[[#This Row],[nudo final]]=Tabla3[[#This Row],[n2]],Tabla1[[#This Row],[longitud]]=Tabla3[[#This Row],[long]]),"si","no")</f>
        <v>si</v>
      </c>
    </row>
    <row r="602" spans="2:26" ht="15.75" x14ac:dyDescent="0.25">
      <c r="B602" t="s">
        <v>598</v>
      </c>
      <c r="C602" t="s">
        <v>599</v>
      </c>
      <c r="D602" s="19">
        <v>9.73</v>
      </c>
      <c r="E602" s="3" t="s">
        <v>23</v>
      </c>
      <c r="F602" s="3" t="s">
        <v>26</v>
      </c>
      <c r="G602" s="8" t="s">
        <v>536</v>
      </c>
      <c r="H602" s="4" t="s">
        <v>126</v>
      </c>
      <c r="I602" s="5">
        <v>1</v>
      </c>
      <c r="J602" s="8" t="s">
        <v>15</v>
      </c>
      <c r="K602" s="4" t="s">
        <v>23</v>
      </c>
      <c r="L602" s="5">
        <v>1</v>
      </c>
      <c r="M602" s="8"/>
      <c r="N602" s="4"/>
      <c r="O602" s="5"/>
      <c r="P602" s="8"/>
      <c r="Q602" s="4"/>
      <c r="R602" s="5"/>
      <c r="W602" s="67" t="s">
        <v>598</v>
      </c>
      <c r="X602" s="68" t="s">
        <v>599</v>
      </c>
      <c r="Y602" s="69">
        <v>9.73</v>
      </c>
      <c r="Z602" t="str">
        <f>IF(AND(Tabla1[[#This Row],[nudo inicial]]=Tabla3[[#This Row],[n1]],Tabla1[[#This Row],[nudo final]]=Tabla3[[#This Row],[n2]],Tabla1[[#This Row],[longitud]]=Tabla3[[#This Row],[long]]),"si","no")</f>
        <v>si</v>
      </c>
    </row>
    <row r="603" spans="2:26" ht="15.75" x14ac:dyDescent="0.25">
      <c r="B603" t="s">
        <v>599</v>
      </c>
      <c r="C603" t="s">
        <v>600</v>
      </c>
      <c r="D603" s="19">
        <v>134.91999999999999</v>
      </c>
      <c r="E603" s="3" t="s">
        <v>23</v>
      </c>
      <c r="F603" s="3" t="s">
        <v>25</v>
      </c>
      <c r="G603" s="8" t="s">
        <v>32</v>
      </c>
      <c r="H603" s="4" t="s">
        <v>23</v>
      </c>
      <c r="I603" s="5">
        <v>1</v>
      </c>
      <c r="J603" s="8" t="s">
        <v>6</v>
      </c>
      <c r="K603" s="4" t="s">
        <v>30</v>
      </c>
      <c r="L603" s="5">
        <v>1</v>
      </c>
      <c r="M603" s="8"/>
      <c r="N603" s="4"/>
      <c r="O603" s="5"/>
      <c r="P603" s="8"/>
      <c r="Q603" s="4"/>
      <c r="R603" s="5"/>
      <c r="W603" s="67" t="s">
        <v>599</v>
      </c>
      <c r="X603" s="68" t="s">
        <v>600</v>
      </c>
      <c r="Y603" s="69">
        <v>134.91999999999999</v>
      </c>
      <c r="Z603" t="str">
        <f>IF(AND(Tabla1[[#This Row],[nudo inicial]]=Tabla3[[#This Row],[n1]],Tabla1[[#This Row],[nudo final]]=Tabla3[[#This Row],[n2]],Tabla1[[#This Row],[longitud]]=Tabla3[[#This Row],[long]]),"si","no")</f>
        <v>si</v>
      </c>
    </row>
    <row r="604" spans="2:26" ht="15.75" x14ac:dyDescent="0.25">
      <c r="B604" t="s">
        <v>562</v>
      </c>
      <c r="C604" t="s">
        <v>600</v>
      </c>
      <c r="D604" s="19">
        <v>135.16</v>
      </c>
      <c r="E604" s="3" t="s">
        <v>30</v>
      </c>
      <c r="F604" s="3" t="s">
        <v>25</v>
      </c>
      <c r="G604" s="8" t="s">
        <v>536</v>
      </c>
      <c r="H604" s="4" t="s">
        <v>30</v>
      </c>
      <c r="I604" s="5">
        <v>1</v>
      </c>
      <c r="J604" s="8"/>
      <c r="K604" s="4"/>
      <c r="L604" s="5"/>
      <c r="M604" s="8"/>
      <c r="N604" s="4"/>
      <c r="O604" s="5"/>
      <c r="P604" s="8"/>
      <c r="Q604" s="4"/>
      <c r="R604" s="5"/>
      <c r="W604" s="67" t="s">
        <v>562</v>
      </c>
      <c r="X604" s="68" t="s">
        <v>600</v>
      </c>
      <c r="Y604" s="69">
        <v>135.16</v>
      </c>
      <c r="Z604" t="str">
        <f>IF(AND(Tabla1[[#This Row],[nudo inicial]]=Tabla3[[#This Row],[n1]],Tabla1[[#This Row],[nudo final]]=Tabla3[[#This Row],[n2]],Tabla1[[#This Row],[longitud]]=Tabla3[[#This Row],[long]]),"si","no")</f>
        <v>si</v>
      </c>
    </row>
    <row r="605" spans="2:26" ht="15.75" x14ac:dyDescent="0.25">
      <c r="B605" t="s">
        <v>600</v>
      </c>
      <c r="C605" t="s">
        <v>601</v>
      </c>
      <c r="D605" s="19">
        <v>72.75</v>
      </c>
      <c r="E605" s="3" t="s">
        <v>23</v>
      </c>
      <c r="F605" s="3" t="s">
        <v>26</v>
      </c>
      <c r="G605" s="8" t="s">
        <v>536</v>
      </c>
      <c r="H605" s="4" t="s">
        <v>30</v>
      </c>
      <c r="I605" s="5">
        <v>1</v>
      </c>
      <c r="J605" s="8" t="s">
        <v>15</v>
      </c>
      <c r="K605" s="4" t="s">
        <v>23</v>
      </c>
      <c r="L605" s="5">
        <v>1</v>
      </c>
      <c r="M605" s="8" t="s">
        <v>32</v>
      </c>
      <c r="N605" s="4" t="s">
        <v>23</v>
      </c>
      <c r="O605" s="5">
        <v>1</v>
      </c>
      <c r="P605" s="8"/>
      <c r="Q605" s="4"/>
      <c r="R605" s="5"/>
      <c r="W605" s="67" t="s">
        <v>600</v>
      </c>
      <c r="X605" s="68" t="s">
        <v>601</v>
      </c>
      <c r="Y605" s="69">
        <v>72.75</v>
      </c>
      <c r="Z605" t="str">
        <f>IF(AND(Tabla1[[#This Row],[nudo inicial]]=Tabla3[[#This Row],[n1]],Tabla1[[#This Row],[nudo final]]=Tabla3[[#This Row],[n2]],Tabla1[[#This Row],[longitud]]=Tabla3[[#This Row],[long]]),"si","no")</f>
        <v>si</v>
      </c>
    </row>
    <row r="606" spans="2:26" ht="15.75" x14ac:dyDescent="0.25">
      <c r="B606" t="s">
        <v>601</v>
      </c>
      <c r="C606" t="s">
        <v>602</v>
      </c>
      <c r="D606" s="19">
        <v>38.049999999999997</v>
      </c>
      <c r="E606" s="3" t="s">
        <v>53</v>
      </c>
      <c r="F606" s="3" t="s">
        <v>25</v>
      </c>
      <c r="G606" s="8" t="s">
        <v>58</v>
      </c>
      <c r="H606" s="4" t="s">
        <v>23</v>
      </c>
      <c r="I606" s="5">
        <v>1</v>
      </c>
      <c r="J606" s="8" t="s">
        <v>15</v>
      </c>
      <c r="K606" s="4" t="s">
        <v>53</v>
      </c>
      <c r="L606" s="5">
        <v>1</v>
      </c>
      <c r="M606" s="8" t="s">
        <v>17</v>
      </c>
      <c r="N606" s="4" t="s">
        <v>53</v>
      </c>
      <c r="O606" s="5">
        <v>1</v>
      </c>
      <c r="P606" s="8"/>
      <c r="Q606" s="4"/>
      <c r="R606" s="5"/>
      <c r="W606" s="67" t="s">
        <v>601</v>
      </c>
      <c r="X606" s="68" t="s">
        <v>602</v>
      </c>
      <c r="Y606" s="69">
        <v>38.049999999999997</v>
      </c>
      <c r="Z606" t="str">
        <f>IF(AND(Tabla1[[#This Row],[nudo inicial]]=Tabla3[[#This Row],[n1]],Tabla1[[#This Row],[nudo final]]=Tabla3[[#This Row],[n2]],Tabla1[[#This Row],[longitud]]=Tabla3[[#This Row],[long]]),"si","no")</f>
        <v>si</v>
      </c>
    </row>
    <row r="607" spans="2:26" ht="30" x14ac:dyDescent="0.25">
      <c r="B607" t="s">
        <v>601</v>
      </c>
      <c r="C607" t="s">
        <v>603</v>
      </c>
      <c r="D607" s="19">
        <v>78.930000000000007</v>
      </c>
      <c r="E607" s="3" t="s">
        <v>23</v>
      </c>
      <c r="F607" s="3" t="s">
        <v>26</v>
      </c>
      <c r="G607" s="8" t="s">
        <v>57</v>
      </c>
      <c r="H607" s="4" t="s">
        <v>23</v>
      </c>
      <c r="I607" s="5">
        <v>1</v>
      </c>
      <c r="J607" s="8" t="s">
        <v>34</v>
      </c>
      <c r="K607" s="4"/>
      <c r="L607" s="5">
        <v>1</v>
      </c>
      <c r="M607" s="8"/>
      <c r="N607" s="4"/>
      <c r="O607" s="5"/>
      <c r="P607" s="8"/>
      <c r="Q607" s="4"/>
      <c r="R607" s="5"/>
      <c r="W607" s="67" t="s">
        <v>601</v>
      </c>
      <c r="X607" s="68" t="s">
        <v>603</v>
      </c>
      <c r="Y607" s="69">
        <v>78.930000000000007</v>
      </c>
      <c r="Z607" t="str">
        <f>IF(AND(Tabla1[[#This Row],[nudo inicial]]=Tabla3[[#This Row],[n1]],Tabla1[[#This Row],[nudo final]]=Tabla3[[#This Row],[n2]],Tabla1[[#This Row],[longitud]]=Tabla3[[#This Row],[long]]),"si","no")</f>
        <v>si</v>
      </c>
    </row>
    <row r="608" spans="2:26" ht="15.75" x14ac:dyDescent="0.25">
      <c r="B608" t="s">
        <v>560</v>
      </c>
      <c r="C608" t="s">
        <v>603</v>
      </c>
      <c r="D608" s="19">
        <v>138.30000000000001</v>
      </c>
      <c r="E608" s="3" t="s">
        <v>23</v>
      </c>
      <c r="F608" s="3" t="s">
        <v>25</v>
      </c>
      <c r="G608" s="8" t="s">
        <v>536</v>
      </c>
      <c r="H608" s="4" t="s">
        <v>23</v>
      </c>
      <c r="I608" s="5">
        <v>1</v>
      </c>
      <c r="J608" s="8" t="s">
        <v>32</v>
      </c>
      <c r="K608" s="4" t="s">
        <v>23</v>
      </c>
      <c r="L608" s="5">
        <v>1</v>
      </c>
      <c r="M608" s="8"/>
      <c r="N608" s="4"/>
      <c r="O608" s="5"/>
      <c r="P608" s="8"/>
      <c r="Q608" s="4"/>
      <c r="R608" s="5"/>
      <c r="W608" s="67" t="s">
        <v>560</v>
      </c>
      <c r="X608" s="68" t="s">
        <v>603</v>
      </c>
      <c r="Y608" s="69">
        <v>138.30000000000001</v>
      </c>
      <c r="Z608" t="str">
        <f>IF(AND(Tabla1[[#This Row],[nudo inicial]]=Tabla3[[#This Row],[n1]],Tabla1[[#This Row],[nudo final]]=Tabla3[[#This Row],[n2]],Tabla1[[#This Row],[longitud]]=Tabla3[[#This Row],[long]]),"si","no")</f>
        <v>si</v>
      </c>
    </row>
    <row r="609" spans="1:26" ht="15.75" x14ac:dyDescent="0.25">
      <c r="B609" t="s">
        <v>603</v>
      </c>
      <c r="C609" t="s">
        <v>604</v>
      </c>
      <c r="D609" s="19">
        <v>67.86</v>
      </c>
      <c r="E609" s="3" t="s">
        <v>23</v>
      </c>
      <c r="F609" s="3" t="s">
        <v>26</v>
      </c>
      <c r="G609" s="8" t="s">
        <v>536</v>
      </c>
      <c r="H609" s="4" t="s">
        <v>23</v>
      </c>
      <c r="I609" s="5">
        <v>1</v>
      </c>
      <c r="J609" s="8" t="s">
        <v>32</v>
      </c>
      <c r="K609" s="4" t="s">
        <v>23</v>
      </c>
      <c r="L609" s="5">
        <v>1</v>
      </c>
      <c r="M609" s="8"/>
      <c r="N609" s="4"/>
      <c r="O609" s="5"/>
      <c r="P609" s="8"/>
      <c r="Q609" s="4"/>
      <c r="R609" s="5"/>
      <c r="W609" s="67" t="s">
        <v>603</v>
      </c>
      <c r="X609" s="68" t="s">
        <v>604</v>
      </c>
      <c r="Y609" s="69">
        <v>67.86</v>
      </c>
      <c r="Z609" t="str">
        <f>IF(AND(Tabla1[[#This Row],[nudo inicial]]=Tabla3[[#This Row],[n1]],Tabla1[[#This Row],[nudo final]]=Tabla3[[#This Row],[n2]],Tabla1[[#This Row],[longitud]]=Tabla3[[#This Row],[long]]),"si","no")</f>
        <v>si</v>
      </c>
    </row>
    <row r="610" spans="1:26" ht="15.75" x14ac:dyDescent="0.25">
      <c r="B610" t="s">
        <v>604</v>
      </c>
      <c r="C610" t="s">
        <v>605</v>
      </c>
      <c r="D610" s="19">
        <v>37.19</v>
      </c>
      <c r="E610" s="3" t="s">
        <v>23</v>
      </c>
      <c r="F610" s="3" t="s">
        <v>25</v>
      </c>
      <c r="G610" s="8" t="s">
        <v>58</v>
      </c>
      <c r="H610" s="4" t="s">
        <v>23</v>
      </c>
      <c r="I610" s="5">
        <v>1</v>
      </c>
      <c r="J610" s="8" t="s">
        <v>32</v>
      </c>
      <c r="K610" s="4" t="s">
        <v>23</v>
      </c>
      <c r="L610" s="5">
        <v>1</v>
      </c>
      <c r="M610" s="8" t="s">
        <v>17</v>
      </c>
      <c r="N610" s="4" t="s">
        <v>23</v>
      </c>
      <c r="O610" s="5">
        <v>1</v>
      </c>
      <c r="P610" s="8"/>
      <c r="Q610" s="4"/>
      <c r="R610" s="5"/>
      <c r="W610" s="67" t="s">
        <v>604</v>
      </c>
      <c r="X610" s="68" t="s">
        <v>605</v>
      </c>
      <c r="Y610" s="69">
        <v>37.19</v>
      </c>
      <c r="Z610" t="str">
        <f>IF(AND(Tabla1[[#This Row],[nudo inicial]]=Tabla3[[#This Row],[n1]],Tabla1[[#This Row],[nudo final]]=Tabla3[[#This Row],[n2]],Tabla1[[#This Row],[longitud]]=Tabla3[[#This Row],[long]]),"si","no")</f>
        <v>si</v>
      </c>
    </row>
    <row r="611" spans="1:26" ht="15.75" x14ac:dyDescent="0.25">
      <c r="B611" t="s">
        <v>604</v>
      </c>
      <c r="C611" t="s">
        <v>606</v>
      </c>
      <c r="D611" s="19">
        <v>66.37</v>
      </c>
      <c r="E611" s="3" t="s">
        <v>23</v>
      </c>
      <c r="F611" s="3" t="s">
        <v>26</v>
      </c>
      <c r="G611" s="8" t="s">
        <v>57</v>
      </c>
      <c r="H611" s="4" t="s">
        <v>23</v>
      </c>
      <c r="I611" s="5">
        <v>1</v>
      </c>
      <c r="J611" s="8"/>
      <c r="K611" s="4"/>
      <c r="L611" s="5"/>
      <c r="M611" s="8"/>
      <c r="N611" s="4"/>
      <c r="O611" s="5"/>
      <c r="P611" s="8"/>
      <c r="Q611" s="4"/>
      <c r="R611" s="5"/>
      <c r="W611" s="67" t="s">
        <v>604</v>
      </c>
      <c r="X611" s="68" t="s">
        <v>606</v>
      </c>
      <c r="Y611" s="69">
        <v>66.37</v>
      </c>
      <c r="Z611" t="str">
        <f>IF(AND(Tabla1[[#This Row],[nudo inicial]]=Tabla3[[#This Row],[n1]],Tabla1[[#This Row],[nudo final]]=Tabla3[[#This Row],[n2]],Tabla1[[#This Row],[longitud]]=Tabla3[[#This Row],[long]]),"si","no")</f>
        <v>si</v>
      </c>
    </row>
    <row r="612" spans="1:26" ht="15.75" x14ac:dyDescent="0.25">
      <c r="B612" t="s">
        <v>551</v>
      </c>
      <c r="C612" t="s">
        <v>606</v>
      </c>
      <c r="D612" s="19">
        <v>139.46</v>
      </c>
      <c r="E612" s="3" t="s">
        <v>23</v>
      </c>
      <c r="F612" s="3" t="s">
        <v>26</v>
      </c>
      <c r="G612" s="8" t="s">
        <v>536</v>
      </c>
      <c r="H612" s="4" t="s">
        <v>23</v>
      </c>
      <c r="I612" s="5">
        <v>1</v>
      </c>
      <c r="J612" s="8" t="s">
        <v>32</v>
      </c>
      <c r="K612" s="4" t="s">
        <v>23</v>
      </c>
      <c r="L612" s="5">
        <v>1</v>
      </c>
      <c r="M612" s="8"/>
      <c r="N612" s="4"/>
      <c r="O612" s="5"/>
      <c r="P612" s="8"/>
      <c r="Q612" s="4"/>
      <c r="R612" s="5"/>
      <c r="W612" s="67" t="s">
        <v>551</v>
      </c>
      <c r="X612" s="68" t="s">
        <v>606</v>
      </c>
      <c r="Y612" s="69">
        <v>139.46</v>
      </c>
      <c r="Z612" t="str">
        <f>IF(AND(Tabla1[[#This Row],[nudo inicial]]=Tabla3[[#This Row],[n1]],Tabla1[[#This Row],[nudo final]]=Tabla3[[#This Row],[n2]],Tabla1[[#This Row],[longitud]]=Tabla3[[#This Row],[long]]),"si","no")</f>
        <v>si</v>
      </c>
    </row>
    <row r="613" spans="1:26" ht="15.75" x14ac:dyDescent="0.25">
      <c r="B613" t="s">
        <v>606</v>
      </c>
      <c r="C613" t="s">
        <v>607</v>
      </c>
      <c r="D613" s="19">
        <v>127.05</v>
      </c>
      <c r="E613" s="3" t="s">
        <v>126</v>
      </c>
      <c r="F613" s="3" t="s">
        <v>26</v>
      </c>
      <c r="G613" s="8" t="s">
        <v>536</v>
      </c>
      <c r="H613" s="4" t="s">
        <v>23</v>
      </c>
      <c r="I613" s="5">
        <v>1</v>
      </c>
      <c r="J613" s="8" t="s">
        <v>6</v>
      </c>
      <c r="K613" s="4" t="s">
        <v>126</v>
      </c>
      <c r="L613" s="5">
        <v>2.4834999999999998</v>
      </c>
      <c r="M613" s="8" t="s">
        <v>32</v>
      </c>
      <c r="N613" s="4" t="s">
        <v>126</v>
      </c>
      <c r="O613" s="5">
        <v>1</v>
      </c>
      <c r="P613" s="8" t="s">
        <v>34</v>
      </c>
      <c r="Q613" s="4"/>
      <c r="R613" s="5">
        <v>1</v>
      </c>
      <c r="U613" s="70"/>
      <c r="W613" s="67" t="s">
        <v>606</v>
      </c>
      <c r="X613" s="68" t="s">
        <v>607</v>
      </c>
      <c r="Y613" s="69">
        <v>127.05</v>
      </c>
      <c r="Z613" t="str">
        <f>IF(AND(Tabla1[[#This Row],[nudo inicial]]=Tabla3[[#This Row],[n1]],Tabla1[[#This Row],[nudo final]]=Tabla3[[#This Row],[n2]],Tabla1[[#This Row],[longitud]]=Tabla3[[#This Row],[long]]),"si","no")</f>
        <v>si</v>
      </c>
    </row>
    <row r="614" spans="1:26" ht="15.75" x14ac:dyDescent="0.25">
      <c r="B614" t="s">
        <v>550</v>
      </c>
      <c r="C614" t="s">
        <v>607</v>
      </c>
      <c r="D614" s="19">
        <v>139.16999999999999</v>
      </c>
      <c r="E614" s="3" t="s">
        <v>30</v>
      </c>
      <c r="F614" s="3" t="s">
        <v>26</v>
      </c>
      <c r="G614" s="8" t="s">
        <v>536</v>
      </c>
      <c r="H614" s="4" t="s">
        <v>30</v>
      </c>
      <c r="I614" s="5">
        <v>1</v>
      </c>
      <c r="J614" s="8" t="s">
        <v>32</v>
      </c>
      <c r="K614" s="4" t="s">
        <v>30</v>
      </c>
      <c r="L614" s="5">
        <v>1</v>
      </c>
      <c r="M614" s="8"/>
      <c r="N614" s="4"/>
      <c r="O614" s="5"/>
      <c r="P614" s="8"/>
      <c r="Q614" s="4"/>
      <c r="R614" s="5"/>
      <c r="W614" s="67" t="s">
        <v>550</v>
      </c>
      <c r="X614" s="68" t="s">
        <v>607</v>
      </c>
      <c r="Y614" s="69">
        <v>139.16999999999999</v>
      </c>
      <c r="Z614" t="str">
        <f>IF(AND(Tabla1[[#This Row],[nudo inicial]]=Tabla3[[#This Row],[n1]],Tabla1[[#This Row],[nudo final]]=Tabla3[[#This Row],[n2]],Tabla1[[#This Row],[longitud]]=Tabla3[[#This Row],[long]]),"si","no")</f>
        <v>si</v>
      </c>
    </row>
    <row r="615" spans="1:26" ht="15.75" x14ac:dyDescent="0.25">
      <c r="B615" t="s">
        <v>607</v>
      </c>
      <c r="C615" t="s">
        <v>608</v>
      </c>
      <c r="D615" s="19">
        <v>70.12</v>
      </c>
      <c r="E615" s="3" t="s">
        <v>126</v>
      </c>
      <c r="F615" s="3" t="s">
        <v>26</v>
      </c>
      <c r="G615" s="8" t="s">
        <v>536</v>
      </c>
      <c r="H615" s="4" t="s">
        <v>30</v>
      </c>
      <c r="I615" s="5">
        <v>1</v>
      </c>
      <c r="J615" s="8" t="s">
        <v>15</v>
      </c>
      <c r="K615" s="4" t="s">
        <v>126</v>
      </c>
      <c r="L615" s="5">
        <v>1</v>
      </c>
      <c r="M615" s="8" t="s">
        <v>32</v>
      </c>
      <c r="N615" s="4" t="s">
        <v>126</v>
      </c>
      <c r="O615" s="5">
        <v>1</v>
      </c>
      <c r="P615" s="8"/>
      <c r="Q615" s="4"/>
      <c r="R615" s="5"/>
      <c r="W615" s="67" t="s">
        <v>607</v>
      </c>
      <c r="X615" s="68" t="s">
        <v>608</v>
      </c>
      <c r="Y615" s="69">
        <v>70.12</v>
      </c>
      <c r="Z615" t="str">
        <f>IF(AND(Tabla1[[#This Row],[nudo inicial]]=Tabla3[[#This Row],[n1]],Tabla1[[#This Row],[nudo final]]=Tabla3[[#This Row],[n2]],Tabla1[[#This Row],[longitud]]=Tabla3[[#This Row],[long]]),"si","no")</f>
        <v>si</v>
      </c>
    </row>
    <row r="616" spans="1:26" ht="15.75" x14ac:dyDescent="0.25">
      <c r="A616" s="14"/>
      <c r="B616" s="14" t="s">
        <v>608</v>
      </c>
      <c r="C616" s="14" t="s">
        <v>609</v>
      </c>
      <c r="D616" s="20">
        <v>71.87</v>
      </c>
      <c r="E616" s="15" t="s">
        <v>126</v>
      </c>
      <c r="F616" s="15" t="s">
        <v>25</v>
      </c>
      <c r="G616" s="16" t="s">
        <v>58</v>
      </c>
      <c r="H616" s="17" t="s">
        <v>126</v>
      </c>
      <c r="I616" s="18">
        <v>1</v>
      </c>
      <c r="J616" s="16" t="s">
        <v>17</v>
      </c>
      <c r="K616" s="17" t="s">
        <v>126</v>
      </c>
      <c r="L616" s="18">
        <v>1</v>
      </c>
      <c r="M616" s="16"/>
      <c r="N616" s="17"/>
      <c r="O616" s="18"/>
      <c r="P616" s="16"/>
      <c r="Q616" s="17"/>
      <c r="R616" s="18"/>
      <c r="S616" s="14"/>
      <c r="T616" s="14"/>
      <c r="U616" s="14"/>
      <c r="W616" s="67" t="s">
        <v>608</v>
      </c>
      <c r="X616" s="68" t="s">
        <v>609</v>
      </c>
      <c r="Y616" s="69">
        <v>71.87</v>
      </c>
      <c r="Z616" t="str">
        <f>IF(AND(Tabla1[[#This Row],[nudo inicial]]=Tabla3[[#This Row],[n1]],Tabla1[[#This Row],[nudo final]]=Tabla3[[#This Row],[n2]],Tabla1[[#This Row],[longitud]]=Tabla3[[#This Row],[long]]),"si","no")</f>
        <v>si</v>
      </c>
    </row>
    <row r="617" spans="1:26" ht="15.75" x14ac:dyDescent="0.25">
      <c r="B617" t="s">
        <v>608</v>
      </c>
      <c r="C617" t="s">
        <v>610</v>
      </c>
      <c r="D617" s="19">
        <v>31.03</v>
      </c>
      <c r="E617" s="3" t="s">
        <v>126</v>
      </c>
      <c r="F617" s="3" t="s">
        <v>26</v>
      </c>
      <c r="G617" s="8" t="s">
        <v>57</v>
      </c>
      <c r="H617" s="4" t="s">
        <v>126</v>
      </c>
      <c r="I617" s="5">
        <v>1</v>
      </c>
      <c r="J617" s="8"/>
      <c r="K617" s="4"/>
      <c r="L617" s="5"/>
      <c r="M617" s="8"/>
      <c r="N617" s="4"/>
      <c r="O617" s="5"/>
      <c r="P617" s="8"/>
      <c r="Q617" s="4"/>
      <c r="R617" s="5"/>
      <c r="W617" s="67" t="s">
        <v>608</v>
      </c>
      <c r="X617" s="68" t="s">
        <v>610</v>
      </c>
      <c r="Y617" s="69">
        <v>31.03</v>
      </c>
      <c r="Z617" t="str">
        <f>IF(AND(Tabla1[[#This Row],[nudo inicial]]=Tabla3[[#This Row],[n1]],Tabla1[[#This Row],[nudo final]]=Tabla3[[#This Row],[n2]],Tabla1[[#This Row],[longitud]]=Tabla3[[#This Row],[long]]),"si","no")</f>
        <v>si</v>
      </c>
    </row>
    <row r="618" spans="1:26" ht="15.75" x14ac:dyDescent="0.25">
      <c r="B618" t="s">
        <v>610</v>
      </c>
      <c r="C618" t="s">
        <v>611</v>
      </c>
      <c r="D618" s="19">
        <v>16.5</v>
      </c>
      <c r="E618" s="3" t="s">
        <v>219</v>
      </c>
      <c r="F618" s="3" t="s">
        <v>25</v>
      </c>
      <c r="G618" s="8" t="s">
        <v>58</v>
      </c>
      <c r="H618" s="4" t="s">
        <v>126</v>
      </c>
      <c r="I618" s="5">
        <v>1</v>
      </c>
      <c r="J618" s="8" t="s">
        <v>15</v>
      </c>
      <c r="K618" s="4" t="s">
        <v>219</v>
      </c>
      <c r="L618" s="5">
        <v>1</v>
      </c>
      <c r="M618" s="8" t="s">
        <v>17</v>
      </c>
      <c r="N618" s="4" t="s">
        <v>219</v>
      </c>
      <c r="O618" s="5">
        <v>1</v>
      </c>
      <c r="P618" s="8"/>
      <c r="Q618" s="4"/>
      <c r="R618" s="5"/>
      <c r="W618" s="67" t="s">
        <v>610</v>
      </c>
      <c r="X618" s="68" t="s">
        <v>611</v>
      </c>
      <c r="Y618" s="69">
        <v>16.5</v>
      </c>
      <c r="Z618" t="str">
        <f>IF(AND(Tabla1[[#This Row],[nudo inicial]]=Tabla3[[#This Row],[n1]],Tabla1[[#This Row],[nudo final]]=Tabla3[[#This Row],[n2]],Tabla1[[#This Row],[longitud]]=Tabla3[[#This Row],[long]]),"si","no")</f>
        <v>si</v>
      </c>
    </row>
    <row r="619" spans="1:26" ht="15.75" x14ac:dyDescent="0.25">
      <c r="B619" t="s">
        <v>610</v>
      </c>
      <c r="C619" t="s">
        <v>612</v>
      </c>
      <c r="D619" s="19">
        <v>12.28</v>
      </c>
      <c r="E619" s="3" t="s">
        <v>126</v>
      </c>
      <c r="F619" s="3" t="s">
        <v>26</v>
      </c>
      <c r="G619" s="8" t="s">
        <v>57</v>
      </c>
      <c r="H619" s="4" t="s">
        <v>126</v>
      </c>
      <c r="I619" s="5">
        <v>1</v>
      </c>
      <c r="J619" s="8"/>
      <c r="K619" s="4"/>
      <c r="L619" s="5"/>
      <c r="M619" s="8"/>
      <c r="N619" s="4"/>
      <c r="O619" s="5"/>
      <c r="P619" s="8"/>
      <c r="Q619" s="4"/>
      <c r="R619" s="5"/>
      <c r="W619" s="67" t="s">
        <v>610</v>
      </c>
      <c r="X619" s="68" t="s">
        <v>612</v>
      </c>
      <c r="Y619" s="69">
        <v>12.28</v>
      </c>
      <c r="Z619" t="str">
        <f>IF(AND(Tabla1[[#This Row],[nudo inicial]]=Tabla3[[#This Row],[n1]],Tabla1[[#This Row],[nudo final]]=Tabla3[[#This Row],[n2]],Tabla1[[#This Row],[longitud]]=Tabla3[[#This Row],[long]]),"si","no")</f>
        <v>si</v>
      </c>
    </row>
    <row r="620" spans="1:26" ht="15.75" x14ac:dyDescent="0.25">
      <c r="B620" t="s">
        <v>542</v>
      </c>
      <c r="C620" t="s">
        <v>613</v>
      </c>
      <c r="D620" s="19">
        <v>8.2200000000000006</v>
      </c>
      <c r="E620" s="3" t="s">
        <v>55</v>
      </c>
      <c r="F620" s="3" t="s">
        <v>25</v>
      </c>
      <c r="G620" s="8" t="s">
        <v>57</v>
      </c>
      <c r="H620" s="4" t="s">
        <v>55</v>
      </c>
      <c r="I620" s="5">
        <v>1</v>
      </c>
      <c r="J620" s="8"/>
      <c r="K620" s="4"/>
      <c r="L620" s="5"/>
      <c r="M620" s="8"/>
      <c r="N620" s="4"/>
      <c r="O620" s="5"/>
      <c r="P620" s="8"/>
      <c r="Q620" s="4"/>
      <c r="R620" s="5"/>
      <c r="W620" s="67" t="s">
        <v>542</v>
      </c>
      <c r="X620" s="68" t="s">
        <v>613</v>
      </c>
      <c r="Y620" s="69">
        <v>8.2200000000000006</v>
      </c>
      <c r="Z620" t="str">
        <f>IF(AND(Tabla1[[#This Row],[nudo inicial]]=Tabla3[[#This Row],[n1]],Tabla1[[#This Row],[nudo final]]=Tabla3[[#This Row],[n2]],Tabla1[[#This Row],[longitud]]=Tabla3[[#This Row],[long]]),"si","no")</f>
        <v>si</v>
      </c>
    </row>
    <row r="621" spans="1:26" ht="15.75" x14ac:dyDescent="0.25">
      <c r="B621" t="s">
        <v>613</v>
      </c>
      <c r="C621" t="s">
        <v>614</v>
      </c>
      <c r="D621" s="19">
        <v>83.79</v>
      </c>
      <c r="E621" s="3" t="s">
        <v>23</v>
      </c>
      <c r="F621" s="3" t="s">
        <v>26</v>
      </c>
      <c r="G621" s="8" t="s">
        <v>15</v>
      </c>
      <c r="H621" s="4" t="s">
        <v>23</v>
      </c>
      <c r="I621" s="5">
        <v>1</v>
      </c>
      <c r="J621" s="8" t="s">
        <v>16</v>
      </c>
      <c r="K621" s="4" t="s">
        <v>23</v>
      </c>
      <c r="L621" s="5">
        <v>1</v>
      </c>
      <c r="M621" s="8"/>
      <c r="N621" s="4"/>
      <c r="O621" s="5"/>
      <c r="P621" s="8"/>
      <c r="Q621" s="4"/>
      <c r="R621" s="5"/>
      <c r="W621" s="67" t="s">
        <v>613</v>
      </c>
      <c r="X621" s="68" t="s">
        <v>614</v>
      </c>
      <c r="Y621" s="69">
        <v>83.79</v>
      </c>
      <c r="Z621" t="str">
        <f>IF(AND(Tabla1[[#This Row],[nudo inicial]]=Tabla3[[#This Row],[n1]],Tabla1[[#This Row],[nudo final]]=Tabla3[[#This Row],[n2]],Tabla1[[#This Row],[longitud]]=Tabla3[[#This Row],[long]]),"si","no")</f>
        <v>si</v>
      </c>
    </row>
    <row r="622" spans="1:26" ht="15.75" x14ac:dyDescent="0.25">
      <c r="B622" t="s">
        <v>614</v>
      </c>
      <c r="C622" t="s">
        <v>612</v>
      </c>
      <c r="D622" s="19">
        <v>33.5</v>
      </c>
      <c r="E622" s="3" t="s">
        <v>126</v>
      </c>
      <c r="F622" s="3" t="s">
        <v>26</v>
      </c>
      <c r="G622" s="8" t="s">
        <v>57</v>
      </c>
      <c r="H622" s="4" t="s">
        <v>126</v>
      </c>
      <c r="I622" s="5">
        <v>1</v>
      </c>
      <c r="J622" s="8"/>
      <c r="K622" s="4"/>
      <c r="L622" s="5"/>
      <c r="M622" s="8"/>
      <c r="N622" s="4"/>
      <c r="O622" s="5"/>
      <c r="P622" s="8"/>
      <c r="Q622" s="4"/>
      <c r="R622" s="5"/>
      <c r="W622" s="67" t="s">
        <v>614</v>
      </c>
      <c r="X622" s="68" t="s">
        <v>612</v>
      </c>
      <c r="Y622" s="69">
        <v>33.5</v>
      </c>
      <c r="Z622" t="str">
        <f>IF(AND(Tabla1[[#This Row],[nudo inicial]]=Tabla3[[#This Row],[n1]],Tabla1[[#This Row],[nudo final]]=Tabla3[[#This Row],[n2]],Tabla1[[#This Row],[longitud]]=Tabla3[[#This Row],[long]]),"si","no")</f>
        <v>si</v>
      </c>
    </row>
    <row r="623" spans="1:26" ht="15.75" x14ac:dyDescent="0.25">
      <c r="B623" t="s">
        <v>612</v>
      </c>
      <c r="C623" t="s">
        <v>615</v>
      </c>
      <c r="D623" s="19">
        <v>56</v>
      </c>
      <c r="E623" s="3" t="s">
        <v>56</v>
      </c>
      <c r="F623" s="3" t="s">
        <v>27</v>
      </c>
      <c r="G623" s="8" t="s">
        <v>20</v>
      </c>
      <c r="H623" s="4" t="s">
        <v>126</v>
      </c>
      <c r="I623" s="5">
        <v>1</v>
      </c>
      <c r="J623" s="8" t="s">
        <v>17</v>
      </c>
      <c r="K623" s="4" t="s">
        <v>56</v>
      </c>
      <c r="L623" s="5">
        <v>1</v>
      </c>
      <c r="M623" s="8" t="s">
        <v>15</v>
      </c>
      <c r="N623" s="4" t="s">
        <v>56</v>
      </c>
      <c r="O623" s="5">
        <v>1</v>
      </c>
      <c r="P623" s="8"/>
      <c r="Q623" s="4"/>
      <c r="R623" s="5"/>
      <c r="W623" s="67" t="s">
        <v>612</v>
      </c>
      <c r="X623" s="68" t="s">
        <v>615</v>
      </c>
      <c r="Y623" s="69">
        <v>56</v>
      </c>
      <c r="Z623" t="str">
        <f>IF(AND(Tabla1[[#This Row],[nudo inicial]]=Tabla3[[#This Row],[n1]],Tabla1[[#This Row],[nudo final]]=Tabla3[[#This Row],[n2]],Tabla1[[#This Row],[longitud]]=Tabla3[[#This Row],[long]]),"si","no")</f>
        <v>si</v>
      </c>
    </row>
    <row r="624" spans="1:26" ht="15.75" x14ac:dyDescent="0.25">
      <c r="B624" t="s">
        <v>614</v>
      </c>
      <c r="C624" t="s">
        <v>616</v>
      </c>
      <c r="D624" s="19">
        <v>59</v>
      </c>
      <c r="E624" s="3" t="s">
        <v>23</v>
      </c>
      <c r="F624" s="3" t="s">
        <v>28</v>
      </c>
      <c r="G624" s="8" t="s">
        <v>58</v>
      </c>
      <c r="H624" s="4" t="s">
        <v>126</v>
      </c>
      <c r="I624" s="5">
        <v>1</v>
      </c>
      <c r="J624" s="8" t="s">
        <v>15</v>
      </c>
      <c r="K624" s="4" t="s">
        <v>23</v>
      </c>
      <c r="L624" s="5">
        <v>1</v>
      </c>
      <c r="M624" s="8" t="s">
        <v>32</v>
      </c>
      <c r="N624" s="4" t="s">
        <v>23</v>
      </c>
      <c r="O624" s="5">
        <v>1</v>
      </c>
      <c r="P624" s="8"/>
      <c r="Q624" s="4"/>
      <c r="R624" s="5"/>
      <c r="W624" s="67" t="s">
        <v>614</v>
      </c>
      <c r="X624" s="68" t="s">
        <v>616</v>
      </c>
      <c r="Y624" s="69">
        <v>59</v>
      </c>
      <c r="Z624" t="str">
        <f>IF(AND(Tabla1[[#This Row],[nudo inicial]]=Tabla3[[#This Row],[n1]],Tabla1[[#This Row],[nudo final]]=Tabla3[[#This Row],[n2]],Tabla1[[#This Row],[longitud]]=Tabla3[[#This Row],[long]]),"si","no")</f>
        <v>si</v>
      </c>
    </row>
    <row r="625" spans="2:26" ht="15.75" x14ac:dyDescent="0.25">
      <c r="B625" t="s">
        <v>616</v>
      </c>
      <c r="C625" t="s">
        <v>617</v>
      </c>
      <c r="D625" s="19">
        <v>55.97</v>
      </c>
      <c r="E625" s="3" t="s">
        <v>23</v>
      </c>
      <c r="F625" s="3" t="s">
        <v>28</v>
      </c>
      <c r="G625" s="8" t="s">
        <v>58</v>
      </c>
      <c r="H625" s="4" t="s">
        <v>23</v>
      </c>
      <c r="I625" s="5">
        <v>1</v>
      </c>
      <c r="J625" s="8"/>
      <c r="K625" s="4"/>
      <c r="L625" s="5"/>
      <c r="M625" s="8"/>
      <c r="N625" s="4"/>
      <c r="O625" s="5"/>
      <c r="P625" s="8"/>
      <c r="Q625" s="4"/>
      <c r="R625" s="5"/>
      <c r="W625" s="67" t="s">
        <v>616</v>
      </c>
      <c r="X625" s="68" t="s">
        <v>617</v>
      </c>
      <c r="Y625" s="69">
        <v>55.97</v>
      </c>
      <c r="Z625" t="str">
        <f>IF(AND(Tabla1[[#This Row],[nudo inicial]]=Tabla3[[#This Row],[n1]],Tabla1[[#This Row],[nudo final]]=Tabla3[[#This Row],[n2]],Tabla1[[#This Row],[longitud]]=Tabla3[[#This Row],[long]]),"si","no")</f>
        <v>si</v>
      </c>
    </row>
    <row r="626" spans="2:26" ht="15.75" x14ac:dyDescent="0.25">
      <c r="B626" t="s">
        <v>617</v>
      </c>
      <c r="C626" t="s">
        <v>618</v>
      </c>
      <c r="D626" s="19">
        <v>54.6</v>
      </c>
      <c r="E626" s="3" t="s">
        <v>23</v>
      </c>
      <c r="F626" s="3" t="s">
        <v>25</v>
      </c>
      <c r="G626" s="8"/>
      <c r="H626" s="4"/>
      <c r="I626" s="5"/>
      <c r="J626" s="8"/>
      <c r="K626" s="4"/>
      <c r="L626" s="5"/>
      <c r="M626" s="8"/>
      <c r="N626" s="4"/>
      <c r="O626" s="5"/>
      <c r="P626" s="8"/>
      <c r="Q626" s="4"/>
      <c r="R626" s="5"/>
      <c r="W626" s="67" t="s">
        <v>617</v>
      </c>
      <c r="X626" s="68" t="s">
        <v>618</v>
      </c>
      <c r="Y626" s="69">
        <v>54.6</v>
      </c>
      <c r="Z626" t="str">
        <f>IF(AND(Tabla1[[#This Row],[nudo inicial]]=Tabla3[[#This Row],[n1]],Tabla1[[#This Row],[nudo final]]=Tabla3[[#This Row],[n2]],Tabla1[[#This Row],[longitud]]=Tabla3[[#This Row],[long]]),"si","no")</f>
        <v>si</v>
      </c>
    </row>
    <row r="627" spans="2:26" ht="15.75" x14ac:dyDescent="0.25">
      <c r="B627" t="s">
        <v>618</v>
      </c>
      <c r="C627" t="s">
        <v>434</v>
      </c>
      <c r="D627" s="19">
        <v>45.13</v>
      </c>
      <c r="E627" s="3" t="s">
        <v>56</v>
      </c>
      <c r="F627" s="3" t="s">
        <v>25</v>
      </c>
      <c r="G627" s="8" t="s">
        <v>58</v>
      </c>
      <c r="H627" s="4" t="s">
        <v>23</v>
      </c>
      <c r="I627" s="5">
        <v>1</v>
      </c>
      <c r="J627" s="8" t="s">
        <v>15</v>
      </c>
      <c r="K627" s="4" t="s">
        <v>56</v>
      </c>
      <c r="L627" s="5">
        <v>1</v>
      </c>
      <c r="M627" s="8" t="s">
        <v>17</v>
      </c>
      <c r="N627" s="4" t="s">
        <v>56</v>
      </c>
      <c r="O627" s="5">
        <v>1</v>
      </c>
      <c r="P627" s="8"/>
      <c r="Q627" s="4"/>
      <c r="R627" s="5"/>
      <c r="W627" s="67" t="s">
        <v>618</v>
      </c>
      <c r="X627" s="68" t="s">
        <v>434</v>
      </c>
      <c r="Y627" s="69">
        <v>45.13</v>
      </c>
      <c r="Z627" t="str">
        <f>IF(AND(Tabla1[[#This Row],[nudo inicial]]=Tabla3[[#This Row],[n1]],Tabla1[[#This Row],[nudo final]]=Tabla3[[#This Row],[n2]],Tabla1[[#This Row],[longitud]]=Tabla3[[#This Row],[long]]),"si","no")</f>
        <v>si</v>
      </c>
    </row>
    <row r="628" spans="2:26" ht="15.75" x14ac:dyDescent="0.25">
      <c r="B628" t="s">
        <v>618</v>
      </c>
      <c r="C628" t="s">
        <v>619</v>
      </c>
      <c r="D628" s="19">
        <v>60.19</v>
      </c>
      <c r="E628" s="3" t="s">
        <v>53</v>
      </c>
      <c r="F628" s="3" t="s">
        <v>25</v>
      </c>
      <c r="G628" s="8" t="s">
        <v>57</v>
      </c>
      <c r="H628" s="4" t="s">
        <v>23</v>
      </c>
      <c r="I628" s="5">
        <v>1</v>
      </c>
      <c r="J628" s="8" t="s">
        <v>15</v>
      </c>
      <c r="K628" s="4" t="s">
        <v>53</v>
      </c>
      <c r="L628" s="5">
        <v>1</v>
      </c>
      <c r="M628" s="8"/>
      <c r="N628" s="4"/>
      <c r="O628" s="5"/>
      <c r="P628" s="8"/>
      <c r="Q628" s="4"/>
      <c r="R628" s="5"/>
      <c r="W628" s="67" t="s">
        <v>618</v>
      </c>
      <c r="X628" s="68" t="s">
        <v>619</v>
      </c>
      <c r="Y628" s="69">
        <v>60.19</v>
      </c>
      <c r="Z628" t="str">
        <f>IF(AND(Tabla1[[#This Row],[nudo inicial]]=Tabla3[[#This Row],[n1]],Tabla1[[#This Row],[nudo final]]=Tabla3[[#This Row],[n2]],Tabla1[[#This Row],[longitud]]=Tabla3[[#This Row],[long]]),"si","no")</f>
        <v>si</v>
      </c>
    </row>
    <row r="629" spans="2:26" ht="15.75" x14ac:dyDescent="0.25">
      <c r="B629" t="s">
        <v>619</v>
      </c>
      <c r="C629" t="s">
        <v>620</v>
      </c>
      <c r="D629" s="19">
        <v>41.29</v>
      </c>
      <c r="E629" s="3" t="s">
        <v>53</v>
      </c>
      <c r="F629" s="3" t="s">
        <v>25</v>
      </c>
      <c r="G629" s="8" t="s">
        <v>58</v>
      </c>
      <c r="H629" s="4" t="s">
        <v>53</v>
      </c>
      <c r="I629" s="5">
        <v>1</v>
      </c>
      <c r="J629" s="8" t="s">
        <v>17</v>
      </c>
      <c r="K629" s="4" t="s">
        <v>53</v>
      </c>
      <c r="L629" s="5">
        <v>1</v>
      </c>
      <c r="M629" s="8"/>
      <c r="N629" s="4"/>
      <c r="O629" s="5"/>
      <c r="P629" s="8"/>
      <c r="Q629" s="4"/>
      <c r="R629" s="5"/>
      <c r="W629" s="67" t="s">
        <v>619</v>
      </c>
      <c r="X629" s="68" t="s">
        <v>620</v>
      </c>
      <c r="Y629" s="69">
        <v>41.29</v>
      </c>
      <c r="Z629" t="str">
        <f>IF(AND(Tabla1[[#This Row],[nudo inicial]]=Tabla3[[#This Row],[n1]],Tabla1[[#This Row],[nudo final]]=Tabla3[[#This Row],[n2]],Tabla1[[#This Row],[longitud]]=Tabla3[[#This Row],[long]]),"si","no")</f>
        <v>si</v>
      </c>
    </row>
    <row r="630" spans="2:26" ht="15.75" x14ac:dyDescent="0.25">
      <c r="B630" t="s">
        <v>619</v>
      </c>
      <c r="C630" t="s">
        <v>621</v>
      </c>
      <c r="D630" s="19">
        <v>46.52</v>
      </c>
      <c r="E630" s="3" t="s">
        <v>53</v>
      </c>
      <c r="F630" s="3" t="s">
        <v>25</v>
      </c>
      <c r="G630" s="8" t="s">
        <v>57</v>
      </c>
      <c r="H630" s="4" t="s">
        <v>53</v>
      </c>
      <c r="I630" s="5">
        <v>1</v>
      </c>
      <c r="J630" s="8" t="s">
        <v>16</v>
      </c>
      <c r="K630" s="4" t="s">
        <v>53</v>
      </c>
      <c r="L630" s="5">
        <v>1</v>
      </c>
      <c r="M630" s="8" t="s">
        <v>17</v>
      </c>
      <c r="N630" s="4" t="s">
        <v>53</v>
      </c>
      <c r="O630" s="5">
        <v>1</v>
      </c>
      <c r="P630" s="8"/>
      <c r="Q630" s="4"/>
      <c r="R630" s="5"/>
      <c r="W630" s="67" t="s">
        <v>619</v>
      </c>
      <c r="X630" s="68" t="s">
        <v>621</v>
      </c>
      <c r="Y630" s="69">
        <v>46.52</v>
      </c>
      <c r="Z630" t="str">
        <f>IF(AND(Tabla1[[#This Row],[nudo inicial]]=Tabla3[[#This Row],[n1]],Tabla1[[#This Row],[nudo final]]=Tabla3[[#This Row],[n2]],Tabla1[[#This Row],[longitud]]=Tabla3[[#This Row],[long]]),"si","no")</f>
        <v>si</v>
      </c>
    </row>
    <row r="631" spans="2:26" ht="15.75" x14ac:dyDescent="0.25">
      <c r="B631" t="s">
        <v>616</v>
      </c>
      <c r="C631" t="s">
        <v>622</v>
      </c>
      <c r="D631" s="19">
        <v>50.35</v>
      </c>
      <c r="E631" s="3" t="s">
        <v>23</v>
      </c>
      <c r="F631" s="3" t="s">
        <v>28</v>
      </c>
      <c r="G631" s="8" t="s">
        <v>57</v>
      </c>
      <c r="H631" s="4" t="s">
        <v>23</v>
      </c>
      <c r="I631" s="5">
        <v>1</v>
      </c>
      <c r="J631" s="8"/>
      <c r="K631" s="4"/>
      <c r="L631" s="5"/>
      <c r="M631" s="8"/>
      <c r="N631" s="4"/>
      <c r="O631" s="5"/>
      <c r="P631" s="8"/>
      <c r="Q631" s="4"/>
      <c r="R631" s="5"/>
      <c r="W631" s="67" t="s">
        <v>616</v>
      </c>
      <c r="X631" s="68" t="s">
        <v>622</v>
      </c>
      <c r="Y631" s="69">
        <v>50.35</v>
      </c>
      <c r="Z631" t="str">
        <f>IF(AND(Tabla1[[#This Row],[nudo inicial]]=Tabla3[[#This Row],[n1]],Tabla1[[#This Row],[nudo final]]=Tabla3[[#This Row],[n2]],Tabla1[[#This Row],[longitud]]=Tabla3[[#This Row],[long]]),"si","no")</f>
        <v>si</v>
      </c>
    </row>
    <row r="632" spans="2:26" ht="15.75" x14ac:dyDescent="0.25">
      <c r="B632" t="s">
        <v>622</v>
      </c>
      <c r="C632" t="s">
        <v>623</v>
      </c>
      <c r="D632" s="19">
        <v>203.38</v>
      </c>
      <c r="E632" s="3" t="s">
        <v>53</v>
      </c>
      <c r="F632" s="3" t="s">
        <v>25</v>
      </c>
      <c r="G632" s="8" t="s">
        <v>58</v>
      </c>
      <c r="H632" s="4" t="s">
        <v>23</v>
      </c>
      <c r="I632" s="5">
        <v>1</v>
      </c>
      <c r="J632" s="8" t="s">
        <v>15</v>
      </c>
      <c r="K632" s="4" t="s">
        <v>53</v>
      </c>
      <c r="L632" s="5">
        <v>1</v>
      </c>
      <c r="M632" s="8" t="s">
        <v>16</v>
      </c>
      <c r="N632" s="4" t="s">
        <v>53</v>
      </c>
      <c r="O632" s="5">
        <v>1</v>
      </c>
      <c r="P632" s="8" t="s">
        <v>17</v>
      </c>
      <c r="Q632" s="4" t="s">
        <v>53</v>
      </c>
      <c r="R632" s="5">
        <v>1</v>
      </c>
      <c r="W632" s="67" t="s">
        <v>622</v>
      </c>
      <c r="X632" s="68" t="s">
        <v>623</v>
      </c>
      <c r="Y632" s="69">
        <v>203.38</v>
      </c>
      <c r="Z632" t="str">
        <f>IF(AND(Tabla1[[#This Row],[nudo inicial]]=Tabla3[[#This Row],[n1]],Tabla1[[#This Row],[nudo final]]=Tabla3[[#This Row],[n2]],Tabla1[[#This Row],[longitud]]=Tabla3[[#This Row],[long]]),"si","no")</f>
        <v>si</v>
      </c>
    </row>
    <row r="633" spans="2:26" ht="15.75" x14ac:dyDescent="0.25">
      <c r="B633" t="s">
        <v>622</v>
      </c>
      <c r="C633" t="s">
        <v>624</v>
      </c>
      <c r="D633" s="19">
        <v>52.11</v>
      </c>
      <c r="E633" s="3" t="s">
        <v>23</v>
      </c>
      <c r="F633" s="3" t="s">
        <v>28</v>
      </c>
      <c r="G633" s="8" t="s">
        <v>57</v>
      </c>
      <c r="H633" s="4" t="s">
        <v>23</v>
      </c>
      <c r="I633" s="5">
        <v>1</v>
      </c>
      <c r="J633" s="8"/>
      <c r="K633" s="4"/>
      <c r="L633" s="5"/>
      <c r="M633" s="8"/>
      <c r="N633" s="4"/>
      <c r="O633" s="5"/>
      <c r="P633" s="8"/>
      <c r="Q633" s="4"/>
      <c r="R633" s="5"/>
      <c r="W633" s="67" t="s">
        <v>622</v>
      </c>
      <c r="X633" s="68" t="s">
        <v>624</v>
      </c>
      <c r="Y633" s="69">
        <v>52.11</v>
      </c>
      <c r="Z633" t="str">
        <f>IF(AND(Tabla1[[#This Row],[nudo inicial]]=Tabla3[[#This Row],[n1]],Tabla1[[#This Row],[nudo final]]=Tabla3[[#This Row],[n2]],Tabla1[[#This Row],[longitud]]=Tabla3[[#This Row],[long]]),"si","no")</f>
        <v>si</v>
      </c>
    </row>
    <row r="634" spans="2:26" ht="15.75" x14ac:dyDescent="0.25">
      <c r="B634" t="s">
        <v>624</v>
      </c>
      <c r="C634" t="s">
        <v>625</v>
      </c>
      <c r="D634" s="19">
        <v>42.53</v>
      </c>
      <c r="E634" s="3" t="s">
        <v>219</v>
      </c>
      <c r="F634" s="3" t="s">
        <v>25</v>
      </c>
      <c r="G634" s="8" t="s">
        <v>58</v>
      </c>
      <c r="H634" s="4" t="s">
        <v>23</v>
      </c>
      <c r="I634" s="5">
        <v>1</v>
      </c>
      <c r="J634" s="8" t="s">
        <v>15</v>
      </c>
      <c r="K634" s="4" t="s">
        <v>219</v>
      </c>
      <c r="L634" s="5">
        <v>1</v>
      </c>
      <c r="M634" s="8" t="s">
        <v>17</v>
      </c>
      <c r="N634" s="4" t="s">
        <v>219</v>
      </c>
      <c r="O634" s="5">
        <v>1</v>
      </c>
      <c r="P634" s="8"/>
      <c r="Q634" s="4"/>
      <c r="R634" s="5"/>
      <c r="W634" s="67" t="s">
        <v>624</v>
      </c>
      <c r="X634" s="68" t="s">
        <v>625</v>
      </c>
      <c r="Y634" s="69">
        <v>42.53</v>
      </c>
      <c r="Z634" t="str">
        <f>IF(AND(Tabla1[[#This Row],[nudo inicial]]=Tabla3[[#This Row],[n1]],Tabla1[[#This Row],[nudo final]]=Tabla3[[#This Row],[n2]],Tabla1[[#This Row],[longitud]]=Tabla3[[#This Row],[long]]),"si","no")</f>
        <v>si</v>
      </c>
    </row>
    <row r="635" spans="2:26" ht="15.75" x14ac:dyDescent="0.25">
      <c r="B635" t="s">
        <v>624</v>
      </c>
      <c r="C635" t="s">
        <v>626</v>
      </c>
      <c r="D635" s="19">
        <v>7.65</v>
      </c>
      <c r="E635" s="3" t="s">
        <v>23</v>
      </c>
      <c r="F635" s="3" t="s">
        <v>28</v>
      </c>
      <c r="G635" s="8" t="s">
        <v>57</v>
      </c>
      <c r="H635" s="4" t="s">
        <v>23</v>
      </c>
      <c r="I635" s="5">
        <v>1</v>
      </c>
      <c r="J635" s="8"/>
      <c r="K635" s="4"/>
      <c r="L635" s="5"/>
      <c r="M635" s="8"/>
      <c r="N635" s="4"/>
      <c r="O635" s="5"/>
      <c r="P635" s="8"/>
      <c r="Q635" s="4"/>
      <c r="R635" s="5"/>
      <c r="W635" s="67" t="s">
        <v>624</v>
      </c>
      <c r="X635" s="68" t="s">
        <v>626</v>
      </c>
      <c r="Y635" s="69">
        <v>7.65</v>
      </c>
      <c r="Z635" t="str">
        <f>IF(AND(Tabla1[[#This Row],[nudo inicial]]=Tabla3[[#This Row],[n1]],Tabla1[[#This Row],[nudo final]]=Tabla3[[#This Row],[n2]],Tabla1[[#This Row],[longitud]]=Tabla3[[#This Row],[long]]),"si","no")</f>
        <v>si</v>
      </c>
    </row>
    <row r="636" spans="2:26" ht="15.75" x14ac:dyDescent="0.25">
      <c r="B636" t="s">
        <v>626</v>
      </c>
      <c r="C636" t="s">
        <v>627</v>
      </c>
      <c r="D636" s="19">
        <v>85.96</v>
      </c>
      <c r="E636" s="3" t="s">
        <v>23</v>
      </c>
      <c r="F636" s="3" t="s">
        <v>25</v>
      </c>
      <c r="G636" s="8" t="s">
        <v>58</v>
      </c>
      <c r="H636" s="4" t="s">
        <v>23</v>
      </c>
      <c r="I636" s="5">
        <v>1</v>
      </c>
      <c r="J636" s="8" t="s">
        <v>32</v>
      </c>
      <c r="K636" s="4" t="s">
        <v>23</v>
      </c>
      <c r="L636" s="5">
        <v>1</v>
      </c>
      <c r="M636" s="8"/>
      <c r="N636" s="4"/>
      <c r="O636" s="5"/>
      <c r="P636" s="8"/>
      <c r="Q636" s="4"/>
      <c r="R636" s="5"/>
      <c r="W636" s="67" t="s">
        <v>626</v>
      </c>
      <c r="X636" s="68" t="s">
        <v>627</v>
      </c>
      <c r="Y636" s="69">
        <v>85.96</v>
      </c>
      <c r="Z636" t="str">
        <f>IF(AND(Tabla1[[#This Row],[nudo inicial]]=Tabla3[[#This Row],[n1]],Tabla1[[#This Row],[nudo final]]=Tabla3[[#This Row],[n2]],Tabla1[[#This Row],[longitud]]=Tabla3[[#This Row],[long]]),"si","no")</f>
        <v>si</v>
      </c>
    </row>
    <row r="637" spans="2:26" ht="15.75" x14ac:dyDescent="0.25">
      <c r="B637" t="s">
        <v>627</v>
      </c>
      <c r="C637" t="s">
        <v>628</v>
      </c>
      <c r="D637" s="19">
        <v>57.96</v>
      </c>
      <c r="E637" s="3" t="s">
        <v>23</v>
      </c>
      <c r="F637" s="3" t="s">
        <v>25</v>
      </c>
      <c r="G637" s="8" t="s">
        <v>58</v>
      </c>
      <c r="H637" s="4" t="s">
        <v>23</v>
      </c>
      <c r="I637" s="5">
        <v>1</v>
      </c>
      <c r="J637" s="8" t="s">
        <v>17</v>
      </c>
      <c r="K637" s="4" t="s">
        <v>23</v>
      </c>
      <c r="L637" s="5">
        <v>1</v>
      </c>
      <c r="M637" s="8"/>
      <c r="N637" s="4"/>
      <c r="O637" s="5"/>
      <c r="P637" s="8"/>
      <c r="Q637" s="4"/>
      <c r="R637" s="5"/>
      <c r="W637" s="67" t="s">
        <v>627</v>
      </c>
      <c r="X637" s="68" t="s">
        <v>628</v>
      </c>
      <c r="Y637" s="69">
        <v>57.96</v>
      </c>
      <c r="Z637" t="str">
        <f>IF(AND(Tabla1[[#This Row],[nudo inicial]]=Tabla3[[#This Row],[n1]],Tabla1[[#This Row],[nudo final]]=Tabla3[[#This Row],[n2]],Tabla1[[#This Row],[longitud]]=Tabla3[[#This Row],[long]]),"si","no")</f>
        <v>si</v>
      </c>
    </row>
    <row r="638" spans="2:26" ht="15.75" x14ac:dyDescent="0.25">
      <c r="B638" t="s">
        <v>627</v>
      </c>
      <c r="C638" t="s">
        <v>629</v>
      </c>
      <c r="D638" s="19">
        <v>25.45</v>
      </c>
      <c r="E638" s="3" t="s">
        <v>23</v>
      </c>
      <c r="F638" s="3" t="s">
        <v>25</v>
      </c>
      <c r="G638" s="8" t="s">
        <v>58</v>
      </c>
      <c r="H638" s="4" t="s">
        <v>23</v>
      </c>
      <c r="I638" s="5">
        <v>1</v>
      </c>
      <c r="J638" s="8"/>
      <c r="K638" s="4"/>
      <c r="L638" s="5"/>
      <c r="M638" s="8"/>
      <c r="N638" s="4"/>
      <c r="O638" s="5"/>
      <c r="P638" s="8"/>
      <c r="Q638" s="4"/>
      <c r="R638" s="5"/>
      <c r="W638" s="67" t="s">
        <v>627</v>
      </c>
      <c r="X638" s="68" t="s">
        <v>629</v>
      </c>
      <c r="Y638" s="69">
        <v>25.45</v>
      </c>
      <c r="Z638" t="str">
        <f>IF(AND(Tabla1[[#This Row],[nudo inicial]]=Tabla3[[#This Row],[n1]],Tabla1[[#This Row],[nudo final]]=Tabla3[[#This Row],[n2]],Tabla1[[#This Row],[longitud]]=Tabla3[[#This Row],[long]]),"si","no")</f>
        <v>si</v>
      </c>
    </row>
    <row r="639" spans="2:26" ht="15.75" x14ac:dyDescent="0.25">
      <c r="B639" t="s">
        <v>629</v>
      </c>
      <c r="C639" t="s">
        <v>630</v>
      </c>
      <c r="D639" s="19">
        <v>31.67</v>
      </c>
      <c r="E639" s="3" t="s">
        <v>56</v>
      </c>
      <c r="F639" s="3" t="s">
        <v>25</v>
      </c>
      <c r="G639" s="8" t="s">
        <v>15</v>
      </c>
      <c r="H639" s="4" t="s">
        <v>56</v>
      </c>
      <c r="I639" s="5">
        <v>1</v>
      </c>
      <c r="J639" s="8" t="s">
        <v>17</v>
      </c>
      <c r="K639" s="4" t="s">
        <v>56</v>
      </c>
      <c r="L639" s="5">
        <v>1</v>
      </c>
      <c r="M639" s="8"/>
      <c r="N639" s="4"/>
      <c r="O639" s="5"/>
      <c r="P639" s="8"/>
      <c r="Q639" s="4"/>
      <c r="R639" s="5"/>
      <c r="W639" s="67" t="s">
        <v>629</v>
      </c>
      <c r="X639" s="68" t="s">
        <v>630</v>
      </c>
      <c r="Y639" s="69">
        <v>31.67</v>
      </c>
      <c r="Z639" t="str">
        <f>IF(AND(Tabla1[[#This Row],[nudo inicial]]=Tabla3[[#This Row],[n1]],Tabla1[[#This Row],[nudo final]]=Tabla3[[#This Row],[n2]],Tabla1[[#This Row],[longitud]]=Tabla3[[#This Row],[long]]),"si","no")</f>
        <v>si</v>
      </c>
    </row>
    <row r="640" spans="2:26" ht="15.75" x14ac:dyDescent="0.25">
      <c r="B640" t="s">
        <v>626</v>
      </c>
      <c r="C640" t="s">
        <v>631</v>
      </c>
      <c r="D640" s="19">
        <v>38.549999999999997</v>
      </c>
      <c r="E640" s="3" t="s">
        <v>23</v>
      </c>
      <c r="F640" s="3" t="s">
        <v>28</v>
      </c>
      <c r="G640" s="8" t="s">
        <v>57</v>
      </c>
      <c r="H640" s="4" t="s">
        <v>23</v>
      </c>
      <c r="I640" s="5">
        <v>1</v>
      </c>
      <c r="J640" s="8" t="s">
        <v>16</v>
      </c>
      <c r="K640" s="4" t="s">
        <v>23</v>
      </c>
      <c r="L640" s="5">
        <v>1</v>
      </c>
      <c r="M640" s="8" t="s">
        <v>6</v>
      </c>
      <c r="N640" s="4" t="s">
        <v>55</v>
      </c>
      <c r="O640" s="5">
        <v>1</v>
      </c>
      <c r="P640" s="8"/>
      <c r="Q640" s="4"/>
      <c r="R640" s="5"/>
      <c r="W640" s="67" t="s">
        <v>626</v>
      </c>
      <c r="X640" s="68" t="s">
        <v>631</v>
      </c>
      <c r="Y640" s="69">
        <v>38.549999999999997</v>
      </c>
      <c r="Z640" t="str">
        <f>IF(AND(Tabla1[[#This Row],[nudo inicial]]=Tabla3[[#This Row],[n1]],Tabla1[[#This Row],[nudo final]]=Tabla3[[#This Row],[n2]],Tabla1[[#This Row],[longitud]]=Tabla3[[#This Row],[long]]),"si","no")</f>
        <v>si</v>
      </c>
    </row>
    <row r="641" spans="1:26" ht="15.75" x14ac:dyDescent="0.25">
      <c r="B641" t="s">
        <v>631</v>
      </c>
      <c r="C641" t="s">
        <v>632</v>
      </c>
      <c r="D641" s="19">
        <v>21.21</v>
      </c>
      <c r="E641" s="3" t="s">
        <v>23</v>
      </c>
      <c r="F641" s="3" t="s">
        <v>25</v>
      </c>
      <c r="G641" s="8" t="s">
        <v>58</v>
      </c>
      <c r="H641" s="4" t="s">
        <v>55</v>
      </c>
      <c r="I641" s="5">
        <v>1</v>
      </c>
      <c r="J641" s="8" t="s">
        <v>15</v>
      </c>
      <c r="K641" s="4" t="s">
        <v>23</v>
      </c>
      <c r="L641" s="5">
        <v>1</v>
      </c>
      <c r="M641" s="8" t="s">
        <v>17</v>
      </c>
      <c r="N641" s="4" t="s">
        <v>23</v>
      </c>
      <c r="O641" s="5">
        <v>1</v>
      </c>
      <c r="P641" s="8"/>
      <c r="Q641" s="4"/>
      <c r="R641" s="5"/>
      <c r="W641" s="67" t="s">
        <v>631</v>
      </c>
      <c r="X641" s="68" t="s">
        <v>632</v>
      </c>
      <c r="Y641" s="69">
        <v>21.21</v>
      </c>
      <c r="Z641" t="str">
        <f>IF(AND(Tabla1[[#This Row],[nudo inicial]]=Tabla3[[#This Row],[n1]],Tabla1[[#This Row],[nudo final]]=Tabla3[[#This Row],[n2]],Tabla1[[#This Row],[longitud]]=Tabla3[[#This Row],[long]]),"si","no")</f>
        <v>si</v>
      </c>
    </row>
    <row r="642" spans="1:26" ht="15.75" x14ac:dyDescent="0.25">
      <c r="A642" s="14"/>
      <c r="B642" s="14" t="s">
        <v>631</v>
      </c>
      <c r="C642" s="14" t="s">
        <v>633</v>
      </c>
      <c r="D642" s="20">
        <v>59.47</v>
      </c>
      <c r="E642" s="15" t="s">
        <v>55</v>
      </c>
      <c r="F642" s="15" t="s">
        <v>28</v>
      </c>
      <c r="G642" s="16" t="s">
        <v>57</v>
      </c>
      <c r="H642" s="17" t="s">
        <v>55</v>
      </c>
      <c r="I642" s="18">
        <v>1</v>
      </c>
      <c r="J642" s="16" t="s">
        <v>32</v>
      </c>
      <c r="K642" s="17" t="s">
        <v>55</v>
      </c>
      <c r="L642" s="18">
        <v>1</v>
      </c>
      <c r="M642" s="16"/>
      <c r="N642" s="17"/>
      <c r="O642" s="18"/>
      <c r="P642" s="16"/>
      <c r="Q642" s="17"/>
      <c r="R642" s="18"/>
      <c r="S642" s="14"/>
      <c r="T642" s="14"/>
      <c r="U642" s="14"/>
      <c r="W642" s="67" t="s">
        <v>631</v>
      </c>
      <c r="X642" s="68" t="s">
        <v>633</v>
      </c>
      <c r="Y642" s="69">
        <v>59.47</v>
      </c>
      <c r="Z642" t="str">
        <f>IF(AND(Tabla1[[#This Row],[nudo inicial]]=Tabla3[[#This Row],[n1]],Tabla1[[#This Row],[nudo final]]=Tabla3[[#This Row],[n2]],Tabla1[[#This Row],[longitud]]=Tabla3[[#This Row],[long]]),"si","no")</f>
        <v>si</v>
      </c>
    </row>
    <row r="643" spans="1:26" ht="31.5" x14ac:dyDescent="0.25">
      <c r="A643" s="14"/>
      <c r="B643" s="61" t="s">
        <v>634</v>
      </c>
      <c r="C643" s="14" t="s">
        <v>633</v>
      </c>
      <c r="D643" s="20">
        <v>11.44</v>
      </c>
      <c r="E643" s="15" t="s">
        <v>55</v>
      </c>
      <c r="F643" s="15" t="s">
        <v>28</v>
      </c>
      <c r="G643" s="16" t="s">
        <v>58</v>
      </c>
      <c r="H643" s="17" t="s">
        <v>55</v>
      </c>
      <c r="I643" s="18">
        <v>1</v>
      </c>
      <c r="J643" s="16" t="s">
        <v>32</v>
      </c>
      <c r="K643" s="17" t="s">
        <v>55</v>
      </c>
      <c r="L643" s="18">
        <v>1</v>
      </c>
      <c r="M643" s="16"/>
      <c r="N643" s="17"/>
      <c r="O643" s="18"/>
      <c r="P643" s="16"/>
      <c r="Q643" s="17"/>
      <c r="R643" s="18"/>
      <c r="S643" s="14"/>
      <c r="T643" s="14"/>
      <c r="U643" s="14"/>
      <c r="W643" s="67" t="s">
        <v>634</v>
      </c>
      <c r="X643" s="68" t="s">
        <v>633</v>
      </c>
      <c r="Y643" s="69">
        <v>11.44</v>
      </c>
      <c r="Z643" t="str">
        <f>IF(AND(Tabla1[[#This Row],[nudo inicial]]=Tabla3[[#This Row],[n1]],Tabla1[[#This Row],[nudo final]]=Tabla3[[#This Row],[n2]],Tabla1[[#This Row],[longitud]]=Tabla3[[#This Row],[long]]),"si","no")</f>
        <v>si</v>
      </c>
    </row>
    <row r="644" spans="1:26" ht="15.75" x14ac:dyDescent="0.25">
      <c r="B644" t="s">
        <v>607</v>
      </c>
      <c r="C644" t="s">
        <v>635</v>
      </c>
      <c r="D644" s="19">
        <v>82.77</v>
      </c>
      <c r="E644" s="3" t="s">
        <v>30</v>
      </c>
      <c r="F644" s="3" t="s">
        <v>26</v>
      </c>
      <c r="G644" s="8" t="s">
        <v>536</v>
      </c>
      <c r="H644" s="4" t="s">
        <v>30</v>
      </c>
      <c r="I644" s="5">
        <v>1</v>
      </c>
      <c r="J644" s="8"/>
      <c r="K644" s="4"/>
      <c r="L644" s="5"/>
      <c r="M644" s="8"/>
      <c r="N644" s="4"/>
      <c r="O644" s="5"/>
      <c r="P644" s="8"/>
      <c r="Q644" s="4"/>
      <c r="R644" s="5"/>
      <c r="W644" s="67" t="s">
        <v>607</v>
      </c>
      <c r="X644" s="68" t="s">
        <v>635</v>
      </c>
      <c r="Y644" s="69">
        <v>82.77</v>
      </c>
      <c r="Z644" t="str">
        <f>IF(AND(Tabla1[[#This Row],[nudo inicial]]=Tabla3[[#This Row],[n1]],Tabla1[[#This Row],[nudo final]]=Tabla3[[#This Row],[n2]],Tabla1[[#This Row],[longitud]]=Tabla3[[#This Row],[long]]),"si","no")</f>
        <v>si</v>
      </c>
    </row>
    <row r="645" spans="1:26" ht="15.75" x14ac:dyDescent="0.25">
      <c r="B645" t="s">
        <v>635</v>
      </c>
      <c r="C645" t="s">
        <v>636</v>
      </c>
      <c r="D645" s="19">
        <v>65.489999999999995</v>
      </c>
      <c r="E645" s="3" t="s">
        <v>53</v>
      </c>
      <c r="F645" s="3" t="s">
        <v>25</v>
      </c>
      <c r="G645" s="8" t="s">
        <v>58</v>
      </c>
      <c r="H645" s="4" t="s">
        <v>30</v>
      </c>
      <c r="I645" s="5">
        <v>1</v>
      </c>
      <c r="J645" s="8" t="s">
        <v>15</v>
      </c>
      <c r="K645" s="4" t="s">
        <v>53</v>
      </c>
      <c r="L645" s="5">
        <v>1</v>
      </c>
      <c r="M645" s="8" t="s">
        <v>32</v>
      </c>
      <c r="N645" s="4" t="s">
        <v>53</v>
      </c>
      <c r="O645" s="5">
        <v>1</v>
      </c>
      <c r="P645" s="8" t="s">
        <v>17</v>
      </c>
      <c r="Q645" s="4" t="s">
        <v>53</v>
      </c>
      <c r="R645" s="5">
        <v>1</v>
      </c>
      <c r="W645" s="67" t="s">
        <v>635</v>
      </c>
      <c r="X645" s="68" t="s">
        <v>636</v>
      </c>
      <c r="Y645" s="69">
        <v>65.489999999999995</v>
      </c>
      <c r="Z645" t="str">
        <f>IF(AND(Tabla1[[#This Row],[nudo inicial]]=Tabla3[[#This Row],[n1]],Tabla1[[#This Row],[nudo final]]=Tabla3[[#This Row],[n2]],Tabla1[[#This Row],[longitud]]=Tabla3[[#This Row],[long]]),"si","no")</f>
        <v>si</v>
      </c>
    </row>
    <row r="646" spans="1:26" ht="15.75" x14ac:dyDescent="0.25">
      <c r="B646" t="s">
        <v>635</v>
      </c>
      <c r="C646" t="s">
        <v>637</v>
      </c>
      <c r="D646" s="19">
        <v>52.09</v>
      </c>
      <c r="E646" s="3" t="s">
        <v>30</v>
      </c>
      <c r="F646" s="3" t="s">
        <v>26</v>
      </c>
      <c r="G646" s="8" t="s">
        <v>57</v>
      </c>
      <c r="H646" s="4" t="s">
        <v>30</v>
      </c>
      <c r="I646" s="5">
        <v>1</v>
      </c>
      <c r="J646" s="8"/>
      <c r="K646" s="4"/>
      <c r="L646" s="5"/>
      <c r="M646" s="8"/>
      <c r="N646" s="4"/>
      <c r="O646" s="5"/>
      <c r="P646" s="8"/>
      <c r="Q646" s="4"/>
      <c r="R646" s="5"/>
      <c r="W646" s="67" t="s">
        <v>635</v>
      </c>
      <c r="X646" s="68" t="s">
        <v>637</v>
      </c>
      <c r="Y646" s="69">
        <v>52.09</v>
      </c>
      <c r="Z646" t="str">
        <f>IF(AND(Tabla1[[#This Row],[nudo inicial]]=Tabla3[[#This Row],[n1]],Tabla1[[#This Row],[nudo final]]=Tabla3[[#This Row],[n2]],Tabla1[[#This Row],[longitud]]=Tabla3[[#This Row],[long]]),"si","no")</f>
        <v>si</v>
      </c>
    </row>
    <row r="647" spans="1:26" ht="15.75" x14ac:dyDescent="0.25">
      <c r="B647" t="s">
        <v>637</v>
      </c>
      <c r="C647" t="s">
        <v>638</v>
      </c>
      <c r="D647" s="19">
        <v>60.24</v>
      </c>
      <c r="E647" s="3" t="s">
        <v>23</v>
      </c>
      <c r="F647" s="3" t="s">
        <v>26</v>
      </c>
      <c r="G647" s="8" t="s">
        <v>58</v>
      </c>
      <c r="H647" s="4" t="s">
        <v>30</v>
      </c>
      <c r="I647" s="5">
        <v>1</v>
      </c>
      <c r="J647" s="8" t="s">
        <v>15</v>
      </c>
      <c r="K647" s="4" t="s">
        <v>23</v>
      </c>
      <c r="L647" s="5">
        <v>1</v>
      </c>
      <c r="M647" s="8" t="s">
        <v>32</v>
      </c>
      <c r="N647" s="4" t="s">
        <v>23</v>
      </c>
      <c r="O647" s="5">
        <v>1</v>
      </c>
      <c r="P647" s="8"/>
      <c r="Q647" s="4"/>
      <c r="R647" s="5"/>
      <c r="W647" s="67" t="s">
        <v>637</v>
      </c>
      <c r="X647" s="68" t="s">
        <v>638</v>
      </c>
      <c r="Y647" s="69">
        <v>60.24</v>
      </c>
      <c r="Z647" t="str">
        <f>IF(AND(Tabla1[[#This Row],[nudo inicial]]=Tabla3[[#This Row],[n1]],Tabla1[[#This Row],[nudo final]]=Tabla3[[#This Row],[n2]],Tabla1[[#This Row],[longitud]]=Tabla3[[#This Row],[long]]),"si","no")</f>
        <v>si</v>
      </c>
    </row>
    <row r="648" spans="1:26" ht="15.75" x14ac:dyDescent="0.25">
      <c r="B648" t="s">
        <v>638</v>
      </c>
      <c r="C648" t="s">
        <v>639</v>
      </c>
      <c r="D648" s="19">
        <v>61.93</v>
      </c>
      <c r="E648" s="3" t="s">
        <v>53</v>
      </c>
      <c r="F648" s="3" t="s">
        <v>25</v>
      </c>
      <c r="G648" s="8" t="s">
        <v>58</v>
      </c>
      <c r="H648" s="4" t="s">
        <v>23</v>
      </c>
      <c r="I648" s="5">
        <v>1</v>
      </c>
      <c r="J648" s="8" t="s">
        <v>15</v>
      </c>
      <c r="K648" s="4" t="s">
        <v>53</v>
      </c>
      <c r="L648" s="5">
        <v>1</v>
      </c>
      <c r="M648" s="8" t="s">
        <v>32</v>
      </c>
      <c r="N648" s="4" t="s">
        <v>53</v>
      </c>
      <c r="O648" s="5">
        <v>1</v>
      </c>
      <c r="P648" s="8" t="s">
        <v>17</v>
      </c>
      <c r="Q648" s="4" t="s">
        <v>53</v>
      </c>
      <c r="R648" s="5">
        <v>1</v>
      </c>
      <c r="W648" s="67" t="s">
        <v>638</v>
      </c>
      <c r="X648" s="68" t="s">
        <v>639</v>
      </c>
      <c r="Y648" s="69">
        <v>61.93</v>
      </c>
      <c r="Z648" t="str">
        <f>IF(AND(Tabla1[[#This Row],[nudo inicial]]=Tabla3[[#This Row],[n1]],Tabla1[[#This Row],[nudo final]]=Tabla3[[#This Row],[n2]],Tabla1[[#This Row],[longitud]]=Tabla3[[#This Row],[long]]),"si","no")</f>
        <v>si</v>
      </c>
    </row>
    <row r="649" spans="1:26" ht="15.75" x14ac:dyDescent="0.25">
      <c r="B649" t="s">
        <v>638</v>
      </c>
      <c r="C649" t="s">
        <v>640</v>
      </c>
      <c r="D649" s="19">
        <v>66.040000000000006</v>
      </c>
      <c r="E649" s="3" t="s">
        <v>23</v>
      </c>
      <c r="F649" s="3" t="s">
        <v>26</v>
      </c>
      <c r="G649" s="8" t="s">
        <v>57</v>
      </c>
      <c r="H649" s="4" t="s">
        <v>23</v>
      </c>
      <c r="I649" s="5">
        <v>1</v>
      </c>
      <c r="J649" s="8"/>
      <c r="K649" s="4"/>
      <c r="L649" s="5"/>
      <c r="M649" s="8"/>
      <c r="N649" s="4"/>
      <c r="O649" s="5"/>
      <c r="P649" s="8"/>
      <c r="Q649" s="4"/>
      <c r="R649" s="5"/>
      <c r="W649" s="67" t="s">
        <v>638</v>
      </c>
      <c r="X649" s="68" t="s">
        <v>640</v>
      </c>
      <c r="Y649" s="69">
        <v>66.040000000000006</v>
      </c>
      <c r="Z649" t="str">
        <f>IF(AND(Tabla1[[#This Row],[nudo inicial]]=Tabla3[[#This Row],[n1]],Tabla1[[#This Row],[nudo final]]=Tabla3[[#This Row],[n2]],Tabla1[[#This Row],[longitud]]=Tabla3[[#This Row],[long]]),"si","no")</f>
        <v>si</v>
      </c>
    </row>
    <row r="650" spans="1:26" ht="15.75" x14ac:dyDescent="0.25">
      <c r="B650" t="s">
        <v>606</v>
      </c>
      <c r="C650" t="s">
        <v>640</v>
      </c>
      <c r="D650" s="19">
        <v>134.13</v>
      </c>
      <c r="E650" s="3" t="s">
        <v>23</v>
      </c>
      <c r="F650" s="3" t="s">
        <v>26</v>
      </c>
      <c r="G650" s="8" t="s">
        <v>536</v>
      </c>
      <c r="H650" s="4" t="s">
        <v>23</v>
      </c>
      <c r="I650" s="5">
        <v>1</v>
      </c>
      <c r="J650" s="8"/>
      <c r="K650" s="4"/>
      <c r="L650" s="5"/>
      <c r="M650" s="8"/>
      <c r="N650" s="4"/>
      <c r="O650" s="5"/>
      <c r="P650" s="8"/>
      <c r="Q650" s="4"/>
      <c r="R650" s="5"/>
      <c r="W650" s="67" t="s">
        <v>606</v>
      </c>
      <c r="X650" s="68" t="s">
        <v>640</v>
      </c>
      <c r="Y650" s="69">
        <v>134.13</v>
      </c>
      <c r="Z650" t="str">
        <f>IF(AND(Tabla1[[#This Row],[nudo inicial]]=Tabla3[[#This Row],[n1]],Tabla1[[#This Row],[nudo final]]=Tabla3[[#This Row],[n2]],Tabla1[[#This Row],[longitud]]=Tabla3[[#This Row],[long]]),"si","no")</f>
        <v>si</v>
      </c>
    </row>
    <row r="651" spans="1:26" ht="15.75" x14ac:dyDescent="0.25">
      <c r="B651" t="s">
        <v>640</v>
      </c>
      <c r="C651" t="s">
        <v>641</v>
      </c>
      <c r="D651" s="19">
        <v>137.28</v>
      </c>
      <c r="E651" s="3" t="s">
        <v>23</v>
      </c>
      <c r="F651" s="3" t="s">
        <v>26</v>
      </c>
      <c r="G651" s="8" t="s">
        <v>536</v>
      </c>
      <c r="H651" s="4" t="s">
        <v>23</v>
      </c>
      <c r="I651" s="5">
        <v>1</v>
      </c>
      <c r="J651" s="8"/>
      <c r="K651" s="4"/>
      <c r="L651" s="5"/>
      <c r="M651" s="8"/>
      <c r="N651" s="4"/>
      <c r="O651" s="5"/>
      <c r="P651" s="8"/>
      <c r="Q651" s="4"/>
      <c r="R651" s="5"/>
      <c r="W651" s="67" t="s">
        <v>640</v>
      </c>
      <c r="X651" s="68" t="s">
        <v>641</v>
      </c>
      <c r="Y651" s="69">
        <v>137.28</v>
      </c>
      <c r="Z651" t="str">
        <f>IF(AND(Tabla1[[#This Row],[nudo inicial]]=Tabla3[[#This Row],[n1]],Tabla1[[#This Row],[nudo final]]=Tabla3[[#This Row],[n2]],Tabla1[[#This Row],[longitud]]=Tabla3[[#This Row],[long]]),"si","no")</f>
        <v>si</v>
      </c>
    </row>
    <row r="652" spans="1:26" ht="15.75" x14ac:dyDescent="0.25">
      <c r="B652" t="s">
        <v>603</v>
      </c>
      <c r="C652" t="s">
        <v>641</v>
      </c>
      <c r="D652" s="19">
        <v>132.24</v>
      </c>
      <c r="E652" s="3" t="s">
        <v>23</v>
      </c>
      <c r="F652" s="3" t="s">
        <v>26</v>
      </c>
      <c r="G652" s="8" t="s">
        <v>536</v>
      </c>
      <c r="H652" s="4" t="s">
        <v>23</v>
      </c>
      <c r="I652" s="5">
        <v>1</v>
      </c>
      <c r="J652" s="8"/>
      <c r="K652" s="4"/>
      <c r="L652" s="5"/>
      <c r="M652" s="8"/>
      <c r="N652" s="4"/>
      <c r="O652" s="5"/>
      <c r="P652" s="8"/>
      <c r="Q652" s="4"/>
      <c r="R652" s="5"/>
      <c r="W652" s="67" t="s">
        <v>603</v>
      </c>
      <c r="X652" s="68" t="s">
        <v>641</v>
      </c>
      <c r="Y652" s="69">
        <v>132.24</v>
      </c>
      <c r="Z652" t="str">
        <f>IF(AND(Tabla1[[#This Row],[nudo inicial]]=Tabla3[[#This Row],[n1]],Tabla1[[#This Row],[nudo final]]=Tabla3[[#This Row],[n2]],Tabla1[[#This Row],[longitud]]=Tabla3[[#This Row],[long]]),"si","no")</f>
        <v>si</v>
      </c>
    </row>
    <row r="653" spans="1:26" ht="15.75" x14ac:dyDescent="0.25">
      <c r="B653" t="s">
        <v>641</v>
      </c>
      <c r="C653" t="s">
        <v>642</v>
      </c>
      <c r="D653" s="19">
        <v>4.9400000000000004</v>
      </c>
      <c r="E653" s="3" t="s">
        <v>23</v>
      </c>
      <c r="F653" s="3" t="s">
        <v>26</v>
      </c>
      <c r="G653" s="8" t="s">
        <v>536</v>
      </c>
      <c r="H653" s="4" t="s">
        <v>23</v>
      </c>
      <c r="I653" s="5">
        <v>1</v>
      </c>
      <c r="J653" s="8" t="s">
        <v>17</v>
      </c>
      <c r="K653" s="4" t="s">
        <v>23</v>
      </c>
      <c r="L653" s="5">
        <v>1</v>
      </c>
      <c r="M653" s="8"/>
      <c r="N653" s="4"/>
      <c r="O653" s="5"/>
      <c r="P653" s="8"/>
      <c r="Q653" s="4"/>
      <c r="R653" s="5"/>
      <c r="W653" s="67" t="s">
        <v>641</v>
      </c>
      <c r="X653" s="68" t="s">
        <v>642</v>
      </c>
      <c r="Y653" s="69">
        <v>4.9400000000000004</v>
      </c>
      <c r="Z653" t="str">
        <f>IF(AND(Tabla1[[#This Row],[nudo inicial]]=Tabla3[[#This Row],[n1]],Tabla1[[#This Row],[nudo final]]=Tabla3[[#This Row],[n2]],Tabla1[[#This Row],[longitud]]=Tabla3[[#This Row],[long]]),"si","no")</f>
        <v>si</v>
      </c>
    </row>
    <row r="654" spans="1:26" ht="30" x14ac:dyDescent="0.25">
      <c r="B654" t="s">
        <v>600</v>
      </c>
      <c r="C654" t="s">
        <v>643</v>
      </c>
      <c r="D654" s="19">
        <v>130.66</v>
      </c>
      <c r="E654" s="3" t="s">
        <v>30</v>
      </c>
      <c r="F654" s="3" t="s">
        <v>25</v>
      </c>
      <c r="G654" s="8" t="s">
        <v>536</v>
      </c>
      <c r="H654" s="4" t="s">
        <v>30</v>
      </c>
      <c r="I654" s="5">
        <v>1</v>
      </c>
      <c r="J654" s="8" t="s">
        <v>34</v>
      </c>
      <c r="K654" s="4"/>
      <c r="L654" s="5">
        <v>1</v>
      </c>
      <c r="M654" s="8"/>
      <c r="N654" s="4"/>
      <c r="O654" s="5"/>
      <c r="P654" s="8"/>
      <c r="Q654" s="4"/>
      <c r="R654" s="5"/>
      <c r="W654" s="67" t="s">
        <v>600</v>
      </c>
      <c r="X654" s="68" t="s">
        <v>643</v>
      </c>
      <c r="Y654" s="69">
        <v>130.66</v>
      </c>
      <c r="Z654" t="str">
        <f>IF(AND(Tabla1[[#This Row],[nudo inicial]]=Tabla3[[#This Row],[n1]],Tabla1[[#This Row],[nudo final]]=Tabla3[[#This Row],[n2]],Tabla1[[#This Row],[longitud]]=Tabla3[[#This Row],[long]]),"si","no")</f>
        <v>si</v>
      </c>
    </row>
    <row r="655" spans="1:26" ht="15.75" x14ac:dyDescent="0.25">
      <c r="B655" t="s">
        <v>643</v>
      </c>
      <c r="C655" t="s">
        <v>644</v>
      </c>
      <c r="D655" s="19">
        <v>73.36</v>
      </c>
      <c r="E655" s="3" t="s">
        <v>55</v>
      </c>
      <c r="F655" s="3" t="s">
        <v>28</v>
      </c>
      <c r="G655" s="8" t="s">
        <v>536</v>
      </c>
      <c r="H655" s="4" t="s">
        <v>30</v>
      </c>
      <c r="I655" s="5">
        <v>1</v>
      </c>
      <c r="J655" s="8" t="s">
        <v>15</v>
      </c>
      <c r="K655" s="4" t="s">
        <v>55</v>
      </c>
      <c r="L655" s="5">
        <v>1</v>
      </c>
      <c r="M655" s="8"/>
      <c r="N655" s="4"/>
      <c r="O655" s="5"/>
      <c r="P655" s="8"/>
      <c r="Q655" s="4"/>
      <c r="R655" s="5"/>
      <c r="W655" s="67" t="s">
        <v>643</v>
      </c>
      <c r="X655" s="68" t="s">
        <v>644</v>
      </c>
      <c r="Y655" s="69">
        <v>73.36</v>
      </c>
      <c r="Z655" t="str">
        <f>IF(AND(Tabla1[[#This Row],[nudo inicial]]=Tabla3[[#This Row],[n1]],Tabla1[[#This Row],[nudo final]]=Tabla3[[#This Row],[n2]],Tabla1[[#This Row],[longitud]]=Tabla3[[#This Row],[long]]),"si","no")</f>
        <v>si</v>
      </c>
    </row>
    <row r="656" spans="1:26" ht="15.75" x14ac:dyDescent="0.25">
      <c r="B656" t="s">
        <v>644</v>
      </c>
      <c r="C656" t="s">
        <v>645</v>
      </c>
      <c r="D656" s="19">
        <v>52.36</v>
      </c>
      <c r="E656" s="3" t="s">
        <v>53</v>
      </c>
      <c r="F656" s="3" t="s">
        <v>25</v>
      </c>
      <c r="G656" s="8" t="s">
        <v>58</v>
      </c>
      <c r="H656" s="4" t="s">
        <v>55</v>
      </c>
      <c r="I656" s="5">
        <v>1</v>
      </c>
      <c r="J656" s="8" t="s">
        <v>15</v>
      </c>
      <c r="K656" s="4" t="s">
        <v>53</v>
      </c>
      <c r="L656" s="5">
        <v>1</v>
      </c>
      <c r="M656" s="8" t="s">
        <v>32</v>
      </c>
      <c r="N656" s="4" t="s">
        <v>53</v>
      </c>
      <c r="O656" s="5">
        <v>1</v>
      </c>
      <c r="P656" s="8" t="s">
        <v>17</v>
      </c>
      <c r="Q656" s="4" t="s">
        <v>53</v>
      </c>
      <c r="R656" s="5">
        <v>1</v>
      </c>
      <c r="W656" s="67" t="s">
        <v>644</v>
      </c>
      <c r="X656" s="68" t="s">
        <v>645</v>
      </c>
      <c r="Y656" s="69">
        <v>52.36</v>
      </c>
      <c r="Z656" t="str">
        <f>IF(AND(Tabla1[[#This Row],[nudo inicial]]=Tabla3[[#This Row],[n1]],Tabla1[[#This Row],[nudo final]]=Tabla3[[#This Row],[n2]],Tabla1[[#This Row],[longitud]]=Tabla3[[#This Row],[long]]),"si","no")</f>
        <v>si</v>
      </c>
    </row>
    <row r="657" spans="1:26" ht="15.75" x14ac:dyDescent="0.25">
      <c r="B657" t="s">
        <v>644</v>
      </c>
      <c r="C657" t="s">
        <v>646</v>
      </c>
      <c r="D657" s="19">
        <v>49.43</v>
      </c>
      <c r="E657" s="3" t="s">
        <v>55</v>
      </c>
      <c r="F657" s="3" t="s">
        <v>28</v>
      </c>
      <c r="G657" s="8" t="s">
        <v>57</v>
      </c>
      <c r="H657" s="4" t="s">
        <v>55</v>
      </c>
      <c r="I657" s="5">
        <v>1</v>
      </c>
      <c r="J657" s="8" t="s">
        <v>17</v>
      </c>
      <c r="K657" s="4" t="s">
        <v>55</v>
      </c>
      <c r="L657" s="5">
        <v>1</v>
      </c>
      <c r="M657" s="8"/>
      <c r="N657" s="4"/>
      <c r="O657" s="5"/>
      <c r="P657" s="8"/>
      <c r="Q657" s="4"/>
      <c r="R657" s="5"/>
      <c r="W657" s="67" t="s">
        <v>644</v>
      </c>
      <c r="X657" s="68" t="s">
        <v>646</v>
      </c>
      <c r="Y657" s="69">
        <v>49.43</v>
      </c>
      <c r="Z657" t="str">
        <f>IF(AND(Tabla1[[#This Row],[nudo inicial]]=Tabla3[[#This Row],[n1]],Tabla1[[#This Row],[nudo final]]=Tabla3[[#This Row],[n2]],Tabla1[[#This Row],[longitud]]=Tabla3[[#This Row],[long]]),"si","no")</f>
        <v>si</v>
      </c>
    </row>
    <row r="658" spans="1:26" ht="15.75" x14ac:dyDescent="0.25">
      <c r="B658" t="s">
        <v>643</v>
      </c>
      <c r="C658" t="s">
        <v>647</v>
      </c>
      <c r="D658" s="19">
        <v>284.89</v>
      </c>
      <c r="E658" s="3" t="s">
        <v>126</v>
      </c>
      <c r="F658" s="3" t="s">
        <v>25</v>
      </c>
      <c r="G658" s="8" t="s">
        <v>536</v>
      </c>
      <c r="H658" s="4" t="s">
        <v>30</v>
      </c>
      <c r="I658" s="5">
        <v>1</v>
      </c>
      <c r="J658" s="8" t="s">
        <v>15</v>
      </c>
      <c r="K658" s="4" t="s">
        <v>126</v>
      </c>
      <c r="L658" s="5">
        <v>1</v>
      </c>
      <c r="M658" s="8" t="s">
        <v>32</v>
      </c>
      <c r="N658" s="4" t="s">
        <v>126</v>
      </c>
      <c r="O658" s="5">
        <v>2</v>
      </c>
      <c r="P658" s="8"/>
      <c r="Q658" s="4"/>
      <c r="R658" s="5"/>
      <c r="W658" s="67" t="s">
        <v>643</v>
      </c>
      <c r="X658" s="68" t="s">
        <v>647</v>
      </c>
      <c r="Y658" s="69">
        <v>284.89</v>
      </c>
      <c r="Z658" t="str">
        <f>IF(AND(Tabla1[[#This Row],[nudo inicial]]=Tabla3[[#This Row],[n1]],Tabla1[[#This Row],[nudo final]]=Tabla3[[#This Row],[n2]],Tabla1[[#This Row],[longitud]]=Tabla3[[#This Row],[long]]),"si","no")</f>
        <v>si</v>
      </c>
    </row>
    <row r="659" spans="1:26" ht="15.75" x14ac:dyDescent="0.25">
      <c r="B659" t="s">
        <v>598</v>
      </c>
      <c r="C659" t="s">
        <v>648</v>
      </c>
      <c r="D659" s="19">
        <v>143.97</v>
      </c>
      <c r="E659" s="3" t="s">
        <v>126</v>
      </c>
      <c r="F659" s="3" t="s">
        <v>26</v>
      </c>
      <c r="G659" s="8" t="s">
        <v>536</v>
      </c>
      <c r="H659" s="4" t="s">
        <v>126</v>
      </c>
      <c r="I659" s="5">
        <v>1</v>
      </c>
      <c r="J659" s="8" t="s">
        <v>32</v>
      </c>
      <c r="K659" s="4" t="s">
        <v>126</v>
      </c>
      <c r="L659" s="5">
        <v>1</v>
      </c>
      <c r="M659" s="8"/>
      <c r="N659" s="4"/>
      <c r="O659" s="5"/>
      <c r="P659" s="8"/>
      <c r="Q659" s="4"/>
      <c r="R659" s="5"/>
      <c r="W659" s="67" t="s">
        <v>598</v>
      </c>
      <c r="X659" s="68" t="s">
        <v>648</v>
      </c>
      <c r="Y659" s="69">
        <v>143.97</v>
      </c>
      <c r="Z659" t="str">
        <f>IF(AND(Tabla1[[#This Row],[nudo inicial]]=Tabla3[[#This Row],[n1]],Tabla1[[#This Row],[nudo final]]=Tabla3[[#This Row],[n2]],Tabla1[[#This Row],[longitud]]=Tabla3[[#This Row],[long]]),"si","no")</f>
        <v>si</v>
      </c>
    </row>
    <row r="660" spans="1:26" ht="15.75" x14ac:dyDescent="0.25">
      <c r="B660" t="s">
        <v>648</v>
      </c>
      <c r="C660" t="s">
        <v>649</v>
      </c>
      <c r="D660" s="19">
        <v>66.58</v>
      </c>
      <c r="E660" s="3" t="s">
        <v>126</v>
      </c>
      <c r="F660" s="3" t="s">
        <v>25</v>
      </c>
      <c r="G660" s="8"/>
      <c r="H660" s="4"/>
      <c r="I660" s="5"/>
      <c r="J660" s="8"/>
      <c r="K660" s="4"/>
      <c r="L660" s="5"/>
      <c r="M660" s="8"/>
      <c r="N660" s="4"/>
      <c r="O660" s="5"/>
      <c r="P660" s="8"/>
      <c r="Q660" s="4"/>
      <c r="R660" s="5"/>
      <c r="W660" s="67" t="s">
        <v>648</v>
      </c>
      <c r="X660" s="68" t="s">
        <v>649</v>
      </c>
      <c r="Y660" s="69">
        <v>66.58</v>
      </c>
      <c r="Z660" t="str">
        <f>IF(AND(Tabla1[[#This Row],[nudo inicial]]=Tabla3[[#This Row],[n1]],Tabla1[[#This Row],[nudo final]]=Tabla3[[#This Row],[n2]],Tabla1[[#This Row],[longitud]]=Tabla3[[#This Row],[long]]),"si","no")</f>
        <v>si</v>
      </c>
    </row>
    <row r="661" spans="1:26" ht="15.75" x14ac:dyDescent="0.25">
      <c r="B661" t="s">
        <v>649</v>
      </c>
      <c r="C661" t="s">
        <v>650</v>
      </c>
      <c r="D661" s="19">
        <v>70.41</v>
      </c>
      <c r="E661" s="3" t="s">
        <v>53</v>
      </c>
      <c r="F661" s="3" t="s">
        <v>25</v>
      </c>
      <c r="G661" s="8" t="s">
        <v>58</v>
      </c>
      <c r="H661" s="4" t="s">
        <v>126</v>
      </c>
      <c r="I661" s="5">
        <v>1</v>
      </c>
      <c r="J661" s="8" t="s">
        <v>15</v>
      </c>
      <c r="K661" s="4" t="s">
        <v>53</v>
      </c>
      <c r="L661" s="5">
        <v>1</v>
      </c>
      <c r="M661" s="8" t="s">
        <v>17</v>
      </c>
      <c r="N661" s="4" t="s">
        <v>53</v>
      </c>
      <c r="O661" s="5">
        <v>1</v>
      </c>
      <c r="P661" s="8"/>
      <c r="Q661" s="4"/>
      <c r="R661" s="5"/>
      <c r="W661" s="67" t="s">
        <v>649</v>
      </c>
      <c r="X661" s="68" t="s">
        <v>650</v>
      </c>
      <c r="Y661" s="69">
        <v>70.41</v>
      </c>
      <c r="Z661" t="str">
        <f>IF(AND(Tabla1[[#This Row],[nudo inicial]]=Tabla3[[#This Row],[n1]],Tabla1[[#This Row],[nudo final]]=Tabla3[[#This Row],[n2]],Tabla1[[#This Row],[longitud]]=Tabla3[[#This Row],[long]]),"si","no")</f>
        <v>si</v>
      </c>
    </row>
    <row r="662" spans="1:26" ht="15.75" x14ac:dyDescent="0.25">
      <c r="B662" t="s">
        <v>649</v>
      </c>
      <c r="C662" t="s">
        <v>651</v>
      </c>
      <c r="D662" s="19">
        <v>51.53</v>
      </c>
      <c r="E662" s="3" t="s">
        <v>126</v>
      </c>
      <c r="F662" s="3" t="s">
        <v>25</v>
      </c>
      <c r="G662" s="8" t="s">
        <v>57</v>
      </c>
      <c r="H662" s="4" t="s">
        <v>126</v>
      </c>
      <c r="I662" s="5">
        <v>1</v>
      </c>
      <c r="J662" s="8" t="s">
        <v>17</v>
      </c>
      <c r="K662" s="4" t="s">
        <v>126</v>
      </c>
      <c r="L662" s="5">
        <v>1</v>
      </c>
      <c r="M662" s="8"/>
      <c r="N662" s="4"/>
      <c r="O662" s="5"/>
      <c r="P662" s="8"/>
      <c r="Q662" s="4"/>
      <c r="R662" s="5"/>
      <c r="W662" s="67" t="s">
        <v>649</v>
      </c>
      <c r="X662" s="68" t="s">
        <v>651</v>
      </c>
      <c r="Y662" s="69">
        <v>51.53</v>
      </c>
      <c r="Z662" t="str">
        <f>IF(AND(Tabla1[[#This Row],[nudo inicial]]=Tabla3[[#This Row],[n1]],Tabla1[[#This Row],[nudo final]]=Tabla3[[#This Row],[n2]],Tabla1[[#This Row],[longitud]]=Tabla3[[#This Row],[long]]),"si","no")</f>
        <v>si</v>
      </c>
    </row>
    <row r="663" spans="1:26" ht="30" x14ac:dyDescent="0.25">
      <c r="B663" t="s">
        <v>595</v>
      </c>
      <c r="C663" t="s">
        <v>647</v>
      </c>
      <c r="D663" s="19">
        <v>132.15</v>
      </c>
      <c r="E663" s="3" t="s">
        <v>23</v>
      </c>
      <c r="F663" s="3" t="s">
        <v>26</v>
      </c>
      <c r="G663" s="8" t="s">
        <v>536</v>
      </c>
      <c r="H663" s="4" t="s">
        <v>23</v>
      </c>
      <c r="I663" s="5">
        <v>1</v>
      </c>
      <c r="J663" s="8" t="s">
        <v>34</v>
      </c>
      <c r="K663" s="4"/>
      <c r="L663" s="5">
        <v>1</v>
      </c>
      <c r="M663" s="8" t="s">
        <v>6</v>
      </c>
      <c r="N663" s="4" t="s">
        <v>126</v>
      </c>
      <c r="O663" s="5">
        <v>1</v>
      </c>
      <c r="P663" s="8"/>
      <c r="Q663" s="4"/>
      <c r="R663" s="5"/>
      <c r="W663" s="67" t="s">
        <v>595</v>
      </c>
      <c r="X663" s="68" t="s">
        <v>647</v>
      </c>
      <c r="Y663" s="69">
        <v>132.15</v>
      </c>
      <c r="Z663" t="str">
        <f>IF(AND(Tabla1[[#This Row],[nudo inicial]]=Tabla3[[#This Row],[n1]],Tabla1[[#This Row],[nudo final]]=Tabla3[[#This Row],[n2]],Tabla1[[#This Row],[longitud]]=Tabla3[[#This Row],[long]]),"si","no")</f>
        <v>si</v>
      </c>
    </row>
    <row r="664" spans="1:26" ht="15.75" x14ac:dyDescent="0.25">
      <c r="B664" t="s">
        <v>647</v>
      </c>
      <c r="C664" t="s">
        <v>652</v>
      </c>
      <c r="D664" s="19">
        <v>72.73</v>
      </c>
      <c r="E664" s="3" t="s">
        <v>126</v>
      </c>
      <c r="F664" s="3" t="s">
        <v>25</v>
      </c>
      <c r="G664" s="8" t="s">
        <v>536</v>
      </c>
      <c r="H664" s="4" t="s">
        <v>126</v>
      </c>
      <c r="I664" s="5">
        <v>1</v>
      </c>
      <c r="J664" s="8"/>
      <c r="K664" s="4"/>
      <c r="L664" s="5"/>
      <c r="M664" s="8"/>
      <c r="N664" s="4"/>
      <c r="O664" s="5"/>
      <c r="P664" s="8"/>
      <c r="Q664" s="4"/>
      <c r="R664" s="5"/>
      <c r="W664" s="67" t="s">
        <v>647</v>
      </c>
      <c r="X664" s="68" t="s">
        <v>652</v>
      </c>
      <c r="Y664" s="69">
        <v>72.73</v>
      </c>
      <c r="Z664" t="str">
        <f>IF(AND(Tabla1[[#This Row],[nudo inicial]]=Tabla3[[#This Row],[n1]],Tabla1[[#This Row],[nudo final]]=Tabla3[[#This Row],[n2]],Tabla1[[#This Row],[longitud]]=Tabla3[[#This Row],[long]]),"si","no")</f>
        <v>si</v>
      </c>
    </row>
    <row r="665" spans="1:26" ht="15.75" x14ac:dyDescent="0.25">
      <c r="B665" t="s">
        <v>652</v>
      </c>
      <c r="C665" t="s">
        <v>653</v>
      </c>
      <c r="D665" s="19">
        <v>46.68</v>
      </c>
      <c r="E665" s="3" t="s">
        <v>53</v>
      </c>
      <c r="F665" s="3" t="s">
        <v>25</v>
      </c>
      <c r="G665" s="8" t="s">
        <v>58</v>
      </c>
      <c r="H665" s="4" t="s">
        <v>126</v>
      </c>
      <c r="I665" s="5">
        <v>1</v>
      </c>
      <c r="J665" s="8" t="s">
        <v>15</v>
      </c>
      <c r="K665" s="4" t="s">
        <v>53</v>
      </c>
      <c r="L665" s="5">
        <v>1</v>
      </c>
      <c r="M665" s="8" t="s">
        <v>32</v>
      </c>
      <c r="N665" s="4" t="s">
        <v>53</v>
      </c>
      <c r="O665" s="5">
        <v>1</v>
      </c>
      <c r="P665" s="8" t="s">
        <v>17</v>
      </c>
      <c r="Q665" s="4" t="s">
        <v>53</v>
      </c>
      <c r="R665" s="5">
        <v>1</v>
      </c>
      <c r="W665" s="67" t="s">
        <v>652</v>
      </c>
      <c r="X665" s="68" t="s">
        <v>653</v>
      </c>
      <c r="Y665" s="69">
        <v>46.68</v>
      </c>
      <c r="Z665" t="str">
        <f>IF(AND(Tabla1[[#This Row],[nudo inicial]]=Tabla3[[#This Row],[n1]],Tabla1[[#This Row],[nudo final]]=Tabla3[[#This Row],[n2]],Tabla1[[#This Row],[longitud]]=Tabla3[[#This Row],[long]]),"si","no")</f>
        <v>si</v>
      </c>
    </row>
    <row r="666" spans="1:26" ht="15.75" x14ac:dyDescent="0.25">
      <c r="A666" s="14"/>
      <c r="B666" t="s">
        <v>652</v>
      </c>
      <c r="C666" t="s">
        <v>654</v>
      </c>
      <c r="D666" s="19">
        <v>67.81</v>
      </c>
      <c r="E666" s="3" t="s">
        <v>126</v>
      </c>
      <c r="F666" s="3" t="s">
        <v>25</v>
      </c>
      <c r="G666" s="8" t="s">
        <v>57</v>
      </c>
      <c r="H666" s="4" t="s">
        <v>126</v>
      </c>
      <c r="I666" s="5">
        <v>1</v>
      </c>
      <c r="J666" s="8"/>
      <c r="K666" s="4"/>
      <c r="L666" s="5"/>
      <c r="M666" s="8"/>
      <c r="N666" s="4"/>
      <c r="O666" s="5"/>
      <c r="P666" s="8"/>
      <c r="Q666" s="4"/>
      <c r="R666" s="5"/>
      <c r="W666" s="67" t="s">
        <v>652</v>
      </c>
      <c r="X666" s="68" t="s">
        <v>654</v>
      </c>
      <c r="Y666" s="69">
        <v>67.81</v>
      </c>
      <c r="Z666" t="str">
        <f>IF(AND(Tabla1[[#This Row],[nudo inicial]]=Tabla3[[#This Row],[n1]],Tabla1[[#This Row],[nudo final]]=Tabla3[[#This Row],[n2]],Tabla1[[#This Row],[longitud]]=Tabla3[[#This Row],[long]]),"si","no")</f>
        <v>si</v>
      </c>
    </row>
    <row r="667" spans="1:26" ht="30" x14ac:dyDescent="0.25">
      <c r="B667" s="14" t="s">
        <v>594</v>
      </c>
      <c r="C667" s="14" t="s">
        <v>654</v>
      </c>
      <c r="D667" s="20">
        <v>130.05000000000001</v>
      </c>
      <c r="E667" s="15" t="s">
        <v>55</v>
      </c>
      <c r="F667" s="15" t="s">
        <v>26</v>
      </c>
      <c r="G667" s="16" t="s">
        <v>536</v>
      </c>
      <c r="H667" s="17" t="s">
        <v>55</v>
      </c>
      <c r="I667" s="18">
        <v>1</v>
      </c>
      <c r="J667" s="16" t="s">
        <v>33</v>
      </c>
      <c r="K667" s="17"/>
      <c r="L667" s="18">
        <v>1</v>
      </c>
      <c r="M667" s="16"/>
      <c r="N667" s="17"/>
      <c r="O667" s="18"/>
      <c r="P667" s="16"/>
      <c r="Q667" s="17"/>
      <c r="R667" s="18"/>
      <c r="S667" s="14"/>
      <c r="T667" s="14"/>
      <c r="U667" s="14"/>
      <c r="W667" s="67" t="s">
        <v>594</v>
      </c>
      <c r="X667" s="68" t="s">
        <v>654</v>
      </c>
      <c r="Y667" s="69">
        <v>130.05000000000001</v>
      </c>
      <c r="Z667" t="str">
        <f>IF(AND(Tabla1[[#This Row],[nudo inicial]]=Tabla3[[#This Row],[n1]],Tabla1[[#This Row],[nudo final]]=Tabla3[[#This Row],[n2]],Tabla1[[#This Row],[longitud]]=Tabla3[[#This Row],[long]]),"si","no")</f>
        <v>si</v>
      </c>
    </row>
    <row r="668" spans="1:26" ht="15.75" x14ac:dyDescent="0.25">
      <c r="B668" t="s">
        <v>654</v>
      </c>
      <c r="C668" t="s">
        <v>655</v>
      </c>
      <c r="D668" s="19">
        <v>83.13</v>
      </c>
      <c r="E668" s="3" t="s">
        <v>23</v>
      </c>
      <c r="F668" s="3" t="s">
        <v>25</v>
      </c>
      <c r="G668" s="8" t="s">
        <v>536</v>
      </c>
      <c r="H668" s="4" t="s">
        <v>55</v>
      </c>
      <c r="I668" s="5">
        <v>1</v>
      </c>
      <c r="J668" s="8" t="s">
        <v>15</v>
      </c>
      <c r="K668" s="4" t="s">
        <v>23</v>
      </c>
      <c r="L668" s="5">
        <v>1</v>
      </c>
      <c r="M668" s="8"/>
      <c r="N668" s="4"/>
      <c r="O668" s="5"/>
      <c r="P668" s="8"/>
      <c r="Q668" s="4"/>
      <c r="R668" s="5"/>
      <c r="W668" s="67" t="s">
        <v>654</v>
      </c>
      <c r="X668" s="68" t="s">
        <v>655</v>
      </c>
      <c r="Y668" s="69">
        <v>83.13</v>
      </c>
      <c r="Z668" t="str">
        <f>IF(AND(Tabla1[[#This Row],[nudo inicial]]=Tabla3[[#This Row],[n1]],Tabla1[[#This Row],[nudo final]]=Tabla3[[#This Row],[n2]],Tabla1[[#This Row],[longitud]]=Tabla3[[#This Row],[long]]),"si","no")</f>
        <v>si</v>
      </c>
    </row>
    <row r="669" spans="1:26" ht="15.75" x14ac:dyDescent="0.25">
      <c r="B669" t="s">
        <v>655</v>
      </c>
      <c r="C669" t="s">
        <v>656</v>
      </c>
      <c r="D669" s="19">
        <v>41</v>
      </c>
      <c r="E669" s="3" t="s">
        <v>53</v>
      </c>
      <c r="F669" s="3" t="s">
        <v>25</v>
      </c>
      <c r="G669" s="8" t="s">
        <v>58</v>
      </c>
      <c r="H669" s="4" t="s">
        <v>23</v>
      </c>
      <c r="I669" s="5">
        <v>1</v>
      </c>
      <c r="J669" s="8" t="s">
        <v>15</v>
      </c>
      <c r="K669" s="4" t="s">
        <v>53</v>
      </c>
      <c r="L669" s="5">
        <v>1</v>
      </c>
      <c r="M669" s="8"/>
      <c r="N669" s="4"/>
      <c r="O669" s="5"/>
      <c r="P669" s="8"/>
      <c r="Q669" s="4"/>
      <c r="R669" s="5"/>
      <c r="W669" s="67" t="s">
        <v>655</v>
      </c>
      <c r="X669" s="68" t="s">
        <v>656</v>
      </c>
      <c r="Y669" s="69">
        <v>41</v>
      </c>
      <c r="Z669" t="str">
        <f>IF(AND(Tabla1[[#This Row],[nudo inicial]]=Tabla3[[#This Row],[n1]],Tabla1[[#This Row],[nudo final]]=Tabla3[[#This Row],[n2]],Tabla1[[#This Row],[longitud]]=Tabla3[[#This Row],[long]]),"si","no")</f>
        <v>si</v>
      </c>
    </row>
    <row r="670" spans="1:26" ht="15.75" x14ac:dyDescent="0.25">
      <c r="B670" t="s">
        <v>656</v>
      </c>
      <c r="C670" t="s">
        <v>657</v>
      </c>
      <c r="D670" s="19">
        <v>60.17</v>
      </c>
      <c r="E670" s="3" t="s">
        <v>53</v>
      </c>
      <c r="F670" s="3" t="s">
        <v>25</v>
      </c>
      <c r="G670" s="8" t="s">
        <v>58</v>
      </c>
      <c r="H670" s="4" t="s">
        <v>53</v>
      </c>
      <c r="I670" s="5">
        <v>1</v>
      </c>
      <c r="J670" s="8" t="s">
        <v>32</v>
      </c>
      <c r="K670" s="4" t="s">
        <v>53</v>
      </c>
      <c r="L670" s="5">
        <v>1</v>
      </c>
      <c r="M670" s="8" t="s">
        <v>16</v>
      </c>
      <c r="N670" s="4" t="s">
        <v>53</v>
      </c>
      <c r="O670" s="5">
        <v>1</v>
      </c>
      <c r="P670" s="8" t="s">
        <v>17</v>
      </c>
      <c r="Q670" s="4" t="s">
        <v>53</v>
      </c>
      <c r="R670" s="5">
        <v>1</v>
      </c>
      <c r="W670" s="67" t="s">
        <v>656</v>
      </c>
      <c r="X670" s="68" t="s">
        <v>657</v>
      </c>
      <c r="Y670" s="69">
        <v>60.17</v>
      </c>
      <c r="Z670" t="str">
        <f>IF(AND(Tabla1[[#This Row],[nudo inicial]]=Tabla3[[#This Row],[n1]],Tabla1[[#This Row],[nudo final]]=Tabla3[[#This Row],[n2]],Tabla1[[#This Row],[longitud]]=Tabla3[[#This Row],[long]]),"si","no")</f>
        <v>si</v>
      </c>
    </row>
    <row r="671" spans="1:26" ht="15.75" x14ac:dyDescent="0.25">
      <c r="B671" t="s">
        <v>656</v>
      </c>
      <c r="C671" t="s">
        <v>658</v>
      </c>
      <c r="D671" s="19">
        <v>30.95</v>
      </c>
      <c r="E671" s="3" t="s">
        <v>53</v>
      </c>
      <c r="F671" s="3" t="s">
        <v>25</v>
      </c>
      <c r="G671" s="8" t="s">
        <v>57</v>
      </c>
      <c r="H671" s="4" t="s">
        <v>53</v>
      </c>
      <c r="I671" s="5">
        <v>1</v>
      </c>
      <c r="J671" s="8"/>
      <c r="K671" s="4"/>
      <c r="L671" s="5"/>
      <c r="M671" s="8"/>
      <c r="N671" s="4"/>
      <c r="O671" s="5"/>
      <c r="P671" s="8"/>
      <c r="Q671" s="4"/>
      <c r="R671" s="5"/>
      <c r="W671" s="67" t="s">
        <v>656</v>
      </c>
      <c r="X671" s="68" t="s">
        <v>658</v>
      </c>
      <c r="Y671" s="69">
        <v>30.95</v>
      </c>
      <c r="Z671" t="str">
        <f>IF(AND(Tabla1[[#This Row],[nudo inicial]]=Tabla3[[#This Row],[n1]],Tabla1[[#This Row],[nudo final]]=Tabla3[[#This Row],[n2]],Tabla1[[#This Row],[longitud]]=Tabla3[[#This Row],[long]]),"si","no")</f>
        <v>si</v>
      </c>
    </row>
    <row r="672" spans="1:26" ht="15.75" x14ac:dyDescent="0.25">
      <c r="B672" t="s">
        <v>658</v>
      </c>
      <c r="C672" t="s">
        <v>659</v>
      </c>
      <c r="D672" s="19">
        <v>77.7</v>
      </c>
      <c r="E672" s="3" t="s">
        <v>53</v>
      </c>
      <c r="F672" s="3" t="s">
        <v>25</v>
      </c>
      <c r="G672" s="8" t="s">
        <v>58</v>
      </c>
      <c r="H672" s="4" t="s">
        <v>53</v>
      </c>
      <c r="I672" s="5">
        <v>1</v>
      </c>
      <c r="J672" s="8" t="s">
        <v>32</v>
      </c>
      <c r="K672" s="4" t="s">
        <v>53</v>
      </c>
      <c r="L672" s="5">
        <v>1</v>
      </c>
      <c r="M672" s="8" t="s">
        <v>17</v>
      </c>
      <c r="N672" s="4" t="s">
        <v>53</v>
      </c>
      <c r="O672" s="5">
        <v>1</v>
      </c>
      <c r="P672" s="8"/>
      <c r="Q672" s="4"/>
      <c r="R672" s="5"/>
      <c r="W672" s="67" t="s">
        <v>658</v>
      </c>
      <c r="X672" s="68" t="s">
        <v>659</v>
      </c>
      <c r="Y672" s="69">
        <v>77.7</v>
      </c>
      <c r="Z672" t="str">
        <f>IF(AND(Tabla1[[#This Row],[nudo inicial]]=Tabla3[[#This Row],[n1]],Tabla1[[#This Row],[nudo final]]=Tabla3[[#This Row],[n2]],Tabla1[[#This Row],[longitud]]=Tabla3[[#This Row],[long]]),"si","no")</f>
        <v>si</v>
      </c>
    </row>
    <row r="673" spans="1:26" ht="15.75" x14ac:dyDescent="0.25">
      <c r="B673" t="s">
        <v>658</v>
      </c>
      <c r="C673" t="s">
        <v>660</v>
      </c>
      <c r="D673" s="19">
        <v>52.29</v>
      </c>
      <c r="E673" s="3" t="s">
        <v>53</v>
      </c>
      <c r="F673" s="3" t="s">
        <v>25</v>
      </c>
      <c r="G673" s="8" t="s">
        <v>57</v>
      </c>
      <c r="H673" s="4" t="s">
        <v>53</v>
      </c>
      <c r="I673" s="5">
        <v>1</v>
      </c>
      <c r="J673" s="8" t="s">
        <v>17</v>
      </c>
      <c r="K673" s="4" t="s">
        <v>53</v>
      </c>
      <c r="L673" s="5">
        <v>1</v>
      </c>
      <c r="M673" s="8"/>
      <c r="N673" s="4"/>
      <c r="O673" s="5"/>
      <c r="P673" s="8"/>
      <c r="Q673" s="4"/>
      <c r="R673" s="5"/>
      <c r="W673" s="67" t="s">
        <v>658</v>
      </c>
      <c r="X673" s="68" t="s">
        <v>660</v>
      </c>
      <c r="Y673" s="69">
        <v>52.29</v>
      </c>
      <c r="Z673" t="str">
        <f>IF(AND(Tabla1[[#This Row],[nudo inicial]]=Tabla3[[#This Row],[n1]],Tabla1[[#This Row],[nudo final]]=Tabla3[[#This Row],[n2]],Tabla1[[#This Row],[longitud]]=Tabla3[[#This Row],[long]]),"si","no")</f>
        <v>si</v>
      </c>
    </row>
    <row r="674" spans="1:26" ht="15.75" x14ac:dyDescent="0.25">
      <c r="A674" s="28"/>
      <c r="B674" t="s">
        <v>655</v>
      </c>
      <c r="C674" t="s">
        <v>661</v>
      </c>
      <c r="D674" s="19">
        <v>24.18</v>
      </c>
      <c r="E674" s="3" t="s">
        <v>23</v>
      </c>
      <c r="F674" s="3" t="s">
        <v>25</v>
      </c>
      <c r="G674" s="8" t="s">
        <v>57</v>
      </c>
      <c r="H674" s="4" t="s">
        <v>23</v>
      </c>
      <c r="I674" s="5">
        <v>1</v>
      </c>
      <c r="J674" s="8"/>
      <c r="K674" s="4"/>
      <c r="L674" s="5"/>
      <c r="M674" s="8"/>
      <c r="N674" s="4"/>
      <c r="O674" s="5"/>
      <c r="P674" s="8"/>
      <c r="Q674" s="4"/>
      <c r="R674" s="5"/>
      <c r="W674" s="67" t="s">
        <v>655</v>
      </c>
      <c r="X674" s="68" t="s">
        <v>661</v>
      </c>
      <c r="Y674" s="69">
        <v>24.18</v>
      </c>
      <c r="Z674" t="str">
        <f>IF(AND(Tabla1[[#This Row],[nudo inicial]]=Tabla3[[#This Row],[n1]],Tabla1[[#This Row],[nudo final]]=Tabla3[[#This Row],[n2]],Tabla1[[#This Row],[longitud]]=Tabla3[[#This Row],[long]]),"si","no")</f>
        <v>si</v>
      </c>
    </row>
    <row r="675" spans="1:26" ht="15.75" x14ac:dyDescent="0.25">
      <c r="B675" s="28" t="s">
        <v>661</v>
      </c>
      <c r="C675" s="28" t="s">
        <v>662</v>
      </c>
      <c r="D675" s="29">
        <v>40.119999999999997</v>
      </c>
      <c r="E675" s="30" t="s">
        <v>53</v>
      </c>
      <c r="F675" s="30" t="s">
        <v>28</v>
      </c>
      <c r="G675" s="31" t="s">
        <v>58</v>
      </c>
      <c r="H675" s="32" t="s">
        <v>23</v>
      </c>
      <c r="I675" s="33">
        <v>1</v>
      </c>
      <c r="J675" s="31" t="s">
        <v>15</v>
      </c>
      <c r="K675" s="32" t="s">
        <v>53</v>
      </c>
      <c r="L675" s="33">
        <v>1</v>
      </c>
      <c r="M675" s="31" t="s">
        <v>17</v>
      </c>
      <c r="N675" s="32" t="s">
        <v>53</v>
      </c>
      <c r="O675" s="33">
        <v>1</v>
      </c>
      <c r="P675" s="31"/>
      <c r="Q675" s="32"/>
      <c r="R675" s="33"/>
      <c r="S675" s="28"/>
      <c r="T675" s="28"/>
      <c r="U675" s="28"/>
      <c r="W675" s="67" t="s">
        <v>661</v>
      </c>
      <c r="X675" s="68" t="s">
        <v>662</v>
      </c>
      <c r="Y675" s="69">
        <v>40.119999999999997</v>
      </c>
      <c r="Z675" t="str">
        <f>IF(AND(Tabla1[[#This Row],[nudo inicial]]=Tabla3[[#This Row],[n1]],Tabla1[[#This Row],[nudo final]]=Tabla3[[#This Row],[n2]],Tabla1[[#This Row],[longitud]]=Tabla3[[#This Row],[long]]),"si","no")</f>
        <v>si</v>
      </c>
    </row>
    <row r="676" spans="1:26" ht="15.75" x14ac:dyDescent="0.25">
      <c r="B676" t="s">
        <v>661</v>
      </c>
      <c r="C676" t="s">
        <v>663</v>
      </c>
      <c r="D676" s="19">
        <v>81.99</v>
      </c>
      <c r="E676" s="3" t="s">
        <v>23</v>
      </c>
      <c r="F676" s="3" t="s">
        <v>25</v>
      </c>
      <c r="G676" s="8" t="s">
        <v>57</v>
      </c>
      <c r="H676" s="4" t="s">
        <v>23</v>
      </c>
      <c r="I676" s="5">
        <v>1</v>
      </c>
      <c r="J676" s="8"/>
      <c r="K676" s="4"/>
      <c r="L676" s="5"/>
      <c r="M676" s="8"/>
      <c r="N676" s="4"/>
      <c r="O676" s="5"/>
      <c r="P676" s="8"/>
      <c r="Q676" s="4"/>
      <c r="R676" s="5"/>
      <c r="W676" s="67" t="s">
        <v>661</v>
      </c>
      <c r="X676" s="68" t="s">
        <v>663</v>
      </c>
      <c r="Y676" s="69">
        <v>81.99</v>
      </c>
      <c r="Z676" t="str">
        <f>IF(AND(Tabla1[[#This Row],[nudo inicial]]=Tabla3[[#This Row],[n1]],Tabla1[[#This Row],[nudo final]]=Tabla3[[#This Row],[n2]],Tabla1[[#This Row],[longitud]]=Tabla3[[#This Row],[long]]),"si","no")</f>
        <v>si</v>
      </c>
    </row>
    <row r="677" spans="1:26" ht="15.75" x14ac:dyDescent="0.25">
      <c r="B677" t="s">
        <v>663</v>
      </c>
      <c r="C677" t="s">
        <v>664</v>
      </c>
      <c r="D677" s="19">
        <v>58.26</v>
      </c>
      <c r="E677" s="3" t="s">
        <v>53</v>
      </c>
      <c r="F677" s="3" t="s">
        <v>25</v>
      </c>
      <c r="G677" s="8" t="s">
        <v>58</v>
      </c>
      <c r="H677" s="4" t="s">
        <v>23</v>
      </c>
      <c r="I677" s="5">
        <v>1</v>
      </c>
      <c r="J677" s="8" t="s">
        <v>15</v>
      </c>
      <c r="K677" s="4" t="s">
        <v>53</v>
      </c>
      <c r="L677" s="5">
        <v>1</v>
      </c>
      <c r="M677" s="8" t="s">
        <v>17</v>
      </c>
      <c r="N677" s="4" t="s">
        <v>53</v>
      </c>
      <c r="O677" s="5">
        <v>1</v>
      </c>
      <c r="P677" s="8"/>
      <c r="Q677" s="4"/>
      <c r="R677" s="5"/>
      <c r="W677" s="67" t="s">
        <v>663</v>
      </c>
      <c r="X677" s="68" t="s">
        <v>664</v>
      </c>
      <c r="Y677" s="69">
        <v>58.26</v>
      </c>
      <c r="Z677" t="str">
        <f>IF(AND(Tabla1[[#This Row],[nudo inicial]]=Tabla3[[#This Row],[n1]],Tabla1[[#This Row],[nudo final]]=Tabla3[[#This Row],[n2]],Tabla1[[#This Row],[longitud]]=Tabla3[[#This Row],[long]]),"si","no")</f>
        <v>si</v>
      </c>
    </row>
    <row r="678" spans="1:26" ht="30" x14ac:dyDescent="0.25">
      <c r="B678" t="s">
        <v>663</v>
      </c>
      <c r="C678" t="s">
        <v>665</v>
      </c>
      <c r="D678" s="19">
        <v>62.35</v>
      </c>
      <c r="E678" s="3" t="s">
        <v>23</v>
      </c>
      <c r="F678" s="3" t="s">
        <v>25</v>
      </c>
      <c r="G678" s="8" t="s">
        <v>57</v>
      </c>
      <c r="H678" s="4" t="s">
        <v>23</v>
      </c>
      <c r="I678" s="5">
        <v>1</v>
      </c>
      <c r="J678" s="8" t="s">
        <v>33</v>
      </c>
      <c r="K678" s="4"/>
      <c r="L678" s="5">
        <v>1</v>
      </c>
      <c r="M678" s="8"/>
      <c r="N678" s="4"/>
      <c r="O678" s="5"/>
      <c r="P678" s="8"/>
      <c r="Q678" s="4"/>
      <c r="R678" s="5"/>
      <c r="W678" s="67" t="s">
        <v>663</v>
      </c>
      <c r="X678" s="68" t="s">
        <v>665</v>
      </c>
      <c r="Y678" s="69">
        <v>62.35</v>
      </c>
      <c r="Z678" t="str">
        <f>IF(AND(Tabla1[[#This Row],[nudo inicial]]=Tabla3[[#This Row],[n1]],Tabla1[[#This Row],[nudo final]]=Tabla3[[#This Row],[n2]],Tabla1[[#This Row],[longitud]]=Tabla3[[#This Row],[long]]),"si","no")</f>
        <v>si</v>
      </c>
    </row>
    <row r="679" spans="1:26" ht="15.75" x14ac:dyDescent="0.25">
      <c r="B679" t="s">
        <v>592</v>
      </c>
      <c r="C679" t="s">
        <v>666</v>
      </c>
      <c r="D679" s="19">
        <v>38.630000000000003</v>
      </c>
      <c r="E679" s="3" t="s">
        <v>23</v>
      </c>
      <c r="F679" s="3" t="s">
        <v>26</v>
      </c>
      <c r="G679" s="8" t="s">
        <v>58</v>
      </c>
      <c r="H679" s="4" t="s">
        <v>23</v>
      </c>
      <c r="I679" s="5">
        <v>1</v>
      </c>
      <c r="J679" s="8"/>
      <c r="K679" s="4"/>
      <c r="L679" s="5"/>
      <c r="M679" s="8"/>
      <c r="N679" s="4"/>
      <c r="O679" s="5"/>
      <c r="P679" s="8"/>
      <c r="Q679" s="4"/>
      <c r="R679" s="5"/>
      <c r="W679" s="67" t="s">
        <v>592</v>
      </c>
      <c r="X679" s="68" t="s">
        <v>666</v>
      </c>
      <c r="Y679" s="69">
        <v>38.630000000000003</v>
      </c>
      <c r="Z679" t="str">
        <f>IF(AND(Tabla1[[#This Row],[nudo inicial]]=Tabla3[[#This Row],[n1]],Tabla1[[#This Row],[nudo final]]=Tabla3[[#This Row],[n2]],Tabla1[[#This Row],[longitud]]=Tabla3[[#This Row],[long]]),"si","no")</f>
        <v>si</v>
      </c>
    </row>
    <row r="680" spans="1:26" ht="15.75" x14ac:dyDescent="0.25">
      <c r="B680" t="s">
        <v>666</v>
      </c>
      <c r="C680" t="s">
        <v>667</v>
      </c>
      <c r="D680" s="19">
        <v>59.24</v>
      </c>
      <c r="E680" s="3" t="s">
        <v>56</v>
      </c>
      <c r="F680" s="3" t="s">
        <v>25</v>
      </c>
      <c r="G680" s="8" t="s">
        <v>58</v>
      </c>
      <c r="H680" s="4" t="s">
        <v>23</v>
      </c>
      <c r="I680" s="5">
        <v>1</v>
      </c>
      <c r="J680" s="8" t="s">
        <v>15</v>
      </c>
      <c r="K680" s="4" t="s">
        <v>56</v>
      </c>
      <c r="L680" s="5">
        <v>1</v>
      </c>
      <c r="M680" s="8" t="s">
        <v>16</v>
      </c>
      <c r="N680" s="4" t="s">
        <v>56</v>
      </c>
      <c r="O680" s="5">
        <v>1</v>
      </c>
      <c r="P680" s="8" t="s">
        <v>17</v>
      </c>
      <c r="Q680" s="4" t="s">
        <v>56</v>
      </c>
      <c r="R680" s="5">
        <v>1</v>
      </c>
      <c r="W680" s="67" t="s">
        <v>666</v>
      </c>
      <c r="X680" s="68" t="s">
        <v>667</v>
      </c>
      <c r="Y680" s="69">
        <v>59.24</v>
      </c>
      <c r="Z680" t="str">
        <f>IF(AND(Tabla1[[#This Row],[nudo inicial]]=Tabla3[[#This Row],[n1]],Tabla1[[#This Row],[nudo final]]=Tabla3[[#This Row],[n2]],Tabla1[[#This Row],[longitud]]=Tabla3[[#This Row],[long]]),"si","no")</f>
        <v>si</v>
      </c>
    </row>
    <row r="681" spans="1:26" ht="15.75" x14ac:dyDescent="0.25">
      <c r="B681" t="s">
        <v>666</v>
      </c>
      <c r="C681" t="s">
        <v>665</v>
      </c>
      <c r="D681" s="19">
        <v>109.71</v>
      </c>
      <c r="E681" s="3" t="s">
        <v>23</v>
      </c>
      <c r="F681" s="3" t="s">
        <v>26</v>
      </c>
      <c r="G681" s="8" t="s">
        <v>57</v>
      </c>
      <c r="H681" s="4" t="s">
        <v>23</v>
      </c>
      <c r="I681" s="5">
        <v>1</v>
      </c>
      <c r="J681" s="8"/>
      <c r="K681" s="4"/>
      <c r="L681" s="5"/>
      <c r="M681" s="8"/>
      <c r="N681" s="4"/>
      <c r="O681" s="5"/>
      <c r="P681" s="8"/>
      <c r="Q681" s="4"/>
      <c r="R681" s="5"/>
      <c r="W681" s="67" t="s">
        <v>666</v>
      </c>
      <c r="X681" s="68" t="s">
        <v>665</v>
      </c>
      <c r="Y681" s="69">
        <v>109.71</v>
      </c>
      <c r="Z681" t="str">
        <f>IF(AND(Tabla1[[#This Row],[nudo inicial]]=Tabla3[[#This Row],[n1]],Tabla1[[#This Row],[nudo final]]=Tabla3[[#This Row],[n2]],Tabla1[[#This Row],[longitud]]=Tabla3[[#This Row],[long]]),"si","no")</f>
        <v>si</v>
      </c>
    </row>
    <row r="682" spans="1:26" ht="15.75" x14ac:dyDescent="0.25">
      <c r="B682" t="s">
        <v>665</v>
      </c>
      <c r="C682" t="s">
        <v>668</v>
      </c>
      <c r="D682" s="19">
        <v>161.38</v>
      </c>
      <c r="E682" s="3" t="s">
        <v>53</v>
      </c>
      <c r="F682" s="3" t="s">
        <v>25</v>
      </c>
      <c r="G682" s="8" t="s">
        <v>57</v>
      </c>
      <c r="H682" s="4" t="s">
        <v>23</v>
      </c>
      <c r="I682" s="5">
        <v>1</v>
      </c>
      <c r="J682" s="8" t="s">
        <v>15</v>
      </c>
      <c r="K682" s="4" t="s">
        <v>53</v>
      </c>
      <c r="L682" s="5">
        <v>1</v>
      </c>
      <c r="M682" s="8"/>
      <c r="N682" s="4"/>
      <c r="O682" s="5"/>
      <c r="P682" s="8"/>
      <c r="Q682" s="4"/>
      <c r="R682" s="5"/>
      <c r="W682" s="67" t="s">
        <v>665</v>
      </c>
      <c r="X682" s="68" t="s">
        <v>668</v>
      </c>
      <c r="Y682" s="69">
        <v>161.38</v>
      </c>
      <c r="Z682" t="str">
        <f>IF(AND(Tabla1[[#This Row],[nudo inicial]]=Tabla3[[#This Row],[n1]],Tabla1[[#This Row],[nudo final]]=Tabla3[[#This Row],[n2]],Tabla1[[#This Row],[longitud]]=Tabla3[[#This Row],[long]]),"si","no")</f>
        <v>si</v>
      </c>
    </row>
    <row r="683" spans="1:26" ht="15.75" x14ac:dyDescent="0.25">
      <c r="B683" t="s">
        <v>668</v>
      </c>
      <c r="C683" t="s">
        <v>669</v>
      </c>
      <c r="D683" s="19">
        <v>54.15</v>
      </c>
      <c r="E683" s="3" t="s">
        <v>53</v>
      </c>
      <c r="F683" s="3" t="s">
        <v>25</v>
      </c>
      <c r="G683" s="8" t="s">
        <v>58</v>
      </c>
      <c r="H683" s="4" t="s">
        <v>53</v>
      </c>
      <c r="I683" s="5">
        <v>1</v>
      </c>
      <c r="J683" s="8"/>
      <c r="K683" s="4"/>
      <c r="L683" s="5"/>
      <c r="M683" s="8"/>
      <c r="N683" s="4"/>
      <c r="O683" s="5"/>
      <c r="P683" s="8"/>
      <c r="Q683" s="4"/>
      <c r="R683" s="5"/>
      <c r="W683" s="67" t="s">
        <v>668</v>
      </c>
      <c r="X683" s="68" t="s">
        <v>669</v>
      </c>
      <c r="Y683" s="69">
        <v>54.15</v>
      </c>
      <c r="Z683" t="str">
        <f>IF(AND(Tabla1[[#This Row],[nudo inicial]]=Tabla3[[#This Row],[n1]],Tabla1[[#This Row],[nudo final]]=Tabla3[[#This Row],[n2]],Tabla1[[#This Row],[longitud]]=Tabla3[[#This Row],[long]]),"si","no")</f>
        <v>si</v>
      </c>
    </row>
    <row r="684" spans="1:26" ht="15.75" x14ac:dyDescent="0.25">
      <c r="B684" t="s">
        <v>669</v>
      </c>
      <c r="C684" t="s">
        <v>670</v>
      </c>
      <c r="D684" s="19">
        <v>42.38</v>
      </c>
      <c r="E684" s="3" t="s">
        <v>53</v>
      </c>
      <c r="F684" s="3" t="s">
        <v>25</v>
      </c>
      <c r="G684" s="8" t="s">
        <v>58</v>
      </c>
      <c r="H684" s="4" t="s">
        <v>53</v>
      </c>
      <c r="I684" s="5">
        <v>1</v>
      </c>
      <c r="J684" s="8" t="s">
        <v>17</v>
      </c>
      <c r="K684" s="4" t="s">
        <v>53</v>
      </c>
      <c r="L684" s="5">
        <v>1</v>
      </c>
      <c r="M684" s="8"/>
      <c r="N684" s="4"/>
      <c r="O684" s="5"/>
      <c r="P684" s="8"/>
      <c r="Q684" s="4"/>
      <c r="R684" s="5"/>
      <c r="W684" s="67" t="s">
        <v>669</v>
      </c>
      <c r="X684" s="68" t="s">
        <v>670</v>
      </c>
      <c r="Y684" s="69">
        <v>42.38</v>
      </c>
      <c r="Z684" t="str">
        <f>IF(AND(Tabla1[[#This Row],[nudo inicial]]=Tabla3[[#This Row],[n1]],Tabla1[[#This Row],[nudo final]]=Tabla3[[#This Row],[n2]],Tabla1[[#This Row],[longitud]]=Tabla3[[#This Row],[long]]),"si","no")</f>
        <v>si</v>
      </c>
    </row>
    <row r="685" spans="1:26" ht="15.75" x14ac:dyDescent="0.25">
      <c r="B685" t="s">
        <v>669</v>
      </c>
      <c r="C685" t="s">
        <v>671</v>
      </c>
      <c r="D685" s="19">
        <v>10.17</v>
      </c>
      <c r="E685" s="3" t="s">
        <v>53</v>
      </c>
      <c r="F685" s="3" t="s">
        <v>25</v>
      </c>
      <c r="G685" s="8" t="s">
        <v>58</v>
      </c>
      <c r="H685" s="4" t="s">
        <v>53</v>
      </c>
      <c r="I685" s="5">
        <v>1</v>
      </c>
      <c r="J685" s="8"/>
      <c r="K685" s="4"/>
      <c r="L685" s="5"/>
      <c r="M685" s="8"/>
      <c r="N685" s="4"/>
      <c r="O685" s="5"/>
      <c r="P685" s="8"/>
      <c r="Q685" s="4"/>
      <c r="R685" s="5"/>
      <c r="W685" s="67" t="s">
        <v>669</v>
      </c>
      <c r="X685" s="68" t="s">
        <v>671</v>
      </c>
      <c r="Y685" s="69">
        <v>10.17</v>
      </c>
      <c r="Z685" t="str">
        <f>IF(AND(Tabla1[[#This Row],[nudo inicial]]=Tabla3[[#This Row],[n1]],Tabla1[[#This Row],[nudo final]]=Tabla3[[#This Row],[n2]],Tabla1[[#This Row],[longitud]]=Tabla3[[#This Row],[long]]),"si","no")</f>
        <v>si</v>
      </c>
    </row>
    <row r="686" spans="1:26" ht="15.75" x14ac:dyDescent="0.25">
      <c r="B686" t="s">
        <v>671</v>
      </c>
      <c r="C686" t="s">
        <v>672</v>
      </c>
      <c r="D686" s="19">
        <v>23.33</v>
      </c>
      <c r="E686" s="3" t="s">
        <v>53</v>
      </c>
      <c r="F686" s="3" t="s">
        <v>25</v>
      </c>
      <c r="G686" s="8" t="s">
        <v>58</v>
      </c>
      <c r="H686" s="4" t="s">
        <v>53</v>
      </c>
      <c r="I686" s="5">
        <v>1</v>
      </c>
      <c r="J686" s="8" t="s">
        <v>17</v>
      </c>
      <c r="K686" s="4" t="s">
        <v>53</v>
      </c>
      <c r="L686" s="5">
        <v>1</v>
      </c>
      <c r="M686" s="8"/>
      <c r="N686" s="4"/>
      <c r="O686" s="5"/>
      <c r="P686" s="8"/>
      <c r="Q686" s="4"/>
      <c r="R686" s="5"/>
      <c r="W686" s="67" t="s">
        <v>671</v>
      </c>
      <c r="X686" s="68" t="s">
        <v>672</v>
      </c>
      <c r="Y686" s="69">
        <v>23.33</v>
      </c>
      <c r="Z686" t="str">
        <f>IF(AND(Tabla1[[#This Row],[nudo inicial]]=Tabla3[[#This Row],[n1]],Tabla1[[#This Row],[nudo final]]=Tabla3[[#This Row],[n2]],Tabla1[[#This Row],[longitud]]=Tabla3[[#This Row],[long]]),"si","no")</f>
        <v>si</v>
      </c>
    </row>
    <row r="687" spans="1:26" ht="15.75" x14ac:dyDescent="0.25">
      <c r="B687" t="s">
        <v>671</v>
      </c>
      <c r="C687" t="s">
        <v>673</v>
      </c>
      <c r="D687" s="19">
        <v>36.33</v>
      </c>
      <c r="E687" s="3" t="s">
        <v>53</v>
      </c>
      <c r="F687" s="3" t="s">
        <v>25</v>
      </c>
      <c r="G687" s="8" t="s">
        <v>57</v>
      </c>
      <c r="H687" s="4" t="s">
        <v>53</v>
      </c>
      <c r="I687" s="5">
        <v>1</v>
      </c>
      <c r="J687" s="8" t="s">
        <v>17</v>
      </c>
      <c r="K687" s="4" t="s">
        <v>53</v>
      </c>
      <c r="L687" s="5">
        <v>1</v>
      </c>
      <c r="M687" s="8"/>
      <c r="N687" s="4"/>
      <c r="O687" s="5"/>
      <c r="P687" s="8"/>
      <c r="Q687" s="4"/>
      <c r="R687" s="5"/>
      <c r="W687" s="67" t="s">
        <v>671</v>
      </c>
      <c r="X687" s="68" t="s">
        <v>673</v>
      </c>
      <c r="Y687" s="69">
        <v>36.33</v>
      </c>
      <c r="Z687" t="str">
        <f>IF(AND(Tabla1[[#This Row],[nudo inicial]]=Tabla3[[#This Row],[n1]],Tabla1[[#This Row],[nudo final]]=Tabla3[[#This Row],[n2]],Tabla1[[#This Row],[longitud]]=Tabla3[[#This Row],[long]]),"si","no")</f>
        <v>si</v>
      </c>
    </row>
    <row r="688" spans="1:26" ht="15.75" x14ac:dyDescent="0.25">
      <c r="B688" t="s">
        <v>668</v>
      </c>
      <c r="C688" t="s">
        <v>674</v>
      </c>
      <c r="D688" s="19">
        <v>53.57</v>
      </c>
      <c r="E688" s="3" t="s">
        <v>53</v>
      </c>
      <c r="F688" s="3" t="s">
        <v>25</v>
      </c>
      <c r="G688" s="8" t="s">
        <v>57</v>
      </c>
      <c r="H688" s="4" t="s">
        <v>53</v>
      </c>
      <c r="I688" s="5">
        <v>1</v>
      </c>
      <c r="J688" s="8"/>
      <c r="K688" s="4"/>
      <c r="L688" s="5"/>
      <c r="M688" s="8"/>
      <c r="N688" s="4"/>
      <c r="O688" s="5"/>
      <c r="P688" s="8"/>
      <c r="Q688" s="4"/>
      <c r="R688" s="5"/>
      <c r="W688" s="67" t="s">
        <v>668</v>
      </c>
      <c r="X688" s="68" t="s">
        <v>674</v>
      </c>
      <c r="Y688" s="69">
        <v>53.57</v>
      </c>
      <c r="Z688" t="str">
        <f>IF(AND(Tabla1[[#This Row],[nudo inicial]]=Tabla3[[#This Row],[n1]],Tabla1[[#This Row],[nudo final]]=Tabla3[[#This Row],[n2]],Tabla1[[#This Row],[longitud]]=Tabla3[[#This Row],[long]]),"si","no")</f>
        <v>si</v>
      </c>
    </row>
    <row r="689" spans="2:26" ht="15.75" x14ac:dyDescent="0.25">
      <c r="B689" t="s">
        <v>674</v>
      </c>
      <c r="C689" t="s">
        <v>675</v>
      </c>
      <c r="D689" s="19">
        <v>277.45999999999998</v>
      </c>
      <c r="E689" s="3" t="s">
        <v>53</v>
      </c>
      <c r="F689" s="3" t="s">
        <v>25</v>
      </c>
      <c r="G689" s="8" t="s">
        <v>57</v>
      </c>
      <c r="H689" s="4" t="s">
        <v>53</v>
      </c>
      <c r="I689" s="5">
        <v>1</v>
      </c>
      <c r="J689" s="8" t="s">
        <v>16</v>
      </c>
      <c r="K689" s="4" t="s">
        <v>53</v>
      </c>
      <c r="L689" s="5">
        <v>3</v>
      </c>
      <c r="M689" s="8" t="s">
        <v>32</v>
      </c>
      <c r="N689" s="4" t="s">
        <v>53</v>
      </c>
      <c r="O689" s="5">
        <v>1</v>
      </c>
      <c r="P689" s="8"/>
      <c r="Q689" s="4"/>
      <c r="R689" s="5"/>
      <c r="W689" s="67" t="s">
        <v>674</v>
      </c>
      <c r="X689" s="68" t="s">
        <v>675</v>
      </c>
      <c r="Y689" s="69">
        <v>277.45999999999998</v>
      </c>
      <c r="Z689" t="str">
        <f>IF(AND(Tabla1[[#This Row],[nudo inicial]]=Tabla3[[#This Row],[n1]],Tabla1[[#This Row],[nudo final]]=Tabla3[[#This Row],[n2]],Tabla1[[#This Row],[longitud]]=Tabla3[[#This Row],[long]]),"si","no")</f>
        <v>si</v>
      </c>
    </row>
    <row r="690" spans="2:26" ht="15.75" x14ac:dyDescent="0.25">
      <c r="B690" t="s">
        <v>675</v>
      </c>
      <c r="C690" t="s">
        <v>677</v>
      </c>
      <c r="D690" s="19">
        <v>23.8</v>
      </c>
      <c r="E690" s="3" t="s">
        <v>53</v>
      </c>
      <c r="F690" s="3" t="s">
        <v>25</v>
      </c>
      <c r="G690" s="8" t="s">
        <v>57</v>
      </c>
      <c r="H690" s="4" t="s">
        <v>53</v>
      </c>
      <c r="I690" s="5">
        <v>1</v>
      </c>
      <c r="J690" s="8" t="s">
        <v>17</v>
      </c>
      <c r="K690" s="4" t="s">
        <v>53</v>
      </c>
      <c r="L690" s="5">
        <v>1</v>
      </c>
      <c r="M690" s="8"/>
      <c r="N690" s="4"/>
      <c r="O690" s="5"/>
      <c r="P690" s="8"/>
      <c r="Q690" s="4"/>
      <c r="R690" s="5"/>
      <c r="W690" s="67" t="s">
        <v>675</v>
      </c>
      <c r="X690" s="68" t="s">
        <v>677</v>
      </c>
      <c r="Y690" s="69">
        <v>23.8</v>
      </c>
      <c r="Z690" t="str">
        <f>IF(AND(Tabla1[[#This Row],[nudo inicial]]=Tabla3[[#This Row],[n1]],Tabla1[[#This Row],[nudo final]]=Tabla3[[#This Row],[n2]],Tabla1[[#This Row],[longitud]]=Tabla3[[#This Row],[long]]),"si","no")</f>
        <v>si</v>
      </c>
    </row>
    <row r="691" spans="2:26" ht="15.75" x14ac:dyDescent="0.25">
      <c r="B691" t="s">
        <v>675</v>
      </c>
      <c r="C691" t="s">
        <v>678</v>
      </c>
      <c r="D691" s="19">
        <v>372.95</v>
      </c>
      <c r="E691" s="3" t="s">
        <v>53</v>
      </c>
      <c r="F691" s="3" t="s">
        <v>25</v>
      </c>
      <c r="G691" s="8" t="s">
        <v>58</v>
      </c>
      <c r="H691" s="4" t="s">
        <v>53</v>
      </c>
      <c r="I691" s="5">
        <v>1</v>
      </c>
      <c r="J691" s="8" t="s">
        <v>17</v>
      </c>
      <c r="K691" s="4" t="s">
        <v>53</v>
      </c>
      <c r="L691" s="5">
        <v>1</v>
      </c>
      <c r="M691" s="8"/>
      <c r="N691" s="4"/>
      <c r="O691" s="5"/>
      <c r="P691" s="8"/>
      <c r="Q691" s="4"/>
      <c r="R691" s="5"/>
      <c r="W691" s="67" t="s">
        <v>675</v>
      </c>
      <c r="X691" s="68" t="s">
        <v>678</v>
      </c>
      <c r="Y691" s="69">
        <v>372.95</v>
      </c>
      <c r="Z691" t="str">
        <f>IF(AND(Tabla1[[#This Row],[nudo inicial]]=Tabla3[[#This Row],[n1]],Tabla1[[#This Row],[nudo final]]=Tabla3[[#This Row],[n2]],Tabla1[[#This Row],[longitud]]=Tabla3[[#This Row],[long]]),"si","no")</f>
        <v>si</v>
      </c>
    </row>
    <row r="692" spans="2:26" ht="15.75" x14ac:dyDescent="0.25">
      <c r="B692" t="s">
        <v>674</v>
      </c>
      <c r="C692" t="s">
        <v>676</v>
      </c>
      <c r="D692" s="19">
        <v>99.45</v>
      </c>
      <c r="E692" s="3" t="s">
        <v>23</v>
      </c>
      <c r="F692" s="3" t="s">
        <v>25</v>
      </c>
      <c r="G692" s="8" t="s">
        <v>58</v>
      </c>
      <c r="H692" s="4" t="s">
        <v>53</v>
      </c>
      <c r="I692" s="5">
        <v>1</v>
      </c>
      <c r="J692" s="8" t="s">
        <v>16</v>
      </c>
      <c r="K692" s="4" t="s">
        <v>23</v>
      </c>
      <c r="L692" s="5">
        <v>1</v>
      </c>
      <c r="M692" s="8" t="s">
        <v>32</v>
      </c>
      <c r="N692" s="4" t="s">
        <v>23</v>
      </c>
      <c r="O692" s="5">
        <v>1</v>
      </c>
      <c r="P692" s="8" t="s">
        <v>6</v>
      </c>
      <c r="Q692" s="4" t="s">
        <v>23</v>
      </c>
      <c r="R692" s="5">
        <v>1</v>
      </c>
      <c r="W692" s="67" t="s">
        <v>674</v>
      </c>
      <c r="X692" s="68" t="s">
        <v>676</v>
      </c>
      <c r="Y692" s="69">
        <v>99.45</v>
      </c>
      <c r="Z692" t="str">
        <f>IF(AND(Tabla1[[#This Row],[nudo inicial]]=Tabla3[[#This Row],[n1]],Tabla1[[#This Row],[nudo final]]=Tabla3[[#This Row],[n2]],Tabla1[[#This Row],[longitud]]=Tabla3[[#This Row],[long]]),"si","no")</f>
        <v>si</v>
      </c>
    </row>
    <row r="693" spans="2:26" ht="15.75" x14ac:dyDescent="0.25">
      <c r="B693" t="s">
        <v>676</v>
      </c>
      <c r="C693" t="s">
        <v>679</v>
      </c>
      <c r="D693" s="19">
        <v>14.29</v>
      </c>
      <c r="E693" s="3" t="s">
        <v>23</v>
      </c>
      <c r="F693" s="3" t="s">
        <v>25</v>
      </c>
      <c r="G693" s="8" t="s">
        <v>57</v>
      </c>
      <c r="H693" s="4" t="s">
        <v>53</v>
      </c>
      <c r="I693" s="5">
        <v>1</v>
      </c>
      <c r="J693" s="8"/>
      <c r="K693" s="4"/>
      <c r="L693" s="5"/>
      <c r="M693" s="8"/>
      <c r="N693" s="4"/>
      <c r="O693" s="5"/>
      <c r="P693" s="8"/>
      <c r="Q693" s="4"/>
      <c r="R693" s="5"/>
      <c r="W693" s="67" t="s">
        <v>676</v>
      </c>
      <c r="X693" s="68" t="s">
        <v>679</v>
      </c>
      <c r="Y693" s="69">
        <v>14.29</v>
      </c>
      <c r="Z693" t="str">
        <f>IF(AND(Tabla1[[#This Row],[nudo inicial]]=Tabla3[[#This Row],[n1]],Tabla1[[#This Row],[nudo final]]=Tabla3[[#This Row],[n2]],Tabla1[[#This Row],[longitud]]=Tabla3[[#This Row],[long]]),"si","no")</f>
        <v>si</v>
      </c>
    </row>
    <row r="694" spans="2:26" ht="15.75" x14ac:dyDescent="0.25">
      <c r="B694" t="s">
        <v>679</v>
      </c>
      <c r="C694" t="s">
        <v>680</v>
      </c>
      <c r="D694" s="19">
        <v>26.79</v>
      </c>
      <c r="E694" s="3" t="s">
        <v>56</v>
      </c>
      <c r="F694" s="3" t="s">
        <v>25</v>
      </c>
      <c r="G694" s="8" t="s">
        <v>58</v>
      </c>
      <c r="H694" s="4" t="s">
        <v>23</v>
      </c>
      <c r="I694" s="5">
        <v>1</v>
      </c>
      <c r="J694" s="8" t="s">
        <v>15</v>
      </c>
      <c r="K694" s="4" t="s">
        <v>56</v>
      </c>
      <c r="L694" s="5">
        <v>1</v>
      </c>
      <c r="M694" s="8" t="s">
        <v>17</v>
      </c>
      <c r="N694" s="4" t="s">
        <v>56</v>
      </c>
      <c r="O694" s="5">
        <v>1</v>
      </c>
      <c r="P694" s="8"/>
      <c r="Q694" s="4"/>
      <c r="R694" s="5"/>
      <c r="W694" s="67" t="s">
        <v>679</v>
      </c>
      <c r="X694" s="68" t="s">
        <v>680</v>
      </c>
      <c r="Y694" s="69">
        <v>26.79</v>
      </c>
      <c r="Z694" t="str">
        <f>IF(AND(Tabla1[[#This Row],[nudo inicial]]=Tabla3[[#This Row],[n1]],Tabla1[[#This Row],[nudo final]]=Tabla3[[#This Row],[n2]],Tabla1[[#This Row],[longitud]]=Tabla3[[#This Row],[long]]),"si","no")</f>
        <v>si</v>
      </c>
    </row>
    <row r="695" spans="2:26" ht="15.75" x14ac:dyDescent="0.25">
      <c r="B695" t="s">
        <v>679</v>
      </c>
      <c r="C695" t="s">
        <v>681</v>
      </c>
      <c r="D695" s="19">
        <v>40.33</v>
      </c>
      <c r="E695" s="3" t="s">
        <v>23</v>
      </c>
      <c r="F695" s="3" t="s">
        <v>25</v>
      </c>
      <c r="G695" s="8" t="s">
        <v>57</v>
      </c>
      <c r="H695" s="4" t="s">
        <v>23</v>
      </c>
      <c r="I695" s="5">
        <v>1</v>
      </c>
      <c r="J695" s="8"/>
      <c r="K695" s="4"/>
      <c r="L695" s="5"/>
      <c r="M695" s="8"/>
      <c r="N695" s="4"/>
      <c r="O695" s="5"/>
      <c r="P695" s="8"/>
      <c r="Q695" s="4"/>
      <c r="R695" s="5"/>
      <c r="W695" s="67" t="s">
        <v>679</v>
      </c>
      <c r="X695" s="68" t="s">
        <v>681</v>
      </c>
      <c r="Y695" s="69">
        <v>40.33</v>
      </c>
      <c r="Z695" t="str">
        <f>IF(AND(Tabla1[[#This Row],[nudo inicial]]=Tabla3[[#This Row],[n1]],Tabla1[[#This Row],[nudo final]]=Tabla3[[#This Row],[n2]],Tabla1[[#This Row],[longitud]]=Tabla3[[#This Row],[long]]),"si","no")</f>
        <v>si</v>
      </c>
    </row>
    <row r="696" spans="2:26" ht="15.75" x14ac:dyDescent="0.25">
      <c r="B696" t="s">
        <v>681</v>
      </c>
      <c r="C696" t="s">
        <v>682</v>
      </c>
      <c r="D696" s="19">
        <v>41.24</v>
      </c>
      <c r="E696" s="3" t="s">
        <v>53</v>
      </c>
      <c r="F696" s="3" t="s">
        <v>25</v>
      </c>
      <c r="G696" s="8" t="s">
        <v>58</v>
      </c>
      <c r="H696" s="4" t="s">
        <v>23</v>
      </c>
      <c r="I696" s="5">
        <v>1</v>
      </c>
      <c r="J696" s="8" t="s">
        <v>15</v>
      </c>
      <c r="K696" s="4" t="s">
        <v>53</v>
      </c>
      <c r="L696" s="5">
        <v>1</v>
      </c>
      <c r="M696" s="8" t="s">
        <v>17</v>
      </c>
      <c r="N696" s="4" t="s">
        <v>53</v>
      </c>
      <c r="O696" s="5">
        <v>1</v>
      </c>
      <c r="P696" s="8"/>
      <c r="Q696" s="4"/>
      <c r="R696" s="5"/>
      <c r="W696" s="67" t="s">
        <v>681</v>
      </c>
      <c r="X696" s="68" t="s">
        <v>682</v>
      </c>
      <c r="Y696" s="69">
        <v>41.24</v>
      </c>
      <c r="Z696" t="str">
        <f>IF(AND(Tabla1[[#This Row],[nudo inicial]]=Tabla3[[#This Row],[n1]],Tabla1[[#This Row],[nudo final]]=Tabla3[[#This Row],[n2]],Tabla1[[#This Row],[longitud]]=Tabla3[[#This Row],[long]]),"si","no")</f>
        <v>si</v>
      </c>
    </row>
    <row r="697" spans="2:26" ht="15.75" x14ac:dyDescent="0.25">
      <c r="B697" t="s">
        <v>681</v>
      </c>
      <c r="C697" t="s">
        <v>683</v>
      </c>
      <c r="D697" s="19">
        <v>42.26</v>
      </c>
      <c r="E697" s="3" t="s">
        <v>23</v>
      </c>
      <c r="F697" s="3" t="s">
        <v>25</v>
      </c>
      <c r="G697" s="8" t="s">
        <v>57</v>
      </c>
      <c r="H697" s="4" t="s">
        <v>23</v>
      </c>
      <c r="I697" s="5">
        <v>1</v>
      </c>
      <c r="J697" s="8"/>
      <c r="K697" s="4"/>
      <c r="L697" s="5"/>
      <c r="M697" s="8"/>
      <c r="N697" s="4"/>
      <c r="O697" s="5"/>
      <c r="P697" s="8"/>
      <c r="Q697" s="4"/>
      <c r="R697" s="5"/>
      <c r="W697" s="67" t="s">
        <v>681</v>
      </c>
      <c r="X697" s="68" t="s">
        <v>683</v>
      </c>
      <c r="Y697" s="69">
        <v>42.26</v>
      </c>
      <c r="Z697" t="str">
        <f>IF(AND(Tabla1[[#This Row],[nudo inicial]]=Tabla3[[#This Row],[n1]],Tabla1[[#This Row],[nudo final]]=Tabla3[[#This Row],[n2]],Tabla1[[#This Row],[longitud]]=Tabla3[[#This Row],[long]]),"si","no")</f>
        <v>si</v>
      </c>
    </row>
    <row r="698" spans="2:26" ht="15.75" x14ac:dyDescent="0.25">
      <c r="B698" t="s">
        <v>683</v>
      </c>
      <c r="C698" t="s">
        <v>684</v>
      </c>
      <c r="D698" s="19">
        <v>52.6</v>
      </c>
      <c r="E698" s="3" t="s">
        <v>53</v>
      </c>
      <c r="F698" s="3" t="s">
        <v>25</v>
      </c>
      <c r="G698" s="8" t="s">
        <v>58</v>
      </c>
      <c r="H698" s="4" t="s">
        <v>23</v>
      </c>
      <c r="I698" s="5">
        <v>1</v>
      </c>
      <c r="J698" s="8" t="s">
        <v>15</v>
      </c>
      <c r="K698" s="4" t="s">
        <v>53</v>
      </c>
      <c r="L698" s="5">
        <v>1</v>
      </c>
      <c r="M698" s="8" t="s">
        <v>17</v>
      </c>
      <c r="N698" s="4" t="s">
        <v>53</v>
      </c>
      <c r="O698" s="5">
        <v>1</v>
      </c>
      <c r="P698" s="8"/>
      <c r="Q698" s="4"/>
      <c r="R698" s="5"/>
      <c r="W698" s="67" t="s">
        <v>683</v>
      </c>
      <c r="X698" s="68" t="s">
        <v>684</v>
      </c>
      <c r="Y698" s="69">
        <v>52.6</v>
      </c>
      <c r="Z698" t="str">
        <f>IF(AND(Tabla1[[#This Row],[nudo inicial]]=Tabla3[[#This Row],[n1]],Tabla1[[#This Row],[nudo final]]=Tabla3[[#This Row],[n2]],Tabla1[[#This Row],[longitud]]=Tabla3[[#This Row],[long]]),"si","no")</f>
        <v>si</v>
      </c>
    </row>
    <row r="699" spans="2:26" ht="15.75" x14ac:dyDescent="0.25">
      <c r="B699" t="s">
        <v>683</v>
      </c>
      <c r="C699" t="s">
        <v>685</v>
      </c>
      <c r="D699" s="19">
        <v>44.16</v>
      </c>
      <c r="E699" s="3" t="s">
        <v>23</v>
      </c>
      <c r="F699" s="3" t="s">
        <v>25</v>
      </c>
      <c r="G699" s="8" t="s">
        <v>57</v>
      </c>
      <c r="H699" s="4" t="s">
        <v>23</v>
      </c>
      <c r="I699" s="5">
        <v>1</v>
      </c>
      <c r="J699" s="8"/>
      <c r="K699" s="4"/>
      <c r="L699" s="5"/>
      <c r="M699" s="8"/>
      <c r="N699" s="4"/>
      <c r="O699" s="5"/>
      <c r="P699" s="8"/>
      <c r="Q699" s="4"/>
      <c r="R699" s="5"/>
      <c r="W699" s="67" t="s">
        <v>683</v>
      </c>
      <c r="X699" s="68" t="s">
        <v>685</v>
      </c>
      <c r="Y699" s="69">
        <v>44.16</v>
      </c>
      <c r="Z699" t="str">
        <f>IF(AND(Tabla1[[#This Row],[nudo inicial]]=Tabla3[[#This Row],[n1]],Tabla1[[#This Row],[nudo final]]=Tabla3[[#This Row],[n2]],Tabla1[[#This Row],[longitud]]=Tabla3[[#This Row],[long]]),"si","no")</f>
        <v>si</v>
      </c>
    </row>
    <row r="700" spans="2:26" ht="15.75" x14ac:dyDescent="0.25">
      <c r="B700" t="s">
        <v>685</v>
      </c>
      <c r="C700" t="s">
        <v>686</v>
      </c>
      <c r="D700" s="19">
        <v>76.239999999999995</v>
      </c>
      <c r="E700" s="3" t="s">
        <v>53</v>
      </c>
      <c r="F700" s="3" t="s">
        <v>25</v>
      </c>
      <c r="G700" s="8" t="s">
        <v>58</v>
      </c>
      <c r="H700" s="4" t="s">
        <v>23</v>
      </c>
      <c r="I700" s="5">
        <v>1</v>
      </c>
      <c r="J700" s="8" t="s">
        <v>15</v>
      </c>
      <c r="K700" s="4" t="s">
        <v>53</v>
      </c>
      <c r="L700" s="5">
        <v>1</v>
      </c>
      <c r="M700" s="8" t="s">
        <v>17</v>
      </c>
      <c r="N700" s="4" t="s">
        <v>53</v>
      </c>
      <c r="O700" s="5">
        <v>1</v>
      </c>
      <c r="P700" s="8"/>
      <c r="Q700" s="4"/>
      <c r="R700" s="5"/>
      <c r="W700" s="67" t="s">
        <v>685</v>
      </c>
      <c r="X700" s="68" t="s">
        <v>686</v>
      </c>
      <c r="Y700" s="69">
        <v>76.239999999999995</v>
      </c>
      <c r="Z700" t="str">
        <f>IF(AND(Tabla1[[#This Row],[nudo inicial]]=Tabla3[[#This Row],[n1]],Tabla1[[#This Row],[nudo final]]=Tabla3[[#This Row],[n2]],Tabla1[[#This Row],[longitud]]=Tabla3[[#This Row],[long]]),"si","no")</f>
        <v>si</v>
      </c>
    </row>
    <row r="701" spans="2:26" ht="15.75" x14ac:dyDescent="0.25">
      <c r="B701" t="s">
        <v>685</v>
      </c>
      <c r="C701" t="s">
        <v>687</v>
      </c>
      <c r="D701" s="19">
        <v>52.63</v>
      </c>
      <c r="E701" s="3" t="s">
        <v>23</v>
      </c>
      <c r="F701" s="3" t="s">
        <v>25</v>
      </c>
      <c r="G701" s="8" t="s">
        <v>57</v>
      </c>
      <c r="H701" s="4" t="s">
        <v>23</v>
      </c>
      <c r="I701" s="5"/>
      <c r="J701" s="8"/>
      <c r="K701" s="4"/>
      <c r="L701" s="5"/>
      <c r="M701" s="8"/>
      <c r="N701" s="4"/>
      <c r="O701" s="5"/>
      <c r="P701" s="8"/>
      <c r="Q701" s="4"/>
      <c r="R701" s="5"/>
      <c r="W701" s="67" t="s">
        <v>685</v>
      </c>
      <c r="X701" s="68" t="s">
        <v>687</v>
      </c>
      <c r="Y701" s="69">
        <v>52.63</v>
      </c>
      <c r="Z701" t="str">
        <f>IF(AND(Tabla1[[#This Row],[nudo inicial]]=Tabla3[[#This Row],[n1]],Tabla1[[#This Row],[nudo final]]=Tabla3[[#This Row],[n2]],Tabla1[[#This Row],[longitud]]=Tabla3[[#This Row],[long]]),"si","no")</f>
        <v>si</v>
      </c>
    </row>
    <row r="702" spans="2:26" ht="15.75" x14ac:dyDescent="0.25">
      <c r="B702" t="s">
        <v>687</v>
      </c>
      <c r="C702" t="s">
        <v>688</v>
      </c>
      <c r="D702" s="19">
        <v>81.27</v>
      </c>
      <c r="E702" s="3" t="s">
        <v>53</v>
      </c>
      <c r="F702" s="3" t="s">
        <v>25</v>
      </c>
      <c r="G702" s="8" t="s">
        <v>58</v>
      </c>
      <c r="H702" s="4" t="s">
        <v>23</v>
      </c>
      <c r="I702" s="5">
        <v>1</v>
      </c>
      <c r="J702" s="8" t="s">
        <v>15</v>
      </c>
      <c r="K702" s="4" t="s">
        <v>53</v>
      </c>
      <c r="L702" s="5">
        <v>1</v>
      </c>
      <c r="M702" s="8" t="s">
        <v>17</v>
      </c>
      <c r="N702" s="4" t="s">
        <v>53</v>
      </c>
      <c r="O702" s="5">
        <v>1</v>
      </c>
      <c r="P702" s="8"/>
      <c r="Q702" s="4"/>
      <c r="R702" s="5"/>
      <c r="W702" s="67" t="s">
        <v>687</v>
      </c>
      <c r="X702" s="68" t="s">
        <v>688</v>
      </c>
      <c r="Y702" s="69">
        <v>81.27</v>
      </c>
      <c r="Z702" t="str">
        <f>IF(AND(Tabla1[[#This Row],[nudo inicial]]=Tabla3[[#This Row],[n1]],Tabla1[[#This Row],[nudo final]]=Tabla3[[#This Row],[n2]],Tabla1[[#This Row],[longitud]]=Tabla3[[#This Row],[long]]),"si","no")</f>
        <v>si</v>
      </c>
    </row>
    <row r="703" spans="2:26" ht="15.75" x14ac:dyDescent="0.25">
      <c r="B703" t="s">
        <v>687</v>
      </c>
      <c r="C703" t="s">
        <v>689</v>
      </c>
      <c r="D703" s="19">
        <v>56.13</v>
      </c>
      <c r="E703" s="3" t="s">
        <v>23</v>
      </c>
      <c r="F703" s="3" t="s">
        <v>25</v>
      </c>
      <c r="G703" s="8" t="s">
        <v>57</v>
      </c>
      <c r="H703" s="4" t="s">
        <v>23</v>
      </c>
      <c r="I703" s="5">
        <v>1</v>
      </c>
      <c r="J703" s="8"/>
      <c r="K703" s="4"/>
      <c r="L703" s="5"/>
      <c r="M703" s="8"/>
      <c r="N703" s="4"/>
      <c r="O703" s="5"/>
      <c r="P703" s="8"/>
      <c r="Q703" s="4"/>
      <c r="R703" s="5"/>
      <c r="W703" s="67" t="s">
        <v>687</v>
      </c>
      <c r="X703" s="68" t="s">
        <v>689</v>
      </c>
      <c r="Y703" s="69">
        <v>56.13</v>
      </c>
      <c r="Z703" t="str">
        <f>IF(AND(Tabla1[[#This Row],[nudo inicial]]=Tabla3[[#This Row],[n1]],Tabla1[[#This Row],[nudo final]]=Tabla3[[#This Row],[n2]],Tabla1[[#This Row],[longitud]]=Tabla3[[#This Row],[long]]),"si","no")</f>
        <v>si</v>
      </c>
    </row>
    <row r="704" spans="2:26" ht="15.75" x14ac:dyDescent="0.25">
      <c r="B704" t="s">
        <v>689</v>
      </c>
      <c r="C704" t="s">
        <v>690</v>
      </c>
      <c r="D704" s="19">
        <v>9.33</v>
      </c>
      <c r="E704" s="3" t="s">
        <v>23</v>
      </c>
      <c r="F704" s="3" t="s">
        <v>25</v>
      </c>
      <c r="G704" s="8" t="s">
        <v>58</v>
      </c>
      <c r="H704" s="4" t="s">
        <v>23</v>
      </c>
      <c r="I704" s="5">
        <v>1</v>
      </c>
      <c r="J704" s="8"/>
      <c r="K704" s="4"/>
      <c r="L704" s="5"/>
      <c r="M704" s="8"/>
      <c r="N704" s="4"/>
      <c r="O704" s="5"/>
      <c r="P704" s="8"/>
      <c r="Q704" s="4"/>
      <c r="R704" s="5"/>
      <c r="W704" s="67" t="s">
        <v>689</v>
      </c>
      <c r="X704" s="68" t="s">
        <v>690</v>
      </c>
      <c r="Y704" s="69">
        <v>9.33</v>
      </c>
      <c r="Z704" t="str">
        <f>IF(AND(Tabla1[[#This Row],[nudo inicial]]=Tabla3[[#This Row],[n1]],Tabla1[[#This Row],[nudo final]]=Tabla3[[#This Row],[n2]],Tabla1[[#This Row],[longitud]]=Tabla3[[#This Row],[long]]),"si","no")</f>
        <v>si</v>
      </c>
    </row>
    <row r="705" spans="1:26" ht="15.75" x14ac:dyDescent="0.25">
      <c r="B705" t="s">
        <v>690</v>
      </c>
      <c r="C705" t="s">
        <v>691</v>
      </c>
      <c r="D705" s="19">
        <v>110.49</v>
      </c>
      <c r="E705" s="3" t="s">
        <v>53</v>
      </c>
      <c r="F705" s="3" t="s">
        <v>25</v>
      </c>
      <c r="G705" s="8" t="s">
        <v>15</v>
      </c>
      <c r="H705" s="4" t="s">
        <v>53</v>
      </c>
      <c r="I705" s="5">
        <v>1</v>
      </c>
      <c r="J705" s="8" t="s">
        <v>17</v>
      </c>
      <c r="K705" s="4" t="s">
        <v>53</v>
      </c>
      <c r="L705" s="5">
        <v>1</v>
      </c>
      <c r="M705" s="8"/>
      <c r="N705" s="4"/>
      <c r="O705" s="5"/>
      <c r="P705" s="8"/>
      <c r="Q705" s="4"/>
      <c r="R705" s="5"/>
      <c r="W705" s="67" t="s">
        <v>690</v>
      </c>
      <c r="X705" s="68" t="s">
        <v>691</v>
      </c>
      <c r="Y705" s="69">
        <v>110.49</v>
      </c>
      <c r="Z705" t="str">
        <f>IF(AND(Tabla1[[#This Row],[nudo inicial]]=Tabla3[[#This Row],[n1]],Tabla1[[#This Row],[nudo final]]=Tabla3[[#This Row],[n2]],Tabla1[[#This Row],[longitud]]=Tabla3[[#This Row],[long]]),"si","no")</f>
        <v>si</v>
      </c>
    </row>
    <row r="706" spans="1:26" ht="15.75" x14ac:dyDescent="0.25">
      <c r="B706" t="s">
        <v>689</v>
      </c>
      <c r="C706" t="s">
        <v>692</v>
      </c>
      <c r="D706" s="19">
        <v>21.76</v>
      </c>
      <c r="E706" s="3" t="s">
        <v>53</v>
      </c>
      <c r="F706" s="3" t="s">
        <v>25</v>
      </c>
      <c r="G706" s="8" t="s">
        <v>57</v>
      </c>
      <c r="H706" s="4" t="s">
        <v>23</v>
      </c>
      <c r="I706" s="5">
        <v>1</v>
      </c>
      <c r="J706" s="8" t="s">
        <v>15</v>
      </c>
      <c r="K706" s="4" t="s">
        <v>53</v>
      </c>
      <c r="L706" s="5">
        <v>1</v>
      </c>
      <c r="M706" s="8"/>
      <c r="N706" s="4"/>
      <c r="O706" s="5"/>
      <c r="P706" s="8"/>
      <c r="Q706" s="4"/>
      <c r="R706" s="5"/>
      <c r="W706" s="67" t="s">
        <v>689</v>
      </c>
      <c r="X706" s="68" t="s">
        <v>692</v>
      </c>
      <c r="Y706" s="69">
        <v>21.76</v>
      </c>
      <c r="Z706" t="str">
        <f>IF(AND(Tabla1[[#This Row],[nudo inicial]]=Tabla3[[#This Row],[n1]],Tabla1[[#This Row],[nudo final]]=Tabla3[[#This Row],[n2]],Tabla1[[#This Row],[longitud]]=Tabla3[[#This Row],[long]]),"si","no")</f>
        <v>si</v>
      </c>
    </row>
    <row r="707" spans="1:26" ht="15.75" x14ac:dyDescent="0.25">
      <c r="B707" t="s">
        <v>692</v>
      </c>
      <c r="C707" t="s">
        <v>693</v>
      </c>
      <c r="D707" s="19">
        <v>77.8</v>
      </c>
      <c r="E707" s="3" t="s">
        <v>53</v>
      </c>
      <c r="F707" s="3" t="s">
        <v>25</v>
      </c>
      <c r="G707" s="8" t="s">
        <v>58</v>
      </c>
      <c r="H707" s="4" t="s">
        <v>53</v>
      </c>
      <c r="I707" s="5">
        <v>1</v>
      </c>
      <c r="J707" s="8"/>
      <c r="K707" s="4"/>
      <c r="L707" s="5"/>
      <c r="M707" s="8"/>
      <c r="N707" s="4"/>
      <c r="O707" s="5"/>
      <c r="P707" s="8"/>
      <c r="Q707" s="4"/>
      <c r="R707" s="5"/>
      <c r="W707" s="67" t="s">
        <v>692</v>
      </c>
      <c r="X707" s="68" t="s">
        <v>693</v>
      </c>
      <c r="Y707" s="69">
        <v>77.8</v>
      </c>
      <c r="Z707" t="str">
        <f>IF(AND(Tabla1[[#This Row],[nudo inicial]]=Tabla3[[#This Row],[n1]],Tabla1[[#This Row],[nudo final]]=Tabla3[[#This Row],[n2]],Tabla1[[#This Row],[longitud]]=Tabla3[[#This Row],[long]]),"si","no")</f>
        <v>si</v>
      </c>
    </row>
    <row r="708" spans="1:26" ht="15.75" x14ac:dyDescent="0.25">
      <c r="B708" t="s">
        <v>693</v>
      </c>
      <c r="C708" t="s">
        <v>694</v>
      </c>
      <c r="D708" s="19">
        <v>7.08</v>
      </c>
      <c r="E708" s="3" t="s">
        <v>53</v>
      </c>
      <c r="F708" s="3" t="s">
        <v>25</v>
      </c>
      <c r="G708" s="8" t="s">
        <v>58</v>
      </c>
      <c r="H708" s="4" t="s">
        <v>53</v>
      </c>
      <c r="I708" s="5">
        <v>1</v>
      </c>
      <c r="J708" s="8" t="s">
        <v>17</v>
      </c>
      <c r="K708" s="4" t="s">
        <v>53</v>
      </c>
      <c r="L708" s="5">
        <v>1</v>
      </c>
      <c r="M708" s="8"/>
      <c r="N708" s="4"/>
      <c r="O708" s="5"/>
      <c r="P708" s="8"/>
      <c r="Q708" s="4"/>
      <c r="R708" s="5"/>
      <c r="W708" s="67" t="s">
        <v>693</v>
      </c>
      <c r="X708" s="68" t="s">
        <v>694</v>
      </c>
      <c r="Y708" s="69">
        <v>7.08</v>
      </c>
      <c r="Z708" t="str">
        <f>IF(AND(Tabla1[[#This Row],[nudo inicial]]=Tabla3[[#This Row],[n1]],Tabla1[[#This Row],[nudo final]]=Tabla3[[#This Row],[n2]],Tabla1[[#This Row],[longitud]]=Tabla3[[#This Row],[long]]),"si","no")</f>
        <v>si</v>
      </c>
    </row>
    <row r="709" spans="1:26" ht="15.75" x14ac:dyDescent="0.25">
      <c r="B709" t="s">
        <v>693</v>
      </c>
      <c r="C709" t="s">
        <v>695</v>
      </c>
      <c r="D709" s="19">
        <v>34.32</v>
      </c>
      <c r="E709" s="3" t="s">
        <v>53</v>
      </c>
      <c r="F709" s="3" t="s">
        <v>25</v>
      </c>
      <c r="G709" s="8" t="s">
        <v>58</v>
      </c>
      <c r="H709" s="4" t="s">
        <v>53</v>
      </c>
      <c r="I709" s="5">
        <v>1</v>
      </c>
      <c r="J709" s="8" t="s">
        <v>16</v>
      </c>
      <c r="K709" s="4" t="s">
        <v>53</v>
      </c>
      <c r="L709" s="5">
        <v>2</v>
      </c>
      <c r="M709" s="8"/>
      <c r="N709" s="4"/>
      <c r="O709" s="5"/>
      <c r="P709" s="8"/>
      <c r="Q709" s="4"/>
      <c r="R709" s="5"/>
      <c r="W709" s="67" t="s">
        <v>693</v>
      </c>
      <c r="X709" s="68" t="s">
        <v>695</v>
      </c>
      <c r="Y709" s="69">
        <v>34.32</v>
      </c>
      <c r="Z709" t="str">
        <f>IF(AND(Tabla1[[#This Row],[nudo inicial]]=Tabla3[[#This Row],[n1]],Tabla1[[#This Row],[nudo final]]=Tabla3[[#This Row],[n2]],Tabla1[[#This Row],[longitud]]=Tabla3[[#This Row],[long]]),"si","no")</f>
        <v>si</v>
      </c>
    </row>
    <row r="710" spans="1:26" ht="15.75" x14ac:dyDescent="0.25">
      <c r="B710" t="s">
        <v>695</v>
      </c>
      <c r="C710" t="s">
        <v>696</v>
      </c>
      <c r="D710" s="19">
        <v>62.36</v>
      </c>
      <c r="E710" s="3" t="s">
        <v>53</v>
      </c>
      <c r="F710" s="3" t="s">
        <v>25</v>
      </c>
      <c r="G710" s="8" t="s">
        <v>58</v>
      </c>
      <c r="H710" s="4" t="s">
        <v>53</v>
      </c>
      <c r="I710" s="5">
        <v>1</v>
      </c>
      <c r="J710" s="8" t="s">
        <v>17</v>
      </c>
      <c r="K710" s="4" t="s">
        <v>53</v>
      </c>
      <c r="L710" s="5">
        <v>1</v>
      </c>
      <c r="M710" s="8"/>
      <c r="N710" s="4"/>
      <c r="O710" s="5"/>
      <c r="P710" s="8"/>
      <c r="Q710" s="4"/>
      <c r="R710" s="5"/>
      <c r="W710" s="67" t="s">
        <v>695</v>
      </c>
      <c r="X710" s="68" t="s">
        <v>696</v>
      </c>
      <c r="Y710" s="69">
        <v>62.36</v>
      </c>
      <c r="Z710" t="str">
        <f>IF(AND(Tabla1[[#This Row],[nudo inicial]]=Tabla3[[#This Row],[n1]],Tabla1[[#This Row],[nudo final]]=Tabla3[[#This Row],[n2]],Tabla1[[#This Row],[longitud]]=Tabla3[[#This Row],[long]]),"si","no")</f>
        <v>si</v>
      </c>
    </row>
    <row r="711" spans="1:26" ht="15.75" x14ac:dyDescent="0.25">
      <c r="B711" t="s">
        <v>695</v>
      </c>
      <c r="C711" t="s">
        <v>697</v>
      </c>
      <c r="D711" s="19">
        <v>24.8</v>
      </c>
      <c r="E711" s="3" t="s">
        <v>53</v>
      </c>
      <c r="F711" s="3" t="s">
        <v>25</v>
      </c>
      <c r="G711" s="8" t="s">
        <v>57</v>
      </c>
      <c r="H711" s="4" t="s">
        <v>53</v>
      </c>
      <c r="I711" s="5">
        <v>1</v>
      </c>
      <c r="J711" s="8" t="s">
        <v>17</v>
      </c>
      <c r="K711" s="4" t="s">
        <v>53</v>
      </c>
      <c r="L711" s="5">
        <v>1</v>
      </c>
      <c r="M711" s="8"/>
      <c r="N711" s="4"/>
      <c r="O711" s="5"/>
      <c r="P711" s="8"/>
      <c r="Q711" s="4"/>
      <c r="R711" s="5"/>
      <c r="W711" s="67" t="s">
        <v>695</v>
      </c>
      <c r="X711" s="68" t="s">
        <v>697</v>
      </c>
      <c r="Y711" s="69">
        <v>24.8</v>
      </c>
      <c r="Z711" t="str">
        <f>IF(AND(Tabla1[[#This Row],[nudo inicial]]=Tabla3[[#This Row],[n1]],Tabla1[[#This Row],[nudo final]]=Tabla3[[#This Row],[n2]],Tabla1[[#This Row],[longitud]]=Tabla3[[#This Row],[long]]),"si","no")</f>
        <v>si</v>
      </c>
    </row>
    <row r="712" spans="1:26" ht="15.75" x14ac:dyDescent="0.25">
      <c r="B712" t="s">
        <v>692</v>
      </c>
      <c r="C712" t="s">
        <v>698</v>
      </c>
      <c r="D712" s="19">
        <v>35.06</v>
      </c>
      <c r="E712" s="3" t="s">
        <v>53</v>
      </c>
      <c r="F712" s="3" t="s">
        <v>25</v>
      </c>
      <c r="G712" s="8" t="s">
        <v>57</v>
      </c>
      <c r="H712" s="4" t="s">
        <v>53</v>
      </c>
      <c r="I712" s="5">
        <v>1</v>
      </c>
      <c r="J712" s="8" t="s">
        <v>6</v>
      </c>
      <c r="K712" s="4" t="s">
        <v>23</v>
      </c>
      <c r="L712" s="5">
        <v>1</v>
      </c>
      <c r="M712" s="8"/>
      <c r="N712" s="4"/>
      <c r="O712" s="5"/>
      <c r="P712" s="8"/>
      <c r="Q712" s="4"/>
      <c r="R712" s="5"/>
      <c r="W712" s="67" t="s">
        <v>692</v>
      </c>
      <c r="X712" s="68" t="s">
        <v>698</v>
      </c>
      <c r="Y712" s="69">
        <v>35.06</v>
      </c>
      <c r="Z712" t="str">
        <f>IF(AND(Tabla1[[#This Row],[nudo inicial]]=Tabla3[[#This Row],[n1]],Tabla1[[#This Row],[nudo final]]=Tabla3[[#This Row],[n2]],Tabla1[[#This Row],[longitud]]=Tabla3[[#This Row],[long]]),"si","no")</f>
        <v>si</v>
      </c>
    </row>
    <row r="713" spans="1:26" ht="15.75" x14ac:dyDescent="0.25">
      <c r="B713" t="s">
        <v>698</v>
      </c>
      <c r="C713" t="s">
        <v>699</v>
      </c>
      <c r="D713" s="19">
        <v>37</v>
      </c>
      <c r="E713" s="3" t="s">
        <v>56</v>
      </c>
      <c r="F713" s="3" t="s">
        <v>25</v>
      </c>
      <c r="G713" s="8" t="s">
        <v>20</v>
      </c>
      <c r="H713" s="4" t="s">
        <v>23</v>
      </c>
      <c r="I713" s="5">
        <v>1</v>
      </c>
      <c r="J713" s="8" t="s">
        <v>17</v>
      </c>
      <c r="K713" s="4" t="s">
        <v>56</v>
      </c>
      <c r="L713" s="5">
        <v>1</v>
      </c>
      <c r="M713" s="8" t="s">
        <v>15</v>
      </c>
      <c r="N713" s="4" t="s">
        <v>56</v>
      </c>
      <c r="O713" s="5">
        <v>1</v>
      </c>
      <c r="P713" s="8"/>
      <c r="Q713" s="4"/>
      <c r="R713" s="5"/>
      <c r="W713" s="67" t="s">
        <v>698</v>
      </c>
      <c r="X713" s="68" t="s">
        <v>699</v>
      </c>
      <c r="Y713" s="69">
        <v>37</v>
      </c>
      <c r="Z713" t="str">
        <f>IF(AND(Tabla1[[#This Row],[nudo inicial]]=Tabla3[[#This Row],[n1]],Tabla1[[#This Row],[nudo final]]=Tabla3[[#This Row],[n2]],Tabla1[[#This Row],[longitud]]=Tabla3[[#This Row],[long]]),"si","no")</f>
        <v>si</v>
      </c>
    </row>
    <row r="714" spans="1:26" ht="15.75" x14ac:dyDescent="0.25">
      <c r="A714" s="28"/>
      <c r="B714" t="s">
        <v>698</v>
      </c>
      <c r="C714" t="s">
        <v>700</v>
      </c>
      <c r="D714" s="19">
        <v>46.66</v>
      </c>
      <c r="E714" s="3" t="s">
        <v>23</v>
      </c>
      <c r="F714" s="3" t="s">
        <v>25</v>
      </c>
      <c r="G714" s="8" t="s">
        <v>32</v>
      </c>
      <c r="H714" s="4" t="s">
        <v>23</v>
      </c>
      <c r="I714" s="5">
        <v>1</v>
      </c>
      <c r="J714" s="8"/>
      <c r="K714" s="4"/>
      <c r="L714" s="5"/>
      <c r="M714" s="8"/>
      <c r="N714" s="4"/>
      <c r="O714" s="5"/>
      <c r="P714" s="8"/>
      <c r="Q714" s="4"/>
      <c r="R714" s="5"/>
      <c r="W714" s="67" t="s">
        <v>698</v>
      </c>
      <c r="X714" s="68" t="s">
        <v>700</v>
      </c>
      <c r="Y714" s="69">
        <v>46.66</v>
      </c>
      <c r="Z714" t="str">
        <f>IF(AND(Tabla1[[#This Row],[nudo inicial]]=Tabla3[[#This Row],[n1]],Tabla1[[#This Row],[nudo final]]=Tabla3[[#This Row],[n2]],Tabla1[[#This Row],[longitud]]=Tabla3[[#This Row],[long]]),"si","no")</f>
        <v>si</v>
      </c>
    </row>
    <row r="715" spans="1:26" ht="30" x14ac:dyDescent="0.25">
      <c r="B715" s="28" t="s">
        <v>654</v>
      </c>
      <c r="C715" s="28" t="s">
        <v>701</v>
      </c>
      <c r="D715" s="29">
        <v>139.59</v>
      </c>
      <c r="E715" s="30" t="s">
        <v>55</v>
      </c>
      <c r="F715" s="30" t="s">
        <v>26</v>
      </c>
      <c r="G715" s="31" t="s">
        <v>536</v>
      </c>
      <c r="H715" s="32" t="s">
        <v>55</v>
      </c>
      <c r="I715" s="33">
        <v>1</v>
      </c>
      <c r="J715" s="31" t="s">
        <v>33</v>
      </c>
      <c r="K715" s="32"/>
      <c r="L715" s="33">
        <v>1</v>
      </c>
      <c r="M715" s="31"/>
      <c r="N715" s="32"/>
      <c r="O715" s="33"/>
      <c r="P715" s="31"/>
      <c r="Q715" s="32"/>
      <c r="R715" s="33"/>
      <c r="S715" s="28"/>
      <c r="T715" s="28"/>
      <c r="U715" s="28"/>
      <c r="W715" s="67" t="s">
        <v>654</v>
      </c>
      <c r="X715" s="68" t="s">
        <v>701</v>
      </c>
      <c r="Y715" s="69">
        <v>139.59</v>
      </c>
      <c r="Z715" t="str">
        <f>IF(AND(Tabla1[[#This Row],[nudo inicial]]=Tabla3[[#This Row],[n1]],Tabla1[[#This Row],[nudo final]]=Tabla3[[#This Row],[n2]],Tabla1[[#This Row],[longitud]]=Tabla3[[#This Row],[long]]),"si","no")</f>
        <v>si</v>
      </c>
    </row>
    <row r="716" spans="1:26" ht="15.75" x14ac:dyDescent="0.25">
      <c r="B716" t="s">
        <v>701</v>
      </c>
      <c r="C716" t="s">
        <v>700</v>
      </c>
      <c r="D716" s="19">
        <v>1.75</v>
      </c>
      <c r="E716" s="3" t="s">
        <v>23</v>
      </c>
      <c r="F716" s="3" t="s">
        <v>25</v>
      </c>
      <c r="G716" s="8" t="s">
        <v>15</v>
      </c>
      <c r="H716" s="4" t="s">
        <v>23</v>
      </c>
      <c r="I716" s="5">
        <v>1</v>
      </c>
      <c r="J716" s="8"/>
      <c r="K716" s="4"/>
      <c r="L716" s="5"/>
      <c r="M716" s="8"/>
      <c r="N716" s="4"/>
      <c r="O716" s="5"/>
      <c r="P716" s="8"/>
      <c r="Q716" s="4"/>
      <c r="R716" s="5"/>
      <c r="W716" s="67" t="s">
        <v>701</v>
      </c>
      <c r="X716" s="68" t="s">
        <v>700</v>
      </c>
      <c r="Y716" s="69">
        <v>1.75</v>
      </c>
      <c r="Z716" t="str">
        <f>IF(AND(Tabla1[[#This Row],[nudo inicial]]=Tabla3[[#This Row],[n1]],Tabla1[[#This Row],[nudo final]]=Tabla3[[#This Row],[n2]],Tabla1[[#This Row],[longitud]]=Tabla3[[#This Row],[long]]),"si","no")</f>
        <v>si</v>
      </c>
    </row>
    <row r="717" spans="1:26" ht="15.75" x14ac:dyDescent="0.25">
      <c r="B717" t="s">
        <v>700</v>
      </c>
      <c r="C717" t="s">
        <v>702</v>
      </c>
      <c r="D717" s="19">
        <v>4.9400000000000004</v>
      </c>
      <c r="E717" s="3" t="s">
        <v>23</v>
      </c>
      <c r="F717" s="3" t="s">
        <v>25</v>
      </c>
      <c r="G717" s="8" t="s">
        <v>57</v>
      </c>
      <c r="H717" s="4" t="s">
        <v>23</v>
      </c>
      <c r="I717" s="5">
        <v>1</v>
      </c>
      <c r="J717" s="8"/>
      <c r="K717" s="4"/>
      <c r="L717" s="5"/>
      <c r="M717" s="8"/>
      <c r="N717" s="4"/>
      <c r="O717" s="5"/>
      <c r="P717" s="8"/>
      <c r="Q717" s="4"/>
      <c r="R717" s="5"/>
      <c r="W717" s="67" t="s">
        <v>700</v>
      </c>
      <c r="X717" s="68" t="s">
        <v>702</v>
      </c>
      <c r="Y717" s="69">
        <v>4.9400000000000004</v>
      </c>
      <c r="Z717" t="str">
        <f>IF(AND(Tabla1[[#This Row],[nudo inicial]]=Tabla3[[#This Row],[n1]],Tabla1[[#This Row],[nudo final]]=Tabla3[[#This Row],[n2]],Tabla1[[#This Row],[longitud]]=Tabla3[[#This Row],[long]]),"si","no")</f>
        <v>si</v>
      </c>
    </row>
    <row r="718" spans="1:26" ht="15.75" x14ac:dyDescent="0.25">
      <c r="B718" t="s">
        <v>702</v>
      </c>
      <c r="C718" t="s">
        <v>703</v>
      </c>
      <c r="D718" s="19">
        <v>147.78</v>
      </c>
      <c r="E718" s="3" t="s">
        <v>23</v>
      </c>
      <c r="F718" s="3" t="s">
        <v>25</v>
      </c>
      <c r="G718" s="8" t="s">
        <v>58</v>
      </c>
      <c r="H718" s="4" t="s">
        <v>23</v>
      </c>
      <c r="I718" s="5">
        <v>1</v>
      </c>
      <c r="J718" s="8"/>
      <c r="K718" s="4"/>
      <c r="L718" s="5"/>
      <c r="M718" s="8"/>
      <c r="N718" s="4"/>
      <c r="O718" s="5"/>
      <c r="P718" s="8"/>
      <c r="Q718" s="4"/>
      <c r="R718" s="5"/>
      <c r="W718" s="67" t="s">
        <v>702</v>
      </c>
      <c r="X718" s="68" t="s">
        <v>703</v>
      </c>
      <c r="Y718" s="69">
        <v>147.78</v>
      </c>
      <c r="Z718" t="str">
        <f>IF(AND(Tabla1[[#This Row],[nudo inicial]]=Tabla3[[#This Row],[n1]],Tabla1[[#This Row],[nudo final]]=Tabla3[[#This Row],[n2]],Tabla1[[#This Row],[longitud]]=Tabla3[[#This Row],[long]]),"si","no")</f>
        <v>si</v>
      </c>
    </row>
    <row r="719" spans="1:26" ht="15.75" x14ac:dyDescent="0.25">
      <c r="B719" t="s">
        <v>703</v>
      </c>
      <c r="C719" t="s">
        <v>704</v>
      </c>
      <c r="D719" s="19">
        <v>2.2400000000000002</v>
      </c>
      <c r="E719" s="3" t="s">
        <v>23</v>
      </c>
      <c r="F719" s="3" t="s">
        <v>26</v>
      </c>
      <c r="G719" s="8" t="s">
        <v>58</v>
      </c>
      <c r="H719" s="4" t="s">
        <v>23</v>
      </c>
      <c r="I719" s="5">
        <v>1</v>
      </c>
      <c r="J719" s="8"/>
      <c r="K719" s="4"/>
      <c r="L719" s="5"/>
      <c r="M719" s="8"/>
      <c r="N719" s="4"/>
      <c r="O719" s="5"/>
      <c r="P719" s="8"/>
      <c r="Q719" s="4"/>
      <c r="R719" s="5"/>
      <c r="W719" s="67" t="s">
        <v>703</v>
      </c>
      <c r="X719" s="68" t="s">
        <v>704</v>
      </c>
      <c r="Y719" s="69">
        <v>2.2400000000000002</v>
      </c>
      <c r="Z719" t="str">
        <f>IF(AND(Tabla1[[#This Row],[nudo inicial]]=Tabla3[[#This Row],[n1]],Tabla1[[#This Row],[nudo final]]=Tabla3[[#This Row],[n2]],Tabla1[[#This Row],[longitud]]=Tabla3[[#This Row],[long]]),"si","no")</f>
        <v>si</v>
      </c>
    </row>
    <row r="720" spans="1:26" ht="15.75" x14ac:dyDescent="0.25">
      <c r="B720" t="s">
        <v>704</v>
      </c>
      <c r="C720" t="s">
        <v>705</v>
      </c>
      <c r="D720" s="19">
        <v>12.35</v>
      </c>
      <c r="E720" s="3" t="s">
        <v>23</v>
      </c>
      <c r="F720" s="3" t="s">
        <v>26</v>
      </c>
      <c r="G720" s="8" t="s">
        <v>57</v>
      </c>
      <c r="H720" s="4" t="s">
        <v>23</v>
      </c>
      <c r="I720" s="5">
        <v>1</v>
      </c>
      <c r="J720" s="8" t="s">
        <v>6</v>
      </c>
      <c r="K720" s="4" t="s">
        <v>55</v>
      </c>
      <c r="L720" s="5">
        <v>1</v>
      </c>
      <c r="M720" s="8"/>
      <c r="N720" s="4"/>
      <c r="O720" s="5"/>
      <c r="P720" s="8"/>
      <c r="Q720" s="4"/>
      <c r="R720" s="5"/>
      <c r="W720" s="67" t="s">
        <v>704</v>
      </c>
      <c r="X720" s="68" t="s">
        <v>705</v>
      </c>
      <c r="Y720" s="69">
        <v>12.35</v>
      </c>
      <c r="Z720" t="str">
        <f>IF(AND(Tabla1[[#This Row],[nudo inicial]]=Tabla3[[#This Row],[n1]],Tabla1[[#This Row],[nudo final]]=Tabla3[[#This Row],[n2]],Tabla1[[#This Row],[longitud]]=Tabla3[[#This Row],[long]]),"si","no")</f>
        <v>si</v>
      </c>
    </row>
    <row r="721" spans="1:26" ht="15.75" x14ac:dyDescent="0.25">
      <c r="B721" t="s">
        <v>647</v>
      </c>
      <c r="C721" t="s">
        <v>706</v>
      </c>
      <c r="D721" s="19">
        <v>79.680000000000007</v>
      </c>
      <c r="E721" s="3" t="s">
        <v>23</v>
      </c>
      <c r="F721" s="3" t="s">
        <v>25</v>
      </c>
      <c r="G721" s="8" t="s">
        <v>536</v>
      </c>
      <c r="H721" s="4" t="s">
        <v>126</v>
      </c>
      <c r="I721" s="5">
        <v>1</v>
      </c>
      <c r="J721" s="8" t="s">
        <v>15</v>
      </c>
      <c r="K721" s="4" t="s">
        <v>23</v>
      </c>
      <c r="L721" s="5">
        <v>1</v>
      </c>
      <c r="M721" s="8"/>
      <c r="N721" s="4"/>
      <c r="O721" s="5"/>
      <c r="P721" s="8"/>
      <c r="Q721" s="4"/>
      <c r="R721" s="5"/>
      <c r="W721" s="67" t="s">
        <v>647</v>
      </c>
      <c r="X721" s="68" t="s">
        <v>706</v>
      </c>
      <c r="Y721" s="69">
        <v>79.680000000000007</v>
      </c>
      <c r="Z721" t="str">
        <f>IF(AND(Tabla1[[#This Row],[nudo inicial]]=Tabla3[[#This Row],[n1]],Tabla1[[#This Row],[nudo final]]=Tabla3[[#This Row],[n2]],Tabla1[[#This Row],[longitud]]=Tabla3[[#This Row],[long]]),"si","no")</f>
        <v>si</v>
      </c>
    </row>
    <row r="722" spans="1:26" ht="15.75" x14ac:dyDescent="0.25">
      <c r="B722" t="s">
        <v>706</v>
      </c>
      <c r="C722" t="s">
        <v>707</v>
      </c>
      <c r="D722" s="19">
        <v>51.02</v>
      </c>
      <c r="E722" s="3" t="s">
        <v>53</v>
      </c>
      <c r="F722" s="3" t="s">
        <v>25</v>
      </c>
      <c r="G722" s="8" t="s">
        <v>58</v>
      </c>
      <c r="H722" s="4" t="s">
        <v>23</v>
      </c>
      <c r="I722" s="5">
        <v>1</v>
      </c>
      <c r="J722" s="8" t="s">
        <v>15</v>
      </c>
      <c r="K722" s="4" t="s">
        <v>53</v>
      </c>
      <c r="L722" s="5">
        <v>1</v>
      </c>
      <c r="M722" s="8" t="s">
        <v>17</v>
      </c>
      <c r="N722" s="4" t="s">
        <v>53</v>
      </c>
      <c r="O722" s="5">
        <v>1</v>
      </c>
      <c r="P722" s="8"/>
      <c r="Q722" s="4"/>
      <c r="R722" s="5"/>
      <c r="W722" s="67" t="s">
        <v>706</v>
      </c>
      <c r="X722" s="68" t="s">
        <v>707</v>
      </c>
      <c r="Y722" s="69">
        <v>51.02</v>
      </c>
      <c r="Z722" t="str">
        <f>IF(AND(Tabla1[[#This Row],[nudo inicial]]=Tabla3[[#This Row],[n1]],Tabla1[[#This Row],[nudo final]]=Tabla3[[#This Row],[n2]],Tabla1[[#This Row],[longitud]]=Tabla3[[#This Row],[long]]),"si","no")</f>
        <v>si</v>
      </c>
    </row>
    <row r="723" spans="1:26" ht="15.75" x14ac:dyDescent="0.25">
      <c r="B723" t="s">
        <v>706</v>
      </c>
      <c r="C723" t="s">
        <v>708</v>
      </c>
      <c r="D723" s="19">
        <v>41.88</v>
      </c>
      <c r="E723" s="3" t="s">
        <v>23</v>
      </c>
      <c r="F723" s="3" t="s">
        <v>25</v>
      </c>
      <c r="G723" s="8" t="s">
        <v>57</v>
      </c>
      <c r="H723" s="4" t="s">
        <v>23</v>
      </c>
      <c r="I723" s="5">
        <v>1</v>
      </c>
      <c r="J723" s="8" t="s">
        <v>32</v>
      </c>
      <c r="K723" s="4" t="s">
        <v>23</v>
      </c>
      <c r="L723" s="5">
        <v>1</v>
      </c>
      <c r="M723" s="8"/>
      <c r="N723" s="4"/>
      <c r="O723" s="5"/>
      <c r="P723" s="8"/>
      <c r="Q723" s="4"/>
      <c r="R723" s="5"/>
      <c r="W723" s="67" t="s">
        <v>706</v>
      </c>
      <c r="X723" s="68" t="s">
        <v>708</v>
      </c>
      <c r="Y723" s="69">
        <v>41.88</v>
      </c>
      <c r="Z723" t="str">
        <f>IF(AND(Tabla1[[#This Row],[nudo inicial]]=Tabla3[[#This Row],[n1]],Tabla1[[#This Row],[nudo final]]=Tabla3[[#This Row],[n2]],Tabla1[[#This Row],[longitud]]=Tabla3[[#This Row],[long]]),"si","no")</f>
        <v>si</v>
      </c>
    </row>
    <row r="724" spans="1:26" ht="15.75" x14ac:dyDescent="0.25">
      <c r="B724" t="s">
        <v>708</v>
      </c>
      <c r="C724" t="s">
        <v>705</v>
      </c>
      <c r="D724" s="19">
        <v>7.66</v>
      </c>
      <c r="E724" s="3" t="s">
        <v>23</v>
      </c>
      <c r="F724" s="3" t="s">
        <v>26</v>
      </c>
      <c r="G724" s="8" t="s">
        <v>6</v>
      </c>
      <c r="H724" s="4" t="s">
        <v>55</v>
      </c>
      <c r="I724" s="5">
        <v>1</v>
      </c>
      <c r="J724" s="8"/>
      <c r="K724" s="4"/>
      <c r="L724" s="5"/>
      <c r="M724" s="8"/>
      <c r="N724" s="4"/>
      <c r="O724" s="5"/>
      <c r="P724" s="8"/>
      <c r="Q724" s="4"/>
      <c r="R724" s="5"/>
      <c r="W724" s="67" t="s">
        <v>708</v>
      </c>
      <c r="X724" s="68" t="s">
        <v>705</v>
      </c>
      <c r="Y724" s="69">
        <v>7.66</v>
      </c>
      <c r="Z724" t="str">
        <f>IF(AND(Tabla1[[#This Row],[nudo inicial]]=Tabla3[[#This Row],[n1]],Tabla1[[#This Row],[nudo final]]=Tabla3[[#This Row],[n2]],Tabla1[[#This Row],[longitud]]=Tabla3[[#This Row],[long]]),"si","no")</f>
        <v>si</v>
      </c>
    </row>
    <row r="725" spans="1:26" ht="15.75" x14ac:dyDescent="0.25">
      <c r="B725" t="s">
        <v>705</v>
      </c>
      <c r="C725" t="s">
        <v>709</v>
      </c>
      <c r="D725" s="19">
        <v>124.82</v>
      </c>
      <c r="E725" s="3" t="s">
        <v>23</v>
      </c>
      <c r="F725" s="3" t="s">
        <v>25</v>
      </c>
      <c r="G725" s="8" t="s">
        <v>536</v>
      </c>
      <c r="H725" s="4" t="s">
        <v>55</v>
      </c>
      <c r="I725" s="5">
        <v>1</v>
      </c>
      <c r="J725" s="8" t="s">
        <v>15</v>
      </c>
      <c r="K725" s="4" t="s">
        <v>23</v>
      </c>
      <c r="L725" s="5">
        <v>1</v>
      </c>
      <c r="M725" s="8" t="s">
        <v>17</v>
      </c>
      <c r="N725" s="4" t="s">
        <v>23</v>
      </c>
      <c r="O725" s="5">
        <v>1</v>
      </c>
      <c r="P725" s="8"/>
      <c r="Q725" s="4"/>
      <c r="R725" s="5"/>
      <c r="W725" s="67" t="s">
        <v>705</v>
      </c>
      <c r="X725" s="68" t="s">
        <v>709</v>
      </c>
      <c r="Y725" s="69">
        <v>124.82</v>
      </c>
      <c r="Z725" t="str">
        <f>IF(AND(Tabla1[[#This Row],[nudo inicial]]=Tabla3[[#This Row],[n1]],Tabla1[[#This Row],[nudo final]]=Tabla3[[#This Row],[n2]],Tabla1[[#This Row],[longitud]]=Tabla3[[#This Row],[long]]),"si","no")</f>
        <v>si</v>
      </c>
    </row>
    <row r="726" spans="1:26" ht="30" x14ac:dyDescent="0.25">
      <c r="B726" t="s">
        <v>705</v>
      </c>
      <c r="C726" t="s">
        <v>710</v>
      </c>
      <c r="D726" s="19">
        <v>128.04</v>
      </c>
      <c r="E726" s="3" t="s">
        <v>55</v>
      </c>
      <c r="F726" s="3" t="s">
        <v>25</v>
      </c>
      <c r="G726" s="8" t="s">
        <v>536</v>
      </c>
      <c r="H726" s="4" t="s">
        <v>55</v>
      </c>
      <c r="I726" s="5">
        <v>1</v>
      </c>
      <c r="J726" s="8" t="s">
        <v>32</v>
      </c>
      <c r="K726" s="4" t="s">
        <v>55</v>
      </c>
      <c r="L726" s="5">
        <v>1</v>
      </c>
      <c r="M726" s="8" t="s">
        <v>34</v>
      </c>
      <c r="N726" s="4"/>
      <c r="O726" s="5">
        <v>1</v>
      </c>
      <c r="P726" s="8"/>
      <c r="Q726" s="4"/>
      <c r="R726" s="5"/>
      <c r="W726" s="67" t="s">
        <v>705</v>
      </c>
      <c r="X726" s="68" t="s">
        <v>710</v>
      </c>
      <c r="Y726" s="69">
        <v>128.04</v>
      </c>
      <c r="Z726" t="str">
        <f>IF(AND(Tabla1[[#This Row],[nudo inicial]]=Tabla3[[#This Row],[n1]],Tabla1[[#This Row],[nudo final]]=Tabla3[[#This Row],[n2]],Tabla1[[#This Row],[longitud]]=Tabla3[[#This Row],[long]]),"si","no")</f>
        <v>si</v>
      </c>
    </row>
    <row r="727" spans="1:26" ht="15.75" x14ac:dyDescent="0.25">
      <c r="A727" s="28"/>
      <c r="B727" t="s">
        <v>710</v>
      </c>
      <c r="C727" t="s">
        <v>711</v>
      </c>
      <c r="D727" s="19">
        <v>147.22999999999999</v>
      </c>
      <c r="E727" s="3" t="s">
        <v>55</v>
      </c>
      <c r="F727" s="3" t="s">
        <v>25</v>
      </c>
      <c r="G727" s="8" t="s">
        <v>57</v>
      </c>
      <c r="H727" s="4" t="s">
        <v>55</v>
      </c>
      <c r="I727" s="5">
        <v>1</v>
      </c>
      <c r="J727" s="8" t="s">
        <v>6</v>
      </c>
      <c r="K727" s="4" t="s">
        <v>30</v>
      </c>
      <c r="L727" s="5">
        <v>1</v>
      </c>
      <c r="M727" s="8"/>
      <c r="N727" s="4"/>
      <c r="O727" s="5"/>
      <c r="P727" s="8"/>
      <c r="Q727" s="4"/>
      <c r="R727" s="5"/>
      <c r="W727" s="67" t="s">
        <v>710</v>
      </c>
      <c r="X727" s="68" t="s">
        <v>711</v>
      </c>
      <c r="Y727" s="69">
        <v>147.22999999999999</v>
      </c>
      <c r="Z727" t="str">
        <f>IF(AND(Tabla1[[#This Row],[nudo inicial]]=Tabla3[[#This Row],[n1]],Tabla1[[#This Row],[nudo final]]=Tabla3[[#This Row],[n2]],Tabla1[[#This Row],[longitud]]=Tabla3[[#This Row],[long]]),"si","no")</f>
        <v>si</v>
      </c>
    </row>
    <row r="728" spans="1:26" ht="15.75" x14ac:dyDescent="0.25">
      <c r="A728" s="28"/>
      <c r="B728" s="28" t="s">
        <v>643</v>
      </c>
      <c r="C728" s="28" t="s">
        <v>711</v>
      </c>
      <c r="D728" s="29">
        <v>133.6</v>
      </c>
      <c r="E728" s="30" t="s">
        <v>30</v>
      </c>
      <c r="F728" s="30" t="s">
        <v>25</v>
      </c>
      <c r="G728" s="31" t="s">
        <v>536</v>
      </c>
      <c r="H728" s="32" t="s">
        <v>30</v>
      </c>
      <c r="I728" s="33">
        <v>1</v>
      </c>
      <c r="J728" s="31" t="s">
        <v>32</v>
      </c>
      <c r="K728" s="32" t="s">
        <v>30</v>
      </c>
      <c r="L728" s="33">
        <v>1</v>
      </c>
      <c r="M728" s="31"/>
      <c r="N728" s="32"/>
      <c r="O728" s="33"/>
      <c r="P728" s="31"/>
      <c r="Q728" s="32"/>
      <c r="R728" s="33"/>
      <c r="S728" s="28"/>
      <c r="T728" s="28"/>
      <c r="U728" s="28"/>
      <c r="W728" s="67" t="s">
        <v>643</v>
      </c>
      <c r="X728" s="68" t="s">
        <v>711</v>
      </c>
      <c r="Y728" s="69">
        <v>133.6</v>
      </c>
      <c r="Z728" t="str">
        <f>IF(AND(Tabla1[[#This Row],[nudo inicial]]=Tabla3[[#This Row],[n1]],Tabla1[[#This Row],[nudo final]]=Tabla3[[#This Row],[n2]],Tabla1[[#This Row],[longitud]]=Tabla3[[#This Row],[long]]),"si","no")</f>
        <v>si</v>
      </c>
    </row>
    <row r="729" spans="1:26" ht="15.75" x14ac:dyDescent="0.25">
      <c r="B729" s="28" t="s">
        <v>711</v>
      </c>
      <c r="C729" s="28" t="s">
        <v>712</v>
      </c>
      <c r="D729" s="29">
        <v>198.34</v>
      </c>
      <c r="E729" s="30" t="s">
        <v>55</v>
      </c>
      <c r="F729" s="30" t="s">
        <v>25</v>
      </c>
      <c r="G729" s="31" t="s">
        <v>536</v>
      </c>
      <c r="H729" s="32" t="s">
        <v>30</v>
      </c>
      <c r="I729" s="33">
        <v>1</v>
      </c>
      <c r="J729" s="31" t="s">
        <v>15</v>
      </c>
      <c r="K729" s="32" t="s">
        <v>55</v>
      </c>
      <c r="L729" s="33">
        <v>1</v>
      </c>
      <c r="M729" s="31"/>
      <c r="N729" s="32"/>
      <c r="O729" s="33"/>
      <c r="P729" s="31"/>
      <c r="Q729" s="32"/>
      <c r="R729" s="33"/>
      <c r="S729" s="28"/>
      <c r="T729" s="28"/>
      <c r="U729" s="28"/>
      <c r="W729" s="67" t="s">
        <v>711</v>
      </c>
      <c r="X729" s="68" t="s">
        <v>712</v>
      </c>
      <c r="Y729" s="69">
        <v>198.34</v>
      </c>
      <c r="Z729" t="str">
        <f>IF(AND(Tabla1[[#This Row],[nudo inicial]]=Tabla3[[#This Row],[n1]],Tabla1[[#This Row],[nudo final]]=Tabla3[[#This Row],[n2]],Tabla1[[#This Row],[longitud]]=Tabla3[[#This Row],[long]]),"si","no")</f>
        <v>si</v>
      </c>
    </row>
    <row r="730" spans="1:26" ht="15.75" x14ac:dyDescent="0.25">
      <c r="B730" t="s">
        <v>712</v>
      </c>
      <c r="C730" t="s">
        <v>713</v>
      </c>
      <c r="D730" s="19">
        <v>64.66</v>
      </c>
      <c r="E730" s="3" t="s">
        <v>53</v>
      </c>
      <c r="F730" s="3" t="s">
        <v>25</v>
      </c>
      <c r="G730" s="8" t="s">
        <v>58</v>
      </c>
      <c r="H730" s="4" t="s">
        <v>55</v>
      </c>
      <c r="I730" s="5">
        <v>1</v>
      </c>
      <c r="J730" s="8" t="s">
        <v>15</v>
      </c>
      <c r="K730" s="4" t="s">
        <v>53</v>
      </c>
      <c r="L730" s="5">
        <v>1</v>
      </c>
      <c r="M730" s="8" t="s">
        <v>17</v>
      </c>
      <c r="N730" s="4" t="s">
        <v>53</v>
      </c>
      <c r="O730" s="5">
        <v>1</v>
      </c>
      <c r="P730" s="8"/>
      <c r="Q730" s="4"/>
      <c r="R730" s="5"/>
      <c r="W730" s="67" t="s">
        <v>712</v>
      </c>
      <c r="X730" s="68" t="s">
        <v>713</v>
      </c>
      <c r="Y730" s="69">
        <v>64.66</v>
      </c>
      <c r="Z730" t="str">
        <f>IF(AND(Tabla1[[#This Row],[nudo inicial]]=Tabla3[[#This Row],[n1]],Tabla1[[#This Row],[nudo final]]=Tabla3[[#This Row],[n2]],Tabla1[[#This Row],[longitud]]=Tabla3[[#This Row],[long]]),"si","no")</f>
        <v>si</v>
      </c>
    </row>
    <row r="731" spans="1:26" ht="15.75" x14ac:dyDescent="0.25">
      <c r="B731" t="s">
        <v>712</v>
      </c>
      <c r="C731" t="s">
        <v>714</v>
      </c>
      <c r="D731" s="19">
        <v>70.959999999999994</v>
      </c>
      <c r="E731" s="3" t="s">
        <v>55</v>
      </c>
      <c r="F731" s="3" t="s">
        <v>25</v>
      </c>
      <c r="G731" s="8" t="s">
        <v>57</v>
      </c>
      <c r="H731" s="4" t="s">
        <v>55</v>
      </c>
      <c r="I731" s="5">
        <v>1</v>
      </c>
      <c r="J731" s="8" t="s">
        <v>17</v>
      </c>
      <c r="K731" s="4" t="s">
        <v>55</v>
      </c>
      <c r="L731" s="5">
        <v>1</v>
      </c>
      <c r="M731" s="8"/>
      <c r="N731" s="4"/>
      <c r="O731" s="5"/>
      <c r="P731" s="8"/>
      <c r="Q731" s="4"/>
      <c r="R731" s="5"/>
      <c r="W731" s="67" t="s">
        <v>712</v>
      </c>
      <c r="X731" s="68" t="s">
        <v>714</v>
      </c>
      <c r="Y731" s="69">
        <v>70.959999999999994</v>
      </c>
      <c r="Z731" t="str">
        <f>IF(AND(Tabla1[[#This Row],[nudo inicial]]=Tabla3[[#This Row],[n1]],Tabla1[[#This Row],[nudo final]]=Tabla3[[#This Row],[n2]],Tabla1[[#This Row],[longitud]]=Tabla3[[#This Row],[long]]),"si","no")</f>
        <v>si</v>
      </c>
    </row>
    <row r="732" spans="1:26" ht="15.75" x14ac:dyDescent="0.25">
      <c r="B732" t="s">
        <v>641</v>
      </c>
      <c r="C732" t="s">
        <v>715</v>
      </c>
      <c r="D732" s="19">
        <v>151.47</v>
      </c>
      <c r="E732" s="3" t="s">
        <v>23</v>
      </c>
      <c r="F732" s="3" t="s">
        <v>25</v>
      </c>
      <c r="G732" s="8" t="s">
        <v>536</v>
      </c>
      <c r="H732" s="4" t="s">
        <v>23</v>
      </c>
      <c r="I732" s="5">
        <v>1</v>
      </c>
      <c r="J732" s="8" t="s">
        <v>6</v>
      </c>
      <c r="K732" s="4" t="s">
        <v>126</v>
      </c>
      <c r="L732" s="5">
        <v>1</v>
      </c>
      <c r="M732" s="8" t="s">
        <v>32</v>
      </c>
      <c r="N732" s="4" t="s">
        <v>23</v>
      </c>
      <c r="O732" s="5"/>
      <c r="P732" s="8"/>
      <c r="Q732" s="4"/>
      <c r="R732" s="5"/>
      <c r="W732" s="67" t="s">
        <v>641</v>
      </c>
      <c r="X732" s="68" t="s">
        <v>715</v>
      </c>
      <c r="Y732" s="69">
        <v>151.47</v>
      </c>
      <c r="Z732" t="str">
        <f>IF(AND(Tabla1[[#This Row],[nudo inicial]]=Tabla3[[#This Row],[n1]],Tabla1[[#This Row],[nudo final]]=Tabla3[[#This Row],[n2]],Tabla1[[#This Row],[longitud]]=Tabla3[[#This Row],[long]]),"si","no")</f>
        <v>si</v>
      </c>
    </row>
    <row r="733" spans="1:26" ht="15.75" x14ac:dyDescent="0.25">
      <c r="B733" t="s">
        <v>640</v>
      </c>
      <c r="C733" t="s">
        <v>716</v>
      </c>
      <c r="D733" s="19">
        <v>129.88</v>
      </c>
      <c r="E733" s="3" t="s">
        <v>23</v>
      </c>
      <c r="F733" s="3" t="s">
        <v>28</v>
      </c>
      <c r="G733" s="8" t="s">
        <v>536</v>
      </c>
      <c r="H733" s="4" t="s">
        <v>23</v>
      </c>
      <c r="I733" s="5">
        <v>1</v>
      </c>
      <c r="J733" s="8" t="s">
        <v>32</v>
      </c>
      <c r="K733" s="4" t="s">
        <v>23</v>
      </c>
      <c r="L733" s="5">
        <v>1</v>
      </c>
      <c r="M733" s="8"/>
      <c r="N733" s="4"/>
      <c r="O733" s="5"/>
      <c r="P733" s="8"/>
      <c r="Q733" s="4"/>
      <c r="R733" s="5"/>
      <c r="W733" s="67" t="s">
        <v>640</v>
      </c>
      <c r="X733" s="68" t="s">
        <v>716</v>
      </c>
      <c r="Y733" s="69">
        <v>129.88</v>
      </c>
      <c r="Z733" t="str">
        <f>IF(AND(Tabla1[[#This Row],[nudo inicial]]=Tabla3[[#This Row],[n1]],Tabla1[[#This Row],[nudo final]]=Tabla3[[#This Row],[n2]],Tabla1[[#This Row],[longitud]]=Tabla3[[#This Row],[long]]),"si","no")</f>
        <v>si</v>
      </c>
    </row>
    <row r="734" spans="1:26" ht="15.75" x14ac:dyDescent="0.25">
      <c r="B734" t="s">
        <v>716</v>
      </c>
      <c r="C734" t="s">
        <v>717</v>
      </c>
      <c r="D734" s="19">
        <v>3.96</v>
      </c>
      <c r="E734" s="3" t="s">
        <v>53</v>
      </c>
      <c r="F734" s="3" t="s">
        <v>27</v>
      </c>
      <c r="G734" s="8" t="s">
        <v>15</v>
      </c>
      <c r="H734" s="4" t="s">
        <v>53</v>
      </c>
      <c r="I734" s="5">
        <v>1</v>
      </c>
      <c r="J734" s="8"/>
      <c r="K734" s="4"/>
      <c r="L734" s="5"/>
      <c r="M734" s="8"/>
      <c r="N734" s="4"/>
      <c r="O734" s="5"/>
      <c r="P734" s="8"/>
      <c r="Q734" s="4"/>
      <c r="R734" s="5"/>
      <c r="W734" s="67" t="s">
        <v>716</v>
      </c>
      <c r="X734" s="68" t="s">
        <v>717</v>
      </c>
      <c r="Y734" s="69">
        <v>3.96</v>
      </c>
      <c r="Z734" t="str">
        <f>IF(AND(Tabla1[[#This Row],[nudo inicial]]=Tabla3[[#This Row],[n1]],Tabla1[[#This Row],[nudo final]]=Tabla3[[#This Row],[n2]],Tabla1[[#This Row],[longitud]]=Tabla3[[#This Row],[long]]),"si","no")</f>
        <v>si</v>
      </c>
    </row>
    <row r="735" spans="1:26" ht="15.75" x14ac:dyDescent="0.25">
      <c r="B735" t="s">
        <v>717</v>
      </c>
      <c r="C735" t="s">
        <v>714</v>
      </c>
      <c r="D735" s="19">
        <v>3.46</v>
      </c>
      <c r="E735" s="3" t="s">
        <v>23</v>
      </c>
      <c r="F735" s="3" t="s">
        <v>25</v>
      </c>
      <c r="G735" s="8" t="s">
        <v>536</v>
      </c>
      <c r="H735" s="4" t="s">
        <v>23</v>
      </c>
      <c r="I735" s="5">
        <v>1</v>
      </c>
      <c r="J735" s="8" t="s">
        <v>17</v>
      </c>
      <c r="K735" s="4" t="s">
        <v>23</v>
      </c>
      <c r="L735" s="5">
        <v>1</v>
      </c>
      <c r="M735" s="8"/>
      <c r="N735" s="4"/>
      <c r="O735" s="5"/>
      <c r="P735" s="8"/>
      <c r="Q735" s="4"/>
      <c r="R735" s="5"/>
      <c r="W735" s="67" t="s">
        <v>717</v>
      </c>
      <c r="X735" s="68" t="s">
        <v>714</v>
      </c>
      <c r="Y735" s="69">
        <v>3.46</v>
      </c>
      <c r="Z735" t="str">
        <f>IF(AND(Tabla1[[#This Row],[nudo inicial]]=Tabla3[[#This Row],[n1]],Tabla1[[#This Row],[nudo final]]=Tabla3[[#This Row],[n2]],Tabla1[[#This Row],[longitud]]=Tabla3[[#This Row],[long]]),"si","no")</f>
        <v>si</v>
      </c>
    </row>
    <row r="736" spans="1:26" ht="15.75" x14ac:dyDescent="0.25">
      <c r="B736" t="s">
        <v>717</v>
      </c>
      <c r="C736" t="s">
        <v>718</v>
      </c>
      <c r="D736" s="19">
        <v>25.9</v>
      </c>
      <c r="E736" s="3" t="s">
        <v>23</v>
      </c>
      <c r="F736" s="3" t="s">
        <v>25</v>
      </c>
      <c r="G736" s="8" t="s">
        <v>536</v>
      </c>
      <c r="H736" s="4" t="s">
        <v>23</v>
      </c>
      <c r="I736" s="5">
        <v>1</v>
      </c>
      <c r="J736" s="8"/>
      <c r="K736" s="4"/>
      <c r="L736" s="5"/>
      <c r="M736" s="8"/>
      <c r="N736" s="4"/>
      <c r="O736" s="5"/>
      <c r="P736" s="8"/>
      <c r="Q736" s="4"/>
      <c r="R736" s="5"/>
      <c r="W736" s="67" t="s">
        <v>717</v>
      </c>
      <c r="X736" s="68" t="s">
        <v>718</v>
      </c>
      <c r="Y736" s="69">
        <v>25.9</v>
      </c>
      <c r="Z736" t="str">
        <f>IF(AND(Tabla1[[#This Row],[nudo inicial]]=Tabla3[[#This Row],[n1]],Tabla1[[#This Row],[nudo final]]=Tabla3[[#This Row],[n2]],Tabla1[[#This Row],[longitud]]=Tabla3[[#This Row],[long]]),"si","no")</f>
        <v>si</v>
      </c>
    </row>
    <row r="737" spans="2:26" ht="15.75" x14ac:dyDescent="0.25">
      <c r="B737" t="s">
        <v>718</v>
      </c>
      <c r="C737" t="s">
        <v>719</v>
      </c>
      <c r="D737" s="19">
        <v>71.81</v>
      </c>
      <c r="E737" s="3" t="s">
        <v>53</v>
      </c>
      <c r="F737" s="3" t="s">
        <v>25</v>
      </c>
      <c r="G737" s="8" t="s">
        <v>58</v>
      </c>
      <c r="H737" s="4" t="s">
        <v>23</v>
      </c>
      <c r="I737" s="5">
        <v>1</v>
      </c>
      <c r="J737" s="8" t="s">
        <v>15</v>
      </c>
      <c r="K737" s="4" t="s">
        <v>53</v>
      </c>
      <c r="L737" s="5">
        <v>1</v>
      </c>
      <c r="M737" s="8" t="s">
        <v>32</v>
      </c>
      <c r="N737" s="4" t="s">
        <v>53</v>
      </c>
      <c r="O737" s="5">
        <v>1</v>
      </c>
      <c r="P737" s="8" t="s">
        <v>17</v>
      </c>
      <c r="Q737" s="4" t="s">
        <v>53</v>
      </c>
      <c r="R737" s="5">
        <v>1</v>
      </c>
      <c r="W737" s="67" t="s">
        <v>718</v>
      </c>
      <c r="X737" s="68" t="s">
        <v>719</v>
      </c>
      <c r="Y737" s="69">
        <v>71.81</v>
      </c>
      <c r="Z737" t="str">
        <f>IF(AND(Tabla1[[#This Row],[nudo inicial]]=Tabla3[[#This Row],[n1]],Tabla1[[#This Row],[nudo final]]=Tabla3[[#This Row],[n2]],Tabla1[[#This Row],[longitud]]=Tabla3[[#This Row],[long]]),"si","no")</f>
        <v>si</v>
      </c>
    </row>
    <row r="738" spans="2:26" ht="15.75" x14ac:dyDescent="0.25">
      <c r="B738" t="s">
        <v>718</v>
      </c>
      <c r="C738" t="s">
        <v>720</v>
      </c>
      <c r="D738" s="19">
        <v>50.44</v>
      </c>
      <c r="E738" s="3" t="s">
        <v>23</v>
      </c>
      <c r="F738" s="3" t="s">
        <v>25</v>
      </c>
      <c r="G738" s="8" t="s">
        <v>57</v>
      </c>
      <c r="H738" s="4" t="s">
        <v>23</v>
      </c>
      <c r="I738" s="5">
        <v>1</v>
      </c>
      <c r="J738" s="8"/>
      <c r="K738" s="4"/>
      <c r="L738" s="5"/>
      <c r="M738" s="8"/>
      <c r="N738" s="4"/>
      <c r="O738" s="5"/>
      <c r="P738" s="8"/>
      <c r="Q738" s="4"/>
      <c r="R738" s="5"/>
      <c r="W738" s="67" t="s">
        <v>718</v>
      </c>
      <c r="X738" s="68" t="s">
        <v>720</v>
      </c>
      <c r="Y738" s="69">
        <v>50.44</v>
      </c>
      <c r="Z738" t="str">
        <f>IF(AND(Tabla1[[#This Row],[nudo inicial]]=Tabla3[[#This Row],[n1]],Tabla1[[#This Row],[nudo final]]=Tabla3[[#This Row],[n2]],Tabla1[[#This Row],[longitud]]=Tabla3[[#This Row],[long]]),"si","no")</f>
        <v>si</v>
      </c>
    </row>
    <row r="739" spans="2:26" ht="15.75" x14ac:dyDescent="0.25">
      <c r="B739" t="s">
        <v>720</v>
      </c>
      <c r="C739" t="s">
        <v>721</v>
      </c>
      <c r="D739" s="19">
        <v>34.67</v>
      </c>
      <c r="E739" s="3" t="s">
        <v>53</v>
      </c>
      <c r="F739" s="3" t="s">
        <v>25</v>
      </c>
      <c r="G739" s="8" t="s">
        <v>58</v>
      </c>
      <c r="H739" s="4" t="s">
        <v>23</v>
      </c>
      <c r="I739" s="5">
        <v>1</v>
      </c>
      <c r="J739" s="8" t="s">
        <v>15</v>
      </c>
      <c r="K739" s="4" t="s">
        <v>53</v>
      </c>
      <c r="L739" s="5">
        <v>1</v>
      </c>
      <c r="M739" s="8"/>
      <c r="N739" s="4"/>
      <c r="O739" s="5"/>
      <c r="P739" s="8"/>
      <c r="Q739" s="4"/>
      <c r="R739" s="5"/>
      <c r="W739" s="67" t="s">
        <v>720</v>
      </c>
      <c r="X739" s="68" t="s">
        <v>721</v>
      </c>
      <c r="Y739" s="69">
        <v>34.67</v>
      </c>
      <c r="Z739" t="str">
        <f>IF(AND(Tabla1[[#This Row],[nudo inicial]]=Tabla3[[#This Row],[n1]],Tabla1[[#This Row],[nudo final]]=Tabla3[[#This Row],[n2]],Tabla1[[#This Row],[longitud]]=Tabla3[[#This Row],[long]]),"si","no")</f>
        <v>si</v>
      </c>
    </row>
    <row r="740" spans="2:26" ht="15.75" x14ac:dyDescent="0.25">
      <c r="B740" t="s">
        <v>721</v>
      </c>
      <c r="C740" t="s">
        <v>722</v>
      </c>
      <c r="D740" s="19">
        <v>42.9</v>
      </c>
      <c r="E740" s="3" t="s">
        <v>53</v>
      </c>
      <c r="F740" s="3" t="s">
        <v>25</v>
      </c>
      <c r="G740" s="8" t="s">
        <v>58</v>
      </c>
      <c r="H740" s="4" t="s">
        <v>53</v>
      </c>
      <c r="I740" s="5">
        <v>1</v>
      </c>
      <c r="J740" s="8" t="s">
        <v>17</v>
      </c>
      <c r="K740" s="4" t="s">
        <v>53</v>
      </c>
      <c r="L740" s="5">
        <v>1</v>
      </c>
      <c r="M740" s="8"/>
      <c r="N740" s="4"/>
      <c r="O740" s="5"/>
      <c r="P740" s="8"/>
      <c r="Q740" s="4"/>
      <c r="R740" s="5"/>
      <c r="W740" s="67" t="s">
        <v>721</v>
      </c>
      <c r="X740" s="68" t="s">
        <v>722</v>
      </c>
      <c r="Y740" s="69">
        <v>42.9</v>
      </c>
      <c r="Z740" t="str">
        <f>IF(AND(Tabla1[[#This Row],[nudo inicial]]=Tabla3[[#This Row],[n1]],Tabla1[[#This Row],[nudo final]]=Tabla3[[#This Row],[n2]],Tabla1[[#This Row],[longitud]]=Tabla3[[#This Row],[long]]),"si","no")</f>
        <v>si</v>
      </c>
    </row>
    <row r="741" spans="2:26" ht="15.75" x14ac:dyDescent="0.25">
      <c r="B741" t="s">
        <v>721</v>
      </c>
      <c r="C741" t="s">
        <v>723</v>
      </c>
      <c r="D741" s="19">
        <v>81</v>
      </c>
      <c r="E741" s="3" t="s">
        <v>53</v>
      </c>
      <c r="F741" s="3" t="s">
        <v>25</v>
      </c>
      <c r="G741" s="8" t="s">
        <v>57</v>
      </c>
      <c r="H741" s="4" t="s">
        <v>53</v>
      </c>
      <c r="I741" s="5">
        <v>1</v>
      </c>
      <c r="J741" s="8" t="s">
        <v>17</v>
      </c>
      <c r="K741" s="4" t="s">
        <v>53</v>
      </c>
      <c r="L741" s="5">
        <v>1</v>
      </c>
      <c r="M741" s="8"/>
      <c r="N741" s="4"/>
      <c r="O741" s="5"/>
      <c r="P741" s="8"/>
      <c r="Q741" s="4"/>
      <c r="R741" s="5"/>
      <c r="W741" s="67" t="s">
        <v>721</v>
      </c>
      <c r="X741" s="68" t="s">
        <v>723</v>
      </c>
      <c r="Y741" s="69">
        <v>81</v>
      </c>
      <c r="Z741" t="str">
        <f>IF(AND(Tabla1[[#This Row],[nudo inicial]]=Tabla3[[#This Row],[n1]],Tabla1[[#This Row],[nudo final]]=Tabla3[[#This Row],[n2]],Tabla1[[#This Row],[longitud]]=Tabla3[[#This Row],[long]]),"si","no")</f>
        <v>si</v>
      </c>
    </row>
    <row r="742" spans="2:26" ht="15.75" x14ac:dyDescent="0.25">
      <c r="B742" t="s">
        <v>720</v>
      </c>
      <c r="C742" t="s">
        <v>724</v>
      </c>
      <c r="D742" s="19">
        <v>49.18</v>
      </c>
      <c r="E742" s="3" t="s">
        <v>23</v>
      </c>
      <c r="F742" s="3" t="s">
        <v>25</v>
      </c>
      <c r="G742" s="8" t="s">
        <v>57</v>
      </c>
      <c r="H742" s="4" t="s">
        <v>23</v>
      </c>
      <c r="I742" s="5">
        <v>1</v>
      </c>
      <c r="J742" s="8" t="s">
        <v>32</v>
      </c>
      <c r="K742" s="4" t="s">
        <v>23</v>
      </c>
      <c r="L742" s="5">
        <v>1</v>
      </c>
      <c r="M742" s="8"/>
      <c r="N742" s="4"/>
      <c r="O742" s="5"/>
      <c r="P742" s="8"/>
      <c r="Q742" s="4"/>
      <c r="R742" s="5"/>
      <c r="W742" s="67" t="s">
        <v>720</v>
      </c>
      <c r="X742" s="68" t="s">
        <v>724</v>
      </c>
      <c r="Y742" s="69">
        <v>49.18</v>
      </c>
      <c r="Z742" t="str">
        <f>IF(AND(Tabla1[[#This Row],[nudo inicial]]=Tabla3[[#This Row],[n1]],Tabla1[[#This Row],[nudo final]]=Tabla3[[#This Row],[n2]],Tabla1[[#This Row],[longitud]]=Tabla3[[#This Row],[long]]),"si","no")</f>
        <v>si</v>
      </c>
    </row>
    <row r="743" spans="2:26" ht="15.75" x14ac:dyDescent="0.25">
      <c r="B743" t="s">
        <v>637</v>
      </c>
      <c r="C743" t="s">
        <v>725</v>
      </c>
      <c r="D743" s="19">
        <v>68.349999999999994</v>
      </c>
      <c r="E743" s="3" t="s">
        <v>30</v>
      </c>
      <c r="F743" s="3" t="s">
        <v>26</v>
      </c>
      <c r="G743" s="8" t="s">
        <v>57</v>
      </c>
      <c r="H743" s="4" t="s">
        <v>30</v>
      </c>
      <c r="I743" s="5">
        <v>1</v>
      </c>
      <c r="J743" s="8" t="s">
        <v>32</v>
      </c>
      <c r="K743" s="4" t="s">
        <v>30</v>
      </c>
      <c r="L743" s="5">
        <v>1</v>
      </c>
      <c r="M743" s="8"/>
      <c r="N743" s="4"/>
      <c r="O743" s="5"/>
      <c r="P743" s="8"/>
      <c r="Q743" s="4"/>
      <c r="R743" s="5"/>
      <c r="W743" s="67" t="s">
        <v>637</v>
      </c>
      <c r="X743" s="68" t="s">
        <v>725</v>
      </c>
      <c r="Y743" s="69">
        <v>68.349999999999994</v>
      </c>
      <c r="Z743" t="str">
        <f>IF(AND(Tabla1[[#This Row],[nudo inicial]]=Tabla3[[#This Row],[n1]],Tabla1[[#This Row],[nudo final]]=Tabla3[[#This Row],[n2]],Tabla1[[#This Row],[longitud]]=Tabla3[[#This Row],[long]]),"si","no")</f>
        <v>si</v>
      </c>
    </row>
    <row r="744" spans="2:26" ht="15.75" x14ac:dyDescent="0.25">
      <c r="B744" t="s">
        <v>725</v>
      </c>
      <c r="C744" t="s">
        <v>726</v>
      </c>
      <c r="D744" s="19">
        <v>28.64</v>
      </c>
      <c r="E744" s="3" t="s">
        <v>53</v>
      </c>
      <c r="F744" s="3" t="s">
        <v>25</v>
      </c>
      <c r="G744" s="8" t="s">
        <v>58</v>
      </c>
      <c r="H744" s="4" t="s">
        <v>30</v>
      </c>
      <c r="I744" s="5">
        <v>1</v>
      </c>
      <c r="J744" s="8" t="s">
        <v>15</v>
      </c>
      <c r="K744" s="4" t="s">
        <v>53</v>
      </c>
      <c r="L744" s="5">
        <v>1</v>
      </c>
      <c r="M744" s="8"/>
      <c r="N744" s="4"/>
      <c r="O744" s="5"/>
      <c r="P744" s="8"/>
      <c r="Q744" s="4"/>
      <c r="R744" s="5"/>
      <c r="W744" s="67" t="s">
        <v>725</v>
      </c>
      <c r="X744" s="68" t="s">
        <v>726</v>
      </c>
      <c r="Y744" s="69">
        <v>28.64</v>
      </c>
      <c r="Z744" t="str">
        <f>IF(AND(Tabla1[[#This Row],[nudo inicial]]=Tabla3[[#This Row],[n1]],Tabla1[[#This Row],[nudo final]]=Tabla3[[#This Row],[n2]],Tabla1[[#This Row],[longitud]]=Tabla3[[#This Row],[long]]),"si","no")</f>
        <v>si</v>
      </c>
    </row>
    <row r="745" spans="2:26" ht="15.75" x14ac:dyDescent="0.25">
      <c r="B745" t="s">
        <v>726</v>
      </c>
      <c r="C745" t="s">
        <v>727</v>
      </c>
      <c r="D745" s="19">
        <v>22.6</v>
      </c>
      <c r="E745" s="3" t="s">
        <v>56</v>
      </c>
      <c r="F745" s="3" t="s">
        <v>25</v>
      </c>
      <c r="G745" s="8" t="s">
        <v>58</v>
      </c>
      <c r="H745" s="4" t="s">
        <v>53</v>
      </c>
      <c r="I745" s="5">
        <v>1</v>
      </c>
      <c r="J745" s="8" t="s">
        <v>15</v>
      </c>
      <c r="K745" s="4" t="s">
        <v>56</v>
      </c>
      <c r="L745" s="5">
        <v>1</v>
      </c>
      <c r="M745" s="8" t="s">
        <v>17</v>
      </c>
      <c r="N745" s="4" t="s">
        <v>56</v>
      </c>
      <c r="O745" s="5">
        <v>1</v>
      </c>
      <c r="P745" s="8"/>
      <c r="Q745" s="4"/>
      <c r="R745" s="5"/>
      <c r="W745" s="67" t="s">
        <v>726</v>
      </c>
      <c r="X745" s="68" t="s">
        <v>727</v>
      </c>
      <c r="Y745" s="69">
        <v>22.6</v>
      </c>
      <c r="Z745" t="str">
        <f>IF(AND(Tabla1[[#This Row],[nudo inicial]]=Tabla3[[#This Row],[n1]],Tabla1[[#This Row],[nudo final]]=Tabla3[[#This Row],[n2]],Tabla1[[#This Row],[longitud]]=Tabla3[[#This Row],[long]]),"si","no")</f>
        <v>si</v>
      </c>
    </row>
    <row r="746" spans="2:26" ht="15.75" x14ac:dyDescent="0.25">
      <c r="B746" t="s">
        <v>726</v>
      </c>
      <c r="C746" t="s">
        <v>728</v>
      </c>
      <c r="D746" s="19">
        <v>38.93</v>
      </c>
      <c r="E746" s="3" t="s">
        <v>53</v>
      </c>
      <c r="F746" s="3" t="s">
        <v>25</v>
      </c>
      <c r="G746" s="8" t="s">
        <v>57</v>
      </c>
      <c r="H746" s="4" t="s">
        <v>53</v>
      </c>
      <c r="I746" s="5">
        <v>1</v>
      </c>
      <c r="J746" s="8" t="s">
        <v>17</v>
      </c>
      <c r="K746" s="4" t="s">
        <v>53</v>
      </c>
      <c r="L746" s="5">
        <v>1</v>
      </c>
      <c r="M746" s="8"/>
      <c r="N746" s="4"/>
      <c r="O746" s="5"/>
      <c r="P746" s="8"/>
      <c r="Q746" s="4"/>
      <c r="R746" s="5"/>
      <c r="W746" s="67" t="s">
        <v>726</v>
      </c>
      <c r="X746" s="68" t="s">
        <v>728</v>
      </c>
      <c r="Y746" s="69">
        <v>38.93</v>
      </c>
      <c r="Z746" t="str">
        <f>IF(AND(Tabla1[[#This Row],[nudo inicial]]=Tabla3[[#This Row],[n1]],Tabla1[[#This Row],[nudo final]]=Tabla3[[#This Row],[n2]],Tabla1[[#This Row],[longitud]]=Tabla3[[#This Row],[long]]),"si","no")</f>
        <v>si</v>
      </c>
    </row>
    <row r="747" spans="2:26" ht="15.75" x14ac:dyDescent="0.25">
      <c r="B747" t="s">
        <v>725</v>
      </c>
      <c r="C747" t="s">
        <v>724</v>
      </c>
      <c r="D747" s="19">
        <v>64.650000000000006</v>
      </c>
      <c r="E747" s="3" t="s">
        <v>30</v>
      </c>
      <c r="F747" s="3" t="s">
        <v>26</v>
      </c>
      <c r="G747" s="8" t="s">
        <v>57</v>
      </c>
      <c r="H747" s="4" t="s">
        <v>30</v>
      </c>
      <c r="I747" s="5">
        <v>1</v>
      </c>
      <c r="J747" s="8"/>
      <c r="K747" s="4"/>
      <c r="L747" s="5"/>
      <c r="M747" s="8"/>
      <c r="N747" s="4"/>
      <c r="O747" s="5"/>
      <c r="P747" s="8"/>
      <c r="Q747" s="4"/>
      <c r="R747" s="5"/>
      <c r="W747" s="67" t="s">
        <v>725</v>
      </c>
      <c r="X747" s="68" t="s">
        <v>724</v>
      </c>
      <c r="Y747" s="69">
        <v>64.650000000000006</v>
      </c>
      <c r="Z747" t="str">
        <f>IF(AND(Tabla1[[#This Row],[nudo inicial]]=Tabla3[[#This Row],[n1]],Tabla1[[#This Row],[nudo final]]=Tabla3[[#This Row],[n2]],Tabla1[[#This Row],[longitud]]=Tabla3[[#This Row],[long]]),"si","no")</f>
        <v>si</v>
      </c>
    </row>
    <row r="748" spans="2:26" ht="47.25" x14ac:dyDescent="0.25">
      <c r="B748" t="s">
        <v>124</v>
      </c>
      <c r="C748" t="s">
        <v>729</v>
      </c>
      <c r="D748" s="19">
        <v>1306.5</v>
      </c>
      <c r="E748" s="3" t="s">
        <v>55</v>
      </c>
      <c r="F748" s="3" t="s">
        <v>25</v>
      </c>
      <c r="G748" s="8" t="s">
        <v>57</v>
      </c>
      <c r="H748" s="4" t="s">
        <v>55</v>
      </c>
      <c r="I748" s="5">
        <v>1</v>
      </c>
      <c r="J748" s="8" t="s">
        <v>16</v>
      </c>
      <c r="K748" s="4" t="s">
        <v>55</v>
      </c>
      <c r="L748" s="5">
        <v>1</v>
      </c>
      <c r="M748" s="8"/>
      <c r="N748" s="4"/>
      <c r="O748" s="5"/>
      <c r="P748" s="8"/>
      <c r="Q748" s="4"/>
      <c r="R748" s="5"/>
      <c r="W748" s="67" t="s">
        <v>124</v>
      </c>
      <c r="X748" s="68" t="s">
        <v>729</v>
      </c>
      <c r="Y748" s="69">
        <v>1306.5</v>
      </c>
      <c r="Z748" t="str">
        <f>IF(AND(Tabla1[[#This Row],[nudo inicial]]=Tabla3[[#This Row],[n1]],Tabla1[[#This Row],[nudo final]]=Tabla3[[#This Row],[n2]],Tabla1[[#This Row],[longitud]]=Tabla3[[#This Row],[long]]),"si","no")</f>
        <v>si</v>
      </c>
    </row>
    <row r="749" spans="2:26" ht="47.25" x14ac:dyDescent="0.25">
      <c r="B749" t="s">
        <v>729</v>
      </c>
      <c r="C749" t="s">
        <v>730</v>
      </c>
      <c r="D749" s="19">
        <v>216.8</v>
      </c>
      <c r="E749" s="3" t="s">
        <v>30</v>
      </c>
      <c r="F749" s="3" t="s">
        <v>25</v>
      </c>
      <c r="G749" s="8" t="s">
        <v>16</v>
      </c>
      <c r="H749" s="4" t="s">
        <v>30</v>
      </c>
      <c r="I749" s="5">
        <v>2</v>
      </c>
      <c r="J749" s="8"/>
      <c r="K749" s="4"/>
      <c r="L749" s="5"/>
      <c r="M749" s="8"/>
      <c r="N749" s="4"/>
      <c r="O749" s="5"/>
      <c r="P749" s="8"/>
      <c r="Q749" s="4"/>
      <c r="R749" s="5"/>
      <c r="W749" s="67" t="s">
        <v>729</v>
      </c>
      <c r="X749" s="68" t="s">
        <v>730</v>
      </c>
      <c r="Y749" s="69">
        <v>216.8</v>
      </c>
      <c r="Z749" t="str">
        <f>IF(AND(Tabla1[[#This Row],[nudo inicial]]=Tabla3[[#This Row],[n1]],Tabla1[[#This Row],[nudo final]]=Tabla3[[#This Row],[n2]],Tabla1[[#This Row],[longitud]]=Tabla3[[#This Row],[long]]),"si","no")</f>
        <v>si</v>
      </c>
    </row>
    <row r="750" spans="2:26" ht="31.5" x14ac:dyDescent="0.25">
      <c r="B750" t="s">
        <v>730</v>
      </c>
      <c r="C750" t="s">
        <v>634</v>
      </c>
      <c r="D750" s="19">
        <v>506.71</v>
      </c>
      <c r="E750" s="3" t="s">
        <v>41</v>
      </c>
      <c r="F750" s="3" t="s">
        <v>25</v>
      </c>
      <c r="G750" s="8" t="s">
        <v>16</v>
      </c>
      <c r="H750" s="4" t="s">
        <v>41</v>
      </c>
      <c r="I750" s="5">
        <v>3</v>
      </c>
      <c r="J750" s="8"/>
      <c r="K750" s="4"/>
      <c r="L750" s="5"/>
      <c r="M750" s="8"/>
      <c r="N750" s="4"/>
      <c r="O750" s="5"/>
      <c r="P750" s="8"/>
      <c r="Q750" s="4"/>
      <c r="R750" s="5"/>
      <c r="W750" s="67" t="s">
        <v>730</v>
      </c>
      <c r="X750" s="68" t="s">
        <v>634</v>
      </c>
      <c r="Y750" s="69">
        <v>506.71</v>
      </c>
      <c r="Z750" t="str">
        <f>IF(AND(Tabla1[[#This Row],[nudo inicial]]=Tabla3[[#This Row],[n1]],Tabla1[[#This Row],[nudo final]]=Tabla3[[#This Row],[n2]],Tabla1[[#This Row],[longitud]]=Tabla3[[#This Row],[long]]),"si","no")</f>
        <v>si</v>
      </c>
    </row>
    <row r="751" spans="2:26" ht="31.5" x14ac:dyDescent="0.25">
      <c r="B751" t="s">
        <v>730</v>
      </c>
      <c r="C751" t="s">
        <v>732</v>
      </c>
      <c r="D751" s="19">
        <v>66.67</v>
      </c>
      <c r="E751" s="3" t="s">
        <v>55</v>
      </c>
      <c r="F751" s="3" t="s">
        <v>25</v>
      </c>
      <c r="G751" s="8" t="s">
        <v>16</v>
      </c>
      <c r="H751" s="4" t="s">
        <v>55</v>
      </c>
      <c r="I751" s="5">
        <v>1</v>
      </c>
      <c r="J751" s="8" t="s">
        <v>32</v>
      </c>
      <c r="K751" s="4" t="s">
        <v>55</v>
      </c>
      <c r="L751" s="5">
        <v>1</v>
      </c>
      <c r="M751" s="8"/>
      <c r="N751" s="4"/>
      <c r="O751" s="5"/>
      <c r="P751" s="8"/>
      <c r="Q751" s="4"/>
      <c r="R751" s="5"/>
      <c r="W751" s="67" t="s">
        <v>730</v>
      </c>
      <c r="X751" s="68" t="s">
        <v>732</v>
      </c>
      <c r="Y751" s="69">
        <v>66.67</v>
      </c>
      <c r="Z751" t="str">
        <f>IF(AND(Tabla1[[#This Row],[nudo inicial]]=Tabla3[[#This Row],[n1]],Tabla1[[#This Row],[nudo final]]=Tabla3[[#This Row],[n2]],Tabla1[[#This Row],[longitud]]=Tabla3[[#This Row],[long]]),"si","no")</f>
        <v>si</v>
      </c>
    </row>
    <row r="752" spans="2:26" ht="15.75" x14ac:dyDescent="0.25">
      <c r="B752" t="s">
        <v>732</v>
      </c>
      <c r="C752" t="s">
        <v>734</v>
      </c>
      <c r="D752" s="19">
        <v>194.37</v>
      </c>
      <c r="E752" s="3" t="s">
        <v>126</v>
      </c>
      <c r="F752" s="3" t="s">
        <v>25</v>
      </c>
      <c r="G752" s="8" t="s">
        <v>58</v>
      </c>
      <c r="H752" s="4" t="s">
        <v>55</v>
      </c>
      <c r="I752" s="5">
        <v>1</v>
      </c>
      <c r="J752" s="8" t="s">
        <v>15</v>
      </c>
      <c r="K752" s="4" t="s">
        <v>126</v>
      </c>
      <c r="L752" s="5">
        <v>1</v>
      </c>
      <c r="M752" s="8" t="s">
        <v>32</v>
      </c>
      <c r="N752" s="4" t="s">
        <v>126</v>
      </c>
      <c r="O752" s="5">
        <v>1</v>
      </c>
      <c r="P752" s="8"/>
      <c r="Q752" s="4"/>
      <c r="R752" s="5"/>
      <c r="W752" s="67" t="s">
        <v>732</v>
      </c>
      <c r="X752" s="68" t="s">
        <v>734</v>
      </c>
      <c r="Y752" s="69">
        <v>194.37</v>
      </c>
      <c r="Z752" t="str">
        <f>IF(AND(Tabla1[[#This Row],[nudo inicial]]=Tabla3[[#This Row],[n1]],Tabla1[[#This Row],[nudo final]]=Tabla3[[#This Row],[n2]],Tabla1[[#This Row],[longitud]]=Tabla3[[#This Row],[long]]),"si","no")</f>
        <v>si</v>
      </c>
    </row>
    <row r="753" spans="2:26" ht="15.75" x14ac:dyDescent="0.25">
      <c r="B753" t="s">
        <v>734</v>
      </c>
      <c r="C753" t="s">
        <v>736</v>
      </c>
      <c r="D753" s="19">
        <v>16.41</v>
      </c>
      <c r="E753" s="3" t="s">
        <v>126</v>
      </c>
      <c r="F753" s="3" t="s">
        <v>25</v>
      </c>
      <c r="G753" s="8" t="s">
        <v>57</v>
      </c>
      <c r="H753" s="4" t="s">
        <v>126</v>
      </c>
      <c r="I753" s="5">
        <v>1</v>
      </c>
      <c r="J753" s="8" t="s">
        <v>17</v>
      </c>
      <c r="K753" s="4" t="s">
        <v>126</v>
      </c>
      <c r="L753" s="5">
        <v>1</v>
      </c>
      <c r="M753" s="8"/>
      <c r="N753" s="4"/>
      <c r="O753" s="5"/>
      <c r="P753" s="8"/>
      <c r="Q753" s="4"/>
      <c r="R753" s="5"/>
      <c r="W753" s="67" t="s">
        <v>734</v>
      </c>
      <c r="X753" s="68" t="s">
        <v>736</v>
      </c>
      <c r="Y753" s="69">
        <v>16.41</v>
      </c>
      <c r="Z753" t="str">
        <f>IF(AND(Tabla1[[#This Row],[nudo inicial]]=Tabla3[[#This Row],[n1]],Tabla1[[#This Row],[nudo final]]=Tabla3[[#This Row],[n2]],Tabla1[[#This Row],[longitud]]=Tabla3[[#This Row],[long]]),"si","no")</f>
        <v>si</v>
      </c>
    </row>
    <row r="754" spans="2:26" ht="15.75" x14ac:dyDescent="0.25">
      <c r="B754" t="s">
        <v>734</v>
      </c>
      <c r="C754" t="s">
        <v>737</v>
      </c>
      <c r="D754" s="19">
        <v>185.07</v>
      </c>
      <c r="E754" s="3" t="s">
        <v>53</v>
      </c>
      <c r="F754" s="3" t="s">
        <v>25</v>
      </c>
      <c r="G754" s="8" t="s">
        <v>58</v>
      </c>
      <c r="H754" s="4" t="s">
        <v>126</v>
      </c>
      <c r="I754" s="5">
        <v>1</v>
      </c>
      <c r="J754" s="8" t="s">
        <v>15</v>
      </c>
      <c r="K754" s="4" t="s">
        <v>53</v>
      </c>
      <c r="L754" s="5">
        <v>1</v>
      </c>
      <c r="M754" s="8" t="s">
        <v>17</v>
      </c>
      <c r="N754" s="4" t="s">
        <v>53</v>
      </c>
      <c r="O754" s="5">
        <v>1</v>
      </c>
      <c r="P754" s="8"/>
      <c r="Q754" s="4"/>
      <c r="R754" s="5"/>
      <c r="W754" s="67" t="s">
        <v>734</v>
      </c>
      <c r="X754" s="68" t="s">
        <v>737</v>
      </c>
      <c r="Y754" s="69">
        <v>185.07</v>
      </c>
      <c r="Z754" t="str">
        <f>IF(AND(Tabla1[[#This Row],[nudo inicial]]=Tabla3[[#This Row],[n1]],Tabla1[[#This Row],[nudo final]]=Tabla3[[#This Row],[n2]],Tabla1[[#This Row],[longitud]]=Tabla3[[#This Row],[long]]),"si","no")</f>
        <v>si</v>
      </c>
    </row>
    <row r="755" spans="2:26" ht="15.75" x14ac:dyDescent="0.25">
      <c r="B755" t="s">
        <v>732</v>
      </c>
      <c r="C755" t="s">
        <v>735</v>
      </c>
      <c r="D755" s="19">
        <v>3.87</v>
      </c>
      <c r="E755" s="3" t="s">
        <v>55</v>
      </c>
      <c r="F755" s="3" t="s">
        <v>25</v>
      </c>
      <c r="G755" s="8" t="s">
        <v>57</v>
      </c>
      <c r="H755" s="4" t="s">
        <v>55</v>
      </c>
      <c r="I755" s="5">
        <v>1</v>
      </c>
      <c r="J755" s="8"/>
      <c r="K755" s="4"/>
      <c r="L755" s="5"/>
      <c r="M755" s="8"/>
      <c r="N755" s="4"/>
      <c r="O755" s="5"/>
      <c r="P755" s="8"/>
      <c r="Q755" s="4"/>
      <c r="R755" s="5"/>
      <c r="W755" s="67" t="s">
        <v>732</v>
      </c>
      <c r="X755" s="68" t="s">
        <v>735</v>
      </c>
      <c r="Y755" s="69">
        <v>3.87</v>
      </c>
      <c r="Z755" t="str">
        <f>IF(AND(Tabla1[[#This Row],[nudo inicial]]=Tabla3[[#This Row],[n1]],Tabla1[[#This Row],[nudo final]]=Tabla3[[#This Row],[n2]],Tabla1[[#This Row],[longitud]]=Tabla3[[#This Row],[long]]),"si","no")</f>
        <v>si</v>
      </c>
    </row>
    <row r="756" spans="2:26" ht="15.75" x14ac:dyDescent="0.25">
      <c r="B756" t="s">
        <v>735</v>
      </c>
      <c r="C756" t="s">
        <v>738</v>
      </c>
      <c r="D756" s="19">
        <v>182.22</v>
      </c>
      <c r="E756" s="3" t="s">
        <v>126</v>
      </c>
      <c r="F756" s="3" t="s">
        <v>25</v>
      </c>
      <c r="G756" s="8" t="s">
        <v>58</v>
      </c>
      <c r="H756" s="4" t="s">
        <v>55</v>
      </c>
      <c r="I756" s="5">
        <v>1</v>
      </c>
      <c r="J756" s="8" t="s">
        <v>15</v>
      </c>
      <c r="K756" s="4" t="s">
        <v>126</v>
      </c>
      <c r="L756" s="5">
        <v>1</v>
      </c>
      <c r="M756" s="8"/>
      <c r="N756" s="4"/>
      <c r="O756" s="5"/>
      <c r="P756" s="8"/>
      <c r="Q756" s="4"/>
      <c r="R756" s="5"/>
      <c r="W756" s="67" t="s">
        <v>735</v>
      </c>
      <c r="X756" s="68" t="s">
        <v>738</v>
      </c>
      <c r="Y756" s="69">
        <v>182.22</v>
      </c>
      <c r="Z756" t="str">
        <f>IF(AND(Tabla1[[#This Row],[nudo inicial]]=Tabla3[[#This Row],[n1]],Tabla1[[#This Row],[nudo final]]=Tabla3[[#This Row],[n2]],Tabla1[[#This Row],[longitud]]=Tabla3[[#This Row],[long]]),"si","no")</f>
        <v>si</v>
      </c>
    </row>
    <row r="757" spans="2:26" ht="15.75" x14ac:dyDescent="0.25">
      <c r="B757" t="s">
        <v>738</v>
      </c>
      <c r="C757" t="s">
        <v>739</v>
      </c>
      <c r="D757" s="19">
        <v>329.73</v>
      </c>
      <c r="E757" s="3" t="s">
        <v>23</v>
      </c>
      <c r="F757" s="3" t="s">
        <v>25</v>
      </c>
      <c r="G757" s="8" t="s">
        <v>58</v>
      </c>
      <c r="H757" s="4" t="s">
        <v>126</v>
      </c>
      <c r="I757" s="5">
        <v>1</v>
      </c>
      <c r="J757" s="8" t="s">
        <v>15</v>
      </c>
      <c r="K757" s="4" t="s">
        <v>23</v>
      </c>
      <c r="L757" s="5">
        <v>1</v>
      </c>
      <c r="M757" s="8"/>
      <c r="N757" s="4"/>
      <c r="O757" s="5"/>
      <c r="P757" s="8"/>
      <c r="Q757" s="4"/>
      <c r="R757" s="5"/>
      <c r="W757" s="67" t="s">
        <v>738</v>
      </c>
      <c r="X757" s="68" t="s">
        <v>739</v>
      </c>
      <c r="Y757" s="69">
        <v>329.73</v>
      </c>
      <c r="Z757" t="str">
        <f>IF(AND(Tabla1[[#This Row],[nudo inicial]]=Tabla3[[#This Row],[n1]],Tabla1[[#This Row],[nudo final]]=Tabla3[[#This Row],[n2]],Tabla1[[#This Row],[longitud]]=Tabla3[[#This Row],[long]]),"si","no")</f>
        <v>si</v>
      </c>
    </row>
    <row r="758" spans="2:26" ht="15.75" x14ac:dyDescent="0.25">
      <c r="B758" t="s">
        <v>739</v>
      </c>
      <c r="C758" t="s">
        <v>740</v>
      </c>
      <c r="D758" s="19">
        <v>55.27</v>
      </c>
      <c r="E758" s="3" t="s">
        <v>53</v>
      </c>
      <c r="F758" s="3" t="s">
        <v>25</v>
      </c>
      <c r="G758" s="8" t="s">
        <v>58</v>
      </c>
      <c r="H758" s="4" t="s">
        <v>23</v>
      </c>
      <c r="I758" s="5">
        <v>1</v>
      </c>
      <c r="J758" s="8" t="s">
        <v>15</v>
      </c>
      <c r="K758" s="4" t="s">
        <v>53</v>
      </c>
      <c r="L758" s="5">
        <v>1</v>
      </c>
      <c r="M758" s="8"/>
      <c r="N758" s="4"/>
      <c r="O758" s="5"/>
      <c r="P758" s="8"/>
      <c r="Q758" s="4"/>
      <c r="R758" s="5"/>
      <c r="W758" s="67" t="s">
        <v>739</v>
      </c>
      <c r="X758" s="68" t="s">
        <v>740</v>
      </c>
      <c r="Y758" s="69">
        <v>55.27</v>
      </c>
      <c r="Z758" t="str">
        <f>IF(AND(Tabla1[[#This Row],[nudo inicial]]=Tabla3[[#This Row],[n1]],Tabla1[[#This Row],[nudo final]]=Tabla3[[#This Row],[n2]],Tabla1[[#This Row],[longitud]]=Tabla3[[#This Row],[long]]),"si","no")</f>
        <v>si</v>
      </c>
    </row>
    <row r="759" spans="2:26" ht="15.75" x14ac:dyDescent="0.25">
      <c r="B759" t="s">
        <v>740</v>
      </c>
      <c r="C759" t="s">
        <v>741</v>
      </c>
      <c r="D759" s="19">
        <v>34.46</v>
      </c>
      <c r="E759" s="3" t="s">
        <v>53</v>
      </c>
      <c r="F759" s="3" t="s">
        <v>25</v>
      </c>
      <c r="G759" s="8" t="s">
        <v>58</v>
      </c>
      <c r="H759" s="4" t="s">
        <v>53</v>
      </c>
      <c r="I759" s="5">
        <v>1</v>
      </c>
      <c r="J759" s="8" t="s">
        <v>17</v>
      </c>
      <c r="K759" s="4" t="s">
        <v>53</v>
      </c>
      <c r="L759" s="5">
        <v>1</v>
      </c>
      <c r="M759" s="8"/>
      <c r="N759" s="4"/>
      <c r="O759" s="5"/>
      <c r="P759" s="8"/>
      <c r="Q759" s="4"/>
      <c r="R759" s="5"/>
      <c r="W759" s="67" t="s">
        <v>740</v>
      </c>
      <c r="X759" s="68" t="s">
        <v>741</v>
      </c>
      <c r="Y759" s="69">
        <v>34.46</v>
      </c>
      <c r="Z759" t="str">
        <f>IF(AND(Tabla1[[#This Row],[nudo inicial]]=Tabla3[[#This Row],[n1]],Tabla1[[#This Row],[nudo final]]=Tabla3[[#This Row],[n2]],Tabla1[[#This Row],[longitud]]=Tabla3[[#This Row],[long]]),"si","no")</f>
        <v>si</v>
      </c>
    </row>
    <row r="760" spans="2:26" ht="15.75" x14ac:dyDescent="0.25">
      <c r="B760" t="s">
        <v>740</v>
      </c>
      <c r="C760" t="s">
        <v>742</v>
      </c>
      <c r="D760" s="19">
        <v>29.61</v>
      </c>
      <c r="E760" s="3" t="s">
        <v>53</v>
      </c>
      <c r="F760" s="3" t="s">
        <v>25</v>
      </c>
      <c r="G760" s="8" t="s">
        <v>57</v>
      </c>
      <c r="H760" s="4" t="s">
        <v>53</v>
      </c>
      <c r="I760" s="5">
        <v>1</v>
      </c>
      <c r="J760" s="8" t="s">
        <v>17</v>
      </c>
      <c r="K760" s="4" t="s">
        <v>53</v>
      </c>
      <c r="L760" s="5">
        <v>1</v>
      </c>
      <c r="M760" s="8"/>
      <c r="N760" s="4"/>
      <c r="O760" s="5"/>
      <c r="P760" s="8"/>
      <c r="Q760" s="4"/>
      <c r="R760" s="5"/>
      <c r="W760" s="67" t="s">
        <v>740</v>
      </c>
      <c r="X760" s="68" t="s">
        <v>742</v>
      </c>
      <c r="Y760" s="69">
        <v>29.61</v>
      </c>
      <c r="Z760" t="str">
        <f>IF(AND(Tabla1[[#This Row],[nudo inicial]]=Tabla3[[#This Row],[n1]],Tabla1[[#This Row],[nudo final]]=Tabla3[[#This Row],[n2]],Tabla1[[#This Row],[longitud]]=Tabla3[[#This Row],[long]]),"si","no")</f>
        <v>si</v>
      </c>
    </row>
    <row r="761" spans="2:26" ht="15.75" x14ac:dyDescent="0.25">
      <c r="B761" t="s">
        <v>739</v>
      </c>
      <c r="C761" t="s">
        <v>743</v>
      </c>
      <c r="D761" s="19">
        <v>18.71</v>
      </c>
      <c r="E761" s="3" t="s">
        <v>23</v>
      </c>
      <c r="F761" s="3" t="s">
        <v>25</v>
      </c>
      <c r="G761" s="8" t="s">
        <v>57</v>
      </c>
      <c r="H761" s="4" t="s">
        <v>23</v>
      </c>
      <c r="I761" s="5">
        <v>1</v>
      </c>
      <c r="J761" s="8"/>
      <c r="K761" s="4"/>
      <c r="L761" s="5"/>
      <c r="M761" s="8"/>
      <c r="N761" s="4"/>
      <c r="O761" s="5"/>
      <c r="P761" s="8"/>
      <c r="Q761" s="4"/>
      <c r="R761" s="5"/>
      <c r="W761" s="67" t="s">
        <v>739</v>
      </c>
      <c r="X761" s="68" t="s">
        <v>743</v>
      </c>
      <c r="Y761" s="69">
        <v>18.71</v>
      </c>
      <c r="Z761" t="str">
        <f>IF(AND(Tabla1[[#This Row],[nudo inicial]]=Tabla3[[#This Row],[n1]],Tabla1[[#This Row],[nudo final]]=Tabla3[[#This Row],[n2]],Tabla1[[#This Row],[longitud]]=Tabla3[[#This Row],[long]]),"si","no")</f>
        <v>si</v>
      </c>
    </row>
    <row r="762" spans="2:26" ht="15.75" x14ac:dyDescent="0.25">
      <c r="B762" t="s">
        <v>743</v>
      </c>
      <c r="C762" t="s">
        <v>744</v>
      </c>
      <c r="D762" s="19">
        <v>63.6</v>
      </c>
      <c r="E762" s="3" t="s">
        <v>53</v>
      </c>
      <c r="F762" s="3" t="s">
        <v>25</v>
      </c>
      <c r="G762" s="8" t="s">
        <v>15</v>
      </c>
      <c r="H762" s="4" t="s">
        <v>53</v>
      </c>
      <c r="I762" s="5">
        <v>1</v>
      </c>
      <c r="J762" s="8"/>
      <c r="K762" s="4"/>
      <c r="L762" s="5"/>
      <c r="M762" s="8"/>
      <c r="N762" s="4"/>
      <c r="O762" s="5"/>
      <c r="P762" s="8"/>
      <c r="Q762" s="4"/>
      <c r="R762" s="5"/>
      <c r="W762" s="67" t="s">
        <v>743</v>
      </c>
      <c r="X762" s="68" t="s">
        <v>744</v>
      </c>
      <c r="Y762" s="69">
        <v>63.6</v>
      </c>
      <c r="Z762" t="str">
        <f>IF(AND(Tabla1[[#This Row],[nudo inicial]]=Tabla3[[#This Row],[n1]],Tabla1[[#This Row],[nudo final]]=Tabla3[[#This Row],[n2]],Tabla1[[#This Row],[longitud]]=Tabla3[[#This Row],[long]]),"si","no")</f>
        <v>si</v>
      </c>
    </row>
    <row r="763" spans="2:26" ht="15.75" x14ac:dyDescent="0.25">
      <c r="B763" t="s">
        <v>744</v>
      </c>
      <c r="C763" t="s">
        <v>745</v>
      </c>
      <c r="D763" s="19">
        <v>48.45</v>
      </c>
      <c r="E763" s="3" t="s">
        <v>53</v>
      </c>
      <c r="F763" s="3" t="s">
        <v>25</v>
      </c>
      <c r="G763" s="8" t="s">
        <v>58</v>
      </c>
      <c r="H763" s="4" t="s">
        <v>53</v>
      </c>
      <c r="I763" s="5">
        <v>1</v>
      </c>
      <c r="J763" s="8" t="s">
        <v>17</v>
      </c>
      <c r="K763" s="4" t="s">
        <v>53</v>
      </c>
      <c r="L763" s="5">
        <v>1</v>
      </c>
      <c r="M763" s="8"/>
      <c r="N763" s="4"/>
      <c r="O763" s="5"/>
      <c r="P763" s="8"/>
      <c r="Q763" s="4"/>
      <c r="R763" s="5"/>
      <c r="W763" s="67" t="s">
        <v>744</v>
      </c>
      <c r="X763" s="68" t="s">
        <v>745</v>
      </c>
      <c r="Y763" s="69">
        <v>48.45</v>
      </c>
      <c r="Z763" t="str">
        <f>IF(AND(Tabla1[[#This Row],[nudo inicial]]=Tabla3[[#This Row],[n1]],Tabla1[[#This Row],[nudo final]]=Tabla3[[#This Row],[n2]],Tabla1[[#This Row],[longitud]]=Tabla3[[#This Row],[long]]),"si","no")</f>
        <v>si</v>
      </c>
    </row>
    <row r="764" spans="2:26" ht="15.75" x14ac:dyDescent="0.25">
      <c r="B764" t="s">
        <v>744</v>
      </c>
      <c r="C764" t="s">
        <v>746</v>
      </c>
      <c r="D764" s="19">
        <v>17.11</v>
      </c>
      <c r="E764" s="3" t="s">
        <v>53</v>
      </c>
      <c r="F764" s="3" t="s">
        <v>25</v>
      </c>
      <c r="G764" s="8" t="s">
        <v>57</v>
      </c>
      <c r="H764" s="4" t="s">
        <v>53</v>
      </c>
      <c r="I764" s="5">
        <v>1</v>
      </c>
      <c r="J764" s="8" t="s">
        <v>17</v>
      </c>
      <c r="K764" s="4" t="s">
        <v>53</v>
      </c>
      <c r="L764" s="5">
        <v>1</v>
      </c>
      <c r="M764" s="8"/>
      <c r="N764" s="4"/>
      <c r="O764" s="5"/>
      <c r="P764" s="8"/>
      <c r="Q764" s="4"/>
      <c r="R764" s="5"/>
      <c r="W764" s="67" t="s">
        <v>744</v>
      </c>
      <c r="X764" s="68" t="s">
        <v>746</v>
      </c>
      <c r="Y764" s="69">
        <v>17.11</v>
      </c>
      <c r="Z764" t="str">
        <f>IF(AND(Tabla1[[#This Row],[nudo inicial]]=Tabla3[[#This Row],[n1]],Tabla1[[#This Row],[nudo final]]=Tabla3[[#This Row],[n2]],Tabla1[[#This Row],[longitud]]=Tabla3[[#This Row],[long]]),"si","no")</f>
        <v>si</v>
      </c>
    </row>
    <row r="765" spans="2:26" ht="15.75" x14ac:dyDescent="0.25">
      <c r="B765" t="s">
        <v>738</v>
      </c>
      <c r="C765" t="s">
        <v>731</v>
      </c>
      <c r="D765" s="19">
        <v>43.17</v>
      </c>
      <c r="E765" s="3" t="s">
        <v>126</v>
      </c>
      <c r="F765" s="3" t="s">
        <v>25</v>
      </c>
      <c r="G765" s="8" t="s">
        <v>57</v>
      </c>
      <c r="H765" s="4" t="s">
        <v>126</v>
      </c>
      <c r="I765" s="5">
        <v>1</v>
      </c>
      <c r="J765" s="8" t="s">
        <v>16</v>
      </c>
      <c r="K765" s="4" t="s">
        <v>126</v>
      </c>
      <c r="L765" s="5">
        <v>1</v>
      </c>
      <c r="M765" s="8"/>
      <c r="N765" s="4"/>
      <c r="O765" s="5"/>
      <c r="P765" s="8"/>
      <c r="Q765" s="4"/>
      <c r="R765" s="5"/>
      <c r="W765" s="67" t="s">
        <v>738</v>
      </c>
      <c r="X765" s="68" t="s">
        <v>731</v>
      </c>
      <c r="Y765" s="69">
        <v>43.17</v>
      </c>
      <c r="Z765" t="str">
        <f>IF(AND(Tabla1[[#This Row],[nudo inicial]]=Tabla3[[#This Row],[n1]],Tabla1[[#This Row],[nudo final]]=Tabla3[[#This Row],[n2]],Tabla1[[#This Row],[longitud]]=Tabla3[[#This Row],[long]]),"si","no")</f>
        <v>si</v>
      </c>
    </row>
    <row r="766" spans="2:26" ht="15.75" x14ac:dyDescent="0.25">
      <c r="B766" t="s">
        <v>731</v>
      </c>
      <c r="C766" t="s">
        <v>747</v>
      </c>
      <c r="D766" s="19">
        <v>147.97</v>
      </c>
      <c r="E766" s="3" t="s">
        <v>23</v>
      </c>
      <c r="F766" s="3" t="s">
        <v>25</v>
      </c>
      <c r="G766" s="8" t="s">
        <v>16</v>
      </c>
      <c r="H766" s="4" t="s">
        <v>23</v>
      </c>
      <c r="I766" s="5">
        <v>1</v>
      </c>
      <c r="J766" s="8"/>
      <c r="K766" s="4"/>
      <c r="L766" s="5"/>
      <c r="M766" s="8"/>
      <c r="N766" s="4"/>
      <c r="O766" s="5"/>
      <c r="P766" s="8"/>
      <c r="Q766" s="4"/>
      <c r="R766" s="5"/>
      <c r="W766" s="67" t="s">
        <v>731</v>
      </c>
      <c r="X766" s="68" t="s">
        <v>747</v>
      </c>
      <c r="Y766" s="69">
        <v>147.97</v>
      </c>
      <c r="Z766" t="str">
        <f>IF(AND(Tabla1[[#This Row],[nudo inicial]]=Tabla3[[#This Row],[n1]],Tabla1[[#This Row],[nudo final]]=Tabla3[[#This Row],[n2]],Tabla1[[#This Row],[longitud]]=Tabla3[[#This Row],[long]]),"si","no")</f>
        <v>si</v>
      </c>
    </row>
    <row r="767" spans="2:26" ht="15.75" x14ac:dyDescent="0.25">
      <c r="B767" t="s">
        <v>747</v>
      </c>
      <c r="C767" t="s">
        <v>748</v>
      </c>
      <c r="D767" s="19">
        <v>131.71</v>
      </c>
      <c r="E767" s="3" t="s">
        <v>23</v>
      </c>
      <c r="F767" s="3" t="s">
        <v>25</v>
      </c>
      <c r="G767" s="8" t="s">
        <v>58</v>
      </c>
      <c r="H767" s="4" t="s">
        <v>23</v>
      </c>
      <c r="I767" s="5">
        <v>1</v>
      </c>
      <c r="J767" s="8"/>
      <c r="K767" s="4"/>
      <c r="L767" s="5"/>
      <c r="M767" s="8"/>
      <c r="N767" s="4"/>
      <c r="O767" s="5"/>
      <c r="P767" s="8"/>
      <c r="Q767" s="4"/>
      <c r="R767" s="5"/>
      <c r="W767" s="67" t="s">
        <v>747</v>
      </c>
      <c r="X767" s="68" t="s">
        <v>748</v>
      </c>
      <c r="Y767" s="69">
        <v>131.71</v>
      </c>
      <c r="Z767" t="str">
        <f>IF(AND(Tabla1[[#This Row],[nudo inicial]]=Tabla3[[#This Row],[n1]],Tabla1[[#This Row],[nudo final]]=Tabla3[[#This Row],[n2]],Tabla1[[#This Row],[longitud]]=Tabla3[[#This Row],[long]]),"si","no")</f>
        <v>si</v>
      </c>
    </row>
    <row r="768" spans="2:26" ht="15.75" x14ac:dyDescent="0.25">
      <c r="B768" t="s">
        <v>747</v>
      </c>
      <c r="C768" t="s">
        <v>749</v>
      </c>
      <c r="D768" s="19">
        <v>53.86</v>
      </c>
      <c r="E768" s="3" t="s">
        <v>23</v>
      </c>
      <c r="F768" s="3" t="s">
        <v>25</v>
      </c>
      <c r="G768" s="8" t="s">
        <v>57</v>
      </c>
      <c r="H768" s="4" t="s">
        <v>23</v>
      </c>
      <c r="I768" s="5">
        <v>1</v>
      </c>
      <c r="J768" s="8"/>
      <c r="K768" s="4"/>
      <c r="L768" s="5"/>
      <c r="M768" s="8"/>
      <c r="N768" s="4"/>
      <c r="O768" s="5"/>
      <c r="P768" s="8"/>
      <c r="Q768" s="4"/>
      <c r="R768" s="5"/>
      <c r="W768" s="67" t="s">
        <v>747</v>
      </c>
      <c r="X768" s="68" t="s">
        <v>749</v>
      </c>
      <c r="Y768" s="69">
        <v>53.86</v>
      </c>
      <c r="Z768" t="str">
        <f>IF(AND(Tabla1[[#This Row],[nudo inicial]]=Tabla3[[#This Row],[n1]],Tabla1[[#This Row],[nudo final]]=Tabla3[[#This Row],[n2]],Tabla1[[#This Row],[longitud]]=Tabla3[[#This Row],[long]]),"si","no")</f>
        <v>si</v>
      </c>
    </row>
    <row r="769" spans="2:26" ht="15.75" x14ac:dyDescent="0.25">
      <c r="B769" t="s">
        <v>749</v>
      </c>
      <c r="C769" t="s">
        <v>750</v>
      </c>
      <c r="D769" s="19">
        <v>191.93</v>
      </c>
      <c r="E769" s="3" t="s">
        <v>23</v>
      </c>
      <c r="F769" s="3" t="s">
        <v>25</v>
      </c>
      <c r="G769" s="8" t="s">
        <v>58</v>
      </c>
      <c r="H769" s="4" t="s">
        <v>23</v>
      </c>
      <c r="I769" s="5">
        <v>1</v>
      </c>
      <c r="J769" s="8" t="s">
        <v>16</v>
      </c>
      <c r="K769" s="4" t="s">
        <v>23</v>
      </c>
      <c r="L769" s="5">
        <v>1</v>
      </c>
      <c r="M769" s="8"/>
      <c r="N769" s="4"/>
      <c r="O769" s="5"/>
      <c r="P769" s="8"/>
      <c r="Q769" s="4"/>
      <c r="R769" s="5"/>
      <c r="W769" s="67" t="s">
        <v>749</v>
      </c>
      <c r="X769" s="68" t="s">
        <v>750</v>
      </c>
      <c r="Y769" s="69">
        <v>191.93</v>
      </c>
      <c r="Z769" t="str">
        <f>IF(AND(Tabla1[[#This Row],[nudo inicial]]=Tabla3[[#This Row],[n1]],Tabla1[[#This Row],[nudo final]]=Tabla3[[#This Row],[n2]],Tabla1[[#This Row],[longitud]]=Tabla3[[#This Row],[long]]),"si","no")</f>
        <v>si</v>
      </c>
    </row>
    <row r="770" spans="2:26" ht="15.75" x14ac:dyDescent="0.25">
      <c r="B770" t="s">
        <v>750</v>
      </c>
      <c r="C770" t="s">
        <v>751</v>
      </c>
      <c r="D770" s="19">
        <v>39.61</v>
      </c>
      <c r="E770" s="3" t="s">
        <v>56</v>
      </c>
      <c r="F770" s="3" t="s">
        <v>25</v>
      </c>
      <c r="G770" s="8" t="s">
        <v>58</v>
      </c>
      <c r="H770" s="4" t="s">
        <v>23</v>
      </c>
      <c r="I770" s="5">
        <v>1</v>
      </c>
      <c r="J770" s="8" t="s">
        <v>15</v>
      </c>
      <c r="K770" s="4" t="s">
        <v>56</v>
      </c>
      <c r="L770" s="5">
        <v>1</v>
      </c>
      <c r="M770" s="8" t="s">
        <v>17</v>
      </c>
      <c r="N770" s="4" t="s">
        <v>56</v>
      </c>
      <c r="O770" s="5">
        <v>1</v>
      </c>
      <c r="P770" s="8"/>
      <c r="Q770" s="4"/>
      <c r="R770" s="5"/>
      <c r="W770" s="67" t="s">
        <v>750</v>
      </c>
      <c r="X770" s="68" t="s">
        <v>751</v>
      </c>
      <c r="Y770" s="69">
        <v>39.61</v>
      </c>
      <c r="Z770" t="str">
        <f>IF(AND(Tabla1[[#This Row],[nudo inicial]]=Tabla3[[#This Row],[n1]],Tabla1[[#This Row],[nudo final]]=Tabla3[[#This Row],[n2]],Tabla1[[#This Row],[longitud]]=Tabla3[[#This Row],[long]]),"si","no")</f>
        <v>si</v>
      </c>
    </row>
    <row r="771" spans="2:26" ht="15.75" x14ac:dyDescent="0.25">
      <c r="B771" t="s">
        <v>750</v>
      </c>
      <c r="C771" t="s">
        <v>752</v>
      </c>
      <c r="D771" s="19">
        <v>140.85</v>
      </c>
      <c r="E771" s="3" t="s">
        <v>23</v>
      </c>
      <c r="F771" s="3" t="s">
        <v>25</v>
      </c>
      <c r="G771" s="8" t="s">
        <v>57</v>
      </c>
      <c r="H771" s="4" t="s">
        <v>23</v>
      </c>
      <c r="I771" s="5">
        <v>1</v>
      </c>
      <c r="J771" s="8"/>
      <c r="K771" s="4"/>
      <c r="L771" s="5"/>
      <c r="M771" s="8"/>
      <c r="N771" s="4"/>
      <c r="O771" s="5"/>
      <c r="P771" s="8"/>
      <c r="Q771" s="4"/>
      <c r="R771" s="5"/>
      <c r="W771" s="67" t="s">
        <v>750</v>
      </c>
      <c r="X771" s="68" t="s">
        <v>752</v>
      </c>
      <c r="Y771" s="69">
        <v>140.85</v>
      </c>
      <c r="Z771" t="str">
        <f>IF(AND(Tabla1[[#This Row],[nudo inicial]]=Tabla3[[#This Row],[n1]],Tabla1[[#This Row],[nudo final]]=Tabla3[[#This Row],[n2]],Tabla1[[#This Row],[longitud]]=Tabla3[[#This Row],[long]]),"si","no")</f>
        <v>si</v>
      </c>
    </row>
    <row r="772" spans="2:26" ht="15.75" x14ac:dyDescent="0.25">
      <c r="B772" t="s">
        <v>752</v>
      </c>
      <c r="C772" t="s">
        <v>753</v>
      </c>
      <c r="D772" s="19">
        <v>28.99</v>
      </c>
      <c r="E772" s="3" t="s">
        <v>56</v>
      </c>
      <c r="F772" s="3" t="s">
        <v>25</v>
      </c>
      <c r="G772" s="8" t="s">
        <v>58</v>
      </c>
      <c r="H772" s="4" t="s">
        <v>23</v>
      </c>
      <c r="I772" s="5">
        <v>1</v>
      </c>
      <c r="J772" s="8" t="s">
        <v>15</v>
      </c>
      <c r="K772" s="4" t="s">
        <v>56</v>
      </c>
      <c r="L772" s="5">
        <v>1</v>
      </c>
      <c r="M772" s="8" t="s">
        <v>17</v>
      </c>
      <c r="N772" s="4" t="s">
        <v>56</v>
      </c>
      <c r="O772" s="5">
        <v>1</v>
      </c>
      <c r="P772" s="8"/>
      <c r="Q772" s="4"/>
      <c r="R772" s="5"/>
      <c r="W772" s="67" t="s">
        <v>752</v>
      </c>
      <c r="X772" s="68" t="s">
        <v>753</v>
      </c>
      <c r="Y772" s="69">
        <v>28.99</v>
      </c>
      <c r="Z772" t="str">
        <f>IF(AND(Tabla1[[#This Row],[nudo inicial]]=Tabla3[[#This Row],[n1]],Tabla1[[#This Row],[nudo final]]=Tabla3[[#This Row],[n2]],Tabla1[[#This Row],[longitud]]=Tabla3[[#This Row],[long]]),"si","no")</f>
        <v>si</v>
      </c>
    </row>
    <row r="773" spans="2:26" ht="15.75" x14ac:dyDescent="0.25">
      <c r="B773" t="s">
        <v>752</v>
      </c>
      <c r="C773" t="s">
        <v>754</v>
      </c>
      <c r="D773" s="19">
        <v>93.35</v>
      </c>
      <c r="E773" s="3" t="s">
        <v>23</v>
      </c>
      <c r="F773" s="3" t="s">
        <v>25</v>
      </c>
      <c r="G773" s="8" t="s">
        <v>57</v>
      </c>
      <c r="H773" s="4" t="s">
        <v>23</v>
      </c>
      <c r="I773" s="5">
        <v>1</v>
      </c>
      <c r="J773" s="8" t="s">
        <v>16</v>
      </c>
      <c r="K773" s="4" t="s">
        <v>23</v>
      </c>
      <c r="L773" s="5">
        <v>1</v>
      </c>
      <c r="M773" s="8"/>
      <c r="N773" s="4"/>
      <c r="O773" s="5"/>
      <c r="P773" s="8"/>
      <c r="Q773" s="4"/>
      <c r="R773" s="5"/>
      <c r="W773" s="67" t="s">
        <v>752</v>
      </c>
      <c r="X773" s="68" t="s">
        <v>754</v>
      </c>
      <c r="Y773" s="69">
        <v>93.35</v>
      </c>
      <c r="Z773" t="str">
        <f>IF(AND(Tabla1[[#This Row],[nudo inicial]]=Tabla3[[#This Row],[n1]],Tabla1[[#This Row],[nudo final]]=Tabla3[[#This Row],[n2]],Tabla1[[#This Row],[longitud]]=Tabla3[[#This Row],[long]]),"si","no")</f>
        <v>si</v>
      </c>
    </row>
    <row r="774" spans="2:26" ht="15.75" x14ac:dyDescent="0.25">
      <c r="B774" t="s">
        <v>754</v>
      </c>
      <c r="C774" t="s">
        <v>755</v>
      </c>
      <c r="D774" s="19">
        <v>26.29</v>
      </c>
      <c r="E774" s="3" t="s">
        <v>53</v>
      </c>
      <c r="F774" s="3" t="s">
        <v>25</v>
      </c>
      <c r="G774" s="8" t="s">
        <v>58</v>
      </c>
      <c r="H774" s="4" t="s">
        <v>23</v>
      </c>
      <c r="I774" s="5">
        <v>1</v>
      </c>
      <c r="J774" s="8" t="s">
        <v>15</v>
      </c>
      <c r="K774" s="4" t="s">
        <v>53</v>
      </c>
      <c r="L774" s="5">
        <v>1</v>
      </c>
      <c r="M774" s="8" t="s">
        <v>17</v>
      </c>
      <c r="N774" s="4" t="s">
        <v>53</v>
      </c>
      <c r="O774" s="5">
        <v>1</v>
      </c>
      <c r="P774" s="8"/>
      <c r="Q774" s="4"/>
      <c r="R774" s="5"/>
      <c r="W774" s="67" t="s">
        <v>754</v>
      </c>
      <c r="X774" s="68" t="s">
        <v>755</v>
      </c>
      <c r="Y774" s="69">
        <v>26.29</v>
      </c>
      <c r="Z774" t="str">
        <f>IF(AND(Tabla1[[#This Row],[nudo inicial]]=Tabla3[[#This Row],[n1]],Tabla1[[#This Row],[nudo final]]=Tabla3[[#This Row],[n2]],Tabla1[[#This Row],[longitud]]=Tabla3[[#This Row],[long]]),"si","no")</f>
        <v>si</v>
      </c>
    </row>
    <row r="775" spans="2:26" ht="15.75" x14ac:dyDescent="0.25">
      <c r="B775" t="s">
        <v>754</v>
      </c>
      <c r="C775" t="s">
        <v>756</v>
      </c>
      <c r="D775" s="19">
        <v>162.81</v>
      </c>
      <c r="E775" s="3" t="s">
        <v>23</v>
      </c>
      <c r="F775" s="3" t="s">
        <v>25</v>
      </c>
      <c r="G775" s="8" t="s">
        <v>57</v>
      </c>
      <c r="H775" s="4" t="s">
        <v>23</v>
      </c>
      <c r="I775" s="5">
        <v>1</v>
      </c>
      <c r="J775" s="8" t="s">
        <v>16</v>
      </c>
      <c r="K775" s="4" t="s">
        <v>23</v>
      </c>
      <c r="L775" s="5">
        <v>1</v>
      </c>
      <c r="M775" s="8"/>
      <c r="N775" s="4"/>
      <c r="O775" s="5"/>
      <c r="P775" s="8"/>
      <c r="Q775" s="4"/>
      <c r="R775" s="5"/>
      <c r="W775" s="67" t="s">
        <v>754</v>
      </c>
      <c r="X775" s="68" t="s">
        <v>756</v>
      </c>
      <c r="Y775" s="69">
        <v>162.81</v>
      </c>
      <c r="Z775" t="str">
        <f>IF(AND(Tabla1[[#This Row],[nudo inicial]]=Tabla3[[#This Row],[n1]],Tabla1[[#This Row],[nudo final]]=Tabla3[[#This Row],[n2]],Tabla1[[#This Row],[longitud]]=Tabla3[[#This Row],[long]]),"si","no")</f>
        <v>si</v>
      </c>
    </row>
    <row r="776" spans="2:26" ht="15.75" x14ac:dyDescent="0.25">
      <c r="B776" t="s">
        <v>756</v>
      </c>
      <c r="C776" t="s">
        <v>757</v>
      </c>
      <c r="D776" s="19">
        <v>177.76</v>
      </c>
      <c r="E776" s="3" t="s">
        <v>53</v>
      </c>
      <c r="F776" s="3" t="s">
        <v>25</v>
      </c>
      <c r="G776" s="8" t="s">
        <v>58</v>
      </c>
      <c r="H776" s="4" t="s">
        <v>23</v>
      </c>
      <c r="I776" s="5">
        <v>1</v>
      </c>
      <c r="J776" s="8" t="s">
        <v>15</v>
      </c>
      <c r="K776" s="4" t="s">
        <v>53</v>
      </c>
      <c r="L776" s="5">
        <v>1</v>
      </c>
      <c r="M776" s="8" t="s">
        <v>17</v>
      </c>
      <c r="N776" s="4" t="s">
        <v>53</v>
      </c>
      <c r="O776" s="5">
        <v>1</v>
      </c>
      <c r="P776" s="8"/>
      <c r="Q776" s="4"/>
      <c r="R776" s="5"/>
      <c r="W776" s="67" t="s">
        <v>756</v>
      </c>
      <c r="X776" s="68" t="s">
        <v>757</v>
      </c>
      <c r="Y776" s="69">
        <v>177.76</v>
      </c>
      <c r="Z776" t="str">
        <f>IF(AND(Tabla1[[#This Row],[nudo inicial]]=Tabla3[[#This Row],[n1]],Tabla1[[#This Row],[nudo final]]=Tabla3[[#This Row],[n2]],Tabla1[[#This Row],[longitud]]=Tabla3[[#This Row],[long]]),"si","no")</f>
        <v>si</v>
      </c>
    </row>
    <row r="777" spans="2:26" ht="15.75" x14ac:dyDescent="0.25">
      <c r="B777" t="s">
        <v>756</v>
      </c>
      <c r="C777" t="s">
        <v>758</v>
      </c>
      <c r="D777" s="19">
        <v>65.31</v>
      </c>
      <c r="E777" s="3" t="s">
        <v>23</v>
      </c>
      <c r="F777" s="3" t="s">
        <v>25</v>
      </c>
      <c r="G777" s="8" t="s">
        <v>57</v>
      </c>
      <c r="H777" s="4" t="s">
        <v>23</v>
      </c>
      <c r="I777" s="5">
        <v>1</v>
      </c>
      <c r="J777" s="8"/>
      <c r="K777" s="4"/>
      <c r="L777" s="5"/>
      <c r="M777" s="8"/>
      <c r="N777" s="4"/>
      <c r="O777" s="5"/>
      <c r="P777" s="8"/>
      <c r="Q777" s="4"/>
      <c r="R777" s="5"/>
      <c r="W777" s="67" t="s">
        <v>756</v>
      </c>
      <c r="X777" s="68" t="s">
        <v>758</v>
      </c>
      <c r="Y777" s="69">
        <v>65.31</v>
      </c>
      <c r="Z777" t="str">
        <f>IF(AND(Tabla1[[#This Row],[nudo inicial]]=Tabla3[[#This Row],[n1]],Tabla1[[#This Row],[nudo final]]=Tabla3[[#This Row],[n2]],Tabla1[[#This Row],[longitud]]=Tabla3[[#This Row],[long]]),"si","no")</f>
        <v>si</v>
      </c>
    </row>
    <row r="778" spans="2:26" ht="15.75" x14ac:dyDescent="0.25">
      <c r="B778" t="s">
        <v>758</v>
      </c>
      <c r="C778" t="s">
        <v>759</v>
      </c>
      <c r="D778" s="19">
        <v>24.58</v>
      </c>
      <c r="E778" s="3" t="s">
        <v>56</v>
      </c>
      <c r="F778" s="3" t="s">
        <v>25</v>
      </c>
      <c r="G778" s="8" t="s">
        <v>58</v>
      </c>
      <c r="H778" s="4" t="s">
        <v>23</v>
      </c>
      <c r="I778" s="5">
        <v>1</v>
      </c>
      <c r="J778" s="8" t="s">
        <v>15</v>
      </c>
      <c r="K778" s="4" t="s">
        <v>56</v>
      </c>
      <c r="L778" s="5">
        <v>1</v>
      </c>
      <c r="M778" s="8" t="s">
        <v>17</v>
      </c>
      <c r="N778" s="4" t="s">
        <v>56</v>
      </c>
      <c r="O778" s="5">
        <v>1</v>
      </c>
      <c r="P778" s="8"/>
      <c r="Q778" s="4"/>
      <c r="R778" s="5"/>
      <c r="W778" s="67" t="s">
        <v>758</v>
      </c>
      <c r="X778" s="68" t="s">
        <v>759</v>
      </c>
      <c r="Y778" s="69">
        <v>24.58</v>
      </c>
      <c r="Z778" t="str">
        <f>IF(AND(Tabla1[[#This Row],[nudo inicial]]=Tabla3[[#This Row],[n1]],Tabla1[[#This Row],[nudo final]]=Tabla3[[#This Row],[n2]],Tabla1[[#This Row],[longitud]]=Tabla3[[#This Row],[long]]),"si","no")</f>
        <v>si</v>
      </c>
    </row>
    <row r="779" spans="2:26" ht="15.75" x14ac:dyDescent="0.25">
      <c r="B779" t="s">
        <v>758</v>
      </c>
      <c r="C779" t="s">
        <v>760</v>
      </c>
      <c r="D779" s="19">
        <v>44.95</v>
      </c>
      <c r="E779" s="3" t="s">
        <v>23</v>
      </c>
      <c r="F779" s="3" t="s">
        <v>25</v>
      </c>
      <c r="G779" s="8" t="s">
        <v>57</v>
      </c>
      <c r="H779" s="4" t="s">
        <v>23</v>
      </c>
      <c r="I779" s="5">
        <v>1</v>
      </c>
      <c r="J779" s="8" t="s">
        <v>32</v>
      </c>
      <c r="K779" s="4" t="s">
        <v>23</v>
      </c>
      <c r="L779" s="5">
        <v>1</v>
      </c>
      <c r="M779" s="8"/>
      <c r="N779" s="4"/>
      <c r="O779" s="5"/>
      <c r="P779" s="8"/>
      <c r="Q779" s="4"/>
      <c r="R779" s="5"/>
      <c r="W779" s="67" t="s">
        <v>758</v>
      </c>
      <c r="X779" s="68" t="s">
        <v>760</v>
      </c>
      <c r="Y779" s="69">
        <v>44.95</v>
      </c>
      <c r="Z779" t="str">
        <f>IF(AND(Tabla1[[#This Row],[nudo inicial]]=Tabla3[[#This Row],[n1]],Tabla1[[#This Row],[nudo final]]=Tabla3[[#This Row],[n2]],Tabla1[[#This Row],[longitud]]=Tabla3[[#This Row],[long]]),"si","no")</f>
        <v>si</v>
      </c>
    </row>
    <row r="780" spans="2:26" ht="15.75" x14ac:dyDescent="0.25">
      <c r="B780" t="s">
        <v>749</v>
      </c>
      <c r="C780" t="s">
        <v>761</v>
      </c>
      <c r="D780" s="19">
        <v>2.4</v>
      </c>
      <c r="E780" s="3" t="s">
        <v>23</v>
      </c>
      <c r="F780" s="3" t="s">
        <v>25</v>
      </c>
      <c r="G780" s="8" t="s">
        <v>57</v>
      </c>
      <c r="H780" s="4" t="s">
        <v>23</v>
      </c>
      <c r="I780" s="5">
        <v>1</v>
      </c>
      <c r="J780" s="8"/>
      <c r="K780" s="4"/>
      <c r="L780" s="5"/>
      <c r="M780" s="8"/>
      <c r="N780" s="4"/>
      <c r="O780" s="5"/>
      <c r="P780" s="8"/>
      <c r="Q780" s="4"/>
      <c r="R780" s="5"/>
      <c r="W780" s="67" t="s">
        <v>749</v>
      </c>
      <c r="X780" s="68" t="s">
        <v>761</v>
      </c>
      <c r="Y780" s="69">
        <v>2.4</v>
      </c>
      <c r="Z780" t="str">
        <f>IF(AND(Tabla1[[#This Row],[nudo inicial]]=Tabla3[[#This Row],[n1]],Tabla1[[#This Row],[nudo final]]=Tabla3[[#This Row],[n2]],Tabla1[[#This Row],[longitud]]=Tabla3[[#This Row],[long]]),"si","no")</f>
        <v>si</v>
      </c>
    </row>
    <row r="781" spans="2:26" ht="15.75" x14ac:dyDescent="0.25">
      <c r="B781" t="s">
        <v>761</v>
      </c>
      <c r="C781" t="s">
        <v>748</v>
      </c>
      <c r="D781" s="19">
        <v>102.42</v>
      </c>
      <c r="E781" s="3" t="s">
        <v>23</v>
      </c>
      <c r="F781" s="3" t="s">
        <v>25</v>
      </c>
      <c r="G781" s="8" t="s">
        <v>58</v>
      </c>
      <c r="H781" s="4" t="s">
        <v>23</v>
      </c>
      <c r="I781" s="5">
        <v>1</v>
      </c>
      <c r="J781" s="8"/>
      <c r="K781" s="4"/>
      <c r="L781" s="5"/>
      <c r="M781" s="8"/>
      <c r="N781" s="4"/>
      <c r="O781" s="5"/>
      <c r="P781" s="8"/>
      <c r="Q781" s="4"/>
      <c r="R781" s="5"/>
      <c r="W781" s="67" t="s">
        <v>761</v>
      </c>
      <c r="X781" s="68" t="s">
        <v>748</v>
      </c>
      <c r="Y781" s="69">
        <v>102.42</v>
      </c>
      <c r="Z781" t="str">
        <f>IF(AND(Tabla1[[#This Row],[nudo inicial]]=Tabla3[[#This Row],[n1]],Tabla1[[#This Row],[nudo final]]=Tabla3[[#This Row],[n2]],Tabla1[[#This Row],[longitud]]=Tabla3[[#This Row],[long]]),"si","no")</f>
        <v>si</v>
      </c>
    </row>
    <row r="782" spans="2:26" ht="15.75" x14ac:dyDescent="0.25">
      <c r="B782" t="s">
        <v>761</v>
      </c>
      <c r="C782" t="s">
        <v>762</v>
      </c>
      <c r="D782" s="19">
        <v>58.18</v>
      </c>
      <c r="E782" s="3" t="s">
        <v>23</v>
      </c>
      <c r="F782" s="3" t="s">
        <v>25</v>
      </c>
      <c r="G782" s="8" t="s">
        <v>57</v>
      </c>
      <c r="H782" s="4" t="s">
        <v>23</v>
      </c>
      <c r="I782" s="5">
        <v>1</v>
      </c>
      <c r="J782" s="8" t="s">
        <v>32</v>
      </c>
      <c r="K782" s="4" t="s">
        <v>23</v>
      </c>
      <c r="L782" s="5">
        <v>1</v>
      </c>
      <c r="M782" s="8"/>
      <c r="N782" s="4"/>
      <c r="O782" s="5"/>
      <c r="P782" s="8"/>
      <c r="Q782" s="4"/>
      <c r="R782" s="5"/>
      <c r="W782" s="67" t="s">
        <v>761</v>
      </c>
      <c r="X782" s="68" t="s">
        <v>762</v>
      </c>
      <c r="Y782" s="69">
        <v>58.18</v>
      </c>
      <c r="Z782" t="str">
        <f>IF(AND(Tabla1[[#This Row],[nudo inicial]]=Tabla3[[#This Row],[n1]],Tabla1[[#This Row],[nudo final]]=Tabla3[[#This Row],[n2]],Tabla1[[#This Row],[longitud]]=Tabla3[[#This Row],[long]]),"si","no")</f>
        <v>si</v>
      </c>
    </row>
    <row r="783" spans="2:26" ht="15.75" x14ac:dyDescent="0.25">
      <c r="B783" t="s">
        <v>762</v>
      </c>
      <c r="C783" t="s">
        <v>763</v>
      </c>
      <c r="D783" s="19">
        <v>128.81</v>
      </c>
      <c r="E783" s="3" t="s">
        <v>23</v>
      </c>
      <c r="F783" s="3" t="s">
        <v>25</v>
      </c>
      <c r="G783" s="8" t="s">
        <v>58</v>
      </c>
      <c r="H783" s="4" t="s">
        <v>23</v>
      </c>
      <c r="I783" s="5">
        <v>1</v>
      </c>
      <c r="J783" s="8"/>
      <c r="K783" s="4"/>
      <c r="L783" s="5"/>
      <c r="M783" s="8"/>
      <c r="N783" s="4"/>
      <c r="O783" s="5"/>
      <c r="P783" s="8"/>
      <c r="Q783" s="4"/>
      <c r="R783" s="5"/>
      <c r="W783" s="67" t="s">
        <v>762</v>
      </c>
      <c r="X783" s="68" t="s">
        <v>763</v>
      </c>
      <c r="Y783" s="69">
        <v>128.81</v>
      </c>
      <c r="Z783" t="str">
        <f>IF(AND(Tabla1[[#This Row],[nudo inicial]]=Tabla3[[#This Row],[n1]],Tabla1[[#This Row],[nudo final]]=Tabla3[[#This Row],[n2]],Tabla1[[#This Row],[longitud]]=Tabla3[[#This Row],[long]]),"si","no")</f>
        <v>si</v>
      </c>
    </row>
    <row r="784" spans="2:26" ht="15.75" x14ac:dyDescent="0.25">
      <c r="B784" t="s">
        <v>763</v>
      </c>
      <c r="C784" t="s">
        <v>764</v>
      </c>
      <c r="D784" s="19">
        <v>73.81</v>
      </c>
      <c r="E784" s="3" t="s">
        <v>53</v>
      </c>
      <c r="F784" s="3" t="s">
        <v>25</v>
      </c>
      <c r="G784" s="8" t="s">
        <v>58</v>
      </c>
      <c r="H784" s="4" t="s">
        <v>23</v>
      </c>
      <c r="I784" s="5">
        <v>1</v>
      </c>
      <c r="J784" s="8" t="s">
        <v>15</v>
      </c>
      <c r="K784" s="4" t="s">
        <v>53</v>
      </c>
      <c r="L784" s="5">
        <v>1</v>
      </c>
      <c r="M784" s="8"/>
      <c r="N784" s="4"/>
      <c r="O784" s="5"/>
      <c r="P784" s="8"/>
      <c r="Q784" s="4"/>
      <c r="R784" s="5"/>
      <c r="W784" s="67" t="s">
        <v>763</v>
      </c>
      <c r="X784" s="68" t="s">
        <v>764</v>
      </c>
      <c r="Y784" s="69">
        <v>73.81</v>
      </c>
      <c r="Z784" t="str">
        <f>IF(AND(Tabla1[[#This Row],[nudo inicial]]=Tabla3[[#This Row],[n1]],Tabla1[[#This Row],[nudo final]]=Tabla3[[#This Row],[n2]],Tabla1[[#This Row],[longitud]]=Tabla3[[#This Row],[long]]),"si","no")</f>
        <v>si</v>
      </c>
    </row>
    <row r="785" spans="1:26" ht="15.75" x14ac:dyDescent="0.25">
      <c r="B785" t="s">
        <v>764</v>
      </c>
      <c r="C785" t="s">
        <v>765</v>
      </c>
      <c r="D785" s="19">
        <v>5.54</v>
      </c>
      <c r="E785" s="3" t="s">
        <v>53</v>
      </c>
      <c r="F785" s="3" t="s">
        <v>25</v>
      </c>
      <c r="G785" s="8" t="s">
        <v>57</v>
      </c>
      <c r="H785" s="4" t="s">
        <v>53</v>
      </c>
      <c r="I785" s="5">
        <v>1</v>
      </c>
      <c r="J785" s="8" t="s">
        <v>17</v>
      </c>
      <c r="K785" s="4" t="s">
        <v>53</v>
      </c>
      <c r="L785" s="5">
        <v>1</v>
      </c>
      <c r="M785" s="8"/>
      <c r="N785" s="4"/>
      <c r="O785" s="5"/>
      <c r="P785" s="8"/>
      <c r="Q785" s="4"/>
      <c r="R785" s="5"/>
      <c r="W785" s="67" t="s">
        <v>764</v>
      </c>
      <c r="X785" s="68" t="s">
        <v>765</v>
      </c>
      <c r="Y785" s="69">
        <v>5.54</v>
      </c>
      <c r="Z785" t="str">
        <f>IF(AND(Tabla1[[#This Row],[nudo inicial]]=Tabla3[[#This Row],[n1]],Tabla1[[#This Row],[nudo final]]=Tabla3[[#This Row],[n2]],Tabla1[[#This Row],[longitud]]=Tabla3[[#This Row],[long]]),"si","no")</f>
        <v>si</v>
      </c>
    </row>
    <row r="786" spans="1:26" ht="15.75" x14ac:dyDescent="0.25">
      <c r="B786" t="s">
        <v>764</v>
      </c>
      <c r="C786" t="s">
        <v>766</v>
      </c>
      <c r="D786" s="19">
        <v>86.11</v>
      </c>
      <c r="E786" s="3" t="s">
        <v>53</v>
      </c>
      <c r="F786" s="3" t="s">
        <v>25</v>
      </c>
      <c r="G786" s="8" t="s">
        <v>58</v>
      </c>
      <c r="H786" s="4" t="s">
        <v>53</v>
      </c>
      <c r="I786" s="5">
        <v>1</v>
      </c>
      <c r="J786" s="8" t="s">
        <v>17</v>
      </c>
      <c r="K786" s="4" t="s">
        <v>53</v>
      </c>
      <c r="L786" s="5">
        <v>1</v>
      </c>
      <c r="M786" s="8"/>
      <c r="N786" s="4"/>
      <c r="O786" s="5"/>
      <c r="P786" s="8"/>
      <c r="Q786" s="4"/>
      <c r="R786" s="5"/>
      <c r="W786" s="67" t="s">
        <v>764</v>
      </c>
      <c r="X786" s="68" t="s">
        <v>766</v>
      </c>
      <c r="Y786" s="69">
        <v>86.11</v>
      </c>
      <c r="Z786" t="str">
        <f>IF(AND(Tabla1[[#This Row],[nudo inicial]]=Tabla3[[#This Row],[n1]],Tabla1[[#This Row],[nudo final]]=Tabla3[[#This Row],[n2]],Tabla1[[#This Row],[longitud]]=Tabla3[[#This Row],[long]]),"si","no")</f>
        <v>si</v>
      </c>
    </row>
    <row r="787" spans="1:26" ht="30" x14ac:dyDescent="0.25">
      <c r="B787" t="s">
        <v>763</v>
      </c>
      <c r="C787" t="s">
        <v>767</v>
      </c>
      <c r="D787" s="19">
        <v>158.13999999999999</v>
      </c>
      <c r="E787" s="3" t="s">
        <v>23</v>
      </c>
      <c r="F787" s="3" t="s">
        <v>25</v>
      </c>
      <c r="G787" s="8" t="s">
        <v>57</v>
      </c>
      <c r="H787" s="4" t="s">
        <v>23</v>
      </c>
      <c r="I787" s="5">
        <v>1</v>
      </c>
      <c r="J787" s="8" t="s">
        <v>34</v>
      </c>
      <c r="K787" s="4"/>
      <c r="L787" s="5">
        <v>1</v>
      </c>
      <c r="M787" s="8"/>
      <c r="N787" s="4"/>
      <c r="O787" s="5"/>
      <c r="P787" s="8"/>
      <c r="Q787" s="4"/>
      <c r="R787" s="5"/>
      <c r="W787" s="67" t="s">
        <v>763</v>
      </c>
      <c r="X787" s="68" t="s">
        <v>767</v>
      </c>
      <c r="Y787" s="69">
        <v>158.13999999999999</v>
      </c>
      <c r="Z787" t="str">
        <f>IF(AND(Tabla1[[#This Row],[nudo inicial]]=Tabla3[[#This Row],[n1]],Tabla1[[#This Row],[nudo final]]=Tabla3[[#This Row],[n2]],Tabla1[[#This Row],[longitud]]=Tabla3[[#This Row],[long]]),"si","no")</f>
        <v>si</v>
      </c>
    </row>
    <row r="788" spans="1:26" ht="15.75" x14ac:dyDescent="0.25">
      <c r="B788" t="s">
        <v>767</v>
      </c>
      <c r="C788" t="s">
        <v>768</v>
      </c>
      <c r="D788" s="19">
        <v>132.43</v>
      </c>
      <c r="E788" s="3" t="s">
        <v>53</v>
      </c>
      <c r="F788" s="3" t="s">
        <v>25</v>
      </c>
      <c r="G788" s="8" t="s">
        <v>15</v>
      </c>
      <c r="H788" s="4" t="s">
        <v>53</v>
      </c>
      <c r="I788" s="5">
        <v>1</v>
      </c>
      <c r="J788" s="8"/>
      <c r="K788" s="4"/>
      <c r="L788" s="5"/>
      <c r="M788" s="8"/>
      <c r="N788" s="4"/>
      <c r="O788" s="5"/>
      <c r="P788" s="8"/>
      <c r="Q788" s="4"/>
      <c r="R788" s="5"/>
      <c r="W788" s="67" t="s">
        <v>767</v>
      </c>
      <c r="X788" s="68" t="s">
        <v>768</v>
      </c>
      <c r="Y788" s="69">
        <v>132.43</v>
      </c>
      <c r="Z788" t="str">
        <f>IF(AND(Tabla1[[#This Row],[nudo inicial]]=Tabla3[[#This Row],[n1]],Tabla1[[#This Row],[nudo final]]=Tabla3[[#This Row],[n2]],Tabla1[[#This Row],[longitud]]=Tabla3[[#This Row],[long]]),"si","no")</f>
        <v>si</v>
      </c>
    </row>
    <row r="789" spans="1:26" ht="15.75" x14ac:dyDescent="0.25">
      <c r="B789" t="s">
        <v>768</v>
      </c>
      <c r="C789" t="s">
        <v>760</v>
      </c>
      <c r="D789" s="19">
        <v>43.97</v>
      </c>
      <c r="E789" s="3" t="s">
        <v>53</v>
      </c>
      <c r="F789" s="3" t="s">
        <v>25</v>
      </c>
      <c r="G789" s="8" t="s">
        <v>58</v>
      </c>
      <c r="H789" s="4" t="s">
        <v>23</v>
      </c>
      <c r="I789" s="5">
        <v>1</v>
      </c>
      <c r="J789" s="8" t="s">
        <v>15</v>
      </c>
      <c r="K789" s="4" t="s">
        <v>53</v>
      </c>
      <c r="L789" s="5">
        <v>1</v>
      </c>
      <c r="M789" s="8"/>
      <c r="N789" s="4"/>
      <c r="O789" s="5"/>
      <c r="P789" s="8"/>
      <c r="Q789" s="4"/>
      <c r="R789" s="5"/>
      <c r="W789" s="67" t="s">
        <v>768</v>
      </c>
      <c r="X789" s="68" t="s">
        <v>760</v>
      </c>
      <c r="Y789" s="69">
        <v>43.97</v>
      </c>
      <c r="Z789" t="str">
        <f>IF(AND(Tabla1[[#This Row],[nudo inicial]]=Tabla3[[#This Row],[n1]],Tabla1[[#This Row],[nudo final]]=Tabla3[[#This Row],[n2]],Tabla1[[#This Row],[longitud]]=Tabla3[[#This Row],[long]]),"si","no")</f>
        <v>si</v>
      </c>
    </row>
    <row r="790" spans="1:26" ht="15.75" x14ac:dyDescent="0.25">
      <c r="B790" t="s">
        <v>768</v>
      </c>
      <c r="C790" t="s">
        <v>769</v>
      </c>
      <c r="D790" s="19">
        <v>6.15</v>
      </c>
      <c r="E790" s="3" t="s">
        <v>53</v>
      </c>
      <c r="F790" s="3" t="s">
        <v>25</v>
      </c>
      <c r="G790" s="8" t="s">
        <v>57</v>
      </c>
      <c r="H790" s="4" t="s">
        <v>53</v>
      </c>
      <c r="I790" s="5">
        <v>1</v>
      </c>
      <c r="J790" s="8"/>
      <c r="K790" s="4"/>
      <c r="L790" s="5"/>
      <c r="M790" s="8"/>
      <c r="N790" s="4"/>
      <c r="O790" s="5"/>
      <c r="P790" s="8"/>
      <c r="Q790" s="4"/>
      <c r="R790" s="5"/>
      <c r="W790" s="67" t="s">
        <v>768</v>
      </c>
      <c r="X790" s="68" t="s">
        <v>769</v>
      </c>
      <c r="Y790" s="69">
        <v>6.15</v>
      </c>
      <c r="Z790" t="str">
        <f>IF(AND(Tabla1[[#This Row],[nudo inicial]]=Tabla3[[#This Row],[n1]],Tabla1[[#This Row],[nudo final]]=Tabla3[[#This Row],[n2]],Tabla1[[#This Row],[longitud]]=Tabla3[[#This Row],[long]]),"si","no")</f>
        <v>si</v>
      </c>
    </row>
    <row r="791" spans="1:26" ht="15.75" x14ac:dyDescent="0.25">
      <c r="B791" t="s">
        <v>769</v>
      </c>
      <c r="C791" t="s">
        <v>770</v>
      </c>
      <c r="D791" s="19">
        <v>31.26</v>
      </c>
      <c r="E791" s="3" t="s">
        <v>53</v>
      </c>
      <c r="F791" s="3" t="s">
        <v>25</v>
      </c>
      <c r="G791" s="8" t="s">
        <v>20</v>
      </c>
      <c r="H791" s="4" t="s">
        <v>53</v>
      </c>
      <c r="I791" s="5">
        <v>1</v>
      </c>
      <c r="J791" s="8" t="s">
        <v>17</v>
      </c>
      <c r="K791" s="4" t="s">
        <v>53</v>
      </c>
      <c r="L791" s="5">
        <v>1</v>
      </c>
      <c r="M791" s="8"/>
      <c r="N791" s="4"/>
      <c r="O791" s="5"/>
      <c r="P791" s="8"/>
      <c r="Q791" s="4"/>
      <c r="R791" s="5"/>
      <c r="W791" s="67" t="s">
        <v>769</v>
      </c>
      <c r="X791" s="68" t="s">
        <v>770</v>
      </c>
      <c r="Y791" s="69">
        <v>31.26</v>
      </c>
      <c r="Z791" t="str">
        <f>IF(AND(Tabla1[[#This Row],[nudo inicial]]=Tabla3[[#This Row],[n1]],Tabla1[[#This Row],[nudo final]]=Tabla3[[#This Row],[n2]],Tabla1[[#This Row],[longitud]]=Tabla3[[#This Row],[long]]),"si","no")</f>
        <v>si</v>
      </c>
    </row>
    <row r="792" spans="1:26" ht="15.75" x14ac:dyDescent="0.25">
      <c r="B792" t="s">
        <v>769</v>
      </c>
      <c r="C792" t="s">
        <v>771</v>
      </c>
      <c r="D792" s="19">
        <v>43.16</v>
      </c>
      <c r="E792" s="3" t="s">
        <v>53</v>
      </c>
      <c r="F792" s="3" t="s">
        <v>25</v>
      </c>
      <c r="G792" s="8"/>
      <c r="H792" s="4"/>
      <c r="I792" s="5"/>
      <c r="J792" s="8"/>
      <c r="K792" s="4"/>
      <c r="L792" s="5"/>
      <c r="M792" s="8"/>
      <c r="N792" s="4"/>
      <c r="O792" s="5"/>
      <c r="P792" s="8"/>
      <c r="Q792" s="4"/>
      <c r="R792" s="5"/>
      <c r="W792" s="67" t="s">
        <v>769</v>
      </c>
      <c r="X792" s="68" t="s">
        <v>771</v>
      </c>
      <c r="Y792" s="69">
        <v>43.16</v>
      </c>
      <c r="Z792" t="str">
        <f>IF(AND(Tabla1[[#This Row],[nudo inicial]]=Tabla3[[#This Row],[n1]],Tabla1[[#This Row],[nudo final]]=Tabla3[[#This Row],[n2]],Tabla1[[#This Row],[longitud]]=Tabla3[[#This Row],[long]]),"si","no")</f>
        <v>si</v>
      </c>
    </row>
    <row r="793" spans="1:26" ht="15.75" x14ac:dyDescent="0.25">
      <c r="B793" t="s">
        <v>771</v>
      </c>
      <c r="C793" t="s">
        <v>772</v>
      </c>
      <c r="D793" s="19">
        <v>28.77</v>
      </c>
      <c r="E793" s="3" t="s">
        <v>53</v>
      </c>
      <c r="F793" s="3" t="s">
        <v>25</v>
      </c>
      <c r="G793" s="8" t="s">
        <v>58</v>
      </c>
      <c r="H793" s="4" t="s">
        <v>53</v>
      </c>
      <c r="I793" s="5">
        <v>1</v>
      </c>
      <c r="J793" s="8" t="s">
        <v>17</v>
      </c>
      <c r="K793" s="4" t="s">
        <v>53</v>
      </c>
      <c r="L793" s="5">
        <v>1</v>
      </c>
      <c r="M793" s="8"/>
      <c r="N793" s="4"/>
      <c r="O793" s="5"/>
      <c r="P793" s="8"/>
      <c r="Q793" s="4"/>
      <c r="R793" s="5"/>
      <c r="W793" s="67" t="s">
        <v>771</v>
      </c>
      <c r="X793" s="68" t="s">
        <v>772</v>
      </c>
      <c r="Y793" s="69">
        <v>28.77</v>
      </c>
      <c r="Z793" t="str">
        <f>IF(AND(Tabla1[[#This Row],[nudo inicial]]=Tabla3[[#This Row],[n1]],Tabla1[[#This Row],[nudo final]]=Tabla3[[#This Row],[n2]],Tabla1[[#This Row],[longitud]]=Tabla3[[#This Row],[long]]),"si","no")</f>
        <v>si</v>
      </c>
    </row>
    <row r="794" spans="1:26" ht="15.75" x14ac:dyDescent="0.25">
      <c r="B794" t="s">
        <v>771</v>
      </c>
      <c r="C794" t="s">
        <v>773</v>
      </c>
      <c r="D794" s="19">
        <v>1.66</v>
      </c>
      <c r="E794" s="3" t="s">
        <v>53</v>
      </c>
      <c r="F794" s="3" t="s">
        <v>25</v>
      </c>
      <c r="G794" s="8" t="s">
        <v>57</v>
      </c>
      <c r="H794" s="4" t="s">
        <v>53</v>
      </c>
      <c r="I794" s="5">
        <v>1</v>
      </c>
      <c r="J794" s="8"/>
      <c r="K794" s="4"/>
      <c r="L794" s="5"/>
      <c r="M794" s="8"/>
      <c r="N794" s="4"/>
      <c r="O794" s="5"/>
      <c r="P794" s="8"/>
      <c r="Q794" s="4"/>
      <c r="R794" s="5"/>
      <c r="W794" s="67" t="s">
        <v>771</v>
      </c>
      <c r="X794" s="68" t="s">
        <v>773</v>
      </c>
      <c r="Y794" s="69">
        <v>1.66</v>
      </c>
      <c r="Z794" t="str">
        <f>IF(AND(Tabla1[[#This Row],[nudo inicial]]=Tabla3[[#This Row],[n1]],Tabla1[[#This Row],[nudo final]]=Tabla3[[#This Row],[n2]],Tabla1[[#This Row],[longitud]]=Tabla3[[#This Row],[long]]),"si","no")</f>
        <v>si</v>
      </c>
    </row>
    <row r="795" spans="1:26" ht="15.75" x14ac:dyDescent="0.25">
      <c r="B795" t="s">
        <v>773</v>
      </c>
      <c r="C795" t="s">
        <v>774</v>
      </c>
      <c r="D795" s="19">
        <v>133.32</v>
      </c>
      <c r="E795" s="3" t="s">
        <v>126</v>
      </c>
      <c r="F795" s="3" t="s">
        <v>26</v>
      </c>
      <c r="G795" s="8" t="s">
        <v>58</v>
      </c>
      <c r="H795" s="4" t="s">
        <v>53</v>
      </c>
      <c r="I795" s="5">
        <v>1</v>
      </c>
      <c r="J795" s="8" t="s">
        <v>6</v>
      </c>
      <c r="K795" s="4" t="s">
        <v>126</v>
      </c>
      <c r="L795" s="5">
        <v>1</v>
      </c>
      <c r="M795" s="8"/>
      <c r="N795" s="4"/>
      <c r="O795" s="5"/>
      <c r="P795" s="8"/>
      <c r="Q795" s="4"/>
      <c r="R795" s="5"/>
      <c r="W795" s="67" t="s">
        <v>773</v>
      </c>
      <c r="X795" s="68" t="s">
        <v>774</v>
      </c>
      <c r="Y795" s="69">
        <v>133.32</v>
      </c>
      <c r="Z795" t="str">
        <f>IF(AND(Tabla1[[#This Row],[nudo inicial]]=Tabla3[[#This Row],[n1]],Tabla1[[#This Row],[nudo final]]=Tabla3[[#This Row],[n2]],Tabla1[[#This Row],[longitud]]=Tabla3[[#This Row],[long]]),"si","no")</f>
        <v>si</v>
      </c>
    </row>
    <row r="796" spans="1:26" ht="15.75" x14ac:dyDescent="0.25">
      <c r="B796" t="s">
        <v>774</v>
      </c>
      <c r="C796" t="s">
        <v>775</v>
      </c>
      <c r="D796" s="19">
        <v>46.65</v>
      </c>
      <c r="E796" s="3" t="s">
        <v>56</v>
      </c>
      <c r="F796" s="3" t="s">
        <v>25</v>
      </c>
      <c r="G796" s="8" t="s">
        <v>58</v>
      </c>
      <c r="H796" s="4" t="s">
        <v>126</v>
      </c>
      <c r="I796" s="5">
        <v>1</v>
      </c>
      <c r="J796" s="8" t="s">
        <v>15</v>
      </c>
      <c r="K796" s="4" t="s">
        <v>56</v>
      </c>
      <c r="L796" s="5">
        <v>1</v>
      </c>
      <c r="M796" s="8" t="s">
        <v>17</v>
      </c>
      <c r="N796" s="4" t="s">
        <v>56</v>
      </c>
      <c r="O796" s="5">
        <v>1</v>
      </c>
      <c r="P796" s="8"/>
      <c r="Q796" s="4"/>
      <c r="R796" s="5"/>
      <c r="W796" s="67" t="s">
        <v>774</v>
      </c>
      <c r="X796" s="68" t="s">
        <v>775</v>
      </c>
      <c r="Y796" s="69">
        <v>46.65</v>
      </c>
      <c r="Z796" t="str">
        <f>IF(AND(Tabla1[[#This Row],[nudo inicial]]=Tabla3[[#This Row],[n1]],Tabla1[[#This Row],[nudo final]]=Tabla3[[#This Row],[n2]],Tabla1[[#This Row],[longitud]]=Tabla3[[#This Row],[long]]),"si","no")</f>
        <v>si</v>
      </c>
    </row>
    <row r="797" spans="1:26" ht="15.75" x14ac:dyDescent="0.25">
      <c r="B797" t="s">
        <v>774</v>
      </c>
      <c r="C797" t="s">
        <v>776</v>
      </c>
      <c r="D797" s="19">
        <v>31.51</v>
      </c>
      <c r="E797" s="3" t="s">
        <v>56</v>
      </c>
      <c r="F797" s="3" t="s">
        <v>25</v>
      </c>
      <c r="G797" s="8" t="s">
        <v>58</v>
      </c>
      <c r="H797" s="4" t="s">
        <v>126</v>
      </c>
      <c r="I797" s="5">
        <v>1</v>
      </c>
      <c r="J797" s="8" t="s">
        <v>15</v>
      </c>
      <c r="K797" s="4" t="s">
        <v>56</v>
      </c>
      <c r="L797" s="5">
        <v>1</v>
      </c>
      <c r="M797" s="8" t="s">
        <v>17</v>
      </c>
      <c r="N797" s="4" t="s">
        <v>56</v>
      </c>
      <c r="O797" s="5">
        <v>1</v>
      </c>
      <c r="P797" s="8"/>
      <c r="Q797" s="4"/>
      <c r="R797" s="5"/>
      <c r="W797" s="67" t="s">
        <v>774</v>
      </c>
      <c r="X797" s="68" t="s">
        <v>776</v>
      </c>
      <c r="Y797" s="69">
        <v>31.51</v>
      </c>
      <c r="Z797" t="str">
        <f>IF(AND(Tabla1[[#This Row],[nudo inicial]]=Tabla3[[#This Row],[n1]],Tabla1[[#This Row],[nudo final]]=Tabla3[[#This Row],[n2]],Tabla1[[#This Row],[longitud]]=Tabla3[[#This Row],[long]]),"si","no")</f>
        <v>si</v>
      </c>
    </row>
    <row r="798" spans="1:26" ht="15.75" x14ac:dyDescent="0.25">
      <c r="B798" t="s">
        <v>773</v>
      </c>
      <c r="C798" t="s">
        <v>777</v>
      </c>
      <c r="D798" s="19">
        <v>40.869999999999997</v>
      </c>
      <c r="E798" s="3" t="s">
        <v>53</v>
      </c>
      <c r="F798" s="3" t="s">
        <v>25</v>
      </c>
      <c r="G798" s="8" t="s">
        <v>57</v>
      </c>
      <c r="H798" s="4" t="s">
        <v>53</v>
      </c>
      <c r="I798" s="5">
        <v>1</v>
      </c>
      <c r="J798" s="8"/>
      <c r="K798" s="4"/>
      <c r="L798" s="5"/>
      <c r="M798" s="8"/>
      <c r="N798" s="4"/>
      <c r="O798" s="5"/>
      <c r="P798" s="8"/>
      <c r="Q798" s="4"/>
      <c r="R798" s="5"/>
      <c r="W798" s="67" t="s">
        <v>773</v>
      </c>
      <c r="X798" s="68" t="s">
        <v>777</v>
      </c>
      <c r="Y798" s="69">
        <v>40.869999999999997</v>
      </c>
      <c r="Z798" t="str">
        <f>IF(AND(Tabla1[[#This Row],[nudo inicial]]=Tabla3[[#This Row],[n1]],Tabla1[[#This Row],[nudo final]]=Tabla3[[#This Row],[n2]],Tabla1[[#This Row],[longitud]]=Tabla3[[#This Row],[long]]),"si","no")</f>
        <v>si</v>
      </c>
    </row>
    <row r="799" spans="1:26" ht="15.75" x14ac:dyDescent="0.25">
      <c r="B799" t="s">
        <v>777</v>
      </c>
      <c r="C799" t="s">
        <v>778</v>
      </c>
      <c r="D799" s="19">
        <v>54.42</v>
      </c>
      <c r="E799" s="3" t="s">
        <v>126</v>
      </c>
      <c r="F799" s="3" t="s">
        <v>25</v>
      </c>
      <c r="G799" s="8" t="s">
        <v>58</v>
      </c>
      <c r="H799" s="4" t="s">
        <v>53</v>
      </c>
      <c r="I799" s="5">
        <v>1</v>
      </c>
      <c r="J799" s="8" t="s">
        <v>6</v>
      </c>
      <c r="K799" s="4" t="s">
        <v>126</v>
      </c>
      <c r="L799" s="5">
        <v>1</v>
      </c>
      <c r="M799" s="8" t="s">
        <v>17</v>
      </c>
      <c r="N799" s="4" t="s">
        <v>126</v>
      </c>
      <c r="O799" s="5">
        <v>1</v>
      </c>
      <c r="P799" s="8"/>
      <c r="Q799" s="4"/>
      <c r="R799" s="5"/>
      <c r="W799" s="67" t="s">
        <v>777</v>
      </c>
      <c r="X799" s="68" t="s">
        <v>778</v>
      </c>
      <c r="Y799" s="69">
        <v>54.42</v>
      </c>
      <c r="Z799" t="str">
        <f>IF(AND(Tabla1[[#This Row],[nudo inicial]]=Tabla3[[#This Row],[n1]],Tabla1[[#This Row],[nudo final]]=Tabla3[[#This Row],[n2]],Tabla1[[#This Row],[longitud]]=Tabla3[[#This Row],[long]]),"si","no")</f>
        <v>si</v>
      </c>
    </row>
    <row r="800" spans="1:26" ht="15.75" x14ac:dyDescent="0.25">
      <c r="A800" s="14"/>
      <c r="B800" t="s">
        <v>777</v>
      </c>
      <c r="C800" t="s">
        <v>779</v>
      </c>
      <c r="D800" s="19">
        <v>788.75</v>
      </c>
      <c r="E800" s="3" t="s">
        <v>53</v>
      </c>
      <c r="F800" s="3" t="s">
        <v>25</v>
      </c>
      <c r="G800" s="8" t="s">
        <v>57</v>
      </c>
      <c r="H800" s="4" t="s">
        <v>53</v>
      </c>
      <c r="I800" s="5">
        <v>1</v>
      </c>
      <c r="J800" s="8" t="s">
        <v>16</v>
      </c>
      <c r="K800" s="4" t="s">
        <v>53</v>
      </c>
      <c r="L800" s="5">
        <v>1</v>
      </c>
      <c r="M800" s="8" t="s">
        <v>17</v>
      </c>
      <c r="N800" s="4" t="s">
        <v>53</v>
      </c>
      <c r="O800" s="5">
        <v>1</v>
      </c>
      <c r="P800" s="8"/>
      <c r="Q800" s="4"/>
      <c r="R800" s="5"/>
      <c r="W800" s="67" t="s">
        <v>777</v>
      </c>
      <c r="X800" s="68" t="s">
        <v>779</v>
      </c>
      <c r="Y800" s="69">
        <v>788.75</v>
      </c>
      <c r="Z800" t="str">
        <f>IF(AND(Tabla1[[#This Row],[nudo inicial]]=Tabla3[[#This Row],[n1]],Tabla1[[#This Row],[nudo final]]=Tabla3[[#This Row],[n2]],Tabla1[[#This Row],[longitud]]=Tabla3[[#This Row],[long]]),"si","no")</f>
        <v>si</v>
      </c>
    </row>
    <row r="801" spans="1:26" ht="15.75" x14ac:dyDescent="0.25">
      <c r="B801" s="14" t="s">
        <v>762</v>
      </c>
      <c r="C801" s="14" t="s">
        <v>780</v>
      </c>
      <c r="D801" s="20">
        <v>22.33</v>
      </c>
      <c r="E801" s="15" t="s">
        <v>23</v>
      </c>
      <c r="F801" s="15" t="s">
        <v>25</v>
      </c>
      <c r="G801" s="16" t="s">
        <v>58</v>
      </c>
      <c r="H801" s="17" t="s">
        <v>23</v>
      </c>
      <c r="I801" s="18">
        <v>1</v>
      </c>
      <c r="J801" s="16"/>
      <c r="K801" s="17"/>
      <c r="L801" s="18"/>
      <c r="M801" s="16"/>
      <c r="N801" s="17"/>
      <c r="O801" s="18"/>
      <c r="P801" s="16"/>
      <c r="Q801" s="17"/>
      <c r="R801" s="18"/>
      <c r="S801" s="14"/>
      <c r="T801" s="14"/>
      <c r="U801" s="14"/>
      <c r="W801" s="67" t="s">
        <v>762</v>
      </c>
      <c r="X801" s="68" t="s">
        <v>780</v>
      </c>
      <c r="Y801" s="69">
        <v>22.33</v>
      </c>
      <c r="Z801" t="str">
        <f>IF(AND(Tabla1[[#This Row],[nudo inicial]]=Tabla3[[#This Row],[n1]],Tabla1[[#This Row],[nudo final]]=Tabla3[[#This Row],[n2]],Tabla1[[#This Row],[longitud]]=Tabla3[[#This Row],[long]]),"si","no")</f>
        <v>si</v>
      </c>
    </row>
    <row r="802" spans="1:26" ht="15.75" x14ac:dyDescent="0.25">
      <c r="B802" t="s">
        <v>780</v>
      </c>
      <c r="C802" t="s">
        <v>781</v>
      </c>
      <c r="D802" s="19">
        <v>63.54</v>
      </c>
      <c r="E802" s="3" t="s">
        <v>53</v>
      </c>
      <c r="F802" s="3" t="s">
        <v>25</v>
      </c>
      <c r="G802" s="8" t="s">
        <v>58</v>
      </c>
      <c r="H802" s="4" t="s">
        <v>23</v>
      </c>
      <c r="I802" s="5">
        <v>1</v>
      </c>
      <c r="J802" s="8" t="s">
        <v>15</v>
      </c>
      <c r="K802" s="4" t="s">
        <v>53</v>
      </c>
      <c r="L802" s="5">
        <v>1</v>
      </c>
      <c r="M802" s="8"/>
      <c r="N802" s="4"/>
      <c r="O802" s="5"/>
      <c r="P802" s="8"/>
      <c r="Q802" s="4"/>
      <c r="R802" s="5"/>
      <c r="W802" s="67" t="s">
        <v>780</v>
      </c>
      <c r="X802" s="68" t="s">
        <v>781</v>
      </c>
      <c r="Y802" s="69">
        <v>63.54</v>
      </c>
      <c r="Z802" t="str">
        <f>IF(AND(Tabla1[[#This Row],[nudo inicial]]=Tabla3[[#This Row],[n1]],Tabla1[[#This Row],[nudo final]]=Tabla3[[#This Row],[n2]],Tabla1[[#This Row],[longitud]]=Tabla3[[#This Row],[long]]),"si","no")</f>
        <v>si</v>
      </c>
    </row>
    <row r="803" spans="1:26" ht="15.75" x14ac:dyDescent="0.25">
      <c r="B803" t="s">
        <v>781</v>
      </c>
      <c r="C803" t="s">
        <v>782</v>
      </c>
      <c r="D803" s="19">
        <v>14.03</v>
      </c>
      <c r="E803" s="3" t="s">
        <v>53</v>
      </c>
      <c r="F803" s="3" t="s">
        <v>25</v>
      </c>
      <c r="G803" s="8" t="s">
        <v>57</v>
      </c>
      <c r="H803" s="4" t="s">
        <v>53</v>
      </c>
      <c r="I803" s="5">
        <v>1</v>
      </c>
      <c r="J803" s="8" t="s">
        <v>17</v>
      </c>
      <c r="K803" s="4" t="s">
        <v>53</v>
      </c>
      <c r="L803" s="5">
        <v>1</v>
      </c>
      <c r="M803" s="8"/>
      <c r="N803" s="4"/>
      <c r="O803" s="5"/>
      <c r="P803" s="8"/>
      <c r="Q803" s="4"/>
      <c r="R803" s="5"/>
      <c r="W803" s="67" t="s">
        <v>781</v>
      </c>
      <c r="X803" s="68" t="s">
        <v>782</v>
      </c>
      <c r="Y803" s="69">
        <v>14.03</v>
      </c>
      <c r="Z803" t="str">
        <f>IF(AND(Tabla1[[#This Row],[nudo inicial]]=Tabla3[[#This Row],[n1]],Tabla1[[#This Row],[nudo final]]=Tabla3[[#This Row],[n2]],Tabla1[[#This Row],[longitud]]=Tabla3[[#This Row],[long]]),"si","no")</f>
        <v>si</v>
      </c>
    </row>
    <row r="804" spans="1:26" ht="15.75" x14ac:dyDescent="0.25">
      <c r="B804" t="s">
        <v>781</v>
      </c>
      <c r="C804" t="s">
        <v>783</v>
      </c>
      <c r="D804" s="19">
        <v>83.56</v>
      </c>
      <c r="E804" s="3" t="s">
        <v>53</v>
      </c>
      <c r="F804" s="3" t="s">
        <v>25</v>
      </c>
      <c r="G804" s="8" t="s">
        <v>58</v>
      </c>
      <c r="H804" s="4" t="s">
        <v>53</v>
      </c>
      <c r="I804" s="5">
        <v>1</v>
      </c>
      <c r="J804" s="8" t="s">
        <v>16</v>
      </c>
      <c r="K804" s="4" t="s">
        <v>53</v>
      </c>
      <c r="L804" s="5">
        <v>1</v>
      </c>
      <c r="M804" s="8" t="s">
        <v>17</v>
      </c>
      <c r="N804" s="4" t="s">
        <v>53</v>
      </c>
      <c r="O804" s="5">
        <v>1</v>
      </c>
      <c r="P804" s="8"/>
      <c r="Q804" s="4"/>
      <c r="R804" s="5"/>
      <c r="W804" s="67" t="s">
        <v>781</v>
      </c>
      <c r="X804" s="68" t="s">
        <v>783</v>
      </c>
      <c r="Y804" s="69">
        <v>83.56</v>
      </c>
      <c r="Z804" t="str">
        <f>IF(AND(Tabla1[[#This Row],[nudo inicial]]=Tabla3[[#This Row],[n1]],Tabla1[[#This Row],[nudo final]]=Tabla3[[#This Row],[n2]],Tabla1[[#This Row],[longitud]]=Tabla3[[#This Row],[long]]),"si","no")</f>
        <v>si</v>
      </c>
    </row>
    <row r="805" spans="1:26" ht="15.75" x14ac:dyDescent="0.25">
      <c r="B805" t="s">
        <v>780</v>
      </c>
      <c r="C805" t="s">
        <v>784</v>
      </c>
      <c r="D805" s="19">
        <v>34.729999999999997</v>
      </c>
      <c r="E805" s="3" t="s">
        <v>23</v>
      </c>
      <c r="F805" s="3" t="s">
        <v>25</v>
      </c>
      <c r="G805" s="8" t="s">
        <v>57</v>
      </c>
      <c r="H805" s="4" t="s">
        <v>23</v>
      </c>
      <c r="I805" s="5">
        <v>1</v>
      </c>
      <c r="J805" s="8"/>
      <c r="K805" s="4"/>
      <c r="L805" s="5"/>
      <c r="M805" s="8"/>
      <c r="N805" s="4"/>
      <c r="O805" s="5"/>
      <c r="P805" s="8"/>
      <c r="Q805" s="4"/>
      <c r="R805" s="5"/>
      <c r="W805" s="67" t="s">
        <v>780</v>
      </c>
      <c r="X805" s="68" t="s">
        <v>784</v>
      </c>
      <c r="Y805" s="69">
        <v>34.729999999999997</v>
      </c>
      <c r="Z805" t="str">
        <f>IF(AND(Tabla1[[#This Row],[nudo inicial]]=Tabla3[[#This Row],[n1]],Tabla1[[#This Row],[nudo final]]=Tabla3[[#This Row],[n2]],Tabla1[[#This Row],[longitud]]=Tabla3[[#This Row],[long]]),"si","no")</f>
        <v>si</v>
      </c>
    </row>
    <row r="806" spans="1:26" ht="15.75" x14ac:dyDescent="0.25">
      <c r="B806" t="s">
        <v>784</v>
      </c>
      <c r="C806" t="s">
        <v>785</v>
      </c>
      <c r="D806" s="19">
        <v>54.8</v>
      </c>
      <c r="E806" s="3" t="s">
        <v>53</v>
      </c>
      <c r="F806" s="3" t="s">
        <v>25</v>
      </c>
      <c r="G806" s="8" t="s">
        <v>58</v>
      </c>
      <c r="H806" s="4" t="s">
        <v>23</v>
      </c>
      <c r="I806" s="5">
        <v>1</v>
      </c>
      <c r="J806" s="8" t="s">
        <v>15</v>
      </c>
      <c r="K806" s="4" t="s">
        <v>53</v>
      </c>
      <c r="L806" s="5">
        <v>1</v>
      </c>
      <c r="M806" s="8"/>
      <c r="N806" s="4"/>
      <c r="O806" s="5"/>
      <c r="P806" s="8"/>
      <c r="Q806" s="4"/>
      <c r="R806" s="5"/>
      <c r="W806" s="67" t="s">
        <v>784</v>
      </c>
      <c r="X806" s="68" t="s">
        <v>785</v>
      </c>
      <c r="Y806" s="69">
        <v>54.8</v>
      </c>
      <c r="Z806" t="str">
        <f>IF(AND(Tabla1[[#This Row],[nudo inicial]]=Tabla3[[#This Row],[n1]],Tabla1[[#This Row],[nudo final]]=Tabla3[[#This Row],[n2]],Tabla1[[#This Row],[longitud]]=Tabla3[[#This Row],[long]]),"si","no")</f>
        <v>si</v>
      </c>
    </row>
    <row r="807" spans="1:26" ht="15.75" x14ac:dyDescent="0.25">
      <c r="B807" t="s">
        <v>785</v>
      </c>
      <c r="C807" t="s">
        <v>786</v>
      </c>
      <c r="D807" s="19">
        <v>32.159999999999997</v>
      </c>
      <c r="E807" s="3" t="s">
        <v>53</v>
      </c>
      <c r="F807" s="3" t="s">
        <v>25</v>
      </c>
      <c r="G807" s="8" t="s">
        <v>57</v>
      </c>
      <c r="H807" s="4" t="s">
        <v>53</v>
      </c>
      <c r="I807" s="5">
        <v>1</v>
      </c>
      <c r="J807" s="8" t="s">
        <v>17</v>
      </c>
      <c r="K807" s="4" t="s">
        <v>53</v>
      </c>
      <c r="L807" s="5">
        <v>1</v>
      </c>
      <c r="M807" s="8"/>
      <c r="N807" s="4"/>
      <c r="O807" s="5"/>
      <c r="P807" s="8"/>
      <c r="Q807" s="4"/>
      <c r="R807" s="5"/>
      <c r="W807" s="67" t="s">
        <v>785</v>
      </c>
      <c r="X807" s="68" t="s">
        <v>786</v>
      </c>
      <c r="Y807" s="69">
        <v>32.159999999999997</v>
      </c>
      <c r="Z807" t="str">
        <f>IF(AND(Tabla1[[#This Row],[nudo inicial]]=Tabla3[[#This Row],[n1]],Tabla1[[#This Row],[nudo final]]=Tabla3[[#This Row],[n2]],Tabla1[[#This Row],[longitud]]=Tabla3[[#This Row],[long]]),"si","no")</f>
        <v>si</v>
      </c>
    </row>
    <row r="808" spans="1:26" ht="15.75" x14ac:dyDescent="0.25">
      <c r="A808" s="14"/>
      <c r="B808" t="s">
        <v>429</v>
      </c>
      <c r="C808" t="s">
        <v>787</v>
      </c>
      <c r="D808" s="19">
        <v>63.49</v>
      </c>
      <c r="E808" s="3" t="s">
        <v>23</v>
      </c>
      <c r="F808" s="3" t="s">
        <v>25</v>
      </c>
      <c r="G808" s="8" t="s">
        <v>57</v>
      </c>
      <c r="H808" s="4" t="s">
        <v>23</v>
      </c>
      <c r="I808" s="5">
        <v>1</v>
      </c>
      <c r="J808" s="8" t="s">
        <v>32</v>
      </c>
      <c r="K808" s="4" t="s">
        <v>23</v>
      </c>
      <c r="L808" s="5">
        <v>1</v>
      </c>
      <c r="M808" s="8"/>
      <c r="N808" s="4"/>
      <c r="O808" s="5"/>
      <c r="P808" s="8"/>
      <c r="Q808" s="4"/>
      <c r="R808" s="5"/>
      <c r="W808" s="67" t="s">
        <v>429</v>
      </c>
      <c r="X808" s="68" t="s">
        <v>787</v>
      </c>
      <c r="Y808" s="69">
        <v>63.49</v>
      </c>
      <c r="Z808" t="str">
        <f>IF(AND(Tabla1[[#This Row],[nudo inicial]]=Tabla3[[#This Row],[n1]],Tabla1[[#This Row],[nudo final]]=Tabla3[[#This Row],[n2]],Tabla1[[#This Row],[longitud]]=Tabla3[[#This Row],[long]]),"si","no")</f>
        <v>si</v>
      </c>
    </row>
    <row r="809" spans="1:26" ht="15.75" x14ac:dyDescent="0.25">
      <c r="A809" s="14"/>
      <c r="B809" s="14" t="s">
        <v>784</v>
      </c>
      <c r="C809" s="14" t="s">
        <v>787</v>
      </c>
      <c r="D809" s="20">
        <v>62.43</v>
      </c>
      <c r="E809" s="15" t="s">
        <v>23</v>
      </c>
      <c r="F809" s="15" t="s">
        <v>25</v>
      </c>
      <c r="G809" s="16" t="s">
        <v>57</v>
      </c>
      <c r="H809" s="17" t="s">
        <v>23</v>
      </c>
      <c r="I809" s="18">
        <v>1</v>
      </c>
      <c r="J809" s="16"/>
      <c r="K809" s="17"/>
      <c r="L809" s="18"/>
      <c r="M809" s="16"/>
      <c r="N809" s="17"/>
      <c r="O809" s="18"/>
      <c r="P809" s="16"/>
      <c r="Q809" s="17"/>
      <c r="R809" s="18"/>
      <c r="S809" s="14"/>
      <c r="T809" s="14"/>
      <c r="U809" s="14"/>
      <c r="W809" s="67" t="s">
        <v>784</v>
      </c>
      <c r="X809" s="68" t="s">
        <v>787</v>
      </c>
      <c r="Y809" s="69">
        <v>62.43</v>
      </c>
      <c r="Z809" t="str">
        <f>IF(AND(Tabla1[[#This Row],[nudo inicial]]=Tabla3[[#This Row],[n1]],Tabla1[[#This Row],[nudo final]]=Tabla3[[#This Row],[n2]],Tabla1[[#This Row],[longitud]]=Tabla3[[#This Row],[long]]),"si","no")</f>
        <v>si</v>
      </c>
    </row>
    <row r="810" spans="1:26" ht="15.75" x14ac:dyDescent="0.25">
      <c r="B810" s="14" t="s">
        <v>787</v>
      </c>
      <c r="C810" s="14" t="s">
        <v>788</v>
      </c>
      <c r="D810" s="20">
        <v>40.39</v>
      </c>
      <c r="E810" s="15" t="s">
        <v>23</v>
      </c>
      <c r="F810" s="15" t="s">
        <v>25</v>
      </c>
      <c r="G810" s="16" t="s">
        <v>57</v>
      </c>
      <c r="H810" s="17" t="s">
        <v>23</v>
      </c>
      <c r="I810" s="18">
        <v>1</v>
      </c>
      <c r="J810" s="16"/>
      <c r="K810" s="17"/>
      <c r="L810" s="18"/>
      <c r="M810" s="16"/>
      <c r="N810" s="17"/>
      <c r="O810" s="18"/>
      <c r="P810" s="16"/>
      <c r="Q810" s="17"/>
      <c r="R810" s="18"/>
      <c r="S810" s="14"/>
      <c r="T810" s="14"/>
      <c r="U810" s="14"/>
      <c r="W810" s="67" t="s">
        <v>787</v>
      </c>
      <c r="X810" s="68" t="s">
        <v>788</v>
      </c>
      <c r="Y810" s="69">
        <v>40.39</v>
      </c>
      <c r="Z810" t="str">
        <f>IF(AND(Tabla1[[#This Row],[nudo inicial]]=Tabla3[[#This Row],[n1]],Tabla1[[#This Row],[nudo final]]=Tabla3[[#This Row],[n2]],Tabla1[[#This Row],[longitud]]=Tabla3[[#This Row],[long]]),"si","no")</f>
        <v>si</v>
      </c>
    </row>
    <row r="811" spans="1:26" ht="15.75" x14ac:dyDescent="0.25">
      <c r="B811" t="s">
        <v>785</v>
      </c>
      <c r="C811" t="s">
        <v>788</v>
      </c>
      <c r="D811" s="19">
        <v>76.489999999999995</v>
      </c>
      <c r="E811" s="3" t="s">
        <v>53</v>
      </c>
      <c r="F811" s="3" t="s">
        <v>25</v>
      </c>
      <c r="G811" s="8" t="s">
        <v>58</v>
      </c>
      <c r="H811" s="4" t="s">
        <v>53</v>
      </c>
      <c r="I811" s="5">
        <v>1</v>
      </c>
      <c r="J811" s="8"/>
      <c r="K811" s="4"/>
      <c r="L811" s="5"/>
      <c r="M811" s="8"/>
      <c r="N811" s="4"/>
      <c r="O811" s="5"/>
      <c r="P811" s="8"/>
      <c r="Q811" s="4"/>
      <c r="R811" s="5"/>
      <c r="W811" s="67" t="s">
        <v>785</v>
      </c>
      <c r="X811" s="68" t="s">
        <v>788</v>
      </c>
      <c r="Y811" s="69">
        <v>76.489999999999995</v>
      </c>
      <c r="Z811" t="str">
        <f>IF(AND(Tabla1[[#This Row],[nudo inicial]]=Tabla3[[#This Row],[n1]],Tabla1[[#This Row],[nudo final]]=Tabla3[[#This Row],[n2]],Tabla1[[#This Row],[longitud]]=Tabla3[[#This Row],[long]]),"si","no")</f>
        <v>si</v>
      </c>
    </row>
    <row r="812" spans="1:26" ht="15.75" x14ac:dyDescent="0.25">
      <c r="B812" t="s">
        <v>788</v>
      </c>
      <c r="C812" t="s">
        <v>789</v>
      </c>
      <c r="D812" s="19">
        <v>21.01</v>
      </c>
      <c r="E812" s="3" t="s">
        <v>23</v>
      </c>
      <c r="F812" s="3" t="s">
        <v>25</v>
      </c>
      <c r="G812" s="8" t="s">
        <v>57</v>
      </c>
      <c r="H812" s="4" t="s">
        <v>23</v>
      </c>
      <c r="I812" s="5">
        <v>1</v>
      </c>
      <c r="J812" s="8" t="s">
        <v>17</v>
      </c>
      <c r="K812" s="4" t="s">
        <v>23</v>
      </c>
      <c r="L812" s="5">
        <v>1</v>
      </c>
      <c r="M812" s="8"/>
      <c r="N812" s="4"/>
      <c r="O812" s="5"/>
      <c r="P812" s="8"/>
      <c r="Q812" s="4"/>
      <c r="R812" s="5"/>
      <c r="W812" s="67" t="s">
        <v>788</v>
      </c>
      <c r="X812" s="68" t="s">
        <v>789</v>
      </c>
      <c r="Y812" s="69">
        <v>21.01</v>
      </c>
      <c r="Z812" t="str">
        <f>IF(AND(Tabla1[[#This Row],[nudo inicial]]=Tabla3[[#This Row],[n1]],Tabla1[[#This Row],[nudo final]]=Tabla3[[#This Row],[n2]],Tabla1[[#This Row],[longitud]]=Tabla3[[#This Row],[long]]),"si","no")</f>
        <v>si</v>
      </c>
    </row>
    <row r="813" spans="1:26" ht="15.75" x14ac:dyDescent="0.25">
      <c r="B813" t="s">
        <v>633</v>
      </c>
      <c r="C813" t="s">
        <v>790</v>
      </c>
      <c r="D813" s="19">
        <v>301.77</v>
      </c>
      <c r="E813" s="3" t="s">
        <v>55</v>
      </c>
      <c r="F813" s="3" t="s">
        <v>25</v>
      </c>
      <c r="G813" s="8" t="s">
        <v>58</v>
      </c>
      <c r="H813" s="4" t="s">
        <v>55</v>
      </c>
      <c r="I813" s="5">
        <v>1</v>
      </c>
      <c r="J813" s="8" t="s">
        <v>16</v>
      </c>
      <c r="K813" s="4" t="s">
        <v>55</v>
      </c>
      <c r="L813" s="5">
        <v>3</v>
      </c>
      <c r="M813" s="8"/>
      <c r="N813" s="4"/>
      <c r="O813" s="5"/>
      <c r="P813" s="8"/>
      <c r="Q813" s="4"/>
      <c r="R813" s="5"/>
      <c r="W813" s="67" t="s">
        <v>633</v>
      </c>
      <c r="X813" s="68" t="s">
        <v>790</v>
      </c>
      <c r="Y813" s="69">
        <v>301.77</v>
      </c>
      <c r="Z813" t="str">
        <f>IF(AND(Tabla1[[#This Row],[nudo inicial]]=Tabla3[[#This Row],[n1]],Tabla1[[#This Row],[nudo final]]=Tabla3[[#This Row],[n2]],Tabla1[[#This Row],[longitud]]=Tabla3[[#This Row],[long]]),"si","no")</f>
        <v>si</v>
      </c>
    </row>
    <row r="814" spans="1:26" ht="15.75" x14ac:dyDescent="0.25">
      <c r="B814" t="s">
        <v>790</v>
      </c>
      <c r="C814" t="s">
        <v>791</v>
      </c>
      <c r="D814" s="19">
        <v>7.7</v>
      </c>
      <c r="E814" s="3" t="s">
        <v>53</v>
      </c>
      <c r="F814" s="3" t="s">
        <v>25</v>
      </c>
      <c r="G814" s="8" t="s">
        <v>58</v>
      </c>
      <c r="H814" s="4" t="s">
        <v>55</v>
      </c>
      <c r="I814" s="5">
        <v>1</v>
      </c>
      <c r="J814" s="8" t="s">
        <v>15</v>
      </c>
      <c r="K814" s="4" t="s">
        <v>53</v>
      </c>
      <c r="L814" s="5">
        <v>1</v>
      </c>
      <c r="M814" s="8"/>
      <c r="N814" s="4"/>
      <c r="O814" s="5"/>
      <c r="P814" s="8"/>
      <c r="Q814" s="4"/>
      <c r="R814" s="5"/>
      <c r="W814" s="67" t="s">
        <v>790</v>
      </c>
      <c r="X814" s="68" t="s">
        <v>791</v>
      </c>
      <c r="Y814" s="69">
        <v>7.7</v>
      </c>
      <c r="Z814" t="str">
        <f>IF(AND(Tabla1[[#This Row],[nudo inicial]]=Tabla3[[#This Row],[n1]],Tabla1[[#This Row],[nudo final]]=Tabla3[[#This Row],[n2]],Tabla1[[#This Row],[longitud]]=Tabla3[[#This Row],[long]]),"si","no")</f>
        <v>si</v>
      </c>
    </row>
    <row r="815" spans="1:26" ht="15.75" x14ac:dyDescent="0.25">
      <c r="B815" t="s">
        <v>791</v>
      </c>
      <c r="C815" t="s">
        <v>792</v>
      </c>
      <c r="D815" s="19">
        <v>124.89</v>
      </c>
      <c r="E815" s="3" t="s">
        <v>53</v>
      </c>
      <c r="F815" s="3" t="s">
        <v>25</v>
      </c>
      <c r="G815" s="8" t="s">
        <v>58</v>
      </c>
      <c r="H815" s="4" t="s">
        <v>53</v>
      </c>
      <c r="I815" s="5">
        <v>1</v>
      </c>
      <c r="J815" s="8" t="s">
        <v>32</v>
      </c>
      <c r="K815" s="4" t="s">
        <v>53</v>
      </c>
      <c r="L815" s="5">
        <v>1</v>
      </c>
      <c r="M815" s="8" t="s">
        <v>16</v>
      </c>
      <c r="N815" s="4" t="s">
        <v>53</v>
      </c>
      <c r="O815" s="5">
        <v>1</v>
      </c>
      <c r="P815" s="8"/>
      <c r="Q815" s="4"/>
      <c r="R815" s="5"/>
      <c r="W815" s="67" t="s">
        <v>791</v>
      </c>
      <c r="X815" s="68" t="s">
        <v>792</v>
      </c>
      <c r="Y815" s="69">
        <v>124.89</v>
      </c>
      <c r="Z815" t="str">
        <f>IF(AND(Tabla1[[#This Row],[nudo inicial]]=Tabla3[[#This Row],[n1]],Tabla1[[#This Row],[nudo final]]=Tabla3[[#This Row],[n2]],Tabla1[[#This Row],[longitud]]=Tabla3[[#This Row],[long]]),"si","no")</f>
        <v>si</v>
      </c>
    </row>
    <row r="816" spans="1:26" ht="15.75" x14ac:dyDescent="0.25">
      <c r="B816" t="s">
        <v>792</v>
      </c>
      <c r="C816" t="s">
        <v>793</v>
      </c>
      <c r="D816" s="19">
        <v>22.06</v>
      </c>
      <c r="E816" s="3" t="s">
        <v>56</v>
      </c>
      <c r="F816" s="3" t="s">
        <v>25</v>
      </c>
      <c r="G816" s="8" t="s">
        <v>57</v>
      </c>
      <c r="H816" s="4" t="s">
        <v>53</v>
      </c>
      <c r="I816" s="5">
        <v>1</v>
      </c>
      <c r="J816" s="8" t="s">
        <v>15</v>
      </c>
      <c r="K816" s="4" t="s">
        <v>56</v>
      </c>
      <c r="L816" s="5">
        <v>1</v>
      </c>
      <c r="M816" s="8" t="s">
        <v>17</v>
      </c>
      <c r="N816" s="4" t="s">
        <v>56</v>
      </c>
      <c r="O816" s="5">
        <v>1</v>
      </c>
      <c r="P816" s="8"/>
      <c r="Q816" s="4"/>
      <c r="R816" s="5"/>
      <c r="W816" s="67" t="s">
        <v>792</v>
      </c>
      <c r="X816" s="68" t="s">
        <v>793</v>
      </c>
      <c r="Y816" s="69">
        <v>22.06</v>
      </c>
      <c r="Z816" t="str">
        <f>IF(AND(Tabla1[[#This Row],[nudo inicial]]=Tabla3[[#This Row],[n1]],Tabla1[[#This Row],[nudo final]]=Tabla3[[#This Row],[n2]],Tabla1[[#This Row],[longitud]]=Tabla3[[#This Row],[long]]),"si","no")</f>
        <v>si</v>
      </c>
    </row>
    <row r="817" spans="1:26" ht="15.75" x14ac:dyDescent="0.25">
      <c r="B817" t="s">
        <v>792</v>
      </c>
      <c r="C817" t="s">
        <v>794</v>
      </c>
      <c r="D817" s="19">
        <v>69.19</v>
      </c>
      <c r="E817" s="3" t="s">
        <v>795</v>
      </c>
      <c r="F817" s="3" t="s">
        <v>25</v>
      </c>
      <c r="G817" s="8" t="s">
        <v>58</v>
      </c>
      <c r="H817" s="4" t="s">
        <v>53</v>
      </c>
      <c r="I817" s="5">
        <v>1</v>
      </c>
      <c r="J817" s="8" t="s">
        <v>15</v>
      </c>
      <c r="K817" s="4" t="s">
        <v>795</v>
      </c>
      <c r="L817" s="5">
        <v>1</v>
      </c>
      <c r="M817" s="8" t="s">
        <v>16</v>
      </c>
      <c r="N817" s="4" t="s">
        <v>795</v>
      </c>
      <c r="O817" s="5">
        <v>1</v>
      </c>
      <c r="P817" s="8" t="s">
        <v>17</v>
      </c>
      <c r="Q817" s="4" t="s">
        <v>795</v>
      </c>
      <c r="R817" s="5">
        <v>1</v>
      </c>
      <c r="W817" s="67" t="s">
        <v>792</v>
      </c>
      <c r="X817" s="68" t="s">
        <v>794</v>
      </c>
      <c r="Y817" s="69">
        <v>69.19</v>
      </c>
      <c r="Z817" t="str">
        <f>IF(AND(Tabla1[[#This Row],[nudo inicial]]=Tabla3[[#This Row],[n1]],Tabla1[[#This Row],[nudo final]]=Tabla3[[#This Row],[n2]],Tabla1[[#This Row],[longitud]]=Tabla3[[#This Row],[long]]),"si","no")</f>
        <v>si</v>
      </c>
    </row>
    <row r="818" spans="1:26" ht="15.75" x14ac:dyDescent="0.25">
      <c r="B818" t="s">
        <v>791</v>
      </c>
      <c r="C818" t="s">
        <v>796</v>
      </c>
      <c r="D818" s="19">
        <v>14.16</v>
      </c>
      <c r="E818" s="3" t="s">
        <v>53</v>
      </c>
      <c r="F818" s="3" t="s">
        <v>25</v>
      </c>
      <c r="G818" s="8" t="s">
        <v>57</v>
      </c>
      <c r="H818" s="4" t="s">
        <v>53</v>
      </c>
      <c r="I818" s="5">
        <v>1</v>
      </c>
      <c r="J818" s="8"/>
      <c r="K818" s="4"/>
      <c r="L818" s="5"/>
      <c r="M818" s="8"/>
      <c r="N818" s="4"/>
      <c r="O818" s="5"/>
      <c r="P818" s="8"/>
      <c r="Q818" s="4"/>
      <c r="R818" s="5"/>
      <c r="W818" s="67" t="s">
        <v>791</v>
      </c>
      <c r="X818" s="68" t="s">
        <v>796</v>
      </c>
      <c r="Y818" s="69">
        <v>14.16</v>
      </c>
      <c r="Z818" t="str">
        <f>IF(AND(Tabla1[[#This Row],[nudo inicial]]=Tabla3[[#This Row],[n1]],Tabla1[[#This Row],[nudo final]]=Tabla3[[#This Row],[n2]],Tabla1[[#This Row],[longitud]]=Tabla3[[#This Row],[long]]),"si","no")</f>
        <v>si</v>
      </c>
    </row>
    <row r="819" spans="1:26" ht="15.75" x14ac:dyDescent="0.25">
      <c r="A819" s="14"/>
      <c r="B819" t="s">
        <v>796</v>
      </c>
      <c r="C819" t="s">
        <v>797</v>
      </c>
      <c r="D819" s="19">
        <v>40.08</v>
      </c>
      <c r="E819" s="3" t="s">
        <v>53</v>
      </c>
      <c r="F819" s="3" t="s">
        <v>27</v>
      </c>
      <c r="G819" s="8"/>
      <c r="H819" s="4"/>
      <c r="I819" s="5"/>
      <c r="J819" s="8"/>
      <c r="K819" s="4"/>
      <c r="L819" s="5"/>
      <c r="M819" s="8"/>
      <c r="N819" s="4"/>
      <c r="O819" s="5"/>
      <c r="P819" s="8"/>
      <c r="Q819" s="4"/>
      <c r="R819" s="5"/>
      <c r="W819" s="67" t="s">
        <v>796</v>
      </c>
      <c r="X819" s="68" t="s">
        <v>797</v>
      </c>
      <c r="Y819" s="69">
        <v>40.08</v>
      </c>
      <c r="Z819" t="str">
        <f>IF(AND(Tabla1[[#This Row],[nudo inicial]]=Tabla3[[#This Row],[n1]],Tabla1[[#This Row],[nudo final]]=Tabla3[[#This Row],[n2]],Tabla1[[#This Row],[longitud]]=Tabla3[[#This Row],[long]]),"si","no")</f>
        <v>si</v>
      </c>
    </row>
    <row r="820" spans="1:26" ht="15.75" x14ac:dyDescent="0.25">
      <c r="B820" s="14" t="s">
        <v>797</v>
      </c>
      <c r="C820" s="14" t="s">
        <v>798</v>
      </c>
      <c r="D820" s="20">
        <v>36.86</v>
      </c>
      <c r="E820" s="15" t="s">
        <v>53</v>
      </c>
      <c r="F820" s="15" t="s">
        <v>25</v>
      </c>
      <c r="G820" s="16" t="s">
        <v>58</v>
      </c>
      <c r="H820" s="17" t="s">
        <v>53</v>
      </c>
      <c r="I820" s="18">
        <v>1</v>
      </c>
      <c r="J820" s="16" t="s">
        <v>17</v>
      </c>
      <c r="K820" s="17" t="s">
        <v>53</v>
      </c>
      <c r="L820" s="18">
        <v>1</v>
      </c>
      <c r="M820" s="16"/>
      <c r="N820" s="17"/>
      <c r="O820" s="18"/>
      <c r="P820" s="16"/>
      <c r="Q820" s="17"/>
      <c r="R820" s="18"/>
      <c r="S820" s="14"/>
      <c r="T820" s="14"/>
      <c r="U820" s="14"/>
      <c r="W820" s="67" t="s">
        <v>797</v>
      </c>
      <c r="X820" s="68" t="s">
        <v>798</v>
      </c>
      <c r="Y820" s="69">
        <v>36.86</v>
      </c>
      <c r="Z820" t="str">
        <f>IF(AND(Tabla1[[#This Row],[nudo inicial]]=Tabla3[[#This Row],[n1]],Tabla1[[#This Row],[nudo final]]=Tabla3[[#This Row],[n2]],Tabla1[[#This Row],[longitud]]=Tabla3[[#This Row],[long]]),"si","no")</f>
        <v>si</v>
      </c>
    </row>
    <row r="821" spans="1:26" ht="15.75" x14ac:dyDescent="0.25">
      <c r="A821" s="14"/>
      <c r="B821" t="s">
        <v>797</v>
      </c>
      <c r="C821" t="s">
        <v>799</v>
      </c>
      <c r="D821" s="19">
        <v>72.44</v>
      </c>
      <c r="E821" s="3" t="s">
        <v>53</v>
      </c>
      <c r="F821" s="3" t="s">
        <v>27</v>
      </c>
      <c r="G821" s="8" t="s">
        <v>57</v>
      </c>
      <c r="H821" s="4" t="s">
        <v>53</v>
      </c>
      <c r="I821" s="5">
        <v>1</v>
      </c>
      <c r="J821" s="8"/>
      <c r="K821" s="4"/>
      <c r="L821" s="5"/>
      <c r="M821" s="8"/>
      <c r="N821" s="4"/>
      <c r="O821" s="5"/>
      <c r="P821" s="8"/>
      <c r="Q821" s="4"/>
      <c r="R821" s="5"/>
      <c r="W821" s="67" t="s">
        <v>797</v>
      </c>
      <c r="X821" s="68" t="s">
        <v>799</v>
      </c>
      <c r="Y821" s="69">
        <v>72.44</v>
      </c>
      <c r="Z821" t="str">
        <f>IF(AND(Tabla1[[#This Row],[nudo inicial]]=Tabla3[[#This Row],[n1]],Tabla1[[#This Row],[nudo final]]=Tabla3[[#This Row],[n2]],Tabla1[[#This Row],[longitud]]=Tabla3[[#This Row],[long]]),"si","no")</f>
        <v>si</v>
      </c>
    </row>
    <row r="822" spans="1:26" ht="15.75" x14ac:dyDescent="0.25">
      <c r="A822" s="14"/>
      <c r="B822" s="14" t="s">
        <v>799</v>
      </c>
      <c r="C822" s="14" t="s">
        <v>800</v>
      </c>
      <c r="D822" s="20">
        <v>20.329999999999998</v>
      </c>
      <c r="E822" s="15" t="s">
        <v>53</v>
      </c>
      <c r="F822" s="15" t="s">
        <v>27</v>
      </c>
      <c r="G822" s="16" t="s">
        <v>58</v>
      </c>
      <c r="H822" s="17" t="s">
        <v>53</v>
      </c>
      <c r="I822" s="18">
        <v>1</v>
      </c>
      <c r="J822" s="16"/>
      <c r="K822" s="17"/>
      <c r="L822" s="18"/>
      <c r="M822" s="16"/>
      <c r="N822" s="17"/>
      <c r="O822" s="18"/>
      <c r="P822" s="16"/>
      <c r="Q822" s="17"/>
      <c r="R822" s="18"/>
      <c r="S822" s="14"/>
      <c r="T822" s="14"/>
      <c r="U822" s="14"/>
      <c r="W822" s="67" t="s">
        <v>799</v>
      </c>
      <c r="X822" s="68" t="s">
        <v>800</v>
      </c>
      <c r="Y822" s="69">
        <v>20.329999999999998</v>
      </c>
      <c r="Z822" t="str">
        <f>IF(AND(Tabla1[[#This Row],[nudo inicial]]=Tabla3[[#This Row],[n1]],Tabla1[[#This Row],[nudo final]]=Tabla3[[#This Row],[n2]],Tabla1[[#This Row],[longitud]]=Tabla3[[#This Row],[long]]),"si","no")</f>
        <v>si</v>
      </c>
    </row>
    <row r="823" spans="1:26" ht="15.75" x14ac:dyDescent="0.25">
      <c r="B823" s="14" t="s">
        <v>800</v>
      </c>
      <c r="C823" s="14" t="s">
        <v>801</v>
      </c>
      <c r="D823" s="20">
        <v>29.1</v>
      </c>
      <c r="E823" s="15" t="s">
        <v>53</v>
      </c>
      <c r="F823" s="15" t="s">
        <v>25</v>
      </c>
      <c r="G823" s="16" t="s">
        <v>17</v>
      </c>
      <c r="H823" s="17" t="s">
        <v>53</v>
      </c>
      <c r="I823" s="18">
        <v>1</v>
      </c>
      <c r="J823" s="16"/>
      <c r="K823" s="17"/>
      <c r="L823" s="18"/>
      <c r="M823" s="16"/>
      <c r="N823" s="17"/>
      <c r="O823" s="18"/>
      <c r="P823" s="16"/>
      <c r="Q823" s="17"/>
      <c r="R823" s="18"/>
      <c r="S823" s="14"/>
      <c r="T823" s="14"/>
      <c r="U823" s="14"/>
      <c r="W823" s="67" t="s">
        <v>800</v>
      </c>
      <c r="X823" s="68" t="s">
        <v>801</v>
      </c>
      <c r="Y823" s="69">
        <v>29.1</v>
      </c>
      <c r="Z823" t="str">
        <f>IF(AND(Tabla1[[#This Row],[nudo inicial]]=Tabla3[[#This Row],[n1]],Tabla1[[#This Row],[nudo final]]=Tabla3[[#This Row],[n2]],Tabla1[[#This Row],[longitud]]=Tabla3[[#This Row],[long]]),"si","no")</f>
        <v>si</v>
      </c>
    </row>
    <row r="824" spans="1:26" ht="15.75" x14ac:dyDescent="0.25">
      <c r="B824" t="s">
        <v>799</v>
      </c>
      <c r="C824" t="s">
        <v>802</v>
      </c>
      <c r="D824" s="19">
        <v>57.63</v>
      </c>
      <c r="E824" s="3" t="s">
        <v>53</v>
      </c>
      <c r="F824" s="3" t="s">
        <v>27</v>
      </c>
      <c r="G824" s="8" t="s">
        <v>57</v>
      </c>
      <c r="H824" s="4" t="s">
        <v>53</v>
      </c>
      <c r="I824" s="5">
        <v>1</v>
      </c>
      <c r="J824" s="8" t="s">
        <v>17</v>
      </c>
      <c r="K824" s="4" t="s">
        <v>53</v>
      </c>
      <c r="L824" s="5">
        <v>1</v>
      </c>
      <c r="M824" s="8"/>
      <c r="N824" s="4"/>
      <c r="O824" s="5"/>
      <c r="P824" s="8"/>
      <c r="Q824" s="4"/>
      <c r="R824" s="5"/>
      <c r="W824" s="67" t="s">
        <v>799</v>
      </c>
      <c r="X824" s="68" t="s">
        <v>802</v>
      </c>
      <c r="Y824" s="69">
        <v>57.63</v>
      </c>
      <c r="Z824" t="str">
        <f>IF(AND(Tabla1[[#This Row],[nudo inicial]]=Tabla3[[#This Row],[n1]],Tabla1[[#This Row],[nudo final]]=Tabla3[[#This Row],[n2]],Tabla1[[#This Row],[longitud]]=Tabla3[[#This Row],[long]]),"si","no")</f>
        <v>si</v>
      </c>
    </row>
    <row r="825" spans="1:26" ht="15.75" x14ac:dyDescent="0.25">
      <c r="B825" t="s">
        <v>790</v>
      </c>
      <c r="C825" t="s">
        <v>803</v>
      </c>
      <c r="D825" s="19">
        <v>24.31</v>
      </c>
      <c r="E825" s="3" t="s">
        <v>55</v>
      </c>
      <c r="F825" s="3" t="s">
        <v>25</v>
      </c>
      <c r="G825" s="8" t="s">
        <v>57</v>
      </c>
      <c r="H825" s="4" t="s">
        <v>55</v>
      </c>
      <c r="I825" s="5">
        <v>1</v>
      </c>
      <c r="J825" s="8" t="s">
        <v>32</v>
      </c>
      <c r="K825" s="4" t="s">
        <v>55</v>
      </c>
      <c r="L825" s="5">
        <v>2</v>
      </c>
      <c r="M825" s="8"/>
      <c r="N825" s="4"/>
      <c r="O825" s="5"/>
      <c r="P825" s="8"/>
      <c r="Q825" s="4"/>
      <c r="R825" s="5"/>
      <c r="W825" s="67" t="s">
        <v>790</v>
      </c>
      <c r="X825" s="68" t="s">
        <v>803</v>
      </c>
      <c r="Y825" s="69">
        <v>24.31</v>
      </c>
      <c r="Z825" t="str">
        <f>IF(AND(Tabla1[[#This Row],[nudo inicial]]=Tabla3[[#This Row],[n1]],Tabla1[[#This Row],[nudo final]]=Tabla3[[#This Row],[n2]],Tabla1[[#This Row],[longitud]]=Tabla3[[#This Row],[long]]),"si","no")</f>
        <v>si</v>
      </c>
    </row>
    <row r="826" spans="1:26" ht="15.75" x14ac:dyDescent="0.25">
      <c r="B826" t="s">
        <v>803</v>
      </c>
      <c r="C826" t="s">
        <v>804</v>
      </c>
      <c r="D826" s="19">
        <v>80.73</v>
      </c>
      <c r="E826" s="3" t="s">
        <v>55</v>
      </c>
      <c r="F826" s="3" t="s">
        <v>25</v>
      </c>
      <c r="G826" s="8" t="s">
        <v>58</v>
      </c>
      <c r="H826" s="4" t="s">
        <v>55</v>
      </c>
      <c r="I826" s="5">
        <v>1</v>
      </c>
      <c r="J826" s="8"/>
      <c r="K826" s="4"/>
      <c r="L826" s="5"/>
      <c r="M826" s="8"/>
      <c r="N826" s="4"/>
      <c r="O826" s="5"/>
      <c r="P826" s="8"/>
      <c r="Q826" s="4"/>
      <c r="R826" s="5"/>
      <c r="W826" s="67" t="s">
        <v>803</v>
      </c>
      <c r="X826" s="68" t="s">
        <v>804</v>
      </c>
      <c r="Y826" s="69">
        <v>80.73</v>
      </c>
      <c r="Z826" t="str">
        <f>IF(AND(Tabla1[[#This Row],[nudo inicial]]=Tabla3[[#This Row],[n1]],Tabla1[[#This Row],[nudo final]]=Tabla3[[#This Row],[n2]],Tabla1[[#This Row],[longitud]]=Tabla3[[#This Row],[long]]),"si","no")</f>
        <v>si</v>
      </c>
    </row>
    <row r="827" spans="1:26" ht="15.75" x14ac:dyDescent="0.25">
      <c r="B827" t="s">
        <v>804</v>
      </c>
      <c r="C827" t="s">
        <v>805</v>
      </c>
      <c r="D827" s="19">
        <v>21.5</v>
      </c>
      <c r="E827" s="3" t="s">
        <v>56</v>
      </c>
      <c r="F827" s="3" t="s">
        <v>25</v>
      </c>
      <c r="G827" s="8" t="s">
        <v>20</v>
      </c>
      <c r="H827" s="4" t="s">
        <v>55</v>
      </c>
      <c r="I827" s="5">
        <v>1</v>
      </c>
      <c r="J827" s="8" t="s">
        <v>17</v>
      </c>
      <c r="K827" s="4" t="s">
        <v>56</v>
      </c>
      <c r="L827" s="5">
        <v>1</v>
      </c>
      <c r="M827" s="8" t="s">
        <v>15</v>
      </c>
      <c r="N827" s="4" t="s">
        <v>56</v>
      </c>
      <c r="O827" s="5">
        <v>1</v>
      </c>
      <c r="P827" s="8"/>
      <c r="Q827" s="4"/>
      <c r="R827" s="5"/>
      <c r="W827" s="67" t="s">
        <v>804</v>
      </c>
      <c r="X827" s="68" t="s">
        <v>805</v>
      </c>
      <c r="Y827" s="69">
        <v>21.5</v>
      </c>
      <c r="Z827" t="str">
        <f>IF(AND(Tabla1[[#This Row],[nudo inicial]]=Tabla3[[#This Row],[n1]],Tabla1[[#This Row],[nudo final]]=Tabla3[[#This Row],[n2]],Tabla1[[#This Row],[longitud]]=Tabla3[[#This Row],[long]]),"si","no")</f>
        <v>si</v>
      </c>
    </row>
    <row r="828" spans="1:26" ht="15.75" x14ac:dyDescent="0.25">
      <c r="B828" t="s">
        <v>804</v>
      </c>
      <c r="C828" t="s">
        <v>724</v>
      </c>
      <c r="D828" s="19">
        <v>64.08</v>
      </c>
      <c r="E828" s="3" t="s">
        <v>55</v>
      </c>
      <c r="F828" s="3" t="s">
        <v>25</v>
      </c>
      <c r="G828" s="8" t="s">
        <v>16</v>
      </c>
      <c r="H828" s="4" t="s">
        <v>55</v>
      </c>
      <c r="I828" s="5">
        <v>1</v>
      </c>
      <c r="J828" s="8"/>
      <c r="K828" s="4"/>
      <c r="L828" s="5"/>
      <c r="M828" s="8"/>
      <c r="N828" s="4"/>
      <c r="O828" s="5"/>
      <c r="P828" s="8"/>
      <c r="Q828" s="4"/>
      <c r="R828" s="5"/>
      <c r="W828" s="67" t="s">
        <v>804</v>
      </c>
      <c r="X828" s="68" t="s">
        <v>724</v>
      </c>
      <c r="Y828" s="69">
        <v>64.08</v>
      </c>
      <c r="Z828" t="str">
        <f>IF(AND(Tabla1[[#This Row],[nudo inicial]]=Tabla3[[#This Row],[n1]],Tabla1[[#This Row],[nudo final]]=Tabla3[[#This Row],[n2]],Tabla1[[#This Row],[longitud]]=Tabla3[[#This Row],[long]]),"si","no")</f>
        <v>si</v>
      </c>
    </row>
    <row r="829" spans="1:26" ht="15.75" x14ac:dyDescent="0.25">
      <c r="B829" t="s">
        <v>803</v>
      </c>
      <c r="C829" t="s">
        <v>806</v>
      </c>
      <c r="D829" s="19">
        <v>39.39</v>
      </c>
      <c r="E829" s="3" t="s">
        <v>55</v>
      </c>
      <c r="F829" s="3" t="s">
        <v>25</v>
      </c>
      <c r="G829" s="8" t="s">
        <v>57</v>
      </c>
      <c r="H829" s="4" t="s">
        <v>55</v>
      </c>
      <c r="I829" s="5">
        <v>1</v>
      </c>
      <c r="J829" s="8"/>
      <c r="K829" s="4"/>
      <c r="L829" s="5"/>
      <c r="M829" s="8"/>
      <c r="N829" s="4"/>
      <c r="O829" s="5"/>
      <c r="P829" s="8"/>
      <c r="Q829" s="4"/>
      <c r="R829" s="5"/>
      <c r="W829" s="67" t="s">
        <v>803</v>
      </c>
      <c r="X829" s="68" t="s">
        <v>806</v>
      </c>
      <c r="Y829" s="69">
        <v>39.39</v>
      </c>
      <c r="Z829" t="str">
        <f>IF(AND(Tabla1[[#This Row],[nudo inicial]]=Tabla3[[#This Row],[n1]],Tabla1[[#This Row],[nudo final]]=Tabla3[[#This Row],[n2]],Tabla1[[#This Row],[longitud]]=Tabla3[[#This Row],[long]]),"si","no")</f>
        <v>si</v>
      </c>
    </row>
    <row r="830" spans="1:26" ht="15.75" x14ac:dyDescent="0.25">
      <c r="B830" t="s">
        <v>806</v>
      </c>
      <c r="C830" t="s">
        <v>807</v>
      </c>
      <c r="D830" s="19">
        <v>29.42</v>
      </c>
      <c r="E830" s="3" t="s">
        <v>56</v>
      </c>
      <c r="F830" s="3" t="s">
        <v>25</v>
      </c>
      <c r="G830" s="8" t="s">
        <v>20</v>
      </c>
      <c r="H830" s="4" t="s">
        <v>55</v>
      </c>
      <c r="I830" s="5">
        <v>1</v>
      </c>
      <c r="J830" s="8" t="s">
        <v>17</v>
      </c>
      <c r="K830" s="4" t="s">
        <v>56</v>
      </c>
      <c r="L830" s="5">
        <v>1</v>
      </c>
      <c r="M830" s="8" t="s">
        <v>15</v>
      </c>
      <c r="N830" s="4" t="s">
        <v>56</v>
      </c>
      <c r="O830" s="5">
        <v>1</v>
      </c>
      <c r="P830" s="8"/>
      <c r="Q830" s="4"/>
      <c r="R830" s="5"/>
      <c r="W830" s="67" t="s">
        <v>806</v>
      </c>
      <c r="X830" s="68" t="s">
        <v>807</v>
      </c>
      <c r="Y830" s="69">
        <v>29.42</v>
      </c>
      <c r="Z830" t="str">
        <f>IF(AND(Tabla1[[#This Row],[nudo inicial]]=Tabla3[[#This Row],[n1]],Tabla1[[#This Row],[nudo final]]=Tabla3[[#This Row],[n2]],Tabla1[[#This Row],[longitud]]=Tabla3[[#This Row],[long]]),"si","no")</f>
        <v>si</v>
      </c>
    </row>
    <row r="831" spans="1:26" ht="15.75" x14ac:dyDescent="0.25">
      <c r="A831" s="14"/>
      <c r="B831" t="s">
        <v>806</v>
      </c>
      <c r="C831" t="s">
        <v>808</v>
      </c>
      <c r="D831" s="19">
        <v>42.15</v>
      </c>
      <c r="E831" s="3" t="s">
        <v>55</v>
      </c>
      <c r="F831" s="3" t="s">
        <v>25</v>
      </c>
      <c r="G831" s="8"/>
      <c r="H831" s="4"/>
      <c r="I831" s="5"/>
      <c r="J831" s="8"/>
      <c r="K831" s="4"/>
      <c r="L831" s="5"/>
      <c r="M831" s="8"/>
      <c r="N831" s="4"/>
      <c r="O831" s="5"/>
      <c r="P831" s="8"/>
      <c r="Q831" s="4"/>
      <c r="R831" s="5"/>
      <c r="W831" s="67" t="s">
        <v>806</v>
      </c>
      <c r="X831" s="68" t="s">
        <v>808</v>
      </c>
      <c r="Y831" s="69">
        <v>42.15</v>
      </c>
      <c r="Z831" t="str">
        <f>IF(AND(Tabla1[[#This Row],[nudo inicial]]=Tabla3[[#This Row],[n1]],Tabla1[[#This Row],[nudo final]]=Tabla3[[#This Row],[n2]],Tabla1[[#This Row],[longitud]]=Tabla3[[#This Row],[long]]),"si","no")</f>
        <v>si</v>
      </c>
    </row>
    <row r="832" spans="1:26" ht="15.75" x14ac:dyDescent="0.25">
      <c r="B832" s="14" t="s">
        <v>808</v>
      </c>
      <c r="C832" s="14" t="s">
        <v>809</v>
      </c>
      <c r="D832" s="20">
        <v>122.58</v>
      </c>
      <c r="E832" s="15" t="s">
        <v>23</v>
      </c>
      <c r="F832" s="15" t="s">
        <v>25</v>
      </c>
      <c r="G832" s="16" t="s">
        <v>58</v>
      </c>
      <c r="H832" s="17" t="s">
        <v>55</v>
      </c>
      <c r="I832" s="18">
        <v>1</v>
      </c>
      <c r="J832" s="16" t="s">
        <v>15</v>
      </c>
      <c r="K832" s="17" t="s">
        <v>23</v>
      </c>
      <c r="L832" s="18">
        <v>1</v>
      </c>
      <c r="M832" s="16" t="s">
        <v>32</v>
      </c>
      <c r="N832" s="17" t="s">
        <v>23</v>
      </c>
      <c r="O832" s="18">
        <v>1</v>
      </c>
      <c r="P832" s="16" t="s">
        <v>17</v>
      </c>
      <c r="Q832" s="17" t="s">
        <v>23</v>
      </c>
      <c r="R832" s="18">
        <v>1</v>
      </c>
      <c r="S832" s="14"/>
      <c r="T832" s="14"/>
      <c r="U832" s="14"/>
      <c r="W832" s="67" t="s">
        <v>808</v>
      </c>
      <c r="X832" s="68" t="s">
        <v>809</v>
      </c>
      <c r="Y832" s="69">
        <v>122.58</v>
      </c>
      <c r="Z832" t="str">
        <f>IF(AND(Tabla1[[#This Row],[nudo inicial]]=Tabla3[[#This Row],[n1]],Tabla1[[#This Row],[nudo final]]=Tabla3[[#This Row],[n2]],Tabla1[[#This Row],[longitud]]=Tabla3[[#This Row],[long]]),"si","no")</f>
        <v>si</v>
      </c>
    </row>
    <row r="833" spans="2:26" ht="15.75" x14ac:dyDescent="0.25">
      <c r="B833" t="s">
        <v>808</v>
      </c>
      <c r="C833" t="s">
        <v>810</v>
      </c>
      <c r="D833" s="19">
        <v>77.239999999999995</v>
      </c>
      <c r="E833" s="3" t="s">
        <v>55</v>
      </c>
      <c r="F833" s="3" t="s">
        <v>25</v>
      </c>
      <c r="G833" s="8" t="s">
        <v>57</v>
      </c>
      <c r="H833" s="4" t="s">
        <v>55</v>
      </c>
      <c r="I833" s="5">
        <v>1</v>
      </c>
      <c r="J833" s="8"/>
      <c r="K833" s="4"/>
      <c r="L833" s="5"/>
      <c r="M833" s="8"/>
      <c r="N833" s="4"/>
      <c r="O833" s="5"/>
      <c r="P833" s="8"/>
      <c r="Q833" s="4"/>
      <c r="R833" s="5"/>
      <c r="W833" s="67" t="s">
        <v>808</v>
      </c>
      <c r="X833" s="68" t="s">
        <v>810</v>
      </c>
      <c r="Y833" s="69">
        <v>77.239999999999995</v>
      </c>
      <c r="Z833" t="str">
        <f>IF(AND(Tabla1[[#This Row],[nudo inicial]]=Tabla3[[#This Row],[n1]],Tabla1[[#This Row],[nudo final]]=Tabla3[[#This Row],[n2]],Tabla1[[#This Row],[longitud]]=Tabla3[[#This Row],[long]]),"si","no")</f>
        <v>si</v>
      </c>
    </row>
    <row r="834" spans="2:26" ht="15.75" x14ac:dyDescent="0.25">
      <c r="B834" t="s">
        <v>810</v>
      </c>
      <c r="C834" t="s">
        <v>811</v>
      </c>
      <c r="D834" s="19">
        <v>135.13999999999999</v>
      </c>
      <c r="E834" s="3" t="s">
        <v>126</v>
      </c>
      <c r="F834" s="3" t="s">
        <v>25</v>
      </c>
      <c r="G834" s="8" t="s">
        <v>58</v>
      </c>
      <c r="H834" s="4" t="s">
        <v>55</v>
      </c>
      <c r="I834" s="5">
        <v>1</v>
      </c>
      <c r="J834" s="8" t="s">
        <v>15</v>
      </c>
      <c r="K834" s="4" t="s">
        <v>126</v>
      </c>
      <c r="L834" s="5">
        <v>1</v>
      </c>
      <c r="M834" s="8" t="s">
        <v>16</v>
      </c>
      <c r="N834" s="4" t="s">
        <v>126</v>
      </c>
      <c r="O834" s="5">
        <v>1</v>
      </c>
      <c r="P834" s="8" t="s">
        <v>17</v>
      </c>
      <c r="Q834" s="4" t="s">
        <v>126</v>
      </c>
      <c r="R834" s="5">
        <v>1</v>
      </c>
      <c r="W834" s="67" t="s">
        <v>810</v>
      </c>
      <c r="X834" s="68" t="s">
        <v>811</v>
      </c>
      <c r="Y834" s="69">
        <v>135.13999999999999</v>
      </c>
      <c r="Z834" t="str">
        <f>IF(AND(Tabla1[[#This Row],[nudo inicial]]=Tabla3[[#This Row],[n1]],Tabla1[[#This Row],[nudo final]]=Tabla3[[#This Row],[n2]],Tabla1[[#This Row],[longitud]]=Tabla3[[#This Row],[long]]),"si","no")</f>
        <v>si</v>
      </c>
    </row>
    <row r="835" spans="2:26" ht="15.75" x14ac:dyDescent="0.25">
      <c r="B835" t="s">
        <v>810</v>
      </c>
      <c r="C835" t="s">
        <v>812</v>
      </c>
      <c r="D835" s="19">
        <v>81.92</v>
      </c>
      <c r="E835" s="3" t="s">
        <v>55</v>
      </c>
      <c r="F835" s="3" t="s">
        <v>28</v>
      </c>
      <c r="G835" s="8" t="s">
        <v>57</v>
      </c>
      <c r="H835" s="4" t="s">
        <v>55</v>
      </c>
      <c r="I835" s="5">
        <v>1</v>
      </c>
      <c r="J835" s="8" t="s">
        <v>32</v>
      </c>
      <c r="K835" s="4" t="s">
        <v>55</v>
      </c>
      <c r="L835" s="5">
        <v>1</v>
      </c>
      <c r="M835" s="8" t="s">
        <v>16</v>
      </c>
      <c r="N835" s="4" t="s">
        <v>55</v>
      </c>
      <c r="O835" s="5">
        <v>2</v>
      </c>
      <c r="P835" s="8"/>
      <c r="Q835" s="4"/>
      <c r="R835" s="5"/>
      <c r="W835" s="67" t="s">
        <v>810</v>
      </c>
      <c r="X835" s="68" t="s">
        <v>812</v>
      </c>
      <c r="Y835" s="69">
        <v>81.92</v>
      </c>
      <c r="Z835" t="str">
        <f>IF(AND(Tabla1[[#This Row],[nudo inicial]]=Tabla3[[#This Row],[n1]],Tabla1[[#This Row],[nudo final]]=Tabla3[[#This Row],[n2]],Tabla1[[#This Row],[longitud]]=Tabla3[[#This Row],[long]]),"si","no")</f>
        <v>si</v>
      </c>
    </row>
    <row r="836" spans="2:26" ht="15.75" x14ac:dyDescent="0.25">
      <c r="B836" t="s">
        <v>812</v>
      </c>
      <c r="C836" t="s">
        <v>813</v>
      </c>
      <c r="D836" s="19">
        <v>123.27</v>
      </c>
      <c r="E836" s="3" t="s">
        <v>56</v>
      </c>
      <c r="F836" s="3" t="s">
        <v>25</v>
      </c>
      <c r="G836" s="8" t="s">
        <v>20</v>
      </c>
      <c r="H836" s="4" t="s">
        <v>55</v>
      </c>
      <c r="I836" s="5">
        <v>1</v>
      </c>
      <c r="J836" s="8" t="s">
        <v>17</v>
      </c>
      <c r="K836" s="4" t="s">
        <v>56</v>
      </c>
      <c r="L836" s="5">
        <v>1</v>
      </c>
      <c r="M836" s="8" t="s">
        <v>15</v>
      </c>
      <c r="N836" s="4" t="s">
        <v>56</v>
      </c>
      <c r="O836" s="5">
        <v>1</v>
      </c>
      <c r="P836" s="8"/>
      <c r="Q836" s="4"/>
      <c r="R836" s="5"/>
      <c r="W836" s="67" t="s">
        <v>812</v>
      </c>
      <c r="X836" s="68" t="s">
        <v>813</v>
      </c>
      <c r="Y836" s="69">
        <v>123.27</v>
      </c>
      <c r="Z836" t="str">
        <f>IF(AND(Tabla1[[#This Row],[nudo inicial]]=Tabla3[[#This Row],[n1]],Tabla1[[#This Row],[nudo final]]=Tabla3[[#This Row],[n2]],Tabla1[[#This Row],[longitud]]=Tabla3[[#This Row],[long]]),"si","no")</f>
        <v>si</v>
      </c>
    </row>
    <row r="837" spans="2:26" ht="15.75" x14ac:dyDescent="0.25">
      <c r="B837" t="s">
        <v>812</v>
      </c>
      <c r="C837" t="s">
        <v>814</v>
      </c>
      <c r="D837" s="19">
        <v>117.41</v>
      </c>
      <c r="E837" s="3" t="s">
        <v>55</v>
      </c>
      <c r="F837" s="3" t="s">
        <v>28</v>
      </c>
      <c r="G837" s="8" t="s">
        <v>16</v>
      </c>
      <c r="H837" s="4" t="s">
        <v>55</v>
      </c>
      <c r="I837" s="5">
        <v>5</v>
      </c>
      <c r="J837" s="8"/>
      <c r="K837" s="4"/>
      <c r="L837" s="5"/>
      <c r="M837" s="8"/>
      <c r="N837" s="4"/>
      <c r="O837" s="5"/>
      <c r="P837" s="8"/>
      <c r="Q837" s="4"/>
      <c r="R837" s="5"/>
      <c r="W837" s="67" t="s">
        <v>812</v>
      </c>
      <c r="X837" s="68" t="s">
        <v>814</v>
      </c>
      <c r="Y837" s="69">
        <v>117.41</v>
      </c>
      <c r="Z837" t="str">
        <f>IF(AND(Tabla1[[#This Row],[nudo inicial]]=Tabla3[[#This Row],[n1]],Tabla1[[#This Row],[nudo final]]=Tabla3[[#This Row],[n2]],Tabla1[[#This Row],[longitud]]=Tabla3[[#This Row],[long]]),"si","no")</f>
        <v>si</v>
      </c>
    </row>
    <row r="838" spans="2:26" ht="15.75" x14ac:dyDescent="0.25">
      <c r="B838" t="s">
        <v>814</v>
      </c>
      <c r="C838" t="s">
        <v>815</v>
      </c>
      <c r="D838" s="19">
        <v>92.49</v>
      </c>
      <c r="E838" s="3" t="s">
        <v>126</v>
      </c>
      <c r="F838" s="3" t="s">
        <v>25</v>
      </c>
      <c r="G838" s="8" t="s">
        <v>536</v>
      </c>
      <c r="H838" s="4" t="s">
        <v>55</v>
      </c>
      <c r="I838" s="5">
        <v>1</v>
      </c>
      <c r="J838" s="8" t="s">
        <v>15</v>
      </c>
      <c r="K838" s="4" t="s">
        <v>126</v>
      </c>
      <c r="L838" s="5">
        <v>1</v>
      </c>
      <c r="M838" s="8" t="s">
        <v>16</v>
      </c>
      <c r="N838" s="4" t="s">
        <v>126</v>
      </c>
      <c r="O838" s="5">
        <v>2</v>
      </c>
      <c r="P838" s="8" t="s">
        <v>17</v>
      </c>
      <c r="Q838" s="4" t="s">
        <v>126</v>
      </c>
      <c r="R838" s="5">
        <v>1</v>
      </c>
      <c r="W838" s="67" t="s">
        <v>814</v>
      </c>
      <c r="X838" s="68" t="s">
        <v>815</v>
      </c>
      <c r="Y838" s="69">
        <v>92.49</v>
      </c>
      <c r="Z838" t="str">
        <f>IF(AND(Tabla1[[#This Row],[nudo inicial]]=Tabla3[[#This Row],[n1]],Tabla1[[#This Row],[nudo final]]=Tabla3[[#This Row],[n2]],Tabla1[[#This Row],[longitud]]=Tabla3[[#This Row],[long]]),"si","no")</f>
        <v>si</v>
      </c>
    </row>
    <row r="839" spans="2:26" ht="15.75" x14ac:dyDescent="0.25">
      <c r="B839" t="s">
        <v>814</v>
      </c>
      <c r="C839" t="s">
        <v>816</v>
      </c>
      <c r="D839" s="19">
        <v>52.56</v>
      </c>
      <c r="E839" s="3" t="s">
        <v>56</v>
      </c>
      <c r="F839" s="3" t="s">
        <v>25</v>
      </c>
      <c r="G839" s="8" t="s">
        <v>536</v>
      </c>
      <c r="H839" s="4" t="s">
        <v>55</v>
      </c>
      <c r="I839" s="5">
        <v>1</v>
      </c>
      <c r="J839" s="8" t="s">
        <v>15</v>
      </c>
      <c r="K839" s="4" t="s">
        <v>56</v>
      </c>
      <c r="L839" s="5">
        <v>1</v>
      </c>
      <c r="M839" s="8" t="s">
        <v>16</v>
      </c>
      <c r="N839" s="4" t="s">
        <v>56</v>
      </c>
      <c r="O839" s="5">
        <v>1</v>
      </c>
      <c r="P839" s="8"/>
      <c r="Q839" s="4"/>
      <c r="R839" s="5"/>
      <c r="W839" s="67" t="s">
        <v>814</v>
      </c>
      <c r="X839" s="68" t="s">
        <v>816</v>
      </c>
      <c r="Y839" s="69">
        <v>52.56</v>
      </c>
      <c r="Z839" t="str">
        <f>IF(AND(Tabla1[[#This Row],[nudo inicial]]=Tabla3[[#This Row],[n1]],Tabla1[[#This Row],[nudo final]]=Tabla3[[#This Row],[n2]],Tabla1[[#This Row],[longitud]]=Tabla3[[#This Row],[long]]),"si","no")</f>
        <v>si</v>
      </c>
    </row>
    <row r="840" spans="2:26" ht="15.75" x14ac:dyDescent="0.25">
      <c r="B840" t="s">
        <v>816</v>
      </c>
      <c r="C840" t="s">
        <v>817</v>
      </c>
      <c r="D840" s="19">
        <v>35.01</v>
      </c>
      <c r="E840" s="3" t="s">
        <v>56</v>
      </c>
      <c r="F840" s="3" t="s">
        <v>25</v>
      </c>
      <c r="G840" s="8" t="s">
        <v>57</v>
      </c>
      <c r="H840" s="4" t="s">
        <v>56</v>
      </c>
      <c r="I840" s="5">
        <v>1</v>
      </c>
      <c r="J840" s="8" t="s">
        <v>17</v>
      </c>
      <c r="K840" s="4" t="s">
        <v>56</v>
      </c>
      <c r="L840" s="5">
        <v>1</v>
      </c>
      <c r="M840" s="8"/>
      <c r="N840" s="4"/>
      <c r="O840" s="5"/>
      <c r="P840" s="8"/>
      <c r="Q840" s="4"/>
      <c r="R840" s="5"/>
      <c r="W840" s="67" t="s">
        <v>816</v>
      </c>
      <c r="X840" s="68" t="s">
        <v>817</v>
      </c>
      <c r="Y840" s="69">
        <v>35.01</v>
      </c>
      <c r="Z840" t="str">
        <f>IF(AND(Tabla1[[#This Row],[nudo inicial]]=Tabla3[[#This Row],[n1]],Tabla1[[#This Row],[nudo final]]=Tabla3[[#This Row],[n2]],Tabla1[[#This Row],[longitud]]=Tabla3[[#This Row],[long]]),"si","no")</f>
        <v>si</v>
      </c>
    </row>
    <row r="841" spans="2:26" ht="15.75" x14ac:dyDescent="0.25">
      <c r="B841" t="s">
        <v>816</v>
      </c>
      <c r="C841" t="s">
        <v>818</v>
      </c>
      <c r="D841" s="19">
        <v>53.71</v>
      </c>
      <c r="E841" s="3" t="s">
        <v>56</v>
      </c>
      <c r="F841" s="3" t="s">
        <v>25</v>
      </c>
      <c r="G841" s="8" t="s">
        <v>58</v>
      </c>
      <c r="H841" s="4" t="s">
        <v>56</v>
      </c>
      <c r="I841" s="5">
        <v>1</v>
      </c>
      <c r="J841" s="8" t="s">
        <v>16</v>
      </c>
      <c r="K841" s="4" t="s">
        <v>56</v>
      </c>
      <c r="L841" s="5">
        <v>1</v>
      </c>
      <c r="M841" s="8" t="s">
        <v>17</v>
      </c>
      <c r="N841" s="4" t="s">
        <v>56</v>
      </c>
      <c r="O841" s="5">
        <v>1</v>
      </c>
      <c r="P841" s="8"/>
      <c r="Q841" s="4"/>
      <c r="R841" s="5"/>
      <c r="W841" s="67" t="s">
        <v>816</v>
      </c>
      <c r="X841" s="68" t="s">
        <v>818</v>
      </c>
      <c r="Y841" s="69">
        <v>53.71</v>
      </c>
      <c r="Z841" t="str">
        <f>IF(AND(Tabla1[[#This Row],[nudo inicial]]=Tabla3[[#This Row],[n1]],Tabla1[[#This Row],[nudo final]]=Tabla3[[#This Row],[n2]],Tabla1[[#This Row],[longitud]]=Tabla3[[#This Row],[long]]),"si","no")</f>
        <v>si</v>
      </c>
    </row>
    <row r="842" spans="2:26" ht="15.75" x14ac:dyDescent="0.25">
      <c r="B842" t="s">
        <v>717</v>
      </c>
      <c r="C842" t="s">
        <v>819</v>
      </c>
      <c r="D842" s="19">
        <v>16.059999999999999</v>
      </c>
      <c r="E842" s="3" t="s">
        <v>53</v>
      </c>
      <c r="F842" s="3" t="s">
        <v>27</v>
      </c>
      <c r="G842" s="8" t="s">
        <v>536</v>
      </c>
      <c r="H842" s="4" t="s">
        <v>23</v>
      </c>
      <c r="I842" s="5">
        <v>1</v>
      </c>
      <c r="J842" s="8" t="s">
        <v>15</v>
      </c>
      <c r="K842" s="4" t="s">
        <v>53</v>
      </c>
      <c r="L842" s="5">
        <v>1</v>
      </c>
      <c r="M842" s="8"/>
      <c r="N842" s="4"/>
      <c r="O842" s="5"/>
      <c r="P842" s="8"/>
      <c r="Q842" s="4"/>
      <c r="R842" s="5"/>
      <c r="W842" s="67" t="s">
        <v>717</v>
      </c>
      <c r="X842" s="68" t="s">
        <v>819</v>
      </c>
      <c r="Y842" s="69">
        <v>16.059999999999999</v>
      </c>
      <c r="Z842" t="str">
        <f>IF(AND(Tabla1[[#This Row],[nudo inicial]]=Tabla3[[#This Row],[n1]],Tabla1[[#This Row],[nudo final]]=Tabla3[[#This Row],[n2]],Tabla1[[#This Row],[longitud]]=Tabla3[[#This Row],[long]]),"si","no")</f>
        <v>si</v>
      </c>
    </row>
    <row r="843" spans="2:26" ht="15.75" x14ac:dyDescent="0.25">
      <c r="B843" t="s">
        <v>819</v>
      </c>
      <c r="C843" t="s">
        <v>821</v>
      </c>
      <c r="D843" s="19">
        <v>294.63</v>
      </c>
      <c r="E843" s="3" t="s">
        <v>53</v>
      </c>
      <c r="F843" s="3" t="s">
        <v>27</v>
      </c>
      <c r="G843" s="8" t="s">
        <v>58</v>
      </c>
      <c r="H843" s="4" t="s">
        <v>53</v>
      </c>
      <c r="I843" s="5">
        <v>1</v>
      </c>
      <c r="J843" s="8"/>
      <c r="K843" s="4"/>
      <c r="L843" s="5"/>
      <c r="M843" s="8"/>
      <c r="N843" s="4"/>
      <c r="O843" s="5"/>
      <c r="P843" s="8"/>
      <c r="Q843" s="4"/>
      <c r="R843" s="5"/>
      <c r="W843" s="67" t="s">
        <v>819</v>
      </c>
      <c r="X843" s="68" t="s">
        <v>821</v>
      </c>
      <c r="Y843" s="69">
        <v>294.63</v>
      </c>
      <c r="Z843" t="str">
        <f>IF(AND(Tabla1[[#This Row],[nudo inicial]]=Tabla3[[#This Row],[n1]],Tabla1[[#This Row],[nudo final]]=Tabla3[[#This Row],[n2]],Tabla1[[#This Row],[longitud]]=Tabla3[[#This Row],[long]]),"si","no")</f>
        <v>si</v>
      </c>
    </row>
    <row r="844" spans="2:26" ht="15.75" x14ac:dyDescent="0.25">
      <c r="B844" t="s">
        <v>821</v>
      </c>
      <c r="C844" t="s">
        <v>820</v>
      </c>
      <c r="D844" s="19">
        <v>56.7</v>
      </c>
      <c r="E844" s="3" t="s">
        <v>375</v>
      </c>
      <c r="F844" s="3" t="s">
        <v>27</v>
      </c>
      <c r="G844" s="8" t="s">
        <v>15</v>
      </c>
      <c r="H844" s="4" t="s">
        <v>375</v>
      </c>
      <c r="I844" s="5">
        <v>1</v>
      </c>
      <c r="J844" s="8" t="s">
        <v>17</v>
      </c>
      <c r="K844" s="4" t="s">
        <v>375</v>
      </c>
      <c r="L844" s="5">
        <v>1</v>
      </c>
      <c r="M844" s="8"/>
      <c r="N844" s="4"/>
      <c r="O844" s="5"/>
      <c r="P844" s="8"/>
      <c r="Q844" s="4"/>
      <c r="R844" s="5"/>
      <c r="W844" s="67" t="s">
        <v>821</v>
      </c>
      <c r="X844" s="68" t="s">
        <v>820</v>
      </c>
      <c r="Y844" s="69">
        <v>56.7</v>
      </c>
      <c r="Z844" t="str">
        <f>IF(AND(Tabla1[[#This Row],[nudo inicial]]=Tabla3[[#This Row],[n1]],Tabla1[[#This Row],[nudo final]]=Tabla3[[#This Row],[n2]],Tabla1[[#This Row],[longitud]]=Tabla3[[#This Row],[long]]),"si","no")</f>
        <v>si</v>
      </c>
    </row>
    <row r="845" spans="2:26" ht="15.75" x14ac:dyDescent="0.25">
      <c r="B845" t="s">
        <v>819</v>
      </c>
      <c r="C845" t="s">
        <v>822</v>
      </c>
      <c r="D845" s="19">
        <v>249.69</v>
      </c>
      <c r="E845" s="3" t="s">
        <v>53</v>
      </c>
      <c r="F845" s="3" t="s">
        <v>25</v>
      </c>
      <c r="G845" s="8" t="s">
        <v>57</v>
      </c>
      <c r="H845" s="4" t="s">
        <v>53</v>
      </c>
      <c r="I845" s="5">
        <v>1</v>
      </c>
      <c r="J845" s="8" t="s">
        <v>17</v>
      </c>
      <c r="K845" s="4" t="s">
        <v>53</v>
      </c>
      <c r="L845" s="5">
        <v>1</v>
      </c>
      <c r="M845" s="8"/>
      <c r="N845" s="4"/>
      <c r="O845" s="5"/>
      <c r="P845" s="8"/>
      <c r="Q845" s="4"/>
      <c r="R845" s="5"/>
      <c r="W845" s="67" t="s">
        <v>819</v>
      </c>
      <c r="X845" s="68" t="s">
        <v>822</v>
      </c>
      <c r="Y845" s="69">
        <v>249.69</v>
      </c>
      <c r="Z845" t="str">
        <f>IF(AND(Tabla1[[#This Row],[nudo inicial]]=Tabla3[[#This Row],[n1]],Tabla1[[#This Row],[nudo final]]=Tabla3[[#This Row],[n2]],Tabla1[[#This Row],[longitud]]=Tabla3[[#This Row],[long]]),"si","no")</f>
        <v>si</v>
      </c>
    </row>
    <row r="846" spans="2:26" ht="47.25" x14ac:dyDescent="0.25">
      <c r="B846" t="s">
        <v>729</v>
      </c>
      <c r="C846" t="s">
        <v>823</v>
      </c>
      <c r="D846" s="19">
        <v>155.16999999999999</v>
      </c>
      <c r="E846" s="3" t="s">
        <v>55</v>
      </c>
      <c r="F846" s="3" t="s">
        <v>25</v>
      </c>
      <c r="G846" s="8" t="s">
        <v>16</v>
      </c>
      <c r="H846" s="4" t="s">
        <v>55</v>
      </c>
      <c r="I846" s="5">
        <v>2</v>
      </c>
      <c r="J846" s="8" t="s">
        <v>18</v>
      </c>
      <c r="K846" s="4" t="s">
        <v>55</v>
      </c>
      <c r="L846" s="5">
        <v>1</v>
      </c>
      <c r="M846" s="8"/>
      <c r="N846" s="4"/>
      <c r="O846" s="5"/>
      <c r="P846" s="8"/>
      <c r="Q846" s="4"/>
      <c r="R846" s="5"/>
      <c r="W846" s="67" t="s">
        <v>729</v>
      </c>
      <c r="X846" s="68" t="s">
        <v>823</v>
      </c>
      <c r="Y846" s="69">
        <v>155.16999999999999</v>
      </c>
      <c r="Z846" t="str">
        <f>IF(AND(Tabla1[[#This Row],[nudo inicial]]=Tabla3[[#This Row],[n1]],Tabla1[[#This Row],[nudo final]]=Tabla3[[#This Row],[n2]],Tabla1[[#This Row],[longitud]]=Tabla3[[#This Row],[long]]),"si","no")</f>
        <v>si</v>
      </c>
    </row>
    <row r="847" spans="2:26" ht="15.75" x14ac:dyDescent="0.25">
      <c r="B847" t="s">
        <v>823</v>
      </c>
      <c r="C847" t="s">
        <v>824</v>
      </c>
      <c r="D847" s="19">
        <v>9.01</v>
      </c>
      <c r="E847" s="3" t="s">
        <v>795</v>
      </c>
      <c r="F847" s="3" t="s">
        <v>25</v>
      </c>
      <c r="G847" s="8" t="s">
        <v>58</v>
      </c>
      <c r="H847" s="4" t="s">
        <v>55</v>
      </c>
      <c r="I847" s="5">
        <v>1</v>
      </c>
      <c r="J847" s="8" t="s">
        <v>15</v>
      </c>
      <c r="K847" s="4" t="s">
        <v>795</v>
      </c>
      <c r="L847" s="5">
        <v>1</v>
      </c>
      <c r="M847" s="8"/>
      <c r="N847" s="4"/>
      <c r="O847" s="5"/>
      <c r="P847" s="8"/>
      <c r="Q847" s="4"/>
      <c r="R847" s="5"/>
      <c r="W847" s="67" t="s">
        <v>823</v>
      </c>
      <c r="X847" s="68" t="s">
        <v>824</v>
      </c>
      <c r="Y847" s="69">
        <v>9.01</v>
      </c>
      <c r="Z847" t="str">
        <f>IF(AND(Tabla1[[#This Row],[nudo inicial]]=Tabla3[[#This Row],[n1]],Tabla1[[#This Row],[nudo final]]=Tabla3[[#This Row],[n2]],Tabla1[[#This Row],[longitud]]=Tabla3[[#This Row],[long]]),"si","no")</f>
        <v>si</v>
      </c>
    </row>
    <row r="848" spans="2:26" ht="15.75" x14ac:dyDescent="0.25">
      <c r="B848" t="s">
        <v>824</v>
      </c>
      <c r="C848" t="s">
        <v>822</v>
      </c>
      <c r="D848" s="19">
        <v>16.63</v>
      </c>
      <c r="E848" s="3" t="s">
        <v>795</v>
      </c>
      <c r="F848" s="3" t="s">
        <v>25</v>
      </c>
      <c r="G848" s="8" t="s">
        <v>58</v>
      </c>
      <c r="H848" s="4" t="s">
        <v>795</v>
      </c>
      <c r="I848" s="5">
        <v>1</v>
      </c>
      <c r="J848" s="8" t="s">
        <v>16</v>
      </c>
      <c r="K848" s="4" t="s">
        <v>795</v>
      </c>
      <c r="L848" s="5">
        <v>1</v>
      </c>
      <c r="M848" s="8" t="s">
        <v>17</v>
      </c>
      <c r="N848" s="4" t="s">
        <v>795</v>
      </c>
      <c r="O848" s="5"/>
      <c r="P848" s="8"/>
      <c r="Q848" s="4"/>
      <c r="R848" s="5"/>
      <c r="W848" s="67" t="s">
        <v>824</v>
      </c>
      <c r="X848" s="68" t="s">
        <v>822</v>
      </c>
      <c r="Y848" s="69">
        <v>16.63</v>
      </c>
      <c r="Z848" t="str">
        <f>IF(AND(Tabla1[[#This Row],[nudo inicial]]=Tabla3[[#This Row],[n1]],Tabla1[[#This Row],[nudo final]]=Tabla3[[#This Row],[n2]],Tabla1[[#This Row],[longitud]]=Tabla3[[#This Row],[long]]),"si","no")</f>
        <v>si</v>
      </c>
    </row>
    <row r="849" spans="2:26" ht="15.75" x14ac:dyDescent="0.25">
      <c r="B849" t="s">
        <v>824</v>
      </c>
      <c r="C849" t="s">
        <v>825</v>
      </c>
      <c r="D849" s="19">
        <v>61.65</v>
      </c>
      <c r="E849" s="3" t="s">
        <v>795</v>
      </c>
      <c r="F849" s="3" t="s">
        <v>25</v>
      </c>
      <c r="G849" s="8" t="s">
        <v>58</v>
      </c>
      <c r="H849" s="4" t="s">
        <v>795</v>
      </c>
      <c r="I849" s="5">
        <v>1</v>
      </c>
      <c r="J849" s="8" t="s">
        <v>17</v>
      </c>
      <c r="K849" s="4" t="s">
        <v>795</v>
      </c>
      <c r="L849" s="5">
        <v>1</v>
      </c>
      <c r="M849" s="8"/>
      <c r="N849" s="4"/>
      <c r="O849" s="5"/>
      <c r="P849" s="8"/>
      <c r="Q849" s="4"/>
      <c r="R849" s="5"/>
      <c r="W849" s="67" t="s">
        <v>824</v>
      </c>
      <c r="X849" s="68" t="s">
        <v>825</v>
      </c>
      <c r="Y849" s="69">
        <v>61.65</v>
      </c>
      <c r="Z849" t="str">
        <f>IF(AND(Tabla1[[#This Row],[nudo inicial]]=Tabla3[[#This Row],[n1]],Tabla1[[#This Row],[nudo final]]=Tabla3[[#This Row],[n2]],Tabla1[[#This Row],[longitud]]=Tabla3[[#This Row],[long]]),"si","no")</f>
        <v>si</v>
      </c>
    </row>
    <row r="850" spans="2:26" ht="15.75" x14ac:dyDescent="0.25">
      <c r="B850" t="s">
        <v>823</v>
      </c>
      <c r="C850" t="s">
        <v>826</v>
      </c>
      <c r="D850" s="19">
        <v>25.65</v>
      </c>
      <c r="E850" s="3" t="s">
        <v>55</v>
      </c>
      <c r="F850" s="3" t="s">
        <v>25</v>
      </c>
      <c r="G850" s="8" t="s">
        <v>57</v>
      </c>
      <c r="H850" s="4" t="s">
        <v>55</v>
      </c>
      <c r="I850" s="5">
        <v>1</v>
      </c>
      <c r="J850" s="8"/>
      <c r="K850" s="4"/>
      <c r="L850" s="5"/>
      <c r="M850" s="8"/>
      <c r="N850" s="4"/>
      <c r="O850" s="5"/>
      <c r="P850" s="8"/>
      <c r="Q850" s="4"/>
      <c r="R850" s="5"/>
      <c r="W850" s="67" t="s">
        <v>823</v>
      </c>
      <c r="X850" s="68" t="s">
        <v>826</v>
      </c>
      <c r="Y850" s="69">
        <v>25.65</v>
      </c>
      <c r="Z850" t="str">
        <f>IF(AND(Tabla1[[#This Row],[nudo inicial]]=Tabla3[[#This Row],[n1]],Tabla1[[#This Row],[nudo final]]=Tabla3[[#This Row],[n2]],Tabla1[[#This Row],[longitud]]=Tabla3[[#This Row],[long]]),"si","no")</f>
        <v>si</v>
      </c>
    </row>
    <row r="851" spans="2:26" ht="15.75" x14ac:dyDescent="0.25">
      <c r="B851" t="s">
        <v>826</v>
      </c>
      <c r="C851" t="s">
        <v>827</v>
      </c>
      <c r="D851" s="19">
        <v>10.31</v>
      </c>
      <c r="E851" s="3" t="s">
        <v>55</v>
      </c>
      <c r="F851" s="3" t="s">
        <v>25</v>
      </c>
      <c r="G851" s="8" t="s">
        <v>58</v>
      </c>
      <c r="H851" s="4" t="s">
        <v>55</v>
      </c>
      <c r="I851" s="5">
        <v>1</v>
      </c>
      <c r="J851" s="8" t="s">
        <v>17</v>
      </c>
      <c r="K851" s="4" t="s">
        <v>55</v>
      </c>
      <c r="L851" s="5">
        <v>1</v>
      </c>
      <c r="M851" s="8"/>
      <c r="N851" s="4"/>
      <c r="O851" s="5"/>
      <c r="P851" s="8"/>
      <c r="Q851" s="4"/>
      <c r="R851" s="5"/>
      <c r="W851" s="67" t="s">
        <v>826</v>
      </c>
      <c r="X851" s="68" t="s">
        <v>827</v>
      </c>
      <c r="Y851" s="69">
        <v>10.31</v>
      </c>
      <c r="Z851" t="str">
        <f>IF(AND(Tabla1[[#This Row],[nudo inicial]]=Tabla3[[#This Row],[n1]],Tabla1[[#This Row],[nudo final]]=Tabla3[[#This Row],[n2]],Tabla1[[#This Row],[longitud]]=Tabla3[[#This Row],[long]]),"si","no")</f>
        <v>si</v>
      </c>
    </row>
    <row r="852" spans="2:26" ht="15.75" x14ac:dyDescent="0.25">
      <c r="B852" t="s">
        <v>826</v>
      </c>
      <c r="C852" t="s">
        <v>828</v>
      </c>
      <c r="D852" s="19">
        <v>648.57000000000005</v>
      </c>
      <c r="E852" s="3" t="s">
        <v>55</v>
      </c>
      <c r="F852" s="3" t="s">
        <v>25</v>
      </c>
      <c r="G852" s="8" t="s">
        <v>57</v>
      </c>
      <c r="H852" s="4" t="s">
        <v>55</v>
      </c>
      <c r="I852" s="5">
        <v>1</v>
      </c>
      <c r="J852" s="8" t="s">
        <v>18</v>
      </c>
      <c r="K852" s="4" t="s">
        <v>55</v>
      </c>
      <c r="L852" s="5">
        <v>3</v>
      </c>
      <c r="M852" s="8" t="s">
        <v>19</v>
      </c>
      <c r="N852" s="4" t="s">
        <v>55</v>
      </c>
      <c r="O852" s="5">
        <v>1</v>
      </c>
      <c r="P852" s="8"/>
      <c r="Q852" s="4"/>
      <c r="R852" s="5"/>
      <c r="W852" s="67" t="s">
        <v>826</v>
      </c>
      <c r="X852" s="68" t="s">
        <v>828</v>
      </c>
      <c r="Y852" s="69">
        <v>648.57000000000005</v>
      </c>
      <c r="Z852" t="str">
        <f>IF(AND(Tabla1[[#This Row],[nudo inicial]]=Tabla3[[#This Row],[n1]],Tabla1[[#This Row],[nudo final]]=Tabla3[[#This Row],[n2]],Tabla1[[#This Row],[longitud]]=Tabla3[[#This Row],[long]]),"si","no")</f>
        <v>si</v>
      </c>
    </row>
    <row r="853" spans="2:26" ht="15.75" x14ac:dyDescent="0.25">
      <c r="B853" t="s">
        <v>828</v>
      </c>
      <c r="C853" t="s">
        <v>829</v>
      </c>
      <c r="D853" s="19">
        <v>137.94</v>
      </c>
      <c r="E853" s="3" t="s">
        <v>55</v>
      </c>
      <c r="F853" s="3" t="s">
        <v>25</v>
      </c>
      <c r="G853" s="8" t="s">
        <v>58</v>
      </c>
      <c r="H853" s="4" t="s">
        <v>55</v>
      </c>
      <c r="I853" s="5">
        <v>1</v>
      </c>
      <c r="J853" s="8" t="s">
        <v>16</v>
      </c>
      <c r="K853" s="4" t="s">
        <v>55</v>
      </c>
      <c r="L853" s="5">
        <v>4</v>
      </c>
      <c r="M853" s="8" t="s">
        <v>17</v>
      </c>
      <c r="N853" s="4" t="s">
        <v>55</v>
      </c>
      <c r="O853" s="5">
        <v>1</v>
      </c>
      <c r="P853" s="8"/>
      <c r="Q853" s="4"/>
      <c r="R853" s="5"/>
      <c r="W853" s="67" t="s">
        <v>828</v>
      </c>
      <c r="X853" s="68" t="s">
        <v>829</v>
      </c>
      <c r="Y853" s="69">
        <v>137.94</v>
      </c>
      <c r="Z853" t="str">
        <f>IF(AND(Tabla1[[#This Row],[nudo inicial]]=Tabla3[[#This Row],[n1]],Tabla1[[#This Row],[nudo final]]=Tabla3[[#This Row],[n2]],Tabla1[[#This Row],[longitud]]=Tabla3[[#This Row],[long]]),"si","no")</f>
        <v>si</v>
      </c>
    </row>
    <row r="854" spans="2:26" ht="15.75" x14ac:dyDescent="0.25">
      <c r="B854" t="s">
        <v>828</v>
      </c>
      <c r="C854" t="s">
        <v>830</v>
      </c>
      <c r="D854" s="19">
        <v>17.97</v>
      </c>
      <c r="E854" s="3" t="s">
        <v>55</v>
      </c>
      <c r="F854" s="3" t="s">
        <v>25</v>
      </c>
      <c r="G854" s="8" t="s">
        <v>57</v>
      </c>
      <c r="H854" s="4" t="s">
        <v>55</v>
      </c>
      <c r="I854" s="5">
        <v>1</v>
      </c>
      <c r="J854" s="8"/>
      <c r="K854" s="4"/>
      <c r="L854" s="5"/>
      <c r="M854" s="8"/>
      <c r="N854" s="4"/>
      <c r="O854" s="5"/>
      <c r="P854" s="8"/>
      <c r="Q854" s="4"/>
      <c r="R854" s="5"/>
      <c r="W854" s="67" t="s">
        <v>828</v>
      </c>
      <c r="X854" s="68" t="s">
        <v>830</v>
      </c>
      <c r="Y854" s="69">
        <v>17.97</v>
      </c>
      <c r="Z854" t="str">
        <f>IF(AND(Tabla1[[#This Row],[nudo inicial]]=Tabla3[[#This Row],[n1]],Tabla1[[#This Row],[nudo final]]=Tabla3[[#This Row],[n2]],Tabla1[[#This Row],[longitud]]=Tabla3[[#This Row],[long]]),"si","no")</f>
        <v>si</v>
      </c>
    </row>
    <row r="855" spans="2:26" ht="15.75" x14ac:dyDescent="0.25">
      <c r="B855" t="s">
        <v>830</v>
      </c>
      <c r="C855" t="s">
        <v>831</v>
      </c>
      <c r="D855" s="19">
        <v>45.42</v>
      </c>
      <c r="E855" s="3" t="s">
        <v>23</v>
      </c>
      <c r="F855" s="3" t="s">
        <v>25</v>
      </c>
      <c r="G855" s="8" t="s">
        <v>58</v>
      </c>
      <c r="H855" s="4" t="s">
        <v>55</v>
      </c>
      <c r="I855" s="5">
        <v>1</v>
      </c>
      <c r="J855" s="8" t="s">
        <v>15</v>
      </c>
      <c r="K855" s="4" t="s">
        <v>23</v>
      </c>
      <c r="L855" s="5">
        <v>1</v>
      </c>
      <c r="M855" s="8" t="s">
        <v>17</v>
      </c>
      <c r="N855" s="4" t="s">
        <v>23</v>
      </c>
      <c r="O855" s="5">
        <v>1</v>
      </c>
      <c r="P855" s="8"/>
      <c r="Q855" s="4"/>
      <c r="R855" s="5"/>
      <c r="W855" s="67" t="s">
        <v>830</v>
      </c>
      <c r="X855" s="68" t="s">
        <v>831</v>
      </c>
      <c r="Y855" s="69">
        <v>45.42</v>
      </c>
      <c r="Z855" t="str">
        <f>IF(AND(Tabla1[[#This Row],[nudo inicial]]=Tabla3[[#This Row],[n1]],Tabla1[[#This Row],[nudo final]]=Tabla3[[#This Row],[n2]],Tabla1[[#This Row],[longitud]]=Tabla3[[#This Row],[long]]),"si","no")</f>
        <v>si</v>
      </c>
    </row>
    <row r="856" spans="2:26" ht="15.75" x14ac:dyDescent="0.25">
      <c r="B856" t="s">
        <v>830</v>
      </c>
      <c r="C856" t="s">
        <v>832</v>
      </c>
      <c r="D856" s="19">
        <v>16.78</v>
      </c>
      <c r="E856" s="3" t="s">
        <v>55</v>
      </c>
      <c r="F856" s="3" t="s">
        <v>25</v>
      </c>
      <c r="G856" s="8" t="s">
        <v>57</v>
      </c>
      <c r="H856" s="4" t="s">
        <v>55</v>
      </c>
      <c r="I856" s="5">
        <v>1</v>
      </c>
      <c r="J856" s="8" t="s">
        <v>19</v>
      </c>
      <c r="K856" s="4" t="s">
        <v>55</v>
      </c>
      <c r="L856" s="5">
        <v>1</v>
      </c>
      <c r="M856" s="8"/>
      <c r="N856" s="4"/>
      <c r="O856" s="5"/>
      <c r="P856" s="8"/>
      <c r="Q856" s="4"/>
      <c r="R856" s="5"/>
      <c r="W856" s="67" t="s">
        <v>830</v>
      </c>
      <c r="X856" s="68" t="s">
        <v>832</v>
      </c>
      <c r="Y856" s="69">
        <v>16.78</v>
      </c>
      <c r="Z856" t="str">
        <f>IF(AND(Tabla1[[#This Row],[nudo inicial]]=Tabla3[[#This Row],[n1]],Tabla1[[#This Row],[nudo final]]=Tabla3[[#This Row],[n2]],Tabla1[[#This Row],[longitud]]=Tabla3[[#This Row],[long]]),"si","no")</f>
        <v>si</v>
      </c>
    </row>
    <row r="857" spans="2:26" ht="15.75" x14ac:dyDescent="0.25">
      <c r="B857" t="s">
        <v>832</v>
      </c>
      <c r="C857" t="s">
        <v>835</v>
      </c>
      <c r="D857" s="19">
        <v>55.66</v>
      </c>
      <c r="E857" s="3" t="s">
        <v>56</v>
      </c>
      <c r="F857" s="3" t="s">
        <v>25</v>
      </c>
      <c r="G857" s="8" t="s">
        <v>58</v>
      </c>
      <c r="H857" s="4" t="s">
        <v>55</v>
      </c>
      <c r="I857" s="5">
        <v>1</v>
      </c>
      <c r="J857" s="8" t="s">
        <v>15</v>
      </c>
      <c r="K857" s="4" t="s">
        <v>56</v>
      </c>
      <c r="L857" s="5">
        <v>1</v>
      </c>
      <c r="M857" s="8" t="s">
        <v>17</v>
      </c>
      <c r="N857" s="4" t="s">
        <v>56</v>
      </c>
      <c r="O857" s="5">
        <v>1</v>
      </c>
      <c r="P857" s="8"/>
      <c r="Q857" s="4"/>
      <c r="R857" s="5"/>
      <c r="W857" s="67" t="s">
        <v>832</v>
      </c>
      <c r="X857" s="68" t="s">
        <v>835</v>
      </c>
      <c r="Y857" s="69">
        <v>55.66</v>
      </c>
      <c r="Z857" t="str">
        <f>IF(AND(Tabla1[[#This Row],[nudo inicial]]=Tabla3[[#This Row],[n1]],Tabla1[[#This Row],[nudo final]]=Tabla3[[#This Row],[n2]],Tabla1[[#This Row],[longitud]]=Tabla3[[#This Row],[long]]),"si","no")</f>
        <v>si</v>
      </c>
    </row>
    <row r="858" spans="2:26" ht="15.75" x14ac:dyDescent="0.25">
      <c r="B858" t="s">
        <v>832</v>
      </c>
      <c r="C858" t="s">
        <v>833</v>
      </c>
      <c r="D858" s="19">
        <v>122.32</v>
      </c>
      <c r="E858" s="3" t="s">
        <v>55</v>
      </c>
      <c r="F858" s="3" t="s">
        <v>25</v>
      </c>
      <c r="G858" s="8" t="s">
        <v>57</v>
      </c>
      <c r="H858" s="4" t="s">
        <v>55</v>
      </c>
      <c r="I858" s="5">
        <v>1</v>
      </c>
      <c r="J858" s="8"/>
      <c r="K858" s="4"/>
      <c r="L858" s="5"/>
      <c r="M858" s="8"/>
      <c r="N858" s="4"/>
      <c r="O858" s="5"/>
      <c r="P858" s="8"/>
      <c r="Q858" s="4"/>
      <c r="R858" s="5"/>
      <c r="W858" s="67" t="s">
        <v>832</v>
      </c>
      <c r="X858" s="68" t="s">
        <v>833</v>
      </c>
      <c r="Y858" s="69">
        <v>122.32</v>
      </c>
      <c r="Z858" t="str">
        <f>IF(AND(Tabla1[[#This Row],[nudo inicial]]=Tabla3[[#This Row],[n1]],Tabla1[[#This Row],[nudo final]]=Tabla3[[#This Row],[n2]],Tabla1[[#This Row],[longitud]]=Tabla3[[#This Row],[long]]),"si","no")</f>
        <v>si</v>
      </c>
    </row>
    <row r="859" spans="2:26" ht="15.75" x14ac:dyDescent="0.25">
      <c r="B859" t="s">
        <v>833</v>
      </c>
      <c r="C859" t="s">
        <v>834</v>
      </c>
      <c r="D859" s="19">
        <v>20.86</v>
      </c>
      <c r="E859" s="3" t="s">
        <v>53</v>
      </c>
      <c r="F859" s="3" t="s">
        <v>25</v>
      </c>
      <c r="G859" s="8" t="s">
        <v>58</v>
      </c>
      <c r="H859" s="4" t="s">
        <v>55</v>
      </c>
      <c r="I859" s="5">
        <v>1</v>
      </c>
      <c r="J859" s="8" t="s">
        <v>15</v>
      </c>
      <c r="K859" s="4" t="s">
        <v>53</v>
      </c>
      <c r="L859" s="5">
        <v>1</v>
      </c>
      <c r="M859" s="8" t="s">
        <v>17</v>
      </c>
      <c r="N859" s="4" t="s">
        <v>53</v>
      </c>
      <c r="O859" s="5">
        <v>1</v>
      </c>
      <c r="P859" s="8"/>
      <c r="Q859" s="4"/>
      <c r="R859" s="5"/>
      <c r="W859" s="67" t="s">
        <v>833</v>
      </c>
      <c r="X859" s="68" t="s">
        <v>834</v>
      </c>
      <c r="Y859" s="69">
        <v>20.86</v>
      </c>
      <c r="Z859" t="str">
        <f>IF(AND(Tabla1[[#This Row],[nudo inicial]]=Tabla3[[#This Row],[n1]],Tabla1[[#This Row],[nudo final]]=Tabla3[[#This Row],[n2]],Tabla1[[#This Row],[longitud]]=Tabla3[[#This Row],[long]]),"si","no")</f>
        <v>si</v>
      </c>
    </row>
    <row r="860" spans="2:26" ht="15.75" x14ac:dyDescent="0.25">
      <c r="B860" t="s">
        <v>833</v>
      </c>
      <c r="C860" t="s">
        <v>836</v>
      </c>
      <c r="D860" s="19">
        <v>424.61</v>
      </c>
      <c r="E860" s="3" t="s">
        <v>55</v>
      </c>
      <c r="F860" s="3" t="s">
        <v>25</v>
      </c>
      <c r="G860" s="8" t="s">
        <v>57</v>
      </c>
      <c r="H860" s="4" t="s">
        <v>55</v>
      </c>
      <c r="I860" s="5">
        <v>1</v>
      </c>
      <c r="J860" s="8" t="s">
        <v>19</v>
      </c>
      <c r="K860" s="4" t="s">
        <v>55</v>
      </c>
      <c r="L860" s="5">
        <v>1</v>
      </c>
      <c r="M860" s="8" t="s">
        <v>18</v>
      </c>
      <c r="N860" s="4" t="s">
        <v>55</v>
      </c>
      <c r="O860" s="5">
        <v>1</v>
      </c>
      <c r="P860" s="8"/>
      <c r="Q860" s="4"/>
      <c r="R860" s="5"/>
      <c r="W860" s="67" t="s">
        <v>833</v>
      </c>
      <c r="X860" s="68" t="s">
        <v>836</v>
      </c>
      <c r="Y860" s="69">
        <v>424.61</v>
      </c>
      <c r="Z860" t="str">
        <f>IF(AND(Tabla1[[#This Row],[nudo inicial]]=Tabla3[[#This Row],[n1]],Tabla1[[#This Row],[nudo final]]=Tabla3[[#This Row],[n2]],Tabla1[[#This Row],[longitud]]=Tabla3[[#This Row],[long]]),"si","no")</f>
        <v>si</v>
      </c>
    </row>
    <row r="861" spans="2:26" ht="15.75" x14ac:dyDescent="0.25">
      <c r="B861" t="s">
        <v>836</v>
      </c>
      <c r="C861" t="s">
        <v>837</v>
      </c>
      <c r="D861" s="19">
        <v>50.15</v>
      </c>
      <c r="E861" s="3" t="s">
        <v>53</v>
      </c>
      <c r="F861" s="3" t="s">
        <v>25</v>
      </c>
      <c r="G861" s="8" t="s">
        <v>58</v>
      </c>
      <c r="H861" s="4" t="s">
        <v>55</v>
      </c>
      <c r="I861" s="5">
        <v>1</v>
      </c>
      <c r="J861" s="8" t="s">
        <v>15</v>
      </c>
      <c r="K861" s="4" t="s">
        <v>53</v>
      </c>
      <c r="L861" s="5">
        <v>1</v>
      </c>
      <c r="M861" s="8" t="s">
        <v>17</v>
      </c>
      <c r="N861" s="4" t="s">
        <v>53</v>
      </c>
      <c r="O861" s="5">
        <v>1</v>
      </c>
      <c r="P861" s="8"/>
      <c r="Q861" s="4"/>
      <c r="R861" s="5"/>
      <c r="W861" s="67" t="s">
        <v>836</v>
      </c>
      <c r="X861" s="68" t="s">
        <v>837</v>
      </c>
      <c r="Y861" s="69">
        <v>50.15</v>
      </c>
      <c r="Z861" t="str">
        <f>IF(AND(Tabla1[[#This Row],[nudo inicial]]=Tabla3[[#This Row],[n1]],Tabla1[[#This Row],[nudo final]]=Tabla3[[#This Row],[n2]],Tabla1[[#This Row],[longitud]]=Tabla3[[#This Row],[long]]),"si","no")</f>
        <v>si</v>
      </c>
    </row>
    <row r="862" spans="2:26" ht="15.75" x14ac:dyDescent="0.25">
      <c r="B862" t="s">
        <v>836</v>
      </c>
      <c r="C862" t="s">
        <v>838</v>
      </c>
      <c r="D862" s="19">
        <v>223.17</v>
      </c>
      <c r="E862" s="3" t="s">
        <v>55</v>
      </c>
      <c r="F862" s="3" t="s">
        <v>25</v>
      </c>
      <c r="G862" s="8" t="s">
        <v>57</v>
      </c>
      <c r="H862" s="4" t="s">
        <v>55</v>
      </c>
      <c r="I862" s="5">
        <v>1</v>
      </c>
      <c r="J862" s="8" t="s">
        <v>19</v>
      </c>
      <c r="K862" s="4" t="s">
        <v>55</v>
      </c>
      <c r="L862" s="5">
        <v>1</v>
      </c>
      <c r="M862" s="8"/>
      <c r="N862" s="4"/>
      <c r="O862" s="5"/>
      <c r="P862" s="8"/>
      <c r="Q862" s="4"/>
      <c r="R862" s="5"/>
      <c r="W862" s="67" t="s">
        <v>836</v>
      </c>
      <c r="X862" s="68" t="s">
        <v>838</v>
      </c>
      <c r="Y862" s="69">
        <v>223.17</v>
      </c>
      <c r="Z862" t="str">
        <f>IF(AND(Tabla1[[#This Row],[nudo inicial]]=Tabla3[[#This Row],[n1]],Tabla1[[#This Row],[nudo final]]=Tabla3[[#This Row],[n2]],Tabla1[[#This Row],[longitud]]=Tabla3[[#This Row],[long]]),"si","no")</f>
        <v>si</v>
      </c>
    </row>
    <row r="863" spans="2:26" ht="15.75" x14ac:dyDescent="0.25">
      <c r="B863" t="s">
        <v>838</v>
      </c>
      <c r="C863" t="s">
        <v>839</v>
      </c>
      <c r="D863" s="19">
        <v>242.61</v>
      </c>
      <c r="E863" s="3" t="s">
        <v>53</v>
      </c>
      <c r="F863" s="3" t="s">
        <v>25</v>
      </c>
      <c r="G863" s="8" t="s">
        <v>58</v>
      </c>
      <c r="H863" s="4" t="s">
        <v>55</v>
      </c>
      <c r="I863" s="5">
        <v>1</v>
      </c>
      <c r="J863" s="8" t="s">
        <v>15</v>
      </c>
      <c r="K863" s="4" t="s">
        <v>53</v>
      </c>
      <c r="L863" s="5">
        <v>1</v>
      </c>
      <c r="M863" s="8" t="s">
        <v>32</v>
      </c>
      <c r="N863" s="4" t="s">
        <v>53</v>
      </c>
      <c r="O863" s="5">
        <v>1</v>
      </c>
      <c r="P863" s="8" t="s">
        <v>16</v>
      </c>
      <c r="Q863" s="4" t="s">
        <v>53</v>
      </c>
      <c r="R863" s="5">
        <v>1</v>
      </c>
      <c r="S863" t="s">
        <v>17</v>
      </c>
      <c r="T863" t="s">
        <v>53</v>
      </c>
      <c r="U863">
        <v>1</v>
      </c>
      <c r="W863" s="67" t="s">
        <v>838</v>
      </c>
      <c r="X863" s="68" t="s">
        <v>839</v>
      </c>
      <c r="Y863" s="69">
        <v>242.61</v>
      </c>
      <c r="Z863" t="str">
        <f>IF(AND(Tabla1[[#This Row],[nudo inicial]]=Tabla3[[#This Row],[n1]],Tabla1[[#This Row],[nudo final]]=Tabla3[[#This Row],[n2]],Tabla1[[#This Row],[longitud]]=Tabla3[[#This Row],[long]]),"si","no")</f>
        <v>si</v>
      </c>
    </row>
    <row r="864" spans="2:26" ht="15.75" x14ac:dyDescent="0.25">
      <c r="B864" t="s">
        <v>838</v>
      </c>
      <c r="C864" t="s">
        <v>840</v>
      </c>
      <c r="D864" s="19">
        <v>400.18</v>
      </c>
      <c r="E864" s="3" t="s">
        <v>55</v>
      </c>
      <c r="F864" s="3" t="s">
        <v>25</v>
      </c>
      <c r="G864" s="8" t="s">
        <v>57</v>
      </c>
      <c r="H864" s="4" t="s">
        <v>55</v>
      </c>
      <c r="I864" s="5">
        <v>1</v>
      </c>
      <c r="J864" s="8"/>
      <c r="K864" s="4"/>
      <c r="L864" s="5"/>
      <c r="M864" s="8"/>
      <c r="N864" s="4"/>
      <c r="O864" s="5"/>
      <c r="P864" s="8"/>
      <c r="Q864" s="4"/>
      <c r="R864" s="5"/>
      <c r="W864" s="67" t="s">
        <v>838</v>
      </c>
      <c r="X864" s="68" t="s">
        <v>840</v>
      </c>
      <c r="Y864" s="69">
        <v>400.18</v>
      </c>
      <c r="Z864" t="str">
        <f>IF(AND(Tabla1[[#This Row],[nudo inicial]]=Tabla3[[#This Row],[n1]],Tabla1[[#This Row],[nudo final]]=Tabla3[[#This Row],[n2]],Tabla1[[#This Row],[longitud]]=Tabla3[[#This Row],[long]]),"si","no")</f>
        <v>si</v>
      </c>
    </row>
    <row r="865" spans="2:26" ht="15.75" x14ac:dyDescent="0.25">
      <c r="B865" t="s">
        <v>840</v>
      </c>
      <c r="C865" t="s">
        <v>841</v>
      </c>
      <c r="D865" s="19">
        <v>8.44</v>
      </c>
      <c r="E865" s="3" t="s">
        <v>55</v>
      </c>
      <c r="F865" s="3" t="s">
        <v>25</v>
      </c>
      <c r="G865" s="8" t="s">
        <v>58</v>
      </c>
      <c r="H865" s="4" t="s">
        <v>55</v>
      </c>
      <c r="I865" s="5">
        <v>1</v>
      </c>
      <c r="J865" s="8"/>
      <c r="K865" s="4"/>
      <c r="L865" s="5"/>
      <c r="M865" s="8"/>
      <c r="N865" s="4"/>
      <c r="O865" s="5"/>
      <c r="P865" s="8"/>
      <c r="Q865" s="4"/>
      <c r="R865" s="5"/>
      <c r="W865" s="67" t="s">
        <v>840</v>
      </c>
      <c r="X865" s="68" t="s">
        <v>841</v>
      </c>
      <c r="Y865" s="69">
        <v>8.44</v>
      </c>
      <c r="Z865" t="str">
        <f>IF(AND(Tabla1[[#This Row],[nudo inicial]]=Tabla3[[#This Row],[n1]],Tabla1[[#This Row],[nudo final]]=Tabla3[[#This Row],[n2]],Tabla1[[#This Row],[longitud]]=Tabla3[[#This Row],[long]]),"si","no")</f>
        <v>si</v>
      </c>
    </row>
    <row r="866" spans="2:26" ht="15.75" x14ac:dyDescent="0.25">
      <c r="B866" t="s">
        <v>841</v>
      </c>
      <c r="C866" t="s">
        <v>842</v>
      </c>
      <c r="D866" s="19">
        <v>195.08</v>
      </c>
      <c r="E866" s="3" t="s">
        <v>23</v>
      </c>
      <c r="F866" s="3" t="s">
        <v>25</v>
      </c>
      <c r="G866" s="8" t="s">
        <v>16</v>
      </c>
      <c r="H866" s="4" t="s">
        <v>23</v>
      </c>
      <c r="I866" s="5">
        <v>2</v>
      </c>
      <c r="J866" s="8"/>
      <c r="K866" s="4"/>
      <c r="L866" s="5"/>
      <c r="M866" s="8"/>
      <c r="N866" s="4"/>
      <c r="O866" s="5"/>
      <c r="P866" s="8"/>
      <c r="Q866" s="4"/>
      <c r="R866" s="5"/>
      <c r="W866" s="67" t="s">
        <v>841</v>
      </c>
      <c r="X866" s="68" t="s">
        <v>842</v>
      </c>
      <c r="Y866" s="69">
        <v>195.08</v>
      </c>
      <c r="Z866" t="str">
        <f>IF(AND(Tabla1[[#This Row],[nudo inicial]]=Tabla3[[#This Row],[n1]],Tabla1[[#This Row],[nudo final]]=Tabla3[[#This Row],[n2]],Tabla1[[#This Row],[longitud]]=Tabla3[[#This Row],[long]]),"si","no")</f>
        <v>si</v>
      </c>
    </row>
    <row r="867" spans="2:26" ht="15.75" x14ac:dyDescent="0.25">
      <c r="B867" t="s">
        <v>842</v>
      </c>
      <c r="C867" t="s">
        <v>843</v>
      </c>
      <c r="D867" s="19">
        <v>79.77</v>
      </c>
      <c r="E867" s="3" t="s">
        <v>23</v>
      </c>
      <c r="F867" s="3" t="s">
        <v>25</v>
      </c>
      <c r="G867" s="8" t="s">
        <v>58</v>
      </c>
      <c r="H867" s="4" t="s">
        <v>23</v>
      </c>
      <c r="I867" s="5">
        <v>1</v>
      </c>
      <c r="J867" s="8"/>
      <c r="K867" s="4"/>
      <c r="L867" s="5"/>
      <c r="M867" s="8"/>
      <c r="N867" s="4"/>
      <c r="O867" s="5"/>
      <c r="P867" s="8"/>
      <c r="Q867" s="4"/>
      <c r="R867" s="5"/>
      <c r="W867" s="67" t="s">
        <v>842</v>
      </c>
      <c r="X867" s="68" t="s">
        <v>843</v>
      </c>
      <c r="Y867" s="69">
        <v>79.77</v>
      </c>
      <c r="Z867" t="str">
        <f>IF(AND(Tabla1[[#This Row],[nudo inicial]]=Tabla3[[#This Row],[n1]],Tabla1[[#This Row],[nudo final]]=Tabla3[[#This Row],[n2]],Tabla1[[#This Row],[longitud]]=Tabla3[[#This Row],[long]]),"si","no")</f>
        <v>si</v>
      </c>
    </row>
    <row r="868" spans="2:26" ht="15.75" x14ac:dyDescent="0.25">
      <c r="B868" t="s">
        <v>843</v>
      </c>
      <c r="C868" t="s">
        <v>844</v>
      </c>
      <c r="D868" s="19">
        <v>75.23</v>
      </c>
      <c r="E868" s="3" t="s">
        <v>53</v>
      </c>
      <c r="F868" s="3" t="s">
        <v>25</v>
      </c>
      <c r="G868" s="8" t="s">
        <v>58</v>
      </c>
      <c r="H868" s="4" t="s">
        <v>23</v>
      </c>
      <c r="I868" s="5">
        <v>1</v>
      </c>
      <c r="J868" s="8" t="s">
        <v>15</v>
      </c>
      <c r="K868" s="4" t="s">
        <v>53</v>
      </c>
      <c r="L868" s="5">
        <v>1</v>
      </c>
      <c r="M868" s="8" t="s">
        <v>17</v>
      </c>
      <c r="N868" s="4" t="s">
        <v>53</v>
      </c>
      <c r="O868" s="5">
        <v>1</v>
      </c>
      <c r="P868" s="8"/>
      <c r="Q868" s="4"/>
      <c r="R868" s="5"/>
      <c r="W868" s="67" t="s">
        <v>843</v>
      </c>
      <c r="X868" s="68" t="s">
        <v>844</v>
      </c>
      <c r="Y868" s="69">
        <v>75.23</v>
      </c>
      <c r="Z868" t="str">
        <f>IF(AND(Tabla1[[#This Row],[nudo inicial]]=Tabla3[[#This Row],[n1]],Tabla1[[#This Row],[nudo final]]=Tabla3[[#This Row],[n2]],Tabla1[[#This Row],[longitud]]=Tabla3[[#This Row],[long]]),"si","no")</f>
        <v>si</v>
      </c>
    </row>
    <row r="869" spans="2:26" ht="15.75" x14ac:dyDescent="0.25">
      <c r="B869" t="s">
        <v>843</v>
      </c>
      <c r="C869" t="s">
        <v>845</v>
      </c>
      <c r="D869" s="19">
        <v>18.14</v>
      </c>
      <c r="E869" s="3" t="s">
        <v>23</v>
      </c>
      <c r="F869" s="3" t="s">
        <v>25</v>
      </c>
      <c r="G869" s="8" t="s">
        <v>57</v>
      </c>
      <c r="H869" s="4" t="s">
        <v>23</v>
      </c>
      <c r="I869" s="5">
        <v>1</v>
      </c>
      <c r="J869" s="8" t="s">
        <v>16</v>
      </c>
      <c r="K869" s="4" t="s">
        <v>23</v>
      </c>
      <c r="L869" s="5">
        <v>1</v>
      </c>
      <c r="M869" s="8"/>
      <c r="N869" s="4"/>
      <c r="O869" s="5"/>
      <c r="P869" s="8"/>
      <c r="Q869" s="4"/>
      <c r="R869" s="5"/>
      <c r="W869" s="67" t="s">
        <v>843</v>
      </c>
      <c r="X869" s="68" t="s">
        <v>845</v>
      </c>
      <c r="Y869" s="69">
        <v>18.14</v>
      </c>
      <c r="Z869" t="str">
        <f>IF(AND(Tabla1[[#This Row],[nudo inicial]]=Tabla3[[#This Row],[n1]],Tabla1[[#This Row],[nudo final]]=Tabla3[[#This Row],[n2]],Tabla1[[#This Row],[longitud]]=Tabla3[[#This Row],[long]]),"si","no")</f>
        <v>si</v>
      </c>
    </row>
    <row r="870" spans="2:26" ht="15.75" x14ac:dyDescent="0.25">
      <c r="B870" t="s">
        <v>845</v>
      </c>
      <c r="C870" t="s">
        <v>846</v>
      </c>
      <c r="D870" s="19">
        <v>115.78</v>
      </c>
      <c r="E870" s="3" t="s">
        <v>53</v>
      </c>
      <c r="F870" s="3" t="s">
        <v>25</v>
      </c>
      <c r="G870" s="8" t="s">
        <v>58</v>
      </c>
      <c r="H870" s="4" t="s">
        <v>23</v>
      </c>
      <c r="I870" s="5">
        <v>1</v>
      </c>
      <c r="J870" s="8" t="s">
        <v>15</v>
      </c>
      <c r="K870" s="4" t="s">
        <v>53</v>
      </c>
      <c r="L870" s="5">
        <v>1</v>
      </c>
      <c r="M870" s="8" t="s">
        <v>32</v>
      </c>
      <c r="N870" s="4" t="s">
        <v>53</v>
      </c>
      <c r="O870" s="5">
        <v>1</v>
      </c>
      <c r="P870" s="8" t="s">
        <v>16</v>
      </c>
      <c r="Q870" s="4" t="s">
        <v>53</v>
      </c>
      <c r="R870" s="5">
        <v>1</v>
      </c>
      <c r="W870" s="67" t="s">
        <v>845</v>
      </c>
      <c r="X870" s="68" t="s">
        <v>846</v>
      </c>
      <c r="Y870" s="69">
        <v>115.78</v>
      </c>
      <c r="Z870" t="str">
        <f>IF(AND(Tabla1[[#This Row],[nudo inicial]]=Tabla3[[#This Row],[n1]],Tabla1[[#This Row],[nudo final]]=Tabla3[[#This Row],[n2]],Tabla1[[#This Row],[longitud]]=Tabla3[[#This Row],[long]]),"si","no")</f>
        <v>si</v>
      </c>
    </row>
    <row r="871" spans="2:26" ht="15.75" x14ac:dyDescent="0.25">
      <c r="B871" t="s">
        <v>846</v>
      </c>
      <c r="C871" t="s">
        <v>847</v>
      </c>
      <c r="D871" s="19">
        <v>49.18</v>
      </c>
      <c r="E871" s="3" t="s">
        <v>53</v>
      </c>
      <c r="F871" s="3" t="s">
        <v>25</v>
      </c>
      <c r="G871" s="8" t="s">
        <v>58</v>
      </c>
      <c r="H871" s="4" t="s">
        <v>53</v>
      </c>
      <c r="I871" s="5">
        <v>1</v>
      </c>
      <c r="J871" s="8" t="s">
        <v>17</v>
      </c>
      <c r="K871" s="4" t="s">
        <v>53</v>
      </c>
      <c r="L871" s="5">
        <v>1</v>
      </c>
      <c r="M871" s="8"/>
      <c r="N871" s="4"/>
      <c r="O871" s="5"/>
      <c r="P871" s="8"/>
      <c r="Q871" s="4"/>
      <c r="R871" s="5"/>
      <c r="W871" s="67" t="s">
        <v>846</v>
      </c>
      <c r="X871" s="68" t="s">
        <v>847</v>
      </c>
      <c r="Y871" s="69">
        <v>49.18</v>
      </c>
      <c r="Z871" t="str">
        <f>IF(AND(Tabla1[[#This Row],[nudo inicial]]=Tabla3[[#This Row],[n1]],Tabla1[[#This Row],[nudo final]]=Tabla3[[#This Row],[n2]],Tabla1[[#This Row],[longitud]]=Tabla3[[#This Row],[long]]),"si","no")</f>
        <v>si</v>
      </c>
    </row>
    <row r="872" spans="2:26" ht="15.75" x14ac:dyDescent="0.25">
      <c r="B872" t="s">
        <v>846</v>
      </c>
      <c r="C872" t="s">
        <v>848</v>
      </c>
      <c r="D872" s="19">
        <v>87.68</v>
      </c>
      <c r="E872" s="3" t="s">
        <v>53</v>
      </c>
      <c r="F872" s="3" t="s">
        <v>25</v>
      </c>
      <c r="G872" s="8" t="s">
        <v>57</v>
      </c>
      <c r="H872" s="4" t="s">
        <v>53</v>
      </c>
      <c r="I872" s="5">
        <v>1</v>
      </c>
      <c r="J872" s="8"/>
      <c r="K872" s="4"/>
      <c r="L872" s="5"/>
      <c r="M872" s="8"/>
      <c r="N872" s="4"/>
      <c r="O872" s="5"/>
      <c r="P872" s="8"/>
      <c r="Q872" s="4"/>
      <c r="R872" s="5"/>
      <c r="W872" s="67" t="s">
        <v>846</v>
      </c>
      <c r="X872" s="68" t="s">
        <v>848</v>
      </c>
      <c r="Y872" s="69">
        <v>87.68</v>
      </c>
      <c r="Z872" t="str">
        <f>IF(AND(Tabla1[[#This Row],[nudo inicial]]=Tabla3[[#This Row],[n1]],Tabla1[[#This Row],[nudo final]]=Tabla3[[#This Row],[n2]],Tabla1[[#This Row],[longitud]]=Tabla3[[#This Row],[long]]),"si","no")</f>
        <v>si</v>
      </c>
    </row>
    <row r="873" spans="2:26" ht="15.75" x14ac:dyDescent="0.25">
      <c r="B873" t="s">
        <v>848</v>
      </c>
      <c r="C873" t="s">
        <v>849</v>
      </c>
      <c r="D873" s="19">
        <v>57.33</v>
      </c>
      <c r="E873" s="3" t="s">
        <v>53</v>
      </c>
      <c r="F873" s="3" t="s">
        <v>25</v>
      </c>
      <c r="G873" s="8" t="s">
        <v>58</v>
      </c>
      <c r="H873" s="4" t="s">
        <v>53</v>
      </c>
      <c r="I873" s="5">
        <v>1</v>
      </c>
      <c r="J873" s="8" t="s">
        <v>17</v>
      </c>
      <c r="K873" s="4" t="s">
        <v>53</v>
      </c>
      <c r="L873" s="5">
        <v>1</v>
      </c>
      <c r="M873" s="8"/>
      <c r="N873" s="4"/>
      <c r="O873" s="5"/>
      <c r="P873" s="8"/>
      <c r="Q873" s="4"/>
      <c r="R873" s="5"/>
      <c r="W873" s="67" t="s">
        <v>848</v>
      </c>
      <c r="X873" s="68" t="s">
        <v>849</v>
      </c>
      <c r="Y873" s="69">
        <v>57.33</v>
      </c>
      <c r="Z873" t="str">
        <f>IF(AND(Tabla1[[#This Row],[nudo inicial]]=Tabla3[[#This Row],[n1]],Tabla1[[#This Row],[nudo final]]=Tabla3[[#This Row],[n2]],Tabla1[[#This Row],[longitud]]=Tabla3[[#This Row],[long]]),"si","no")</f>
        <v>si</v>
      </c>
    </row>
    <row r="874" spans="2:26" ht="15.75" x14ac:dyDescent="0.25">
      <c r="B874" t="s">
        <v>848</v>
      </c>
      <c r="C874" t="s">
        <v>850</v>
      </c>
      <c r="D874" s="19">
        <v>90.19</v>
      </c>
      <c r="E874" s="3" t="s">
        <v>53</v>
      </c>
      <c r="F874" s="3" t="s">
        <v>25</v>
      </c>
      <c r="G874" s="8" t="s">
        <v>58</v>
      </c>
      <c r="H874" s="4" t="s">
        <v>53</v>
      </c>
      <c r="I874" s="5">
        <v>1</v>
      </c>
      <c r="J874" s="8" t="s">
        <v>16</v>
      </c>
      <c r="K874" s="4" t="s">
        <v>53</v>
      </c>
      <c r="L874" s="5">
        <v>2</v>
      </c>
      <c r="M874" s="8" t="s">
        <v>17</v>
      </c>
      <c r="N874" s="4" t="s">
        <v>53</v>
      </c>
      <c r="O874" s="5">
        <v>1</v>
      </c>
      <c r="P874" s="8"/>
      <c r="Q874" s="4"/>
      <c r="R874" s="5"/>
      <c r="W874" s="67" t="s">
        <v>848</v>
      </c>
      <c r="X874" s="68" t="s">
        <v>850</v>
      </c>
      <c r="Y874" s="69">
        <v>90.19</v>
      </c>
      <c r="Z874" t="str">
        <f>IF(AND(Tabla1[[#This Row],[nudo inicial]]=Tabla3[[#This Row],[n1]],Tabla1[[#This Row],[nudo final]]=Tabla3[[#This Row],[n2]],Tabla1[[#This Row],[longitud]]=Tabla3[[#This Row],[long]]),"si","no")</f>
        <v>si</v>
      </c>
    </row>
    <row r="875" spans="2:26" ht="15.75" x14ac:dyDescent="0.25">
      <c r="B875" t="s">
        <v>845</v>
      </c>
      <c r="C875" t="s">
        <v>851</v>
      </c>
      <c r="D875" s="19">
        <v>58.43</v>
      </c>
      <c r="E875" s="3" t="s">
        <v>23</v>
      </c>
      <c r="F875" s="3" t="s">
        <v>25</v>
      </c>
      <c r="G875" s="8" t="s">
        <v>57</v>
      </c>
      <c r="H875" s="4" t="s">
        <v>23</v>
      </c>
      <c r="I875" s="5">
        <v>1</v>
      </c>
      <c r="J875" s="8"/>
      <c r="K875" s="4"/>
      <c r="L875" s="5"/>
      <c r="M875" s="8"/>
      <c r="N875" s="4"/>
      <c r="O875" s="5"/>
      <c r="P875" s="8"/>
      <c r="Q875" s="4"/>
      <c r="R875" s="5"/>
      <c r="W875" s="67" t="s">
        <v>845</v>
      </c>
      <c r="X875" s="68" t="s">
        <v>851</v>
      </c>
      <c r="Y875" s="69">
        <v>58.43</v>
      </c>
      <c r="Z875" t="str">
        <f>IF(AND(Tabla1[[#This Row],[nudo inicial]]=Tabla3[[#This Row],[n1]],Tabla1[[#This Row],[nudo final]]=Tabla3[[#This Row],[n2]],Tabla1[[#This Row],[longitud]]=Tabla3[[#This Row],[long]]),"si","no")</f>
        <v>si</v>
      </c>
    </row>
    <row r="876" spans="2:26" ht="15.75" x14ac:dyDescent="0.25">
      <c r="B876" t="s">
        <v>851</v>
      </c>
      <c r="C876" t="s">
        <v>852</v>
      </c>
      <c r="D876" s="19">
        <v>65.36</v>
      </c>
      <c r="E876" s="3" t="s">
        <v>23</v>
      </c>
      <c r="F876" s="3" t="s">
        <v>25</v>
      </c>
      <c r="G876" s="8" t="s">
        <v>57</v>
      </c>
      <c r="H876" s="4" t="s">
        <v>23</v>
      </c>
      <c r="I876" s="5">
        <v>1</v>
      </c>
      <c r="J876" s="8"/>
      <c r="K876" s="4"/>
      <c r="L876" s="5"/>
      <c r="M876" s="8"/>
      <c r="N876" s="4"/>
      <c r="O876" s="5"/>
      <c r="P876" s="8"/>
      <c r="Q876" s="4"/>
      <c r="R876" s="5"/>
      <c r="W876" s="67" t="s">
        <v>851</v>
      </c>
      <c r="X876" s="68" t="s">
        <v>852</v>
      </c>
      <c r="Y876" s="69">
        <v>65.36</v>
      </c>
      <c r="Z876" t="str">
        <f>IF(AND(Tabla1[[#This Row],[nudo inicial]]=Tabla3[[#This Row],[n1]],Tabla1[[#This Row],[nudo final]]=Tabla3[[#This Row],[n2]],Tabla1[[#This Row],[longitud]]=Tabla3[[#This Row],[long]]),"si","no")</f>
        <v>si</v>
      </c>
    </row>
    <row r="877" spans="2:26" ht="15.75" x14ac:dyDescent="0.25">
      <c r="B877" t="s">
        <v>852</v>
      </c>
      <c r="C877" t="s">
        <v>853</v>
      </c>
      <c r="D877" s="19">
        <v>27.72</v>
      </c>
      <c r="E877" s="3" t="s">
        <v>53</v>
      </c>
      <c r="F877" s="3" t="s">
        <v>25</v>
      </c>
      <c r="G877" s="8" t="s">
        <v>58</v>
      </c>
      <c r="H877" s="4" t="s">
        <v>23</v>
      </c>
      <c r="I877" s="5">
        <v>1</v>
      </c>
      <c r="J877" s="8" t="s">
        <v>15</v>
      </c>
      <c r="K877" s="4" t="s">
        <v>53</v>
      </c>
      <c r="L877" s="5">
        <v>1</v>
      </c>
      <c r="M877" s="8" t="s">
        <v>17</v>
      </c>
      <c r="N877" s="4" t="s">
        <v>53</v>
      </c>
      <c r="O877" s="5">
        <v>1</v>
      </c>
      <c r="P877" s="8"/>
      <c r="Q877" s="4"/>
      <c r="R877" s="5"/>
      <c r="W877" s="67" t="s">
        <v>852</v>
      </c>
      <c r="X877" s="68" t="s">
        <v>853</v>
      </c>
      <c r="Y877" s="69">
        <v>27.72</v>
      </c>
      <c r="Z877" t="str">
        <f>IF(AND(Tabla1[[#This Row],[nudo inicial]]=Tabla3[[#This Row],[n1]],Tabla1[[#This Row],[nudo final]]=Tabla3[[#This Row],[n2]],Tabla1[[#This Row],[longitud]]=Tabla3[[#This Row],[long]]),"si","no")</f>
        <v>si</v>
      </c>
    </row>
    <row r="878" spans="2:26" ht="15.75" x14ac:dyDescent="0.25">
      <c r="B878" t="s">
        <v>852</v>
      </c>
      <c r="C878" t="s">
        <v>854</v>
      </c>
      <c r="D878" s="19">
        <v>47.07</v>
      </c>
      <c r="E878" s="3" t="s">
        <v>23</v>
      </c>
      <c r="F878" s="3" t="s">
        <v>25</v>
      </c>
      <c r="G878" s="8" t="s">
        <v>57</v>
      </c>
      <c r="H878" s="4" t="s">
        <v>23</v>
      </c>
      <c r="I878" s="5">
        <v>1</v>
      </c>
      <c r="J878" s="8"/>
      <c r="K878" s="4"/>
      <c r="L878" s="5"/>
      <c r="M878" s="8"/>
      <c r="N878" s="4"/>
      <c r="O878" s="5"/>
      <c r="P878" s="8"/>
      <c r="Q878" s="4"/>
      <c r="R878" s="5"/>
      <c r="W878" s="67" t="s">
        <v>852</v>
      </c>
      <c r="X878" s="68" t="s">
        <v>854</v>
      </c>
      <c r="Y878" s="69">
        <v>47.07</v>
      </c>
      <c r="Z878" t="str">
        <f>IF(AND(Tabla1[[#This Row],[nudo inicial]]=Tabla3[[#This Row],[n1]],Tabla1[[#This Row],[nudo final]]=Tabla3[[#This Row],[n2]],Tabla1[[#This Row],[longitud]]=Tabla3[[#This Row],[long]]),"si","no")</f>
        <v>si</v>
      </c>
    </row>
    <row r="879" spans="2:26" ht="15.75" x14ac:dyDescent="0.25">
      <c r="B879" t="s">
        <v>854</v>
      </c>
      <c r="C879" t="s">
        <v>855</v>
      </c>
      <c r="D879" s="19">
        <v>187.57</v>
      </c>
      <c r="E879" s="3" t="s">
        <v>376</v>
      </c>
      <c r="F879" s="3" t="s">
        <v>25</v>
      </c>
      <c r="G879" s="8" t="s">
        <v>58</v>
      </c>
      <c r="H879" s="4" t="s">
        <v>23</v>
      </c>
      <c r="I879" s="5">
        <v>1</v>
      </c>
      <c r="J879" s="8" t="s">
        <v>15</v>
      </c>
      <c r="K879" s="4" t="s">
        <v>376</v>
      </c>
      <c r="L879" s="5">
        <v>2</v>
      </c>
      <c r="M879" s="8" t="s">
        <v>16</v>
      </c>
      <c r="N879" s="4" t="s">
        <v>376</v>
      </c>
      <c r="O879" s="5">
        <v>2</v>
      </c>
      <c r="P879" s="8"/>
      <c r="Q879" s="4"/>
      <c r="R879" s="5"/>
      <c r="W879" s="67" t="s">
        <v>854</v>
      </c>
      <c r="X879" s="68" t="s">
        <v>855</v>
      </c>
      <c r="Y879" s="69">
        <v>187.57</v>
      </c>
      <c r="Z879" t="str">
        <f>IF(AND(Tabla1[[#This Row],[nudo inicial]]=Tabla3[[#This Row],[n1]],Tabla1[[#This Row],[nudo final]]=Tabla3[[#This Row],[n2]],Tabla1[[#This Row],[longitud]]=Tabla3[[#This Row],[long]]),"si","no")</f>
        <v>si</v>
      </c>
    </row>
    <row r="880" spans="2:26" ht="15.75" x14ac:dyDescent="0.25">
      <c r="B880" t="s">
        <v>855</v>
      </c>
      <c r="C880" t="s">
        <v>856</v>
      </c>
      <c r="D880" s="19">
        <v>362.9</v>
      </c>
      <c r="E880" s="3" t="s">
        <v>23</v>
      </c>
      <c r="F880" s="3" t="s">
        <v>25</v>
      </c>
      <c r="G880" s="8" t="s">
        <v>16</v>
      </c>
      <c r="H880" s="4" t="s">
        <v>23</v>
      </c>
      <c r="I880" s="5">
        <v>1</v>
      </c>
      <c r="J880" s="8" t="s">
        <v>17</v>
      </c>
      <c r="K880" s="4" t="s">
        <v>23</v>
      </c>
      <c r="L880" s="5">
        <v>1</v>
      </c>
      <c r="M880" s="8"/>
      <c r="N880" s="4"/>
      <c r="O880" s="5"/>
      <c r="P880" s="8"/>
      <c r="Q880" s="4"/>
      <c r="R880" s="5"/>
      <c r="W880" s="67" t="s">
        <v>855</v>
      </c>
      <c r="X880" s="68" t="s">
        <v>856</v>
      </c>
      <c r="Y880" s="69">
        <v>362.9</v>
      </c>
      <c r="Z880" t="str">
        <f>IF(AND(Tabla1[[#This Row],[nudo inicial]]=Tabla3[[#This Row],[n1]],Tabla1[[#This Row],[nudo final]]=Tabla3[[#This Row],[n2]],Tabla1[[#This Row],[longitud]]=Tabla3[[#This Row],[long]]),"si","no")</f>
        <v>si</v>
      </c>
    </row>
    <row r="881" spans="2:26" ht="15.75" x14ac:dyDescent="0.25">
      <c r="B881" t="s">
        <v>854</v>
      </c>
      <c r="C881" t="s">
        <v>857</v>
      </c>
      <c r="D881" s="19">
        <v>12.33</v>
      </c>
      <c r="E881" s="3" t="s">
        <v>23</v>
      </c>
      <c r="F881" s="3" t="s">
        <v>25</v>
      </c>
      <c r="G881" s="8" t="s">
        <v>57</v>
      </c>
      <c r="H881" s="4" t="s">
        <v>23</v>
      </c>
      <c r="I881" s="5">
        <v>1</v>
      </c>
      <c r="J881" s="8" t="s">
        <v>32</v>
      </c>
      <c r="K881" s="4" t="s">
        <v>23</v>
      </c>
      <c r="L881" s="5">
        <v>1</v>
      </c>
      <c r="M881" s="8"/>
      <c r="N881" s="4"/>
      <c r="O881" s="5"/>
      <c r="P881" s="8"/>
      <c r="Q881" s="4"/>
      <c r="R881" s="5"/>
      <c r="W881" s="67" t="s">
        <v>854</v>
      </c>
      <c r="X881" s="68" t="s">
        <v>857</v>
      </c>
      <c r="Y881" s="69">
        <v>12.33</v>
      </c>
      <c r="Z881" t="str">
        <f>IF(AND(Tabla1[[#This Row],[nudo inicial]]=Tabla3[[#This Row],[n1]],Tabla1[[#This Row],[nudo final]]=Tabla3[[#This Row],[n2]],Tabla1[[#This Row],[longitud]]=Tabla3[[#This Row],[long]]),"si","no")</f>
        <v>si</v>
      </c>
    </row>
    <row r="882" spans="2:26" ht="15.75" x14ac:dyDescent="0.25">
      <c r="B882" t="s">
        <v>857</v>
      </c>
      <c r="C882" t="s">
        <v>858</v>
      </c>
      <c r="D882" s="19">
        <v>54.23</v>
      </c>
      <c r="E882" s="3" t="s">
        <v>56</v>
      </c>
      <c r="F882" s="3" t="s">
        <v>25</v>
      </c>
      <c r="G882" s="8" t="s">
        <v>20</v>
      </c>
      <c r="H882" s="4" t="s">
        <v>23</v>
      </c>
      <c r="I882" s="5">
        <v>1</v>
      </c>
      <c r="J882" s="8" t="s">
        <v>17</v>
      </c>
      <c r="K882" s="4" t="s">
        <v>56</v>
      </c>
      <c r="L882" s="5">
        <v>1</v>
      </c>
      <c r="M882" s="8" t="s">
        <v>15</v>
      </c>
      <c r="N882" s="4" t="s">
        <v>56</v>
      </c>
      <c r="O882" s="5">
        <v>1</v>
      </c>
      <c r="P882" s="8"/>
      <c r="Q882" s="4"/>
      <c r="R882" s="5"/>
      <c r="W882" s="67" t="s">
        <v>857</v>
      </c>
      <c r="X882" s="68" t="s">
        <v>858</v>
      </c>
      <c r="Y882" s="69">
        <v>54.23</v>
      </c>
      <c r="Z882" t="str">
        <f>IF(AND(Tabla1[[#This Row],[nudo inicial]]=Tabla3[[#This Row],[n1]],Tabla1[[#This Row],[nudo final]]=Tabla3[[#This Row],[n2]],Tabla1[[#This Row],[longitud]]=Tabla3[[#This Row],[long]]),"si","no")</f>
        <v>si</v>
      </c>
    </row>
    <row r="883" spans="2:26" ht="15.75" x14ac:dyDescent="0.25">
      <c r="B883" t="s">
        <v>857</v>
      </c>
      <c r="C883" t="s">
        <v>859</v>
      </c>
      <c r="D883" s="19">
        <v>52.14</v>
      </c>
      <c r="E883" s="3" t="s">
        <v>23</v>
      </c>
      <c r="F883" s="3" t="s">
        <v>25</v>
      </c>
      <c r="G883" s="8" t="s">
        <v>16</v>
      </c>
      <c r="H883" s="4" t="s">
        <v>23</v>
      </c>
      <c r="I883" s="5">
        <v>1</v>
      </c>
      <c r="J883" s="8"/>
      <c r="K883" s="4"/>
      <c r="L883" s="5"/>
      <c r="M883" s="8"/>
      <c r="N883" s="4"/>
      <c r="O883" s="5"/>
      <c r="P883" s="8"/>
      <c r="Q883" s="4"/>
      <c r="R883" s="5"/>
      <c r="W883" s="67" t="s">
        <v>857</v>
      </c>
      <c r="X883" s="68" t="s">
        <v>859</v>
      </c>
      <c r="Y883" s="69">
        <v>52.14</v>
      </c>
      <c r="Z883" t="str">
        <f>IF(AND(Tabla1[[#This Row],[nudo inicial]]=Tabla3[[#This Row],[n1]],Tabla1[[#This Row],[nudo final]]=Tabla3[[#This Row],[n2]],Tabla1[[#This Row],[longitud]]=Tabla3[[#This Row],[long]]),"si","no")</f>
        <v>si</v>
      </c>
    </row>
    <row r="884" spans="2:26" ht="15.75" x14ac:dyDescent="0.25">
      <c r="B884" t="s">
        <v>859</v>
      </c>
      <c r="C884" t="s">
        <v>860</v>
      </c>
      <c r="D884" s="19">
        <v>167.43</v>
      </c>
      <c r="E884" s="3" t="s">
        <v>23</v>
      </c>
      <c r="F884" s="3" t="s">
        <v>28</v>
      </c>
      <c r="G884" s="8" t="s">
        <v>32</v>
      </c>
      <c r="H884" s="4" t="s">
        <v>23</v>
      </c>
      <c r="I884" s="5">
        <v>1</v>
      </c>
      <c r="J884" s="8" t="s">
        <v>6</v>
      </c>
      <c r="K884" s="4" t="s">
        <v>55</v>
      </c>
      <c r="L884" s="5">
        <v>1</v>
      </c>
      <c r="M884" s="8"/>
      <c r="N884" s="4"/>
      <c r="O884" s="5"/>
      <c r="P884" s="8"/>
      <c r="Q884" s="4"/>
      <c r="R884" s="5"/>
      <c r="W884" s="67" t="s">
        <v>859</v>
      </c>
      <c r="X884" s="68" t="s">
        <v>860</v>
      </c>
      <c r="Y884" s="69">
        <v>167.43</v>
      </c>
      <c r="Z884" t="str">
        <f>IF(AND(Tabla1[[#This Row],[nudo inicial]]=Tabla3[[#This Row],[n1]],Tabla1[[#This Row],[nudo final]]=Tabla3[[#This Row],[n2]],Tabla1[[#This Row],[longitud]]=Tabla3[[#This Row],[long]]),"si","no")</f>
        <v>si</v>
      </c>
    </row>
    <row r="885" spans="2:26" ht="15.75" x14ac:dyDescent="0.25">
      <c r="B885" t="s">
        <v>860</v>
      </c>
      <c r="C885" t="s">
        <v>861</v>
      </c>
      <c r="D885" s="19">
        <v>4.4000000000000004</v>
      </c>
      <c r="E885" s="3" t="s">
        <v>55</v>
      </c>
      <c r="F885" s="3" t="s">
        <v>28</v>
      </c>
      <c r="G885" s="8" t="s">
        <v>58</v>
      </c>
      <c r="H885" s="4" t="s">
        <v>55</v>
      </c>
      <c r="I885" s="5">
        <v>1</v>
      </c>
      <c r="J885" s="8"/>
      <c r="K885" s="4"/>
      <c r="L885" s="5"/>
      <c r="M885" s="8"/>
      <c r="N885" s="4"/>
      <c r="O885" s="5"/>
      <c r="P885" s="8"/>
      <c r="Q885" s="4"/>
      <c r="R885" s="5"/>
      <c r="W885" s="67" t="s">
        <v>860</v>
      </c>
      <c r="X885" s="68" t="s">
        <v>861</v>
      </c>
      <c r="Y885" s="69">
        <v>4.4000000000000004</v>
      </c>
      <c r="Z885" t="str">
        <f>IF(AND(Tabla1[[#This Row],[nudo inicial]]=Tabla3[[#This Row],[n1]],Tabla1[[#This Row],[nudo final]]=Tabla3[[#This Row],[n2]],Tabla1[[#This Row],[longitud]]=Tabla3[[#This Row],[long]]),"si","no")</f>
        <v>si</v>
      </c>
    </row>
    <row r="886" spans="2:26" ht="15.75" x14ac:dyDescent="0.25">
      <c r="B886" t="s">
        <v>861</v>
      </c>
      <c r="C886" t="s">
        <v>862</v>
      </c>
      <c r="D886" s="19">
        <v>37.479999999999997</v>
      </c>
      <c r="E886" s="3" t="s">
        <v>55</v>
      </c>
      <c r="F886" s="3" t="s">
        <v>28</v>
      </c>
      <c r="G886" s="8" t="s">
        <v>57</v>
      </c>
      <c r="H886" s="4" t="s">
        <v>55</v>
      </c>
      <c r="I886" s="5">
        <v>1</v>
      </c>
      <c r="J886" s="8"/>
      <c r="K886" s="4"/>
      <c r="L886" s="5"/>
      <c r="M886" s="8"/>
      <c r="N886" s="4"/>
      <c r="O886" s="5"/>
      <c r="P886" s="8"/>
      <c r="Q886" s="4"/>
      <c r="R886" s="5"/>
      <c r="W886" s="67" t="s">
        <v>861</v>
      </c>
      <c r="X886" s="68" t="s">
        <v>862</v>
      </c>
      <c r="Y886" s="69">
        <v>37.479999999999997</v>
      </c>
      <c r="Z886" t="str">
        <f>IF(AND(Tabla1[[#This Row],[nudo inicial]]=Tabla3[[#This Row],[n1]],Tabla1[[#This Row],[nudo final]]=Tabla3[[#This Row],[n2]],Tabla1[[#This Row],[longitud]]=Tabla3[[#This Row],[long]]),"si","no")</f>
        <v>si</v>
      </c>
    </row>
    <row r="887" spans="2:26" ht="15.75" x14ac:dyDescent="0.25">
      <c r="B887" t="s">
        <v>862</v>
      </c>
      <c r="C887" t="s">
        <v>863</v>
      </c>
      <c r="D887" s="19">
        <v>18.420000000000002</v>
      </c>
      <c r="E887" s="3" t="s">
        <v>53</v>
      </c>
      <c r="F887" s="3" t="s">
        <v>27</v>
      </c>
      <c r="G887" s="8" t="s">
        <v>58</v>
      </c>
      <c r="H887" s="4" t="s">
        <v>55</v>
      </c>
      <c r="I887" s="5">
        <v>1</v>
      </c>
      <c r="J887" s="8" t="s">
        <v>15</v>
      </c>
      <c r="K887" s="4" t="s">
        <v>53</v>
      </c>
      <c r="L887" s="5">
        <v>1</v>
      </c>
      <c r="M887" s="8" t="s">
        <v>32</v>
      </c>
      <c r="N887" s="4" t="s">
        <v>53</v>
      </c>
      <c r="O887" s="5">
        <v>1</v>
      </c>
      <c r="P887" s="8"/>
      <c r="Q887" s="4"/>
      <c r="R887" s="5"/>
      <c r="W887" s="67" t="s">
        <v>862</v>
      </c>
      <c r="X887" s="68" t="s">
        <v>863</v>
      </c>
      <c r="Y887" s="69">
        <v>18.420000000000002</v>
      </c>
      <c r="Z887" t="str">
        <f>IF(AND(Tabla1[[#This Row],[nudo inicial]]=Tabla3[[#This Row],[n1]],Tabla1[[#This Row],[nudo final]]=Tabla3[[#This Row],[n2]],Tabla1[[#This Row],[longitud]]=Tabla3[[#This Row],[long]]),"si","no")</f>
        <v>si</v>
      </c>
    </row>
    <row r="888" spans="2:26" ht="15.75" x14ac:dyDescent="0.25">
      <c r="B888" t="s">
        <v>863</v>
      </c>
      <c r="C888" t="s">
        <v>864</v>
      </c>
      <c r="D888" s="19">
        <v>41.86</v>
      </c>
      <c r="E888" s="3" t="s">
        <v>53</v>
      </c>
      <c r="F888" s="3" t="s">
        <v>25</v>
      </c>
      <c r="G888" s="8"/>
      <c r="H888" s="4"/>
      <c r="I888" s="5"/>
      <c r="J888" s="8"/>
      <c r="K888" s="4"/>
      <c r="L888" s="5"/>
      <c r="M888" s="8"/>
      <c r="N888" s="4"/>
      <c r="O888" s="5"/>
      <c r="P888" s="8"/>
      <c r="Q888" s="4"/>
      <c r="R888" s="5"/>
      <c r="W888" s="67" t="s">
        <v>863</v>
      </c>
      <c r="X888" s="68" t="s">
        <v>864</v>
      </c>
      <c r="Y888" s="69">
        <v>41.86</v>
      </c>
      <c r="Z888" t="str">
        <f>IF(AND(Tabla1[[#This Row],[nudo inicial]]=Tabla3[[#This Row],[n1]],Tabla1[[#This Row],[nudo final]]=Tabla3[[#This Row],[n2]],Tabla1[[#This Row],[longitud]]=Tabla3[[#This Row],[long]]),"si","no")</f>
        <v>si</v>
      </c>
    </row>
    <row r="889" spans="2:26" ht="15.75" x14ac:dyDescent="0.25">
      <c r="B889" t="s">
        <v>864</v>
      </c>
      <c r="C889" t="s">
        <v>865</v>
      </c>
      <c r="D889" s="19">
        <v>97.83</v>
      </c>
      <c r="E889" s="3" t="s">
        <v>53</v>
      </c>
      <c r="F889" s="3" t="s">
        <v>25</v>
      </c>
      <c r="G889" s="8" t="s">
        <v>58</v>
      </c>
      <c r="H889" s="4" t="s">
        <v>53</v>
      </c>
      <c r="I889" s="5">
        <v>1</v>
      </c>
      <c r="J889" s="8" t="s">
        <v>17</v>
      </c>
      <c r="K889" s="4" t="s">
        <v>53</v>
      </c>
      <c r="L889" s="5">
        <v>1</v>
      </c>
      <c r="M889" s="8"/>
      <c r="N889" s="4"/>
      <c r="O889" s="5"/>
      <c r="P889" s="8"/>
      <c r="Q889" s="4"/>
      <c r="R889" s="5"/>
      <c r="W889" s="67" t="s">
        <v>864</v>
      </c>
      <c r="X889" s="68" t="s">
        <v>865</v>
      </c>
      <c r="Y889" s="69">
        <v>97.83</v>
      </c>
      <c r="Z889" t="str">
        <f>IF(AND(Tabla1[[#This Row],[nudo inicial]]=Tabla3[[#This Row],[n1]],Tabla1[[#This Row],[nudo final]]=Tabla3[[#This Row],[n2]],Tabla1[[#This Row],[longitud]]=Tabla3[[#This Row],[long]]),"si","no")</f>
        <v>si</v>
      </c>
    </row>
    <row r="890" spans="2:26" ht="15.75" x14ac:dyDescent="0.25">
      <c r="B890" t="s">
        <v>864</v>
      </c>
      <c r="C890" t="s">
        <v>866</v>
      </c>
      <c r="D890" s="19">
        <v>99.31</v>
      </c>
      <c r="E890" s="3" t="s">
        <v>53</v>
      </c>
      <c r="F890" s="3" t="s">
        <v>25</v>
      </c>
      <c r="G890" s="8" t="s">
        <v>57</v>
      </c>
      <c r="H890" s="4" t="s">
        <v>53</v>
      </c>
      <c r="I890" s="5">
        <v>1</v>
      </c>
      <c r="J890" s="8"/>
      <c r="K890" s="4"/>
      <c r="L890" s="5"/>
      <c r="M890" s="8"/>
      <c r="N890" s="4"/>
      <c r="O890" s="5"/>
      <c r="P890" s="8"/>
      <c r="Q890" s="4"/>
      <c r="R890" s="5"/>
      <c r="W890" s="67" t="s">
        <v>864</v>
      </c>
      <c r="X890" s="68" t="s">
        <v>866</v>
      </c>
      <c r="Y890" s="69">
        <v>99.31</v>
      </c>
      <c r="Z890" t="str">
        <f>IF(AND(Tabla1[[#This Row],[nudo inicial]]=Tabla3[[#This Row],[n1]],Tabla1[[#This Row],[nudo final]]=Tabla3[[#This Row],[n2]],Tabla1[[#This Row],[longitud]]=Tabla3[[#This Row],[long]]),"si","no")</f>
        <v>si</v>
      </c>
    </row>
    <row r="891" spans="2:26" ht="15.75" x14ac:dyDescent="0.25">
      <c r="B891" t="s">
        <v>866</v>
      </c>
      <c r="C891" t="s">
        <v>867</v>
      </c>
      <c r="D891" s="19">
        <v>123.64</v>
      </c>
      <c r="E891" s="3" t="s">
        <v>53</v>
      </c>
      <c r="F891" s="3" t="s">
        <v>25</v>
      </c>
      <c r="G891" s="8" t="s">
        <v>58</v>
      </c>
      <c r="H891" s="4" t="s">
        <v>53</v>
      </c>
      <c r="I891" s="5">
        <v>1</v>
      </c>
      <c r="J891" s="8" t="s">
        <v>32</v>
      </c>
      <c r="K891" s="4" t="s">
        <v>53</v>
      </c>
      <c r="L891" s="5">
        <v>1</v>
      </c>
      <c r="M891" s="8" t="s">
        <v>16</v>
      </c>
      <c r="N891" s="4" t="s">
        <v>53</v>
      </c>
      <c r="O891" s="5">
        <v>2</v>
      </c>
      <c r="P891" s="8" t="s">
        <v>17</v>
      </c>
      <c r="Q891" s="4" t="s">
        <v>53</v>
      </c>
      <c r="R891" s="5">
        <v>1</v>
      </c>
      <c r="W891" s="67" t="s">
        <v>866</v>
      </c>
      <c r="X891" s="68" t="s">
        <v>867</v>
      </c>
      <c r="Y891" s="69">
        <v>123.64</v>
      </c>
      <c r="Z891" t="str">
        <f>IF(AND(Tabla1[[#This Row],[nudo inicial]]=Tabla3[[#This Row],[n1]],Tabla1[[#This Row],[nudo final]]=Tabla3[[#This Row],[n2]],Tabla1[[#This Row],[longitud]]=Tabla3[[#This Row],[long]]),"si","no")</f>
        <v>si</v>
      </c>
    </row>
    <row r="892" spans="2:26" ht="15.75" x14ac:dyDescent="0.25">
      <c r="B892" t="s">
        <v>866</v>
      </c>
      <c r="C892" t="s">
        <v>868</v>
      </c>
      <c r="D892" s="19">
        <v>147.08000000000001</v>
      </c>
      <c r="E892" s="3" t="s">
        <v>53</v>
      </c>
      <c r="F892" s="3" t="s">
        <v>25</v>
      </c>
      <c r="G892" s="8" t="s">
        <v>57</v>
      </c>
      <c r="H892" s="4" t="s">
        <v>53</v>
      </c>
      <c r="I892" s="5">
        <v>1</v>
      </c>
      <c r="J892" s="8" t="s">
        <v>16</v>
      </c>
      <c r="K892" s="4" t="s">
        <v>53</v>
      </c>
      <c r="L892" s="5">
        <v>1</v>
      </c>
      <c r="M892" s="8" t="s">
        <v>17</v>
      </c>
      <c r="N892" s="4" t="s">
        <v>53</v>
      </c>
      <c r="O892" s="5">
        <v>1</v>
      </c>
      <c r="P892" s="8"/>
      <c r="Q892" s="4"/>
      <c r="R892" s="5"/>
      <c r="W892" s="67" t="s">
        <v>866</v>
      </c>
      <c r="X892" s="68" t="s">
        <v>868</v>
      </c>
      <c r="Y892" s="69">
        <v>147.08000000000001</v>
      </c>
      <c r="Z892" t="str">
        <f>IF(AND(Tabla1[[#This Row],[nudo inicial]]=Tabla3[[#This Row],[n1]],Tabla1[[#This Row],[nudo final]]=Tabla3[[#This Row],[n2]],Tabla1[[#This Row],[longitud]]=Tabla3[[#This Row],[long]]),"si","no")</f>
        <v>si</v>
      </c>
    </row>
    <row r="893" spans="2:26" ht="15.75" x14ac:dyDescent="0.25">
      <c r="B893" t="s">
        <v>862</v>
      </c>
      <c r="C893" t="s">
        <v>869</v>
      </c>
      <c r="D893" s="19">
        <v>126.51</v>
      </c>
      <c r="E893" s="3" t="s">
        <v>55</v>
      </c>
      <c r="F893" s="3" t="s">
        <v>28</v>
      </c>
      <c r="G893" s="8" t="s">
        <v>57</v>
      </c>
      <c r="H893" s="4" t="s">
        <v>55</v>
      </c>
      <c r="I893" s="5">
        <v>1</v>
      </c>
      <c r="J893" s="8"/>
      <c r="K893" s="4"/>
      <c r="L893" s="5"/>
      <c r="M893" s="8"/>
      <c r="N893" s="4"/>
      <c r="O893" s="5"/>
      <c r="P893" s="8"/>
      <c r="Q893" s="4"/>
      <c r="R893" s="5"/>
      <c r="W893" s="67" t="s">
        <v>862</v>
      </c>
      <c r="X893" s="68" t="s">
        <v>869</v>
      </c>
      <c r="Y893" s="69">
        <v>126.51</v>
      </c>
      <c r="Z893" t="str">
        <f>IF(AND(Tabla1[[#This Row],[nudo inicial]]=Tabla3[[#This Row],[n1]],Tabla1[[#This Row],[nudo final]]=Tabla3[[#This Row],[n2]],Tabla1[[#This Row],[longitud]]=Tabla3[[#This Row],[long]]),"si","no")</f>
        <v>si</v>
      </c>
    </row>
    <row r="894" spans="2:26" ht="15.75" x14ac:dyDescent="0.25">
      <c r="B894" t="s">
        <v>869</v>
      </c>
      <c r="C894" t="s">
        <v>870</v>
      </c>
      <c r="D894" s="19">
        <v>7.08</v>
      </c>
      <c r="E894" s="3" t="s">
        <v>53</v>
      </c>
      <c r="F894" s="3" t="s">
        <v>28</v>
      </c>
      <c r="G894" s="8" t="s">
        <v>58</v>
      </c>
      <c r="H894" s="4" t="s">
        <v>55</v>
      </c>
      <c r="I894" s="5">
        <v>1</v>
      </c>
      <c r="J894" s="8" t="s">
        <v>15</v>
      </c>
      <c r="K894" s="4" t="s">
        <v>53</v>
      </c>
      <c r="L894" s="5">
        <v>1</v>
      </c>
      <c r="M894" s="8"/>
      <c r="N894" s="4"/>
      <c r="O894" s="5"/>
      <c r="P894" s="8"/>
      <c r="Q894" s="4"/>
      <c r="R894" s="5"/>
      <c r="W894" s="67" t="s">
        <v>869</v>
      </c>
      <c r="X894" s="68" t="s">
        <v>870</v>
      </c>
      <c r="Y894" s="69">
        <v>7.08</v>
      </c>
      <c r="Z894" t="str">
        <f>IF(AND(Tabla1[[#This Row],[nudo inicial]]=Tabla3[[#This Row],[n1]],Tabla1[[#This Row],[nudo final]]=Tabla3[[#This Row],[n2]],Tabla1[[#This Row],[longitud]]=Tabla3[[#This Row],[long]]),"si","no")</f>
        <v>si</v>
      </c>
    </row>
    <row r="895" spans="2:26" ht="15.75" x14ac:dyDescent="0.25">
      <c r="B895" t="s">
        <v>870</v>
      </c>
      <c r="C895" t="s">
        <v>871</v>
      </c>
      <c r="D895" s="19">
        <v>25.3</v>
      </c>
      <c r="E895" s="3" t="s">
        <v>56</v>
      </c>
      <c r="F895" s="3" t="s">
        <v>25</v>
      </c>
      <c r="G895" s="8" t="s">
        <v>20</v>
      </c>
      <c r="H895" s="4" t="s">
        <v>53</v>
      </c>
      <c r="I895" s="5">
        <v>1</v>
      </c>
      <c r="J895" s="8" t="s">
        <v>15</v>
      </c>
      <c r="K895" s="4" t="s">
        <v>56</v>
      </c>
      <c r="L895" s="5">
        <v>1</v>
      </c>
      <c r="M895" s="8"/>
      <c r="N895" s="4"/>
      <c r="O895" s="5"/>
      <c r="P895" s="8"/>
      <c r="Q895" s="4"/>
      <c r="R895" s="5"/>
      <c r="W895" s="67" t="s">
        <v>870</v>
      </c>
      <c r="X895" s="68" t="s">
        <v>871</v>
      </c>
      <c r="Y895" s="69">
        <v>25.3</v>
      </c>
      <c r="Z895" t="str">
        <f>IF(AND(Tabla1[[#This Row],[nudo inicial]]=Tabla3[[#This Row],[n1]],Tabla1[[#This Row],[nudo final]]=Tabla3[[#This Row],[n2]],Tabla1[[#This Row],[longitud]]=Tabla3[[#This Row],[long]]),"si","no")</f>
        <v>si</v>
      </c>
    </row>
    <row r="896" spans="2:26" ht="15.75" x14ac:dyDescent="0.25">
      <c r="B896" t="s">
        <v>871</v>
      </c>
      <c r="C896" t="s">
        <v>872</v>
      </c>
      <c r="D896" s="19">
        <v>28.04</v>
      </c>
      <c r="E896" s="3" t="s">
        <v>56</v>
      </c>
      <c r="F896" s="3" t="s">
        <v>25</v>
      </c>
      <c r="G896" s="8" t="s">
        <v>58</v>
      </c>
      <c r="H896" s="4" t="s">
        <v>56</v>
      </c>
      <c r="I896" s="5">
        <v>1</v>
      </c>
      <c r="J896" s="8" t="s">
        <v>17</v>
      </c>
      <c r="K896" s="4" t="s">
        <v>56</v>
      </c>
      <c r="L896" s="5">
        <v>1</v>
      </c>
      <c r="M896" s="8"/>
      <c r="N896" s="4"/>
      <c r="O896" s="5"/>
      <c r="P896" s="8"/>
      <c r="Q896" s="4"/>
      <c r="R896" s="5"/>
      <c r="W896" s="67" t="s">
        <v>871</v>
      </c>
      <c r="X896" s="68" t="s">
        <v>872</v>
      </c>
      <c r="Y896" s="69">
        <v>28.04</v>
      </c>
      <c r="Z896" t="str">
        <f>IF(AND(Tabla1[[#This Row],[nudo inicial]]=Tabla3[[#This Row],[n1]],Tabla1[[#This Row],[nudo final]]=Tabla3[[#This Row],[n2]],Tabla1[[#This Row],[longitud]]=Tabla3[[#This Row],[long]]),"si","no")</f>
        <v>si</v>
      </c>
    </row>
    <row r="897" spans="2:26" ht="15.75" x14ac:dyDescent="0.25">
      <c r="B897" t="s">
        <v>871</v>
      </c>
      <c r="C897" t="s">
        <v>873</v>
      </c>
      <c r="D897" s="19">
        <v>29.83</v>
      </c>
      <c r="E897" s="3" t="s">
        <v>56</v>
      </c>
      <c r="F897" s="3" t="s">
        <v>25</v>
      </c>
      <c r="G897" s="8" t="s">
        <v>57</v>
      </c>
      <c r="H897" s="4" t="s">
        <v>56</v>
      </c>
      <c r="I897" s="5">
        <v>1</v>
      </c>
      <c r="J897" s="8" t="s">
        <v>17</v>
      </c>
      <c r="K897" s="4" t="s">
        <v>56</v>
      </c>
      <c r="L897" s="5">
        <v>1</v>
      </c>
      <c r="M897" s="8"/>
      <c r="N897" s="4"/>
      <c r="O897" s="5"/>
      <c r="P897" s="8"/>
      <c r="Q897" s="4"/>
      <c r="R897" s="5"/>
      <c r="W897" s="67" t="s">
        <v>871</v>
      </c>
      <c r="X897" s="68" t="s">
        <v>873</v>
      </c>
      <c r="Y897" s="69">
        <v>29.83</v>
      </c>
      <c r="Z897" t="str">
        <f>IF(AND(Tabla1[[#This Row],[nudo inicial]]=Tabla3[[#This Row],[n1]],Tabla1[[#This Row],[nudo final]]=Tabla3[[#This Row],[n2]],Tabla1[[#This Row],[longitud]]=Tabla3[[#This Row],[long]]),"si","no")</f>
        <v>si</v>
      </c>
    </row>
    <row r="898" spans="2:26" ht="15.75" x14ac:dyDescent="0.25">
      <c r="B898" t="s">
        <v>870</v>
      </c>
      <c r="C898" t="s">
        <v>874</v>
      </c>
      <c r="D898" s="19">
        <v>80.44</v>
      </c>
      <c r="E898" s="3" t="s">
        <v>53</v>
      </c>
      <c r="F898" s="3" t="s">
        <v>25</v>
      </c>
      <c r="G898" s="8"/>
      <c r="H898" s="4"/>
      <c r="I898" s="5"/>
      <c r="J898" s="8"/>
      <c r="K898" s="4"/>
      <c r="L898" s="5"/>
      <c r="M898" s="8"/>
      <c r="N898" s="4"/>
      <c r="O898" s="5"/>
      <c r="P898" s="8"/>
      <c r="Q898" s="4"/>
      <c r="R898" s="5"/>
      <c r="W898" s="67" t="s">
        <v>870</v>
      </c>
      <c r="X898" s="68" t="s">
        <v>874</v>
      </c>
      <c r="Y898" s="69">
        <v>80.44</v>
      </c>
      <c r="Z898" t="str">
        <f>IF(AND(Tabla1[[#This Row],[nudo inicial]]=Tabla3[[#This Row],[n1]],Tabla1[[#This Row],[nudo final]]=Tabla3[[#This Row],[n2]],Tabla1[[#This Row],[longitud]]=Tabla3[[#This Row],[long]]),"si","no")</f>
        <v>si</v>
      </c>
    </row>
    <row r="899" spans="2:26" ht="15.75" x14ac:dyDescent="0.25">
      <c r="B899" t="s">
        <v>874</v>
      </c>
      <c r="C899" t="s">
        <v>875</v>
      </c>
      <c r="D899" s="19">
        <v>47.9</v>
      </c>
      <c r="E899" s="3" t="s">
        <v>53</v>
      </c>
      <c r="F899" s="3" t="s">
        <v>25</v>
      </c>
      <c r="G899" s="8" t="s">
        <v>58</v>
      </c>
      <c r="H899" s="4" t="s">
        <v>53</v>
      </c>
      <c r="I899" s="5">
        <v>1</v>
      </c>
      <c r="J899" s="8" t="s">
        <v>17</v>
      </c>
      <c r="K899" s="4" t="s">
        <v>53</v>
      </c>
      <c r="L899" s="5">
        <v>1</v>
      </c>
      <c r="M899" s="8"/>
      <c r="N899" s="4"/>
      <c r="O899" s="5"/>
      <c r="P899" s="8"/>
      <c r="Q899" s="4"/>
      <c r="R899" s="5"/>
      <c r="W899" s="67" t="s">
        <v>874</v>
      </c>
      <c r="X899" s="68" t="s">
        <v>875</v>
      </c>
      <c r="Y899" s="69">
        <v>47.9</v>
      </c>
      <c r="Z899" t="str">
        <f>IF(AND(Tabla1[[#This Row],[nudo inicial]]=Tabla3[[#This Row],[n1]],Tabla1[[#This Row],[nudo final]]=Tabla3[[#This Row],[n2]],Tabla1[[#This Row],[longitud]]=Tabla3[[#This Row],[long]]),"si","no")</f>
        <v>si</v>
      </c>
    </row>
    <row r="900" spans="2:26" ht="15.75" x14ac:dyDescent="0.25">
      <c r="B900" t="s">
        <v>874</v>
      </c>
      <c r="C900" t="s">
        <v>876</v>
      </c>
      <c r="D900" s="19">
        <v>100.97</v>
      </c>
      <c r="E900" s="3" t="s">
        <v>53</v>
      </c>
      <c r="F900" s="3" t="s">
        <v>25</v>
      </c>
      <c r="G900" s="8" t="s">
        <v>57</v>
      </c>
      <c r="H900" s="4" t="s">
        <v>53</v>
      </c>
      <c r="I900" s="5">
        <v>1</v>
      </c>
      <c r="J900" s="8" t="s">
        <v>16</v>
      </c>
      <c r="K900" s="4" t="s">
        <v>53</v>
      </c>
      <c r="L900" s="5">
        <v>1</v>
      </c>
      <c r="M900" s="8" t="s">
        <v>17</v>
      </c>
      <c r="N900" s="4" t="s">
        <v>53</v>
      </c>
      <c r="O900" s="5">
        <v>1</v>
      </c>
      <c r="P900" s="8"/>
      <c r="Q900" s="4"/>
      <c r="R900" s="5"/>
      <c r="W900" s="67" t="s">
        <v>874</v>
      </c>
      <c r="X900" s="68" t="s">
        <v>876</v>
      </c>
      <c r="Y900" s="69">
        <v>100.97</v>
      </c>
      <c r="Z900" t="str">
        <f>IF(AND(Tabla1[[#This Row],[nudo inicial]]=Tabla3[[#This Row],[n1]],Tabla1[[#This Row],[nudo final]]=Tabla3[[#This Row],[n2]],Tabla1[[#This Row],[longitud]]=Tabla3[[#This Row],[long]]),"si","no")</f>
        <v>si</v>
      </c>
    </row>
    <row r="901" spans="2:26" ht="15.75" x14ac:dyDescent="0.25">
      <c r="B901" t="s">
        <v>869</v>
      </c>
      <c r="C901" t="s">
        <v>877</v>
      </c>
      <c r="D901" s="19">
        <v>29.78</v>
      </c>
      <c r="E901" s="3" t="s">
        <v>55</v>
      </c>
      <c r="F901" s="3" t="s">
        <v>28</v>
      </c>
      <c r="G901" s="8" t="s">
        <v>57</v>
      </c>
      <c r="H901" s="4" t="s">
        <v>55</v>
      </c>
      <c r="I901" s="5">
        <v>1</v>
      </c>
      <c r="J901" s="8"/>
      <c r="K901" s="4"/>
      <c r="L901" s="5"/>
      <c r="M901" s="8"/>
      <c r="N901" s="4"/>
      <c r="O901" s="5"/>
      <c r="P901" s="8"/>
      <c r="Q901" s="4"/>
      <c r="R901" s="5"/>
      <c r="W901" s="67" t="s">
        <v>869</v>
      </c>
      <c r="X901" s="68" t="s">
        <v>877</v>
      </c>
      <c r="Y901" s="69">
        <v>29.78</v>
      </c>
      <c r="Z901" t="str">
        <f>IF(AND(Tabla1[[#This Row],[nudo inicial]]=Tabla3[[#This Row],[n1]],Tabla1[[#This Row],[nudo final]]=Tabla3[[#This Row],[n2]],Tabla1[[#This Row],[longitud]]=Tabla3[[#This Row],[long]]),"si","no")</f>
        <v>si</v>
      </c>
    </row>
    <row r="902" spans="2:26" ht="15.75" x14ac:dyDescent="0.25">
      <c r="B902" t="s">
        <v>877</v>
      </c>
      <c r="C902" t="s">
        <v>814</v>
      </c>
      <c r="D902" s="19">
        <v>74.150000000000006</v>
      </c>
      <c r="E902" s="3" t="s">
        <v>55</v>
      </c>
      <c r="F902" s="3" t="s">
        <v>28</v>
      </c>
      <c r="G902" s="8" t="s">
        <v>57</v>
      </c>
      <c r="H902" s="4" t="s">
        <v>55</v>
      </c>
      <c r="I902" s="5">
        <v>1</v>
      </c>
      <c r="J902" s="8" t="s">
        <v>16</v>
      </c>
      <c r="K902" s="4" t="s">
        <v>55</v>
      </c>
      <c r="L902" s="5">
        <v>3</v>
      </c>
      <c r="M902" s="8"/>
      <c r="N902" s="4"/>
      <c r="O902" s="5"/>
      <c r="P902" s="8"/>
      <c r="Q902" s="4"/>
      <c r="R902" s="5"/>
      <c r="W902" s="67" t="s">
        <v>877</v>
      </c>
      <c r="X902" s="68" t="s">
        <v>814</v>
      </c>
      <c r="Y902" s="69">
        <v>74.150000000000006</v>
      </c>
      <c r="Z902" t="str">
        <f>IF(AND(Tabla1[[#This Row],[nudo inicial]]=Tabla3[[#This Row],[n1]],Tabla1[[#This Row],[nudo final]]=Tabla3[[#This Row],[n2]],Tabla1[[#This Row],[longitud]]=Tabla3[[#This Row],[long]]),"si","no")</f>
        <v>si</v>
      </c>
    </row>
    <row r="903" spans="2:26" ht="15.75" x14ac:dyDescent="0.25">
      <c r="B903" t="s">
        <v>877</v>
      </c>
      <c r="C903" t="s">
        <v>878</v>
      </c>
      <c r="D903" s="19">
        <v>83.9</v>
      </c>
      <c r="E903" s="3" t="s">
        <v>23</v>
      </c>
      <c r="F903" s="3" t="s">
        <v>25</v>
      </c>
      <c r="G903" s="8" t="s">
        <v>58</v>
      </c>
      <c r="H903" s="4" t="s">
        <v>55</v>
      </c>
      <c r="I903" s="5">
        <v>1</v>
      </c>
      <c r="J903" s="8" t="s">
        <v>15</v>
      </c>
      <c r="K903" s="4" t="s">
        <v>23</v>
      </c>
      <c r="L903" s="5">
        <v>1</v>
      </c>
      <c r="M903" s="8" t="s">
        <v>32</v>
      </c>
      <c r="N903" s="4" t="s">
        <v>23</v>
      </c>
      <c r="O903" s="5">
        <v>1</v>
      </c>
      <c r="P903" s="8"/>
      <c r="Q903" s="4"/>
      <c r="R903" s="5"/>
      <c r="W903" s="67" t="s">
        <v>877</v>
      </c>
      <c r="X903" s="68" t="s">
        <v>878</v>
      </c>
      <c r="Y903" s="69">
        <v>83.9</v>
      </c>
      <c r="Z903" t="str">
        <f>IF(AND(Tabla1[[#This Row],[nudo inicial]]=Tabla3[[#This Row],[n1]],Tabla1[[#This Row],[nudo final]]=Tabla3[[#This Row],[n2]],Tabla1[[#This Row],[longitud]]=Tabla3[[#This Row],[long]]),"si","no")</f>
        <v>si</v>
      </c>
    </row>
    <row r="904" spans="2:26" ht="15.75" x14ac:dyDescent="0.25">
      <c r="B904" t="s">
        <v>878</v>
      </c>
      <c r="C904" t="s">
        <v>879</v>
      </c>
      <c r="D904" s="19">
        <v>52.02</v>
      </c>
      <c r="E904" s="3" t="s">
        <v>53</v>
      </c>
      <c r="F904" s="3" t="s">
        <v>25</v>
      </c>
      <c r="G904" s="8" t="s">
        <v>58</v>
      </c>
      <c r="H904" s="4" t="s">
        <v>23</v>
      </c>
      <c r="I904" s="5">
        <v>1</v>
      </c>
      <c r="J904" s="8" t="s">
        <v>15</v>
      </c>
      <c r="K904" s="4" t="s">
        <v>53</v>
      </c>
      <c r="L904" s="5">
        <v>1</v>
      </c>
      <c r="M904" s="8"/>
      <c r="N904" s="4"/>
      <c r="O904" s="5"/>
      <c r="P904" s="8"/>
      <c r="Q904" s="4"/>
      <c r="R904" s="5"/>
      <c r="W904" s="67" t="s">
        <v>878</v>
      </c>
      <c r="X904" s="68" t="s">
        <v>879</v>
      </c>
      <c r="Y904" s="69">
        <v>52.02</v>
      </c>
      <c r="Z904" t="str">
        <f>IF(AND(Tabla1[[#This Row],[nudo inicial]]=Tabla3[[#This Row],[n1]],Tabla1[[#This Row],[nudo final]]=Tabla3[[#This Row],[n2]],Tabla1[[#This Row],[longitud]]=Tabla3[[#This Row],[long]]),"si","no")</f>
        <v>si</v>
      </c>
    </row>
    <row r="905" spans="2:26" ht="15.75" x14ac:dyDescent="0.25">
      <c r="B905" t="s">
        <v>879</v>
      </c>
      <c r="C905" t="s">
        <v>880</v>
      </c>
      <c r="D905" s="19">
        <v>36.049999999999997</v>
      </c>
      <c r="E905" s="3" t="s">
        <v>53</v>
      </c>
      <c r="F905" s="3" t="s">
        <v>25</v>
      </c>
      <c r="G905" s="8" t="s">
        <v>57</v>
      </c>
      <c r="H905" s="4" t="s">
        <v>53</v>
      </c>
      <c r="I905" s="5">
        <v>1</v>
      </c>
      <c r="J905" s="8" t="s">
        <v>17</v>
      </c>
      <c r="K905" s="4" t="s">
        <v>53</v>
      </c>
      <c r="L905" s="5">
        <v>1</v>
      </c>
      <c r="M905" s="8"/>
      <c r="N905" s="4"/>
      <c r="O905" s="5"/>
      <c r="P905" s="8"/>
      <c r="Q905" s="4"/>
      <c r="R905" s="5"/>
      <c r="W905" s="67" t="s">
        <v>879</v>
      </c>
      <c r="X905" s="68" t="s">
        <v>880</v>
      </c>
      <c r="Y905" s="69">
        <v>36.049999999999997</v>
      </c>
      <c r="Z905" t="str">
        <f>IF(AND(Tabla1[[#This Row],[nudo inicial]]=Tabla3[[#This Row],[n1]],Tabla1[[#This Row],[nudo final]]=Tabla3[[#This Row],[n2]],Tabla1[[#This Row],[longitud]]=Tabla3[[#This Row],[long]]),"si","no")</f>
        <v>si</v>
      </c>
    </row>
    <row r="906" spans="2:26" ht="15.75" x14ac:dyDescent="0.25">
      <c r="B906" t="s">
        <v>879</v>
      </c>
      <c r="C906" t="s">
        <v>881</v>
      </c>
      <c r="D906" s="19">
        <v>43.91</v>
      </c>
      <c r="E906" s="3" t="s">
        <v>53</v>
      </c>
      <c r="F906" s="3" t="s">
        <v>25</v>
      </c>
      <c r="G906" s="8" t="s">
        <v>58</v>
      </c>
      <c r="H906" s="4" t="s">
        <v>53</v>
      </c>
      <c r="I906" s="5">
        <v>1</v>
      </c>
      <c r="J906" s="8"/>
      <c r="K906" s="4"/>
      <c r="L906" s="5"/>
      <c r="M906" s="8"/>
      <c r="N906" s="4"/>
      <c r="O906" s="5"/>
      <c r="P906" s="8"/>
      <c r="Q906" s="4"/>
      <c r="R906" s="5"/>
      <c r="W906" s="67" t="s">
        <v>879</v>
      </c>
      <c r="X906" s="68" t="s">
        <v>881</v>
      </c>
      <c r="Y906" s="69">
        <v>43.91</v>
      </c>
      <c r="Z906" t="str">
        <f>IF(AND(Tabla1[[#This Row],[nudo inicial]]=Tabla3[[#This Row],[n1]],Tabla1[[#This Row],[nudo final]]=Tabla3[[#This Row],[n2]],Tabla1[[#This Row],[longitud]]=Tabla3[[#This Row],[long]]),"si","no")</f>
        <v>si</v>
      </c>
    </row>
    <row r="907" spans="2:26" ht="15.75" x14ac:dyDescent="0.25">
      <c r="B907" t="s">
        <v>878</v>
      </c>
      <c r="C907" t="s">
        <v>882</v>
      </c>
      <c r="D907" s="19">
        <v>47.24</v>
      </c>
      <c r="E907" s="3" t="s">
        <v>23</v>
      </c>
      <c r="F907" s="3" t="s">
        <v>25</v>
      </c>
      <c r="G907" s="8" t="s">
        <v>57</v>
      </c>
      <c r="H907" s="4" t="s">
        <v>23</v>
      </c>
      <c r="I907" s="5">
        <v>1</v>
      </c>
      <c r="J907" s="8"/>
      <c r="K907" s="4"/>
      <c r="L907" s="5"/>
      <c r="M907" s="8"/>
      <c r="N907" s="4"/>
      <c r="O907" s="5"/>
      <c r="P907" s="8"/>
      <c r="Q907" s="4"/>
      <c r="R907" s="5"/>
      <c r="W907" s="67" t="s">
        <v>878</v>
      </c>
      <c r="X907" s="68" t="s">
        <v>882</v>
      </c>
      <c r="Y907" s="69">
        <v>47.24</v>
      </c>
      <c r="Z907" t="str">
        <f>IF(AND(Tabla1[[#This Row],[nudo inicial]]=Tabla3[[#This Row],[n1]],Tabla1[[#This Row],[nudo final]]=Tabla3[[#This Row],[n2]],Tabla1[[#This Row],[longitud]]=Tabla3[[#This Row],[long]]),"si","no")</f>
        <v>si</v>
      </c>
    </row>
    <row r="908" spans="2:26" ht="15.75" x14ac:dyDescent="0.25">
      <c r="B908" t="s">
        <v>882</v>
      </c>
      <c r="C908" t="s">
        <v>881</v>
      </c>
      <c r="D908" s="19">
        <v>53.01</v>
      </c>
      <c r="E908" s="3" t="s">
        <v>53</v>
      </c>
      <c r="F908" s="3" t="s">
        <v>25</v>
      </c>
      <c r="G908" s="8" t="s">
        <v>57</v>
      </c>
      <c r="H908" s="4" t="s">
        <v>23</v>
      </c>
      <c r="I908" s="5">
        <v>1</v>
      </c>
      <c r="J908" s="8" t="s">
        <v>15</v>
      </c>
      <c r="K908" s="4" t="s">
        <v>53</v>
      </c>
      <c r="L908" s="5">
        <v>1</v>
      </c>
      <c r="M908" s="8"/>
      <c r="N908" s="4"/>
      <c r="O908" s="5"/>
      <c r="P908" s="8"/>
      <c r="Q908" s="4"/>
      <c r="R908" s="5"/>
      <c r="W908" s="67" t="s">
        <v>882</v>
      </c>
      <c r="X908" s="68" t="s">
        <v>881</v>
      </c>
      <c r="Y908" s="69">
        <v>53.01</v>
      </c>
      <c r="Z908" t="str">
        <f>IF(AND(Tabla1[[#This Row],[nudo inicial]]=Tabla3[[#This Row],[n1]],Tabla1[[#This Row],[nudo final]]=Tabla3[[#This Row],[n2]],Tabla1[[#This Row],[longitud]]=Tabla3[[#This Row],[long]]),"si","no")</f>
        <v>si</v>
      </c>
    </row>
    <row r="909" spans="2:26" ht="15.75" x14ac:dyDescent="0.25">
      <c r="B909" t="s">
        <v>881</v>
      </c>
      <c r="C909" t="s">
        <v>883</v>
      </c>
      <c r="D909" s="19">
        <v>22.05</v>
      </c>
      <c r="E909" s="3" t="s">
        <v>53</v>
      </c>
      <c r="F909" s="3" t="s">
        <v>25</v>
      </c>
      <c r="G909" s="8" t="s">
        <v>57</v>
      </c>
      <c r="H909" s="4" t="s">
        <v>53</v>
      </c>
      <c r="I909" s="5">
        <v>1</v>
      </c>
      <c r="J909" s="8" t="s">
        <v>17</v>
      </c>
      <c r="K909" s="4" t="s">
        <v>53</v>
      </c>
      <c r="L909" s="5">
        <v>1</v>
      </c>
      <c r="M909" s="8"/>
      <c r="N909" s="4"/>
      <c r="O909" s="5"/>
      <c r="P909" s="8"/>
      <c r="Q909" s="4"/>
      <c r="R909" s="5"/>
      <c r="W909" s="67" t="s">
        <v>881</v>
      </c>
      <c r="X909" s="68" t="s">
        <v>883</v>
      </c>
      <c r="Y909" s="69">
        <v>22.05</v>
      </c>
      <c r="Z909" t="str">
        <f>IF(AND(Tabla1[[#This Row],[nudo inicial]]=Tabla3[[#This Row],[n1]],Tabla1[[#This Row],[nudo final]]=Tabla3[[#This Row],[n2]],Tabla1[[#This Row],[longitud]]=Tabla3[[#This Row],[long]]),"si","no")</f>
        <v>si</v>
      </c>
    </row>
    <row r="910" spans="2:26" ht="15.75" x14ac:dyDescent="0.25">
      <c r="B910" t="s">
        <v>882</v>
      </c>
      <c r="C910" t="s">
        <v>884</v>
      </c>
      <c r="D910" s="19">
        <v>118.98</v>
      </c>
      <c r="E910" s="3" t="s">
        <v>23</v>
      </c>
      <c r="F910" s="3" t="s">
        <v>25</v>
      </c>
      <c r="G910" s="8" t="s">
        <v>57</v>
      </c>
      <c r="H910" s="4" t="s">
        <v>23</v>
      </c>
      <c r="I910" s="5">
        <v>1</v>
      </c>
      <c r="J910" s="8" t="s">
        <v>16</v>
      </c>
      <c r="K910" s="4" t="s">
        <v>23</v>
      </c>
      <c r="L910" s="5">
        <v>1</v>
      </c>
      <c r="M910" s="8" t="s">
        <v>17</v>
      </c>
      <c r="N910" s="4" t="s">
        <v>23</v>
      </c>
      <c r="O910" s="5">
        <v>1</v>
      </c>
      <c r="P910" s="8"/>
      <c r="Q910" s="4"/>
      <c r="R910" s="5"/>
      <c r="W910" s="67" t="s">
        <v>882</v>
      </c>
      <c r="X910" s="68" t="s">
        <v>884</v>
      </c>
      <c r="Y910" s="69">
        <v>118.98</v>
      </c>
      <c r="Z910" t="str">
        <f>IF(AND(Tabla1[[#This Row],[nudo inicial]]=Tabla3[[#This Row],[n1]],Tabla1[[#This Row],[nudo final]]=Tabla3[[#This Row],[n2]],Tabla1[[#This Row],[longitud]]=Tabla3[[#This Row],[long]]),"si","no")</f>
        <v>si</v>
      </c>
    </row>
    <row r="911" spans="2:26" ht="15.75" x14ac:dyDescent="0.25">
      <c r="B911" t="s">
        <v>861</v>
      </c>
      <c r="C911" t="s">
        <v>885</v>
      </c>
      <c r="D911" s="19">
        <v>38.21</v>
      </c>
      <c r="E911" s="3" t="s">
        <v>55</v>
      </c>
      <c r="F911" s="3" t="s">
        <v>25</v>
      </c>
      <c r="G911" s="8" t="s">
        <v>58</v>
      </c>
      <c r="H911" s="4" t="s">
        <v>55</v>
      </c>
      <c r="I911" s="5">
        <v>1</v>
      </c>
      <c r="J911" s="8"/>
      <c r="K911" s="4"/>
      <c r="L911" s="5"/>
      <c r="M911" s="8"/>
      <c r="N911" s="4"/>
      <c r="O911" s="5"/>
      <c r="P911" s="8"/>
      <c r="Q911" s="4"/>
      <c r="R911" s="5"/>
      <c r="W911" s="67" t="s">
        <v>861</v>
      </c>
      <c r="X911" s="68" t="s">
        <v>885</v>
      </c>
      <c r="Y911" s="69">
        <v>38.21</v>
      </c>
      <c r="Z911" t="str">
        <f>IF(AND(Tabla1[[#This Row],[nudo inicial]]=Tabla3[[#This Row],[n1]],Tabla1[[#This Row],[nudo final]]=Tabla3[[#This Row],[n2]],Tabla1[[#This Row],[longitud]]=Tabla3[[#This Row],[long]]),"si","no")</f>
        <v>si</v>
      </c>
    </row>
    <row r="912" spans="2:26" ht="15.75" x14ac:dyDescent="0.25">
      <c r="B912" t="s">
        <v>885</v>
      </c>
      <c r="C912" t="s">
        <v>886</v>
      </c>
      <c r="D912" s="19">
        <v>42.8</v>
      </c>
      <c r="E912" s="3" t="s">
        <v>53</v>
      </c>
      <c r="F912" s="3" t="s">
        <v>25</v>
      </c>
      <c r="G912" s="8" t="s">
        <v>20</v>
      </c>
      <c r="H912" s="4" t="s">
        <v>55</v>
      </c>
      <c r="I912" s="5">
        <v>1</v>
      </c>
      <c r="J912" s="8" t="s">
        <v>17</v>
      </c>
      <c r="K912" s="4" t="s">
        <v>53</v>
      </c>
      <c r="L912" s="5">
        <v>1</v>
      </c>
      <c r="M912" s="8" t="s">
        <v>15</v>
      </c>
      <c r="N912" s="4" t="s">
        <v>53</v>
      </c>
      <c r="O912" s="5">
        <v>1</v>
      </c>
      <c r="P912" s="8"/>
      <c r="Q912" s="4"/>
      <c r="R912" s="5"/>
      <c r="W912" s="67" t="s">
        <v>885</v>
      </c>
      <c r="X912" s="68" t="s">
        <v>886</v>
      </c>
      <c r="Y912" s="69">
        <v>42.8</v>
      </c>
      <c r="Z912" t="str">
        <f>IF(AND(Tabla1[[#This Row],[nudo inicial]]=Tabla3[[#This Row],[n1]],Tabla1[[#This Row],[nudo final]]=Tabla3[[#This Row],[n2]],Tabla1[[#This Row],[longitud]]=Tabla3[[#This Row],[long]]),"si","no")</f>
        <v>si</v>
      </c>
    </row>
    <row r="913" spans="1:26" ht="15.75" x14ac:dyDescent="0.25">
      <c r="B913" t="s">
        <v>885</v>
      </c>
      <c r="C913" t="s">
        <v>887</v>
      </c>
      <c r="D913" s="19">
        <v>130.61000000000001</v>
      </c>
      <c r="E913" s="3" t="s">
        <v>55</v>
      </c>
      <c r="F913" s="3" t="s">
        <v>28</v>
      </c>
      <c r="G913" s="8" t="s">
        <v>32</v>
      </c>
      <c r="H913" s="4" t="s">
        <v>55</v>
      </c>
      <c r="I913" s="5">
        <v>1</v>
      </c>
      <c r="J913" s="8"/>
      <c r="K913" s="4"/>
      <c r="L913" s="5"/>
      <c r="M913" s="8"/>
      <c r="N913" s="4"/>
      <c r="O913" s="5"/>
      <c r="P913" s="8"/>
      <c r="Q913" s="4"/>
      <c r="R913" s="5"/>
      <c r="W913" s="67" t="s">
        <v>885</v>
      </c>
      <c r="X913" s="68" t="s">
        <v>887</v>
      </c>
      <c r="Y913" s="69">
        <v>130.61000000000001</v>
      </c>
      <c r="Z913" t="str">
        <f>IF(AND(Tabla1[[#This Row],[nudo inicial]]=Tabla3[[#This Row],[n1]],Tabla1[[#This Row],[nudo final]]=Tabla3[[#This Row],[n2]],Tabla1[[#This Row],[longitud]]=Tabla3[[#This Row],[long]]),"si","no")</f>
        <v>si</v>
      </c>
    </row>
    <row r="914" spans="1:26" ht="15.75" x14ac:dyDescent="0.25">
      <c r="B914" t="s">
        <v>860</v>
      </c>
      <c r="C914" t="s">
        <v>888</v>
      </c>
      <c r="D914" s="19">
        <v>18.559999999999999</v>
      </c>
      <c r="E914" s="3" t="s">
        <v>53</v>
      </c>
      <c r="F914" s="3" t="s">
        <v>25</v>
      </c>
      <c r="G914" s="8" t="s">
        <v>58</v>
      </c>
      <c r="H914" s="4" t="s">
        <v>55</v>
      </c>
      <c r="I914" s="5">
        <v>1</v>
      </c>
      <c r="J914" s="8" t="s">
        <v>15</v>
      </c>
      <c r="K914" s="4" t="s">
        <v>53</v>
      </c>
      <c r="L914" s="5">
        <v>1</v>
      </c>
      <c r="M914" s="8"/>
      <c r="N914" s="4"/>
      <c r="O914" s="5"/>
      <c r="P914" s="8"/>
      <c r="Q914" s="4"/>
      <c r="R914" s="5"/>
      <c r="W914" s="67" t="s">
        <v>860</v>
      </c>
      <c r="X914" s="68" t="s">
        <v>888</v>
      </c>
      <c r="Y914" s="69">
        <v>18.559999999999999</v>
      </c>
      <c r="Z914" t="str">
        <f>IF(AND(Tabla1[[#This Row],[nudo inicial]]=Tabla3[[#This Row],[n1]],Tabla1[[#This Row],[nudo final]]=Tabla3[[#This Row],[n2]],Tabla1[[#This Row],[longitud]]=Tabla3[[#This Row],[long]]),"si","no")</f>
        <v>si</v>
      </c>
    </row>
    <row r="915" spans="1:26" ht="15.75" x14ac:dyDescent="0.25">
      <c r="B915" t="s">
        <v>888</v>
      </c>
      <c r="C915" t="s">
        <v>889</v>
      </c>
      <c r="D915" s="19">
        <v>110.43</v>
      </c>
      <c r="E915" s="3" t="s">
        <v>53</v>
      </c>
      <c r="F915" s="3" t="s">
        <v>25</v>
      </c>
      <c r="G915" s="8" t="s">
        <v>58</v>
      </c>
      <c r="H915" s="4" t="s">
        <v>53</v>
      </c>
      <c r="I915" s="5">
        <v>1</v>
      </c>
      <c r="J915" s="8" t="s">
        <v>16</v>
      </c>
      <c r="K915" s="4" t="s">
        <v>53</v>
      </c>
      <c r="L915" s="5">
        <v>1</v>
      </c>
      <c r="M915" s="8" t="s">
        <v>17</v>
      </c>
      <c r="N915" s="4" t="s">
        <v>53</v>
      </c>
      <c r="O915" s="5">
        <v>1</v>
      </c>
      <c r="P915" s="8"/>
      <c r="Q915" s="4"/>
      <c r="R915" s="5"/>
      <c r="W915" s="67" t="s">
        <v>888</v>
      </c>
      <c r="X915" s="68" t="s">
        <v>889</v>
      </c>
      <c r="Y915" s="69">
        <v>110.43</v>
      </c>
      <c r="Z915" t="str">
        <f>IF(AND(Tabla1[[#This Row],[nudo inicial]]=Tabla3[[#This Row],[n1]],Tabla1[[#This Row],[nudo final]]=Tabla3[[#This Row],[n2]],Tabla1[[#This Row],[longitud]]=Tabla3[[#This Row],[long]]),"si","no")</f>
        <v>si</v>
      </c>
    </row>
    <row r="916" spans="1:26" ht="15.75" x14ac:dyDescent="0.25">
      <c r="B916" t="s">
        <v>888</v>
      </c>
      <c r="C916" t="s">
        <v>890</v>
      </c>
      <c r="D916" s="19">
        <v>73.650000000000006</v>
      </c>
      <c r="E916" s="3" t="s">
        <v>53</v>
      </c>
      <c r="F916" s="3" t="s">
        <v>25</v>
      </c>
      <c r="G916" s="8" t="s">
        <v>57</v>
      </c>
      <c r="H916" s="4" t="s">
        <v>53</v>
      </c>
      <c r="I916" s="5">
        <v>1</v>
      </c>
      <c r="J916" s="8" t="s">
        <v>17</v>
      </c>
      <c r="K916" s="4" t="s">
        <v>53</v>
      </c>
      <c r="L916" s="5">
        <v>1</v>
      </c>
      <c r="M916" s="8"/>
      <c r="N916" s="4"/>
      <c r="O916" s="5"/>
      <c r="P916" s="8"/>
      <c r="Q916" s="4"/>
      <c r="R916" s="5"/>
      <c r="W916" s="67" t="s">
        <v>888</v>
      </c>
      <c r="X916" s="68" t="s">
        <v>890</v>
      </c>
      <c r="Y916" s="69">
        <v>73.650000000000006</v>
      </c>
      <c r="Z916" t="str">
        <f>IF(AND(Tabla1[[#This Row],[nudo inicial]]=Tabla3[[#This Row],[n1]],Tabla1[[#This Row],[nudo final]]=Tabla3[[#This Row],[n2]],Tabla1[[#This Row],[longitud]]=Tabla3[[#This Row],[long]]),"si","no")</f>
        <v>si</v>
      </c>
    </row>
    <row r="917" spans="1:26" ht="15.75" x14ac:dyDescent="0.25">
      <c r="B917" t="s">
        <v>842</v>
      </c>
      <c r="C917" t="s">
        <v>891</v>
      </c>
      <c r="D917" s="19">
        <v>2.63</v>
      </c>
      <c r="E917" s="3" t="s">
        <v>23</v>
      </c>
      <c r="F917" s="3" t="s">
        <v>25</v>
      </c>
      <c r="G917" s="8" t="s">
        <v>57</v>
      </c>
      <c r="H917" s="4" t="s">
        <v>23</v>
      </c>
      <c r="I917" s="5">
        <v>1</v>
      </c>
      <c r="J917" s="8"/>
      <c r="K917" s="4"/>
      <c r="L917" s="5"/>
      <c r="M917" s="8"/>
      <c r="N917" s="4"/>
      <c r="O917" s="5"/>
      <c r="P917" s="8"/>
      <c r="Q917" s="4"/>
      <c r="R917" s="5"/>
      <c r="W917" s="67" t="s">
        <v>842</v>
      </c>
      <c r="X917" s="68" t="s">
        <v>891</v>
      </c>
      <c r="Y917" s="69">
        <v>2.63</v>
      </c>
      <c r="Z917" t="str">
        <f>IF(AND(Tabla1[[#This Row],[nudo inicial]]=Tabla3[[#This Row],[n1]],Tabla1[[#This Row],[nudo final]]=Tabla3[[#This Row],[n2]],Tabla1[[#This Row],[longitud]]=Tabla3[[#This Row],[long]]),"si","no")</f>
        <v>si</v>
      </c>
    </row>
    <row r="918" spans="1:26" ht="15.75" x14ac:dyDescent="0.25">
      <c r="B918" t="s">
        <v>891</v>
      </c>
      <c r="C918" t="s">
        <v>892</v>
      </c>
      <c r="D918" s="19">
        <v>69.92</v>
      </c>
      <c r="E918" s="3" t="s">
        <v>23</v>
      </c>
      <c r="F918" s="3" t="s">
        <v>25</v>
      </c>
      <c r="G918" s="8" t="s">
        <v>57</v>
      </c>
      <c r="H918" s="4" t="s">
        <v>23</v>
      </c>
      <c r="I918" s="5">
        <v>1</v>
      </c>
      <c r="J918" s="8"/>
      <c r="K918" s="4"/>
      <c r="L918" s="5"/>
      <c r="M918" s="8"/>
      <c r="N918" s="4"/>
      <c r="O918" s="5"/>
      <c r="P918" s="8"/>
      <c r="Q918" s="4"/>
      <c r="R918" s="5"/>
      <c r="W918" s="67" t="s">
        <v>891</v>
      </c>
      <c r="X918" s="68" t="s">
        <v>892</v>
      </c>
      <c r="Y918" s="69">
        <v>69.92</v>
      </c>
      <c r="Z918" t="str">
        <f>IF(AND(Tabla1[[#This Row],[nudo inicial]]=Tabla3[[#This Row],[n1]],Tabla1[[#This Row],[nudo final]]=Tabla3[[#This Row],[n2]],Tabla1[[#This Row],[longitud]]=Tabla3[[#This Row],[long]]),"si","no")</f>
        <v>si</v>
      </c>
    </row>
    <row r="919" spans="1:26" ht="15.75" x14ac:dyDescent="0.25">
      <c r="B919" t="s">
        <v>851</v>
      </c>
      <c r="C919" t="s">
        <v>892</v>
      </c>
      <c r="D919" s="19">
        <v>91.35</v>
      </c>
      <c r="E919" s="3" t="s">
        <v>23</v>
      </c>
      <c r="F919" s="3" t="s">
        <v>25</v>
      </c>
      <c r="G919" s="8" t="s">
        <v>58</v>
      </c>
      <c r="H919" s="4" t="s">
        <v>23</v>
      </c>
      <c r="I919" s="5">
        <v>1</v>
      </c>
      <c r="J919" s="8"/>
      <c r="K919" s="4"/>
      <c r="L919" s="5"/>
      <c r="M919" s="8"/>
      <c r="N919" s="4"/>
      <c r="O919" s="5"/>
      <c r="P919" s="8"/>
      <c r="Q919" s="4"/>
      <c r="R919" s="5"/>
      <c r="W919" s="67" t="s">
        <v>851</v>
      </c>
      <c r="X919" s="68" t="s">
        <v>892</v>
      </c>
      <c r="Y919" s="69">
        <v>91.35</v>
      </c>
      <c r="Z919" t="str">
        <f>IF(AND(Tabla1[[#This Row],[nudo inicial]]=Tabla3[[#This Row],[n1]],Tabla1[[#This Row],[nudo final]]=Tabla3[[#This Row],[n2]],Tabla1[[#This Row],[longitud]]=Tabla3[[#This Row],[long]]),"si","no")</f>
        <v>si</v>
      </c>
    </row>
    <row r="920" spans="1:26" ht="15.75" x14ac:dyDescent="0.25">
      <c r="B920" t="s">
        <v>891</v>
      </c>
      <c r="C920" t="s">
        <v>893</v>
      </c>
      <c r="D920" s="19">
        <v>46.05</v>
      </c>
      <c r="E920" s="3" t="s">
        <v>23</v>
      </c>
      <c r="F920" s="3" t="s">
        <v>25</v>
      </c>
      <c r="G920" s="8" t="s">
        <v>58</v>
      </c>
      <c r="H920" s="4" t="s">
        <v>23</v>
      </c>
      <c r="I920" s="5">
        <v>1</v>
      </c>
      <c r="J920" s="8"/>
      <c r="K920" s="4"/>
      <c r="L920" s="5"/>
      <c r="M920" s="8"/>
      <c r="N920" s="4"/>
      <c r="O920" s="5"/>
      <c r="P920" s="8"/>
      <c r="Q920" s="4"/>
      <c r="R920" s="5"/>
      <c r="W920" s="67" t="s">
        <v>891</v>
      </c>
      <c r="X920" s="68" t="s">
        <v>893</v>
      </c>
      <c r="Y920" s="69">
        <v>46.05</v>
      </c>
      <c r="Z920" t="str">
        <f>IF(AND(Tabla1[[#This Row],[nudo inicial]]=Tabla3[[#This Row],[n1]],Tabla1[[#This Row],[nudo final]]=Tabla3[[#This Row],[n2]],Tabla1[[#This Row],[longitud]]=Tabla3[[#This Row],[long]]),"si","no")</f>
        <v>si</v>
      </c>
    </row>
    <row r="921" spans="1:26" ht="15.75" x14ac:dyDescent="0.25">
      <c r="A921" s="14"/>
      <c r="B921" t="s">
        <v>893</v>
      </c>
      <c r="C921" t="s">
        <v>894</v>
      </c>
      <c r="D921" s="19">
        <v>91.78</v>
      </c>
      <c r="E921" s="3" t="s">
        <v>23</v>
      </c>
      <c r="F921" s="3" t="s">
        <v>25</v>
      </c>
      <c r="G921" s="8" t="s">
        <v>58</v>
      </c>
      <c r="H921" s="4" t="s">
        <v>23</v>
      </c>
      <c r="I921" s="5">
        <v>1</v>
      </c>
      <c r="J921" s="8"/>
      <c r="K921" s="4"/>
      <c r="L921" s="5"/>
      <c r="M921" s="8"/>
      <c r="N921" s="4"/>
      <c r="O921" s="5"/>
      <c r="P921" s="8"/>
      <c r="Q921" s="4"/>
      <c r="R921" s="5"/>
      <c r="W921" s="67" t="s">
        <v>893</v>
      </c>
      <c r="X921" s="68" t="s">
        <v>894</v>
      </c>
      <c r="Y921" s="69">
        <v>91.78</v>
      </c>
      <c r="Z921" t="str">
        <f>IF(AND(Tabla1[[#This Row],[nudo inicial]]=Tabla3[[#This Row],[n1]],Tabla1[[#This Row],[nudo final]]=Tabla3[[#This Row],[n2]],Tabla1[[#This Row],[longitud]]=Tabla3[[#This Row],[long]]),"si","no")</f>
        <v>si</v>
      </c>
    </row>
    <row r="922" spans="1:26" ht="15.75" x14ac:dyDescent="0.25">
      <c r="A922" s="14"/>
      <c r="B922" s="14" t="s">
        <v>893</v>
      </c>
      <c r="C922" s="14" t="s">
        <v>895</v>
      </c>
      <c r="D922" s="20">
        <v>300.26</v>
      </c>
      <c r="E922" s="15" t="s">
        <v>23</v>
      </c>
      <c r="F922" s="15" t="s">
        <v>25</v>
      </c>
      <c r="G922" s="16" t="s">
        <v>57</v>
      </c>
      <c r="H922" s="17" t="s">
        <v>23</v>
      </c>
      <c r="I922" s="18">
        <v>1</v>
      </c>
      <c r="J922" s="16" t="s">
        <v>16</v>
      </c>
      <c r="K922" s="17" t="s">
        <v>23</v>
      </c>
      <c r="L922" s="18">
        <v>1</v>
      </c>
      <c r="M922" s="16"/>
      <c r="N922" s="17"/>
      <c r="O922" s="18"/>
      <c r="P922" s="16"/>
      <c r="Q922" s="17"/>
      <c r="R922" s="18"/>
      <c r="S922" s="14"/>
      <c r="T922" s="14"/>
      <c r="U922" s="14"/>
      <c r="W922" s="67" t="s">
        <v>893</v>
      </c>
      <c r="X922" s="68" t="s">
        <v>895</v>
      </c>
      <c r="Y922" s="69">
        <v>300.26</v>
      </c>
      <c r="Z922" t="str">
        <f>IF(AND(Tabla1[[#This Row],[nudo inicial]]=Tabla3[[#This Row],[n1]],Tabla1[[#This Row],[nudo final]]=Tabla3[[#This Row],[n2]],Tabla1[[#This Row],[longitud]]=Tabla3[[#This Row],[long]]),"si","no")</f>
        <v>si</v>
      </c>
    </row>
    <row r="923" spans="1:26" ht="15.75" x14ac:dyDescent="0.25">
      <c r="B923" s="14" t="s">
        <v>895</v>
      </c>
      <c r="C923" s="14" t="s">
        <v>896</v>
      </c>
      <c r="D923" s="20">
        <v>58.34</v>
      </c>
      <c r="E923" s="15" t="s">
        <v>53</v>
      </c>
      <c r="F923" s="15" t="s">
        <v>25</v>
      </c>
      <c r="G923" s="16" t="s">
        <v>15</v>
      </c>
      <c r="H923" s="17" t="s">
        <v>53</v>
      </c>
      <c r="I923" s="18">
        <v>1</v>
      </c>
      <c r="J923" s="16" t="s">
        <v>17</v>
      </c>
      <c r="K923" s="17" t="s">
        <v>53</v>
      </c>
      <c r="L923" s="18">
        <v>1</v>
      </c>
      <c r="M923" s="16"/>
      <c r="N923" s="17"/>
      <c r="O923" s="18"/>
      <c r="P923" s="16"/>
      <c r="Q923" s="17"/>
      <c r="R923" s="18"/>
      <c r="S923" s="14"/>
      <c r="T923" s="14"/>
      <c r="U923" s="14"/>
      <c r="W923" s="67" t="s">
        <v>895</v>
      </c>
      <c r="X923" s="68" t="s">
        <v>896</v>
      </c>
      <c r="Y923" s="69">
        <v>58.34</v>
      </c>
      <c r="Z923" t="str">
        <f>IF(AND(Tabla1[[#This Row],[nudo inicial]]=Tabla3[[#This Row],[n1]],Tabla1[[#This Row],[nudo final]]=Tabla3[[#This Row],[n2]],Tabla1[[#This Row],[longitud]]=Tabla3[[#This Row],[long]]),"si","no")</f>
        <v>si</v>
      </c>
    </row>
    <row r="924" spans="1:26" ht="15.75" x14ac:dyDescent="0.25">
      <c r="B924" t="s">
        <v>894</v>
      </c>
      <c r="C924" t="s">
        <v>897</v>
      </c>
      <c r="D924" s="19">
        <v>11.63</v>
      </c>
      <c r="E924" s="3" t="s">
        <v>23</v>
      </c>
      <c r="F924" s="3" t="s">
        <v>25</v>
      </c>
      <c r="G924" s="8" t="s">
        <v>57</v>
      </c>
      <c r="H924" s="4" t="s">
        <v>23</v>
      </c>
      <c r="I924" s="5">
        <v>1</v>
      </c>
      <c r="J924" s="8"/>
      <c r="K924" s="4"/>
      <c r="L924" s="5"/>
      <c r="M924" s="8"/>
      <c r="N924" s="4"/>
      <c r="O924" s="5"/>
      <c r="P924" s="8"/>
      <c r="Q924" s="4"/>
      <c r="R924" s="5"/>
      <c r="W924" s="67" t="s">
        <v>894</v>
      </c>
      <c r="X924" s="68" t="s">
        <v>897</v>
      </c>
      <c r="Y924" s="69">
        <v>11.63</v>
      </c>
      <c r="Z924" t="str">
        <f>IF(AND(Tabla1[[#This Row],[nudo inicial]]=Tabla3[[#This Row],[n1]],Tabla1[[#This Row],[nudo final]]=Tabla3[[#This Row],[n2]],Tabla1[[#This Row],[longitud]]=Tabla3[[#This Row],[long]]),"si","no")</f>
        <v>si</v>
      </c>
    </row>
    <row r="925" spans="1:26" ht="15.75" x14ac:dyDescent="0.25">
      <c r="B925" t="s">
        <v>892</v>
      </c>
      <c r="C925" t="s">
        <v>897</v>
      </c>
      <c r="D925" s="19">
        <v>127.29</v>
      </c>
      <c r="E925" s="3" t="s">
        <v>23</v>
      </c>
      <c r="F925" s="3" t="s">
        <v>25</v>
      </c>
      <c r="G925" s="8" t="s">
        <v>58</v>
      </c>
      <c r="H925" s="4" t="s">
        <v>23</v>
      </c>
      <c r="I925" s="5">
        <v>1</v>
      </c>
      <c r="J925" s="8"/>
      <c r="K925" s="4"/>
      <c r="L925" s="5"/>
      <c r="M925" s="8"/>
      <c r="N925" s="4"/>
      <c r="O925" s="5"/>
      <c r="P925" s="8"/>
      <c r="Q925" s="4"/>
      <c r="R925" s="5"/>
      <c r="W925" s="67" t="s">
        <v>892</v>
      </c>
      <c r="X925" s="68" t="s">
        <v>897</v>
      </c>
      <c r="Y925" s="69">
        <v>127.29</v>
      </c>
      <c r="Z925" t="str">
        <f>IF(AND(Tabla1[[#This Row],[nudo inicial]]=Tabla3[[#This Row],[n1]],Tabla1[[#This Row],[nudo final]]=Tabla3[[#This Row],[n2]],Tabla1[[#This Row],[longitud]]=Tabla3[[#This Row],[long]]),"si","no")</f>
        <v>si</v>
      </c>
    </row>
    <row r="926" spans="1:26" ht="15.75" x14ac:dyDescent="0.25">
      <c r="B926" t="s">
        <v>897</v>
      </c>
      <c r="C926" t="s">
        <v>898</v>
      </c>
      <c r="D926" s="19">
        <v>26.09</v>
      </c>
      <c r="E926" s="3" t="s">
        <v>23</v>
      </c>
      <c r="F926" s="3" t="s">
        <v>25</v>
      </c>
      <c r="G926" s="8" t="s">
        <v>57</v>
      </c>
      <c r="H926" s="4" t="s">
        <v>23</v>
      </c>
      <c r="I926" s="5">
        <v>1</v>
      </c>
      <c r="J926" s="8" t="s">
        <v>32</v>
      </c>
      <c r="K926" s="4" t="s">
        <v>23</v>
      </c>
      <c r="L926" s="5">
        <v>2</v>
      </c>
      <c r="M926" s="8" t="s">
        <v>16</v>
      </c>
      <c r="N926" s="4" t="s">
        <v>23</v>
      </c>
      <c r="O926" s="5">
        <v>1</v>
      </c>
      <c r="P926" s="8"/>
      <c r="Q926" s="4"/>
      <c r="R926" s="5"/>
      <c r="W926" s="67" t="s">
        <v>897</v>
      </c>
      <c r="X926" s="68" t="s">
        <v>898</v>
      </c>
      <c r="Y926" s="69">
        <v>26.09</v>
      </c>
      <c r="Z926" t="str">
        <f>IF(AND(Tabla1[[#This Row],[nudo inicial]]=Tabla3[[#This Row],[n1]],Tabla1[[#This Row],[nudo final]]=Tabla3[[#This Row],[n2]],Tabla1[[#This Row],[longitud]]=Tabla3[[#This Row],[long]]),"si","no")</f>
        <v>si</v>
      </c>
    </row>
    <row r="927" spans="1:26" ht="15.75" x14ac:dyDescent="0.25">
      <c r="B927" t="s">
        <v>898</v>
      </c>
      <c r="C927" t="s">
        <v>899</v>
      </c>
      <c r="D927" s="19">
        <v>38.450000000000003</v>
      </c>
      <c r="E927" s="3" t="s">
        <v>23</v>
      </c>
      <c r="F927" s="3" t="s">
        <v>25</v>
      </c>
      <c r="G927" s="8" t="s">
        <v>57</v>
      </c>
      <c r="H927" s="4" t="s">
        <v>23</v>
      </c>
      <c r="I927" s="5">
        <v>1</v>
      </c>
      <c r="J927" s="8"/>
      <c r="K927" s="4"/>
      <c r="L927" s="5"/>
      <c r="M927" s="8"/>
      <c r="N927" s="4"/>
      <c r="O927" s="5"/>
      <c r="P927" s="8"/>
      <c r="Q927" s="4"/>
      <c r="R927" s="5"/>
      <c r="W927" s="67" t="s">
        <v>898</v>
      </c>
      <c r="X927" s="68" t="s">
        <v>899</v>
      </c>
      <c r="Y927" s="69">
        <v>38.450000000000003</v>
      </c>
      <c r="Z927" t="str">
        <f>IF(AND(Tabla1[[#This Row],[nudo inicial]]=Tabla3[[#This Row],[n1]],Tabla1[[#This Row],[nudo final]]=Tabla3[[#This Row],[n2]],Tabla1[[#This Row],[longitud]]=Tabla3[[#This Row],[long]]),"si","no")</f>
        <v>si</v>
      </c>
    </row>
    <row r="928" spans="1:26" ht="15.75" x14ac:dyDescent="0.25">
      <c r="B928" t="s">
        <v>899</v>
      </c>
      <c r="C928" t="s">
        <v>900</v>
      </c>
      <c r="D928" s="19">
        <v>58.88</v>
      </c>
      <c r="E928" s="3" t="s">
        <v>23</v>
      </c>
      <c r="F928" s="3" t="s">
        <v>25</v>
      </c>
      <c r="G928" s="8" t="s">
        <v>57</v>
      </c>
      <c r="H928" s="4" t="s">
        <v>23</v>
      </c>
      <c r="I928" s="5">
        <v>1</v>
      </c>
      <c r="J928" s="8" t="s">
        <v>17</v>
      </c>
      <c r="K928" s="4" t="s">
        <v>23</v>
      </c>
      <c r="L928" s="5">
        <v>1</v>
      </c>
      <c r="M928" s="8"/>
      <c r="N928" s="4"/>
      <c r="O928" s="5"/>
      <c r="P928" s="8"/>
      <c r="Q928" s="4"/>
      <c r="R928" s="5"/>
      <c r="W928" s="67" t="s">
        <v>899</v>
      </c>
      <c r="X928" s="68" t="s">
        <v>900</v>
      </c>
      <c r="Y928" s="69">
        <v>58.88</v>
      </c>
      <c r="Z928" t="str">
        <f>IF(AND(Tabla1[[#This Row],[nudo inicial]]=Tabla3[[#This Row],[n1]],Tabla1[[#This Row],[nudo final]]=Tabla3[[#This Row],[n2]],Tabla1[[#This Row],[longitud]]=Tabla3[[#This Row],[long]]),"si","no")</f>
        <v>si</v>
      </c>
    </row>
    <row r="929" spans="1:26" ht="15.75" x14ac:dyDescent="0.25">
      <c r="B929" t="s">
        <v>899</v>
      </c>
      <c r="C929" t="s">
        <v>901</v>
      </c>
      <c r="D929" s="19">
        <v>137.43</v>
      </c>
      <c r="E929" s="3" t="s">
        <v>23</v>
      </c>
      <c r="F929" s="3" t="s">
        <v>25</v>
      </c>
      <c r="G929" s="8" t="s">
        <v>58</v>
      </c>
      <c r="H929" s="4" t="s">
        <v>23</v>
      </c>
      <c r="I929" s="5">
        <v>1</v>
      </c>
      <c r="J929" s="8"/>
      <c r="K929" s="4"/>
      <c r="L929" s="5"/>
      <c r="M929" s="8"/>
      <c r="N929" s="4"/>
      <c r="O929" s="5"/>
      <c r="P929" s="8"/>
      <c r="Q929" s="4"/>
      <c r="R929" s="5"/>
      <c r="W929" s="67" t="s">
        <v>899</v>
      </c>
      <c r="X929" s="68" t="s">
        <v>901</v>
      </c>
      <c r="Y929" s="69">
        <v>137.43</v>
      </c>
      <c r="Z929" t="str">
        <f>IF(AND(Tabla1[[#This Row],[nudo inicial]]=Tabla3[[#This Row],[n1]],Tabla1[[#This Row],[nudo final]]=Tabla3[[#This Row],[n2]],Tabla1[[#This Row],[longitud]]=Tabla3[[#This Row],[long]]),"si","no")</f>
        <v>si</v>
      </c>
    </row>
    <row r="930" spans="1:26" ht="15.75" x14ac:dyDescent="0.25">
      <c r="B930" t="s">
        <v>901</v>
      </c>
      <c r="C930" t="s">
        <v>902</v>
      </c>
      <c r="D930" s="19">
        <v>70</v>
      </c>
      <c r="E930" s="3" t="s">
        <v>53</v>
      </c>
      <c r="F930" s="3" t="s">
        <v>25</v>
      </c>
      <c r="G930" s="8" t="s">
        <v>15</v>
      </c>
      <c r="H930" s="4" t="s">
        <v>53</v>
      </c>
      <c r="I930" s="5">
        <v>1</v>
      </c>
      <c r="J930" s="8" t="s">
        <v>16</v>
      </c>
      <c r="K930" s="4" t="s">
        <v>53</v>
      </c>
      <c r="L930" s="5">
        <v>1</v>
      </c>
      <c r="M930" s="8" t="s">
        <v>17</v>
      </c>
      <c r="N930" s="4" t="s">
        <v>53</v>
      </c>
      <c r="O930" s="5">
        <v>1</v>
      </c>
      <c r="P930" s="8"/>
      <c r="Q930" s="4"/>
      <c r="R930" s="5"/>
      <c r="W930" s="67" t="s">
        <v>901</v>
      </c>
      <c r="X930" s="68" t="s">
        <v>902</v>
      </c>
      <c r="Y930" s="69">
        <v>70</v>
      </c>
      <c r="Z930" t="str">
        <f>IF(AND(Tabla1[[#This Row],[nudo inicial]]=Tabla3[[#This Row],[n1]],Tabla1[[#This Row],[nudo final]]=Tabla3[[#This Row],[n2]],Tabla1[[#This Row],[longitud]]=Tabla3[[#This Row],[long]]),"si","no")</f>
        <v>si</v>
      </c>
    </row>
    <row r="931" spans="1:26" ht="15.75" x14ac:dyDescent="0.25">
      <c r="B931" t="s">
        <v>898</v>
      </c>
      <c r="C931" t="s">
        <v>903</v>
      </c>
      <c r="D931" s="19">
        <v>233.2</v>
      </c>
      <c r="E931" s="3" t="s">
        <v>23</v>
      </c>
      <c r="F931" s="3" t="s">
        <v>25</v>
      </c>
      <c r="G931" s="8" t="s">
        <v>58</v>
      </c>
      <c r="H931" s="4" t="s">
        <v>23</v>
      </c>
      <c r="I931" s="5">
        <v>1</v>
      </c>
      <c r="J931" s="8" t="s">
        <v>32</v>
      </c>
      <c r="K931" s="4" t="s">
        <v>23</v>
      </c>
      <c r="L931" s="5">
        <v>1</v>
      </c>
      <c r="M931" s="8" t="s">
        <v>16</v>
      </c>
      <c r="N931" s="4" t="s">
        <v>23</v>
      </c>
      <c r="O931" s="5">
        <v>1</v>
      </c>
      <c r="P931" s="8"/>
      <c r="Q931" s="4"/>
      <c r="R931" s="5"/>
      <c r="W931" s="67" t="s">
        <v>898</v>
      </c>
      <c r="X931" s="68" t="s">
        <v>903</v>
      </c>
      <c r="Y931" s="69">
        <v>233.2</v>
      </c>
      <c r="Z931" t="str">
        <f>IF(AND(Tabla1[[#This Row],[nudo inicial]]=Tabla3[[#This Row],[n1]],Tabla1[[#This Row],[nudo final]]=Tabla3[[#This Row],[n2]],Tabla1[[#This Row],[longitud]]=Tabla3[[#This Row],[long]]),"si","no")</f>
        <v>si</v>
      </c>
    </row>
    <row r="932" spans="1:26" ht="15.75" x14ac:dyDescent="0.25">
      <c r="B932" t="s">
        <v>903</v>
      </c>
      <c r="C932" t="s">
        <v>904</v>
      </c>
      <c r="D932" s="19">
        <v>294.70999999999998</v>
      </c>
      <c r="E932" s="3" t="s">
        <v>53</v>
      </c>
      <c r="F932" s="3" t="s">
        <v>25</v>
      </c>
      <c r="G932" s="8" t="s">
        <v>58</v>
      </c>
      <c r="H932" s="4" t="s">
        <v>23</v>
      </c>
      <c r="I932" s="5">
        <v>1</v>
      </c>
      <c r="J932" s="8" t="s">
        <v>15</v>
      </c>
      <c r="K932" s="4" t="s">
        <v>53</v>
      </c>
      <c r="L932" s="5">
        <v>1</v>
      </c>
      <c r="M932" s="8" t="s">
        <v>17</v>
      </c>
      <c r="N932" s="4" t="s">
        <v>53</v>
      </c>
      <c r="O932" s="5">
        <v>1</v>
      </c>
      <c r="P932" s="8"/>
      <c r="Q932" s="4"/>
      <c r="R932" s="5"/>
      <c r="W932" s="67" t="s">
        <v>903</v>
      </c>
      <c r="X932" s="68" t="s">
        <v>904</v>
      </c>
      <c r="Y932" s="69">
        <v>294.70999999999998</v>
      </c>
      <c r="Z932" t="str">
        <f>IF(AND(Tabla1[[#This Row],[nudo inicial]]=Tabla3[[#This Row],[n1]],Tabla1[[#This Row],[nudo final]]=Tabla3[[#This Row],[n2]],Tabla1[[#This Row],[longitud]]=Tabla3[[#This Row],[long]]),"si","no")</f>
        <v>si</v>
      </c>
    </row>
    <row r="933" spans="1:26" ht="30" x14ac:dyDescent="0.25">
      <c r="B933" t="s">
        <v>903</v>
      </c>
      <c r="C933" t="s">
        <v>905</v>
      </c>
      <c r="D933" s="19">
        <v>211.48</v>
      </c>
      <c r="E933" s="3" t="s">
        <v>23</v>
      </c>
      <c r="F933" s="3" t="s">
        <v>25</v>
      </c>
      <c r="G933" s="8" t="s">
        <v>58</v>
      </c>
      <c r="H933" s="4" t="s">
        <v>23</v>
      </c>
      <c r="I933" s="5">
        <v>1</v>
      </c>
      <c r="J933" s="8" t="s">
        <v>16</v>
      </c>
      <c r="K933" s="4" t="s">
        <v>23</v>
      </c>
      <c r="L933" s="5">
        <v>2</v>
      </c>
      <c r="M933" s="8" t="s">
        <v>33</v>
      </c>
      <c r="N933" s="4"/>
      <c r="O933" s="5">
        <v>1</v>
      </c>
      <c r="P933" s="8"/>
      <c r="Q933" s="4"/>
      <c r="R933" s="5"/>
      <c r="W933" s="67" t="s">
        <v>903</v>
      </c>
      <c r="X933" s="68" t="s">
        <v>905</v>
      </c>
      <c r="Y933" s="69">
        <v>211.48</v>
      </c>
      <c r="Z933" t="str">
        <f>IF(AND(Tabla1[[#This Row],[nudo inicial]]=Tabla3[[#This Row],[n1]],Tabla1[[#This Row],[nudo final]]=Tabla3[[#This Row],[n2]],Tabla1[[#This Row],[longitud]]=Tabla3[[#This Row],[long]]),"si","no")</f>
        <v>si</v>
      </c>
    </row>
    <row r="934" spans="1:26" ht="15.75" x14ac:dyDescent="0.25">
      <c r="B934" t="s">
        <v>905</v>
      </c>
      <c r="C934" t="s">
        <v>906</v>
      </c>
      <c r="D934" s="19">
        <v>10.5</v>
      </c>
      <c r="E934" s="3" t="s">
        <v>53</v>
      </c>
      <c r="F934" s="3" t="s">
        <v>25</v>
      </c>
      <c r="G934" s="8" t="s">
        <v>58</v>
      </c>
      <c r="H934" s="4" t="s">
        <v>23</v>
      </c>
      <c r="I934" s="5">
        <v>1</v>
      </c>
      <c r="J934" s="8" t="s">
        <v>15</v>
      </c>
      <c r="K934" s="4" t="s">
        <v>53</v>
      </c>
      <c r="L934" s="5">
        <v>1</v>
      </c>
      <c r="M934" s="8"/>
      <c r="N934" s="4"/>
      <c r="O934" s="5"/>
      <c r="P934" s="8"/>
      <c r="Q934" s="4"/>
      <c r="R934" s="5"/>
      <c r="W934" s="67" t="s">
        <v>905</v>
      </c>
      <c r="X934" s="68" t="s">
        <v>906</v>
      </c>
      <c r="Y934" s="69">
        <v>10.5</v>
      </c>
      <c r="Z934" t="str">
        <f>IF(AND(Tabla1[[#This Row],[nudo inicial]]=Tabla3[[#This Row],[n1]],Tabla1[[#This Row],[nudo final]]=Tabla3[[#This Row],[n2]],Tabla1[[#This Row],[longitud]]=Tabla3[[#This Row],[long]]),"si","no")</f>
        <v>si</v>
      </c>
    </row>
    <row r="935" spans="1:26" ht="15.75" x14ac:dyDescent="0.25">
      <c r="B935" t="s">
        <v>906</v>
      </c>
      <c r="C935" t="s">
        <v>907</v>
      </c>
      <c r="D935" s="19">
        <v>19.32</v>
      </c>
      <c r="E935" s="3" t="s">
        <v>375</v>
      </c>
      <c r="F935" s="3" t="s">
        <v>25</v>
      </c>
      <c r="G935" s="8" t="s">
        <v>58</v>
      </c>
      <c r="H935" s="4" t="s">
        <v>53</v>
      </c>
      <c r="I935" s="5">
        <v>1</v>
      </c>
      <c r="J935" s="8" t="s">
        <v>15</v>
      </c>
      <c r="K935" s="4" t="s">
        <v>375</v>
      </c>
      <c r="L935" s="5">
        <v>1</v>
      </c>
      <c r="M935" s="8" t="s">
        <v>17</v>
      </c>
      <c r="N935" s="4" t="s">
        <v>375</v>
      </c>
      <c r="O935" s="5">
        <v>1</v>
      </c>
      <c r="P935" s="8"/>
      <c r="Q935" s="4"/>
      <c r="R935" s="5"/>
      <c r="W935" s="67" t="s">
        <v>906</v>
      </c>
      <c r="X935" s="68" t="s">
        <v>907</v>
      </c>
      <c r="Y935" s="69">
        <v>19.32</v>
      </c>
      <c r="Z935" t="str">
        <f>IF(AND(Tabla1[[#This Row],[nudo inicial]]=Tabla3[[#This Row],[n1]],Tabla1[[#This Row],[nudo final]]=Tabla3[[#This Row],[n2]],Tabla1[[#This Row],[longitud]]=Tabla3[[#This Row],[long]]),"si","no")</f>
        <v>si</v>
      </c>
    </row>
    <row r="936" spans="1:26" ht="15.75" x14ac:dyDescent="0.25">
      <c r="B936" t="s">
        <v>906</v>
      </c>
      <c r="C936" t="s">
        <v>908</v>
      </c>
      <c r="D936" s="19">
        <v>35.06</v>
      </c>
      <c r="E936" s="3" t="s">
        <v>53</v>
      </c>
      <c r="F936" s="3" t="s">
        <v>25</v>
      </c>
      <c r="G936" s="8" t="s">
        <v>57</v>
      </c>
      <c r="H936" s="4" t="s">
        <v>53</v>
      </c>
      <c r="I936" s="5">
        <v>1</v>
      </c>
      <c r="J936" s="8"/>
      <c r="K936" s="4"/>
      <c r="L936" s="5"/>
      <c r="M936" s="8"/>
      <c r="N936" s="4"/>
      <c r="O936" s="5"/>
      <c r="P936" s="8"/>
      <c r="Q936" s="4"/>
      <c r="R936" s="5"/>
      <c r="W936" s="67" t="s">
        <v>906</v>
      </c>
      <c r="X936" s="68" t="s">
        <v>908</v>
      </c>
      <c r="Y936" s="69">
        <v>35.06</v>
      </c>
      <c r="Z936" t="str">
        <f>IF(AND(Tabla1[[#This Row],[nudo inicial]]=Tabla3[[#This Row],[n1]],Tabla1[[#This Row],[nudo final]]=Tabla3[[#This Row],[n2]],Tabla1[[#This Row],[longitud]]=Tabla3[[#This Row],[long]]),"si","no")</f>
        <v>si</v>
      </c>
    </row>
    <row r="937" spans="1:26" ht="15.75" x14ac:dyDescent="0.25">
      <c r="B937" t="s">
        <v>908</v>
      </c>
      <c r="C937" t="s">
        <v>909</v>
      </c>
      <c r="D937" s="19">
        <v>64.44</v>
      </c>
      <c r="E937" s="3" t="s">
        <v>795</v>
      </c>
      <c r="F937" s="3" t="s">
        <v>25</v>
      </c>
      <c r="G937" s="8" t="s">
        <v>58</v>
      </c>
      <c r="H937" s="4" t="s">
        <v>53</v>
      </c>
      <c r="I937" s="5">
        <v>1</v>
      </c>
      <c r="J937" s="8" t="s">
        <v>15</v>
      </c>
      <c r="K937" s="4" t="s">
        <v>795</v>
      </c>
      <c r="L937" s="5">
        <v>1</v>
      </c>
      <c r="M937" s="8" t="s">
        <v>17</v>
      </c>
      <c r="N937" s="4" t="s">
        <v>795</v>
      </c>
      <c r="O937" s="5">
        <v>1</v>
      </c>
      <c r="P937" s="8"/>
      <c r="Q937" s="4"/>
      <c r="R937" s="5"/>
      <c r="W937" s="67" t="s">
        <v>908</v>
      </c>
      <c r="X937" s="68" t="s">
        <v>909</v>
      </c>
      <c r="Y937" s="69">
        <v>64.44</v>
      </c>
      <c r="Z937" t="str">
        <f>IF(AND(Tabla1[[#This Row],[nudo inicial]]=Tabla3[[#This Row],[n1]],Tabla1[[#This Row],[nudo final]]=Tabla3[[#This Row],[n2]],Tabla1[[#This Row],[longitud]]=Tabla3[[#This Row],[long]]),"si","no")</f>
        <v>si</v>
      </c>
    </row>
    <row r="938" spans="1:26" ht="15.75" x14ac:dyDescent="0.25">
      <c r="B938" t="s">
        <v>908</v>
      </c>
      <c r="C938" t="s">
        <v>910</v>
      </c>
      <c r="D938" s="19">
        <v>51</v>
      </c>
      <c r="E938" s="3" t="s">
        <v>53</v>
      </c>
      <c r="F938" s="3" t="s">
        <v>25</v>
      </c>
      <c r="G938" s="8" t="s">
        <v>58</v>
      </c>
      <c r="H938" s="4" t="s">
        <v>53</v>
      </c>
      <c r="I938" s="5">
        <v>1</v>
      </c>
      <c r="J938" s="8"/>
      <c r="K938" s="4"/>
      <c r="L938" s="5"/>
      <c r="M938" s="8"/>
      <c r="N938" s="4"/>
      <c r="O938" s="5"/>
      <c r="P938" s="8"/>
      <c r="Q938" s="4"/>
      <c r="R938" s="5"/>
      <c r="W938" s="67" t="s">
        <v>908</v>
      </c>
      <c r="X938" s="68" t="s">
        <v>910</v>
      </c>
      <c r="Y938" s="69">
        <v>51</v>
      </c>
      <c r="Z938" t="str">
        <f>IF(AND(Tabla1[[#This Row],[nudo inicial]]=Tabla3[[#This Row],[n1]],Tabla1[[#This Row],[nudo final]]=Tabla3[[#This Row],[n2]],Tabla1[[#This Row],[longitud]]=Tabla3[[#This Row],[long]]),"si","no")</f>
        <v>si</v>
      </c>
    </row>
    <row r="939" spans="1:26" ht="15.75" x14ac:dyDescent="0.25">
      <c r="A939" s="14"/>
      <c r="B939" t="s">
        <v>910</v>
      </c>
      <c r="C939" t="s">
        <v>911</v>
      </c>
      <c r="D939" s="19">
        <v>93.92</v>
      </c>
      <c r="E939" s="34" t="s">
        <v>795</v>
      </c>
      <c r="F939" s="3" t="s">
        <v>25</v>
      </c>
      <c r="G939" s="8" t="s">
        <v>57</v>
      </c>
      <c r="H939" s="4" t="s">
        <v>53</v>
      </c>
      <c r="I939" s="5">
        <v>1</v>
      </c>
      <c r="J939" s="8" t="s">
        <v>15</v>
      </c>
      <c r="K939" s="4" t="s">
        <v>795</v>
      </c>
      <c r="L939" s="5">
        <v>1</v>
      </c>
      <c r="M939" s="8" t="s">
        <v>17</v>
      </c>
      <c r="N939" s="4" t="s">
        <v>795</v>
      </c>
      <c r="O939" s="5">
        <v>1</v>
      </c>
      <c r="P939" s="8"/>
      <c r="Q939" s="4"/>
      <c r="R939" s="5"/>
      <c r="W939" s="67" t="s">
        <v>910</v>
      </c>
      <c r="X939" s="68" t="s">
        <v>911</v>
      </c>
      <c r="Y939" s="69">
        <v>93.92</v>
      </c>
      <c r="Z939" t="str">
        <f>IF(AND(Tabla1[[#This Row],[nudo inicial]]=Tabla3[[#This Row],[n1]],Tabla1[[#This Row],[nudo final]]=Tabla3[[#This Row],[n2]],Tabla1[[#This Row],[longitud]]=Tabla3[[#This Row],[long]]),"si","no")</f>
        <v>si</v>
      </c>
    </row>
    <row r="940" spans="1:26" ht="15.75" x14ac:dyDescent="0.25">
      <c r="B940" s="14" t="s">
        <v>910</v>
      </c>
      <c r="C940" s="14" t="s">
        <v>912</v>
      </c>
      <c r="D940" s="20">
        <v>8.24</v>
      </c>
      <c r="E940" s="15" t="s">
        <v>53</v>
      </c>
      <c r="F940" s="15" t="s">
        <v>25</v>
      </c>
      <c r="G940" s="16" t="s">
        <v>58</v>
      </c>
      <c r="H940" s="17" t="s">
        <v>53</v>
      </c>
      <c r="I940" s="18">
        <v>1</v>
      </c>
      <c r="J940" s="16"/>
      <c r="K940" s="17"/>
      <c r="L940" s="18"/>
      <c r="M940" s="16"/>
      <c r="N940" s="17"/>
      <c r="O940" s="18"/>
      <c r="P940" s="16"/>
      <c r="Q940" s="17"/>
      <c r="R940" s="18"/>
      <c r="S940" s="14"/>
      <c r="T940" s="14"/>
      <c r="U940" s="14"/>
      <c r="W940" s="67" t="s">
        <v>910</v>
      </c>
      <c r="X940" s="68" t="s">
        <v>912</v>
      </c>
      <c r="Y940" s="69">
        <v>8.24</v>
      </c>
      <c r="Z940" t="str">
        <f>IF(AND(Tabla1[[#This Row],[nudo inicial]]=Tabla3[[#This Row],[n1]],Tabla1[[#This Row],[nudo final]]=Tabla3[[#This Row],[n2]],Tabla1[[#This Row],[longitud]]=Tabla3[[#This Row],[long]]),"si","no")</f>
        <v>si</v>
      </c>
    </row>
    <row r="941" spans="1:26" ht="15.75" x14ac:dyDescent="0.25">
      <c r="B941" t="s">
        <v>912</v>
      </c>
      <c r="C941" t="s">
        <v>913</v>
      </c>
      <c r="D941" s="19">
        <v>29.13</v>
      </c>
      <c r="E941" s="3" t="s">
        <v>53</v>
      </c>
      <c r="F941" s="3" t="s">
        <v>25</v>
      </c>
      <c r="G941" s="8" t="s">
        <v>58</v>
      </c>
      <c r="H941" s="4" t="s">
        <v>53</v>
      </c>
      <c r="I941" s="5">
        <v>1</v>
      </c>
      <c r="J941" s="8" t="s">
        <v>17</v>
      </c>
      <c r="K941" s="4" t="s">
        <v>53</v>
      </c>
      <c r="L941" s="5">
        <v>1</v>
      </c>
      <c r="M941" s="8"/>
      <c r="N941" s="4"/>
      <c r="O941" s="5"/>
      <c r="P941" s="8"/>
      <c r="Q941" s="4"/>
      <c r="R941" s="5"/>
      <c r="W941" s="67" t="s">
        <v>912</v>
      </c>
      <c r="X941" s="68" t="s">
        <v>913</v>
      </c>
      <c r="Y941" s="69">
        <v>29.13</v>
      </c>
      <c r="Z941" t="str">
        <f>IF(AND(Tabla1[[#This Row],[nudo inicial]]=Tabla3[[#This Row],[n1]],Tabla1[[#This Row],[nudo final]]=Tabla3[[#This Row],[n2]],Tabla1[[#This Row],[longitud]]=Tabla3[[#This Row],[long]]),"si","no")</f>
        <v>si</v>
      </c>
    </row>
    <row r="942" spans="1:26" ht="15.75" x14ac:dyDescent="0.25">
      <c r="B942" t="s">
        <v>912</v>
      </c>
      <c r="C942" t="s">
        <v>914</v>
      </c>
      <c r="D942" s="19">
        <v>140.93</v>
      </c>
      <c r="E942" s="3" t="s">
        <v>53</v>
      </c>
      <c r="F942" s="3" t="s">
        <v>25</v>
      </c>
      <c r="G942" s="8" t="s">
        <v>58</v>
      </c>
      <c r="H942" s="4" t="s">
        <v>53</v>
      </c>
      <c r="I942" s="5">
        <v>1</v>
      </c>
      <c r="J942" s="8" t="s">
        <v>17</v>
      </c>
      <c r="K942" s="4" t="s">
        <v>53</v>
      </c>
      <c r="L942" s="5">
        <v>1</v>
      </c>
      <c r="M942" s="8"/>
      <c r="N942" s="4"/>
      <c r="O942" s="5"/>
      <c r="P942" s="8"/>
      <c r="Q942" s="4"/>
      <c r="R942" s="5"/>
      <c r="W942" s="67" t="s">
        <v>912</v>
      </c>
      <c r="X942" s="68" t="s">
        <v>914</v>
      </c>
      <c r="Y942" s="69">
        <v>140.93</v>
      </c>
      <c r="Z942" t="str">
        <f>IF(AND(Tabla1[[#This Row],[nudo inicial]]=Tabla3[[#This Row],[n1]],Tabla1[[#This Row],[nudo final]]=Tabla3[[#This Row],[n2]],Tabla1[[#This Row],[longitud]]=Tabla3[[#This Row],[long]]),"si","no")</f>
        <v>si</v>
      </c>
    </row>
    <row r="943" spans="1:26" ht="15.75" x14ac:dyDescent="0.25">
      <c r="B943" t="s">
        <v>905</v>
      </c>
      <c r="C943" t="s">
        <v>915</v>
      </c>
      <c r="D943" s="19">
        <v>12.66</v>
      </c>
      <c r="E943" s="3" t="s">
        <v>375</v>
      </c>
      <c r="F943" s="3" t="s">
        <v>25</v>
      </c>
      <c r="G943" s="8" t="s">
        <v>57</v>
      </c>
      <c r="H943" s="4" t="s">
        <v>23</v>
      </c>
      <c r="I943" s="5">
        <v>1</v>
      </c>
      <c r="J943" s="8" t="s">
        <v>15</v>
      </c>
      <c r="K943" s="4" t="s">
        <v>375</v>
      </c>
      <c r="L943" s="5">
        <v>2</v>
      </c>
      <c r="M943" s="8"/>
      <c r="N943" s="4"/>
      <c r="O943" s="5"/>
      <c r="P943" s="8"/>
      <c r="Q943" s="4"/>
      <c r="R943" s="5"/>
      <c r="W943" s="67" t="s">
        <v>905</v>
      </c>
      <c r="X943" s="68" t="s">
        <v>915</v>
      </c>
      <c r="Y943" s="69">
        <v>12.66</v>
      </c>
      <c r="Z943" t="str">
        <f>IF(AND(Tabla1[[#This Row],[nudo inicial]]=Tabla3[[#This Row],[n1]],Tabla1[[#This Row],[nudo final]]=Tabla3[[#This Row],[n2]],Tabla1[[#This Row],[longitud]]=Tabla3[[#This Row],[long]]),"si","no")</f>
        <v>si</v>
      </c>
    </row>
    <row r="944" spans="1:26" ht="15.75" x14ac:dyDescent="0.25">
      <c r="B944" t="s">
        <v>915</v>
      </c>
      <c r="C944" t="s">
        <v>916</v>
      </c>
      <c r="D944" s="19">
        <v>26.43</v>
      </c>
      <c r="E944" s="3" t="s">
        <v>375</v>
      </c>
      <c r="F944" s="3" t="s">
        <v>25</v>
      </c>
      <c r="G944" s="8" t="s">
        <v>57</v>
      </c>
      <c r="H944" s="4" t="s">
        <v>23</v>
      </c>
      <c r="I944" s="5">
        <v>1</v>
      </c>
      <c r="J944" s="8" t="s">
        <v>15</v>
      </c>
      <c r="K944" s="4" t="s">
        <v>375</v>
      </c>
      <c r="L944" s="5">
        <v>1</v>
      </c>
      <c r="M944" s="8" t="s">
        <v>17</v>
      </c>
      <c r="N944" s="4" t="s">
        <v>375</v>
      </c>
      <c r="O944" s="5">
        <v>1</v>
      </c>
      <c r="P944" s="8"/>
      <c r="Q944" s="4"/>
      <c r="R944" s="5"/>
      <c r="W944" s="67" t="s">
        <v>915</v>
      </c>
      <c r="X944" s="68" t="s">
        <v>916</v>
      </c>
      <c r="Y944" s="69">
        <v>26.43</v>
      </c>
      <c r="Z944" t="str">
        <f>IF(AND(Tabla1[[#This Row],[nudo inicial]]=Tabla3[[#This Row],[n1]],Tabla1[[#This Row],[nudo final]]=Tabla3[[#This Row],[n2]],Tabla1[[#This Row],[longitud]]=Tabla3[[#This Row],[long]]),"si","no")</f>
        <v>si</v>
      </c>
    </row>
    <row r="945" spans="1:26" ht="15.75" x14ac:dyDescent="0.25">
      <c r="B945" t="s">
        <v>915</v>
      </c>
      <c r="C945" t="s">
        <v>887</v>
      </c>
      <c r="D945" s="19">
        <v>50.7</v>
      </c>
      <c r="E945" s="3" t="s">
        <v>23</v>
      </c>
      <c r="F945" s="3" t="s">
        <v>25</v>
      </c>
      <c r="G945" s="8" t="s">
        <v>58</v>
      </c>
      <c r="H945" s="4" t="s">
        <v>23</v>
      </c>
      <c r="I945" s="5">
        <v>1</v>
      </c>
      <c r="J945" s="8" t="s">
        <v>6</v>
      </c>
      <c r="K945" s="4" t="s">
        <v>126</v>
      </c>
      <c r="L945" s="5">
        <v>1</v>
      </c>
      <c r="M945" s="8"/>
      <c r="N945" s="4"/>
      <c r="O945" s="5"/>
      <c r="P945" s="8"/>
      <c r="Q945" s="4"/>
      <c r="R945" s="5"/>
      <c r="W945" s="67" t="s">
        <v>915</v>
      </c>
      <c r="X945" s="68" t="s">
        <v>887</v>
      </c>
      <c r="Y945" s="69">
        <v>50.7</v>
      </c>
      <c r="Z945" t="str">
        <f>IF(AND(Tabla1[[#This Row],[nudo inicial]]=Tabla3[[#This Row],[n1]],Tabla1[[#This Row],[nudo final]]=Tabla3[[#This Row],[n2]],Tabla1[[#This Row],[longitud]]=Tabla3[[#This Row],[long]]),"si","no")</f>
        <v>si</v>
      </c>
    </row>
    <row r="946" spans="1:26" ht="15.75" x14ac:dyDescent="0.25">
      <c r="B946" t="s">
        <v>887</v>
      </c>
      <c r="C946" t="s">
        <v>917</v>
      </c>
      <c r="D946" s="19">
        <v>30.56</v>
      </c>
      <c r="E946" s="3" t="s">
        <v>126</v>
      </c>
      <c r="F946" s="3" t="s">
        <v>25</v>
      </c>
      <c r="G946" s="8" t="s">
        <v>57</v>
      </c>
      <c r="H946" s="4" t="s">
        <v>55</v>
      </c>
      <c r="I946" s="5">
        <v>1</v>
      </c>
      <c r="J946" s="8" t="s">
        <v>15</v>
      </c>
      <c r="K946" s="4" t="s">
        <v>126</v>
      </c>
      <c r="L946" s="5">
        <v>1</v>
      </c>
      <c r="M946" s="8" t="s">
        <v>16</v>
      </c>
      <c r="N946" s="4" t="s">
        <v>126</v>
      </c>
      <c r="O946" s="5">
        <v>1</v>
      </c>
      <c r="P946" s="8"/>
      <c r="Q946" s="4"/>
      <c r="R946" s="5"/>
      <c r="W946" s="67" t="s">
        <v>887</v>
      </c>
      <c r="X946" s="68" t="s">
        <v>917</v>
      </c>
      <c r="Y946" s="69">
        <v>30.56</v>
      </c>
      <c r="Z946" t="str">
        <f>IF(AND(Tabla1[[#This Row],[nudo inicial]]=Tabla3[[#This Row],[n1]],Tabla1[[#This Row],[nudo final]]=Tabla3[[#This Row],[n2]],Tabla1[[#This Row],[longitud]]=Tabla3[[#This Row],[long]]),"si","no")</f>
        <v>si</v>
      </c>
    </row>
    <row r="947" spans="1:26" ht="15.75" x14ac:dyDescent="0.25">
      <c r="B947" t="s">
        <v>918</v>
      </c>
      <c r="C947" t="s">
        <v>918</v>
      </c>
      <c r="D947" s="19">
        <v>49.62</v>
      </c>
      <c r="E947" s="3" t="s">
        <v>126</v>
      </c>
      <c r="F947" s="3" t="s">
        <v>25</v>
      </c>
      <c r="G947" s="8" t="s">
        <v>58</v>
      </c>
      <c r="H947" s="4" t="s">
        <v>126</v>
      </c>
      <c r="I947" s="5">
        <v>1</v>
      </c>
      <c r="J947" s="8" t="s">
        <v>32</v>
      </c>
      <c r="K947" s="4" t="s">
        <v>126</v>
      </c>
      <c r="L947" s="5">
        <v>1</v>
      </c>
      <c r="M947" s="8" t="s">
        <v>16</v>
      </c>
      <c r="N947" s="4" t="s">
        <v>126</v>
      </c>
      <c r="O947" s="5">
        <v>2</v>
      </c>
      <c r="P947" s="8"/>
      <c r="Q947" s="4"/>
      <c r="R947" s="5"/>
      <c r="W947" s="67" t="s">
        <v>918</v>
      </c>
      <c r="X947" s="68" t="s">
        <v>918</v>
      </c>
      <c r="Y947" s="69">
        <v>49.62</v>
      </c>
      <c r="Z947" t="str">
        <f>IF(AND(Tabla1[[#This Row],[nudo inicial]]=Tabla3[[#This Row],[n1]],Tabla1[[#This Row],[nudo final]]=Tabla3[[#This Row],[n2]],Tabla1[[#This Row],[longitud]]=Tabla3[[#This Row],[long]]),"si","no")</f>
        <v>si</v>
      </c>
    </row>
    <row r="948" spans="1:26" ht="15.75" x14ac:dyDescent="0.25">
      <c r="B948" t="s">
        <v>918</v>
      </c>
      <c r="C948" t="s">
        <v>919</v>
      </c>
      <c r="D948" s="19">
        <v>70.19</v>
      </c>
      <c r="E948" s="3" t="s">
        <v>23</v>
      </c>
      <c r="F948" s="3" t="s">
        <v>25</v>
      </c>
      <c r="G948" s="8" t="s">
        <v>58</v>
      </c>
      <c r="H948" s="4" t="s">
        <v>126</v>
      </c>
      <c r="I948" s="5">
        <v>1</v>
      </c>
      <c r="J948" s="8" t="s">
        <v>15</v>
      </c>
      <c r="K948" s="4" t="s">
        <v>23</v>
      </c>
      <c r="L948" s="5">
        <v>1</v>
      </c>
      <c r="M948" s="8" t="s">
        <v>32</v>
      </c>
      <c r="N948" s="4" t="s">
        <v>23</v>
      </c>
      <c r="O948" s="5">
        <v>1</v>
      </c>
      <c r="P948" s="8"/>
      <c r="Q948" s="4"/>
      <c r="R948" s="5"/>
      <c r="W948" s="67" t="s">
        <v>918</v>
      </c>
      <c r="X948" s="68" t="s">
        <v>919</v>
      </c>
      <c r="Y948" s="69">
        <v>70.19</v>
      </c>
      <c r="Z948" t="str">
        <f>IF(AND(Tabla1[[#This Row],[nudo inicial]]=Tabla3[[#This Row],[n1]],Tabla1[[#This Row],[nudo final]]=Tabla3[[#This Row],[n2]],Tabla1[[#This Row],[longitud]]=Tabla3[[#This Row],[long]]),"si","no")</f>
        <v>si</v>
      </c>
    </row>
    <row r="949" spans="1:26" ht="15.75" x14ac:dyDescent="0.25">
      <c r="B949" t="s">
        <v>919</v>
      </c>
      <c r="C949" t="s">
        <v>920</v>
      </c>
      <c r="D949" s="19">
        <v>7.96</v>
      </c>
      <c r="E949" s="3" t="s">
        <v>53</v>
      </c>
      <c r="F949" s="3" t="s">
        <v>25</v>
      </c>
      <c r="G949" s="8" t="s">
        <v>58</v>
      </c>
      <c r="H949" s="4" t="s">
        <v>23</v>
      </c>
      <c r="I949" s="5">
        <v>1</v>
      </c>
      <c r="J949" s="8" t="s">
        <v>15</v>
      </c>
      <c r="K949" s="4" t="s">
        <v>53</v>
      </c>
      <c r="L949" s="5">
        <v>1</v>
      </c>
      <c r="M949" s="8" t="s">
        <v>17</v>
      </c>
      <c r="N949" s="4" t="s">
        <v>53</v>
      </c>
      <c r="O949" s="5">
        <v>1</v>
      </c>
      <c r="P949" s="8"/>
      <c r="Q949" s="4"/>
      <c r="R949" s="5"/>
      <c r="W949" s="67" t="s">
        <v>919</v>
      </c>
      <c r="X949" s="68" t="s">
        <v>920</v>
      </c>
      <c r="Y949" s="69">
        <v>7.96</v>
      </c>
      <c r="Z949" t="str">
        <f>IF(AND(Tabla1[[#This Row],[nudo inicial]]=Tabla3[[#This Row],[n1]],Tabla1[[#This Row],[nudo final]]=Tabla3[[#This Row],[n2]],Tabla1[[#This Row],[longitud]]=Tabla3[[#This Row],[long]]),"si","no")</f>
        <v>si</v>
      </c>
    </row>
    <row r="950" spans="1:26" ht="15.75" x14ac:dyDescent="0.25">
      <c r="B950" t="s">
        <v>919</v>
      </c>
      <c r="C950" t="s">
        <v>921</v>
      </c>
      <c r="D950" s="19">
        <v>33.4</v>
      </c>
      <c r="E950" s="3" t="s">
        <v>23</v>
      </c>
      <c r="F950" s="3" t="s">
        <v>25</v>
      </c>
      <c r="G950" s="8" t="s">
        <v>57</v>
      </c>
      <c r="H950" s="4" t="s">
        <v>23</v>
      </c>
      <c r="I950" s="5">
        <v>1</v>
      </c>
      <c r="J950" s="8"/>
      <c r="K950" s="4"/>
      <c r="L950" s="5"/>
      <c r="M950" s="8"/>
      <c r="N950" s="4"/>
      <c r="O950" s="5"/>
      <c r="P950" s="8"/>
      <c r="Q950" s="4"/>
      <c r="R950" s="5"/>
      <c r="W950" s="67" t="s">
        <v>919</v>
      </c>
      <c r="X950" s="68" t="s">
        <v>921</v>
      </c>
      <c r="Y950" s="69">
        <v>33.4</v>
      </c>
      <c r="Z950" t="str">
        <f>IF(AND(Tabla1[[#This Row],[nudo inicial]]=Tabla3[[#This Row],[n1]],Tabla1[[#This Row],[nudo final]]=Tabla3[[#This Row],[n2]],Tabla1[[#This Row],[longitud]]=Tabla3[[#This Row],[long]]),"si","no")</f>
        <v>si</v>
      </c>
    </row>
    <row r="951" spans="1:26" ht="15.75" x14ac:dyDescent="0.25">
      <c r="B951" t="s">
        <v>921</v>
      </c>
      <c r="C951" t="s">
        <v>922</v>
      </c>
      <c r="D951" s="19">
        <v>28.32</v>
      </c>
      <c r="E951" s="3" t="s">
        <v>126</v>
      </c>
      <c r="F951" s="3" t="s">
        <v>25</v>
      </c>
      <c r="G951" s="8" t="s">
        <v>57</v>
      </c>
      <c r="H951" s="4" t="s">
        <v>23</v>
      </c>
      <c r="I951" s="5">
        <v>1</v>
      </c>
      <c r="J951" s="8" t="s">
        <v>6</v>
      </c>
      <c r="K951" s="4" t="s">
        <v>126</v>
      </c>
      <c r="L951" s="5">
        <v>1</v>
      </c>
      <c r="M951" s="8" t="s">
        <v>32</v>
      </c>
      <c r="N951" s="4" t="s">
        <v>126</v>
      </c>
      <c r="O951" s="5">
        <v>1</v>
      </c>
      <c r="P951" s="8"/>
      <c r="Q951" s="4"/>
      <c r="R951" s="5"/>
      <c r="W951" s="67" t="s">
        <v>921</v>
      </c>
      <c r="X951" s="68" t="s">
        <v>922</v>
      </c>
      <c r="Y951" s="69">
        <v>28.32</v>
      </c>
      <c r="Z951" t="str">
        <f>IF(AND(Tabla1[[#This Row],[nudo inicial]]=Tabla3[[#This Row],[n1]],Tabla1[[#This Row],[nudo final]]=Tabla3[[#This Row],[n2]],Tabla1[[#This Row],[longitud]]=Tabla3[[#This Row],[long]]),"si","no")</f>
        <v>si</v>
      </c>
    </row>
    <row r="952" spans="1:26" ht="15.75" x14ac:dyDescent="0.25">
      <c r="B952" t="s">
        <v>922</v>
      </c>
      <c r="C952" t="s">
        <v>923</v>
      </c>
      <c r="D952" s="19">
        <v>6.68</v>
      </c>
      <c r="E952" s="3" t="s">
        <v>126</v>
      </c>
      <c r="F952" s="3" t="s">
        <v>25</v>
      </c>
      <c r="G952" s="8" t="s">
        <v>58</v>
      </c>
      <c r="H952" s="4" t="s">
        <v>126</v>
      </c>
      <c r="I952" s="5">
        <v>1</v>
      </c>
      <c r="J952" s="8" t="s">
        <v>17</v>
      </c>
      <c r="K952" s="4" t="s">
        <v>126</v>
      </c>
      <c r="L952" s="5">
        <v>1</v>
      </c>
      <c r="M952" s="8"/>
      <c r="N952" s="4"/>
      <c r="O952" s="5"/>
      <c r="P952" s="8"/>
      <c r="Q952" s="4"/>
      <c r="R952" s="5"/>
      <c r="W952" s="67" t="s">
        <v>922</v>
      </c>
      <c r="X952" s="68" t="s">
        <v>923</v>
      </c>
      <c r="Y952" s="69">
        <v>6.68</v>
      </c>
      <c r="Z952" t="str">
        <f>IF(AND(Tabla1[[#This Row],[nudo inicial]]=Tabla3[[#This Row],[n1]],Tabla1[[#This Row],[nudo final]]=Tabla3[[#This Row],[n2]],Tabla1[[#This Row],[longitud]]=Tabla3[[#This Row],[long]]),"si","no")</f>
        <v>si</v>
      </c>
    </row>
    <row r="953" spans="1:26" ht="15.75" x14ac:dyDescent="0.25">
      <c r="B953" t="s">
        <v>922</v>
      </c>
      <c r="C953" t="s">
        <v>924</v>
      </c>
      <c r="D953" s="19">
        <v>95.16</v>
      </c>
      <c r="E953" s="3" t="s">
        <v>126</v>
      </c>
      <c r="F953" s="3" t="s">
        <v>25</v>
      </c>
      <c r="G953" s="8" t="s">
        <v>58</v>
      </c>
      <c r="H953" s="4" t="s">
        <v>126</v>
      </c>
      <c r="I953" s="5">
        <v>1</v>
      </c>
      <c r="J953" s="8"/>
      <c r="K953" s="4"/>
      <c r="L953" s="5"/>
      <c r="M953" s="8"/>
      <c r="N953" s="4"/>
      <c r="O953" s="5"/>
      <c r="P953" s="8"/>
      <c r="Q953" s="4"/>
      <c r="R953" s="5"/>
      <c r="W953" s="67" t="s">
        <v>922</v>
      </c>
      <c r="X953" s="68" t="s">
        <v>924</v>
      </c>
      <c r="Y953" s="69">
        <v>95.16</v>
      </c>
      <c r="Z953" t="str">
        <f>IF(AND(Tabla1[[#This Row],[nudo inicial]]=Tabla3[[#This Row],[n1]],Tabla1[[#This Row],[nudo final]]=Tabla3[[#This Row],[n2]],Tabla1[[#This Row],[longitud]]=Tabla3[[#This Row],[long]]),"si","no")</f>
        <v>si</v>
      </c>
    </row>
    <row r="954" spans="1:26" ht="15.75" x14ac:dyDescent="0.25">
      <c r="B954" t="s">
        <v>924</v>
      </c>
      <c r="C954" t="s">
        <v>925</v>
      </c>
      <c r="D954" s="19">
        <v>86.48</v>
      </c>
      <c r="E954" s="3" t="s">
        <v>795</v>
      </c>
      <c r="F954" s="3" t="s">
        <v>25</v>
      </c>
      <c r="G954" s="8" t="s">
        <v>58</v>
      </c>
      <c r="H954" s="4" t="s">
        <v>126</v>
      </c>
      <c r="I954" s="5">
        <v>1</v>
      </c>
      <c r="J954" s="8" t="s">
        <v>15</v>
      </c>
      <c r="K954" s="4" t="s">
        <v>795</v>
      </c>
      <c r="L954" s="5">
        <v>1</v>
      </c>
      <c r="M954" s="8" t="s">
        <v>17</v>
      </c>
      <c r="N954" s="4" t="s">
        <v>795</v>
      </c>
      <c r="O954" s="5">
        <v>1</v>
      </c>
      <c r="P954" s="8"/>
      <c r="Q954" s="4"/>
      <c r="R954" s="5"/>
      <c r="W954" s="67" t="s">
        <v>924</v>
      </c>
      <c r="X954" s="68" t="s">
        <v>925</v>
      </c>
      <c r="Y954" s="69">
        <v>86.48</v>
      </c>
      <c r="Z954" t="str">
        <f>IF(AND(Tabla1[[#This Row],[nudo inicial]]=Tabla3[[#This Row],[n1]],Tabla1[[#This Row],[nudo final]]=Tabla3[[#This Row],[n2]],Tabla1[[#This Row],[longitud]]=Tabla3[[#This Row],[long]]),"si","no")</f>
        <v>si</v>
      </c>
    </row>
    <row r="955" spans="1:26" ht="15.75" x14ac:dyDescent="0.25">
      <c r="B955" t="s">
        <v>924</v>
      </c>
      <c r="C955" t="s">
        <v>926</v>
      </c>
      <c r="D955" s="19">
        <v>35.46</v>
      </c>
      <c r="E955" s="3" t="s">
        <v>126</v>
      </c>
      <c r="F955" s="3" t="s">
        <v>26</v>
      </c>
      <c r="G955" s="8" t="s">
        <v>57</v>
      </c>
      <c r="H955" s="4" t="s">
        <v>126</v>
      </c>
      <c r="I955" s="5">
        <v>1</v>
      </c>
      <c r="J955" s="8"/>
      <c r="K955" s="4"/>
      <c r="L955" s="5"/>
      <c r="M955" s="8"/>
      <c r="N955" s="4"/>
      <c r="O955" s="5"/>
      <c r="P955" s="8"/>
      <c r="Q955" s="4"/>
      <c r="R955" s="5"/>
      <c r="W955" s="67" t="s">
        <v>924</v>
      </c>
      <c r="X955" s="68" t="s">
        <v>926</v>
      </c>
      <c r="Y955" s="69">
        <v>35.46</v>
      </c>
      <c r="Z955" t="str">
        <f>IF(AND(Tabla1[[#This Row],[nudo inicial]]=Tabla3[[#This Row],[n1]],Tabla1[[#This Row],[nudo final]]=Tabla3[[#This Row],[n2]],Tabla1[[#This Row],[longitud]]=Tabla3[[#This Row],[long]]),"si","no")</f>
        <v>si</v>
      </c>
    </row>
    <row r="956" spans="1:26" ht="15.75" x14ac:dyDescent="0.25">
      <c r="B956" t="s">
        <v>926</v>
      </c>
      <c r="C956" t="s">
        <v>927</v>
      </c>
      <c r="D956" s="19">
        <v>26.72</v>
      </c>
      <c r="E956" s="3" t="s">
        <v>126</v>
      </c>
      <c r="F956" s="3" t="s">
        <v>26</v>
      </c>
      <c r="G956" s="8" t="s">
        <v>57</v>
      </c>
      <c r="H956" s="4" t="s">
        <v>126</v>
      </c>
      <c r="I956" s="5">
        <v>1</v>
      </c>
      <c r="J956" s="8"/>
      <c r="K956" s="4"/>
      <c r="L956" s="5"/>
      <c r="M956" s="8"/>
      <c r="N956" s="4"/>
      <c r="O956" s="5"/>
      <c r="P956" s="8"/>
      <c r="Q956" s="4"/>
      <c r="R956" s="5"/>
      <c r="W956" s="67" t="s">
        <v>926</v>
      </c>
      <c r="X956" s="68" t="s">
        <v>927</v>
      </c>
      <c r="Y956" s="69">
        <v>26.72</v>
      </c>
      <c r="Z956" t="str">
        <f>IF(AND(Tabla1[[#This Row],[nudo inicial]]=Tabla3[[#This Row],[n1]],Tabla1[[#This Row],[nudo final]]=Tabla3[[#This Row],[n2]],Tabla1[[#This Row],[longitud]]=Tabla3[[#This Row],[long]]),"si","no")</f>
        <v>si</v>
      </c>
    </row>
    <row r="957" spans="1:26" ht="15.75" x14ac:dyDescent="0.25">
      <c r="B957" t="s">
        <v>927</v>
      </c>
      <c r="C957" t="s">
        <v>928</v>
      </c>
      <c r="D957" s="19">
        <v>38.22</v>
      </c>
      <c r="E957" s="3" t="s">
        <v>126</v>
      </c>
      <c r="F957" s="3" t="s">
        <v>25</v>
      </c>
      <c r="G957" s="8"/>
      <c r="H957" s="4"/>
      <c r="I957" s="5"/>
      <c r="J957" s="8"/>
      <c r="K957" s="4"/>
      <c r="L957" s="5"/>
      <c r="M957" s="8"/>
      <c r="N957" s="4"/>
      <c r="O957" s="5"/>
      <c r="P957" s="8"/>
      <c r="Q957" s="4"/>
      <c r="R957" s="5"/>
      <c r="W957" s="67" t="s">
        <v>927</v>
      </c>
      <c r="X957" s="68" t="s">
        <v>928</v>
      </c>
      <c r="Y957" s="69">
        <v>38.22</v>
      </c>
      <c r="Z957" t="str">
        <f>IF(AND(Tabla1[[#This Row],[nudo inicial]]=Tabla3[[#This Row],[n1]],Tabla1[[#This Row],[nudo final]]=Tabla3[[#This Row],[n2]],Tabla1[[#This Row],[longitud]]=Tabla3[[#This Row],[long]]),"si","no")</f>
        <v>si</v>
      </c>
    </row>
    <row r="958" spans="1:26" ht="15.75" x14ac:dyDescent="0.25">
      <c r="B958" t="s">
        <v>928</v>
      </c>
      <c r="C958" t="s">
        <v>929</v>
      </c>
      <c r="D958" s="19">
        <v>81.400000000000006</v>
      </c>
      <c r="E958" s="3" t="s">
        <v>53</v>
      </c>
      <c r="F958" s="3" t="s">
        <v>25</v>
      </c>
      <c r="G958" s="8" t="s">
        <v>58</v>
      </c>
      <c r="H958" s="4" t="s">
        <v>126</v>
      </c>
      <c r="I958" s="5">
        <v>1</v>
      </c>
      <c r="J958" s="8" t="s">
        <v>15</v>
      </c>
      <c r="K958" s="4" t="s">
        <v>53</v>
      </c>
      <c r="L958" s="5">
        <v>1</v>
      </c>
      <c r="M958" s="8" t="s">
        <v>17</v>
      </c>
      <c r="N958" s="4" t="s">
        <v>53</v>
      </c>
      <c r="O958" s="5">
        <v>1</v>
      </c>
      <c r="P958" s="8"/>
      <c r="Q958" s="4"/>
      <c r="R958" s="5"/>
      <c r="W958" s="67" t="s">
        <v>928</v>
      </c>
      <c r="X958" s="68" t="s">
        <v>929</v>
      </c>
      <c r="Y958" s="69">
        <v>81.400000000000006</v>
      </c>
      <c r="Z958" t="str">
        <f>IF(AND(Tabla1[[#This Row],[nudo inicial]]=Tabla3[[#This Row],[n1]],Tabla1[[#This Row],[nudo final]]=Tabla3[[#This Row],[n2]],Tabla1[[#This Row],[longitud]]=Tabla3[[#This Row],[long]]),"si","no")</f>
        <v>si</v>
      </c>
    </row>
    <row r="959" spans="1:26" ht="30" x14ac:dyDescent="0.25">
      <c r="B959" t="s">
        <v>928</v>
      </c>
      <c r="C959" t="s">
        <v>715</v>
      </c>
      <c r="D959" s="19">
        <v>56.86</v>
      </c>
      <c r="E959" s="3" t="s">
        <v>126</v>
      </c>
      <c r="F959" s="3" t="s">
        <v>25</v>
      </c>
      <c r="G959" s="8" t="s">
        <v>57</v>
      </c>
      <c r="H959" s="4" t="s">
        <v>126</v>
      </c>
      <c r="I959" s="5">
        <v>1</v>
      </c>
      <c r="J959" s="8" t="s">
        <v>34</v>
      </c>
      <c r="K959" s="4"/>
      <c r="L959" s="5"/>
      <c r="M959" s="8"/>
      <c r="N959" s="4"/>
      <c r="O959" s="5"/>
      <c r="P959" s="8"/>
      <c r="Q959" s="4"/>
      <c r="R959" s="5"/>
      <c r="W959" s="67" t="s">
        <v>928</v>
      </c>
      <c r="X959" s="68" t="s">
        <v>715</v>
      </c>
      <c r="Y959" s="69">
        <v>56.86</v>
      </c>
      <c r="Z959" t="str">
        <f>IF(AND(Tabla1[[#This Row],[nudo inicial]]=Tabla3[[#This Row],[n1]],Tabla1[[#This Row],[nudo final]]=Tabla3[[#This Row],[n2]],Tabla1[[#This Row],[longitud]]=Tabla3[[#This Row],[long]]),"si","no")</f>
        <v>si</v>
      </c>
    </row>
    <row r="960" spans="1:26" ht="15.75" x14ac:dyDescent="0.25">
      <c r="A960" s="14"/>
      <c r="B960" t="s">
        <v>918</v>
      </c>
      <c r="C960" t="s">
        <v>930</v>
      </c>
      <c r="D960" s="19">
        <v>34.24</v>
      </c>
      <c r="E960" s="3" t="s">
        <v>126</v>
      </c>
      <c r="F960" s="3" t="s">
        <v>25</v>
      </c>
      <c r="G960" s="8" t="s">
        <v>57</v>
      </c>
      <c r="H960" s="4" t="s">
        <v>126</v>
      </c>
      <c r="I960" s="5">
        <v>1</v>
      </c>
      <c r="J960" s="8" t="s">
        <v>32</v>
      </c>
      <c r="K960" s="4" t="s">
        <v>126</v>
      </c>
      <c r="L960" s="5">
        <v>1</v>
      </c>
      <c r="M960" s="8"/>
      <c r="N960" s="4"/>
      <c r="O960" s="5"/>
      <c r="P960" s="8"/>
      <c r="Q960" s="4"/>
      <c r="R960" s="5"/>
      <c r="W960" s="67" t="s">
        <v>918</v>
      </c>
      <c r="X960" s="68" t="s">
        <v>930</v>
      </c>
      <c r="Y960" s="69">
        <v>34.24</v>
      </c>
      <c r="Z960" t="str">
        <f>IF(AND(Tabla1[[#This Row],[nudo inicial]]=Tabla3[[#This Row],[n1]],Tabla1[[#This Row],[nudo final]]=Tabla3[[#This Row],[n2]],Tabla1[[#This Row],[longitud]]=Tabla3[[#This Row],[long]]),"si","no")</f>
        <v>si</v>
      </c>
    </row>
    <row r="961" spans="2:26" ht="15.75" x14ac:dyDescent="0.25">
      <c r="B961" s="14" t="s">
        <v>930</v>
      </c>
      <c r="C961" s="14" t="s">
        <v>931</v>
      </c>
      <c r="D961" s="20">
        <v>78.02</v>
      </c>
      <c r="E961" s="15" t="s">
        <v>53</v>
      </c>
      <c r="F961" s="15" t="s">
        <v>25</v>
      </c>
      <c r="G961" s="16" t="s">
        <v>58</v>
      </c>
      <c r="H961" s="17" t="s">
        <v>126</v>
      </c>
      <c r="I961" s="18">
        <v>1</v>
      </c>
      <c r="J961" s="16" t="s">
        <v>15</v>
      </c>
      <c r="K961" s="17" t="s">
        <v>53</v>
      </c>
      <c r="L961" s="18">
        <v>1</v>
      </c>
      <c r="M961" s="16" t="s">
        <v>17</v>
      </c>
      <c r="N961" s="17" t="s">
        <v>53</v>
      </c>
      <c r="O961" s="18">
        <v>1</v>
      </c>
      <c r="P961" s="16"/>
      <c r="Q961" s="17"/>
      <c r="R961" s="18"/>
      <c r="S961" s="14"/>
      <c r="T961" s="14"/>
      <c r="U961" s="14"/>
      <c r="W961" s="67" t="s">
        <v>930</v>
      </c>
      <c r="X961" s="68" t="s">
        <v>931</v>
      </c>
      <c r="Y961" s="69">
        <v>78.02</v>
      </c>
      <c r="Z961" t="str">
        <f>IF(AND(Tabla1[[#This Row],[nudo inicial]]=Tabla3[[#This Row],[n1]],Tabla1[[#This Row],[nudo final]]=Tabla3[[#This Row],[n2]],Tabla1[[#This Row],[longitud]]=Tabla3[[#This Row],[long]]),"si","no")</f>
        <v>si</v>
      </c>
    </row>
    <row r="962" spans="2:26" ht="15.75" x14ac:dyDescent="0.25">
      <c r="B962" t="s">
        <v>930</v>
      </c>
      <c r="C962" t="s">
        <v>932</v>
      </c>
      <c r="D962" s="19">
        <v>52.77</v>
      </c>
      <c r="E962" s="3" t="s">
        <v>126</v>
      </c>
      <c r="F962" s="3" t="s">
        <v>25</v>
      </c>
      <c r="G962" s="8" t="s">
        <v>57</v>
      </c>
      <c r="H962" s="4" t="s">
        <v>126</v>
      </c>
      <c r="I962" s="5">
        <v>1</v>
      </c>
      <c r="J962" s="8"/>
      <c r="K962" s="4"/>
      <c r="L962" s="5"/>
      <c r="M962" s="8"/>
      <c r="N962" s="4"/>
      <c r="O962" s="5"/>
      <c r="P962" s="8"/>
      <c r="Q962" s="4"/>
      <c r="R962" s="5"/>
      <c r="W962" s="67" t="s">
        <v>930</v>
      </c>
      <c r="X962" s="68" t="s">
        <v>932</v>
      </c>
      <c r="Y962" s="69">
        <v>52.77</v>
      </c>
      <c r="Z962" t="str">
        <f>IF(AND(Tabla1[[#This Row],[nudo inicial]]=Tabla3[[#This Row],[n1]],Tabla1[[#This Row],[nudo final]]=Tabla3[[#This Row],[n2]],Tabla1[[#This Row],[longitud]]=Tabla3[[#This Row],[long]]),"si","no")</f>
        <v>si</v>
      </c>
    </row>
    <row r="963" spans="2:26" ht="15.75" x14ac:dyDescent="0.25">
      <c r="B963" t="s">
        <v>932</v>
      </c>
      <c r="C963" t="s">
        <v>933</v>
      </c>
      <c r="D963" s="19">
        <v>73.510000000000005</v>
      </c>
      <c r="E963" s="3" t="s">
        <v>53</v>
      </c>
      <c r="F963" s="3" t="s">
        <v>25</v>
      </c>
      <c r="G963" s="8" t="s">
        <v>58</v>
      </c>
      <c r="H963" s="4" t="s">
        <v>126</v>
      </c>
      <c r="I963" s="5">
        <v>1</v>
      </c>
      <c r="J963" s="8" t="s">
        <v>15</v>
      </c>
      <c r="K963" s="4" t="s">
        <v>53</v>
      </c>
      <c r="L963" s="5">
        <v>1</v>
      </c>
      <c r="M963" s="8" t="s">
        <v>17</v>
      </c>
      <c r="N963" s="4" t="s">
        <v>53</v>
      </c>
      <c r="O963" s="5">
        <v>1</v>
      </c>
      <c r="P963" s="8"/>
      <c r="Q963" s="4"/>
      <c r="R963" s="5"/>
      <c r="W963" s="67" t="s">
        <v>932</v>
      </c>
      <c r="X963" s="68" t="s">
        <v>933</v>
      </c>
      <c r="Y963" s="69">
        <v>73.510000000000005</v>
      </c>
      <c r="Z963" t="str">
        <f>IF(AND(Tabla1[[#This Row],[nudo inicial]]=Tabla3[[#This Row],[n1]],Tabla1[[#This Row],[nudo final]]=Tabla3[[#This Row],[n2]],Tabla1[[#This Row],[longitud]]=Tabla3[[#This Row],[long]]),"si","no")</f>
        <v>si</v>
      </c>
    </row>
    <row r="964" spans="2:26" ht="15.75" x14ac:dyDescent="0.25">
      <c r="B964" t="s">
        <v>932</v>
      </c>
      <c r="C964" t="s">
        <v>934</v>
      </c>
      <c r="D964" s="19">
        <v>24.56</v>
      </c>
      <c r="E964" s="3" t="s">
        <v>126</v>
      </c>
      <c r="F964" s="3" t="s">
        <v>25</v>
      </c>
      <c r="G964" s="8" t="s">
        <v>57</v>
      </c>
      <c r="H964" s="4" t="s">
        <v>126</v>
      </c>
      <c r="I964" s="5">
        <v>1</v>
      </c>
      <c r="J964" s="8"/>
      <c r="K964" s="4"/>
      <c r="L964" s="5"/>
      <c r="M964" s="8"/>
      <c r="N964" s="4"/>
      <c r="O964" s="5"/>
      <c r="P964" s="8"/>
      <c r="Q964" s="4"/>
      <c r="R964" s="5"/>
      <c r="W964" s="67" t="s">
        <v>932</v>
      </c>
      <c r="X964" s="68" t="s">
        <v>934</v>
      </c>
      <c r="Y964" s="69">
        <v>24.56</v>
      </c>
      <c r="Z964" t="str">
        <f>IF(AND(Tabla1[[#This Row],[nudo inicial]]=Tabla3[[#This Row],[n1]],Tabla1[[#This Row],[nudo final]]=Tabla3[[#This Row],[n2]],Tabla1[[#This Row],[longitud]]=Tabla3[[#This Row],[long]]),"si","no")</f>
        <v>si</v>
      </c>
    </row>
    <row r="965" spans="2:26" ht="15.75" x14ac:dyDescent="0.25">
      <c r="B965" t="s">
        <v>934</v>
      </c>
      <c r="C965" t="s">
        <v>935</v>
      </c>
      <c r="D965" s="19">
        <v>73.66</v>
      </c>
      <c r="E965" s="3" t="s">
        <v>53</v>
      </c>
      <c r="F965" s="3" t="s">
        <v>25</v>
      </c>
      <c r="G965" s="8" t="s">
        <v>58</v>
      </c>
      <c r="H965" s="4" t="s">
        <v>126</v>
      </c>
      <c r="I965" s="5">
        <v>1</v>
      </c>
      <c r="J965" s="8" t="s">
        <v>15</v>
      </c>
      <c r="K965" s="4" t="s">
        <v>53</v>
      </c>
      <c r="L965" s="5">
        <v>1</v>
      </c>
      <c r="M965" s="8" t="s">
        <v>17</v>
      </c>
      <c r="N965" s="4" t="s">
        <v>53</v>
      </c>
      <c r="O965" s="5">
        <v>1</v>
      </c>
      <c r="P965" s="8"/>
      <c r="Q965" s="4"/>
      <c r="R965" s="5"/>
      <c r="W965" s="67" t="s">
        <v>934</v>
      </c>
      <c r="X965" s="68" t="s">
        <v>935</v>
      </c>
      <c r="Y965" s="69">
        <v>73.66</v>
      </c>
      <c r="Z965" t="str">
        <f>IF(AND(Tabla1[[#This Row],[nudo inicial]]=Tabla3[[#This Row],[n1]],Tabla1[[#This Row],[nudo final]]=Tabla3[[#This Row],[n2]],Tabla1[[#This Row],[longitud]]=Tabla3[[#This Row],[long]]),"si","no")</f>
        <v>si</v>
      </c>
    </row>
    <row r="966" spans="2:26" ht="30" x14ac:dyDescent="0.25">
      <c r="B966" t="s">
        <v>934</v>
      </c>
      <c r="C966" t="s">
        <v>936</v>
      </c>
      <c r="D966" s="19">
        <v>16.62</v>
      </c>
      <c r="E966" s="3" t="s">
        <v>126</v>
      </c>
      <c r="F966" s="3" t="s">
        <v>25</v>
      </c>
      <c r="G966" s="8" t="s">
        <v>57</v>
      </c>
      <c r="H966" s="4" t="s">
        <v>126</v>
      </c>
      <c r="I966" s="5">
        <v>1</v>
      </c>
      <c r="J966" s="8" t="s">
        <v>33</v>
      </c>
      <c r="K966" s="4"/>
      <c r="L966" s="5">
        <v>1</v>
      </c>
      <c r="M966" s="8"/>
      <c r="N966" s="4"/>
      <c r="O966" s="5"/>
      <c r="P966" s="8"/>
      <c r="Q966" s="4"/>
      <c r="R966" s="5"/>
      <c r="W966" s="67" t="s">
        <v>934</v>
      </c>
      <c r="X966" s="68" t="s">
        <v>936</v>
      </c>
      <c r="Y966" s="69">
        <v>16.62</v>
      </c>
      <c r="Z966" t="str">
        <f>IF(AND(Tabla1[[#This Row],[nudo inicial]]=Tabla3[[#This Row],[n1]],Tabla1[[#This Row],[nudo final]]=Tabla3[[#This Row],[n2]],Tabla1[[#This Row],[longitud]]=Tabla3[[#This Row],[long]]),"si","no")</f>
        <v>si</v>
      </c>
    </row>
    <row r="967" spans="2:26" ht="15.75" x14ac:dyDescent="0.25">
      <c r="B967" t="s">
        <v>936</v>
      </c>
      <c r="C967" t="s">
        <v>937</v>
      </c>
      <c r="D967" s="19">
        <v>50.7</v>
      </c>
      <c r="E967" s="3" t="s">
        <v>23</v>
      </c>
      <c r="F967" s="3" t="s">
        <v>25</v>
      </c>
      <c r="G967" s="8" t="s">
        <v>58</v>
      </c>
      <c r="H967" s="4" t="s">
        <v>126</v>
      </c>
      <c r="I967" s="5">
        <v>1</v>
      </c>
      <c r="J967" s="8" t="s">
        <v>15</v>
      </c>
      <c r="K967" s="4" t="s">
        <v>23</v>
      </c>
      <c r="L967" s="5">
        <v>1</v>
      </c>
      <c r="M967" s="8"/>
      <c r="N967" s="4"/>
      <c r="O967" s="5"/>
      <c r="P967" s="8"/>
      <c r="Q967" s="4"/>
      <c r="R967" s="5"/>
      <c r="W967" s="67" t="s">
        <v>936</v>
      </c>
      <c r="X967" s="68" t="s">
        <v>937</v>
      </c>
      <c r="Y967" s="69">
        <v>50.7</v>
      </c>
      <c r="Z967" t="str">
        <f>IF(AND(Tabla1[[#This Row],[nudo inicial]]=Tabla3[[#This Row],[n1]],Tabla1[[#This Row],[nudo final]]=Tabla3[[#This Row],[n2]],Tabla1[[#This Row],[longitud]]=Tabla3[[#This Row],[long]]),"si","no")</f>
        <v>si</v>
      </c>
    </row>
    <row r="968" spans="2:26" ht="15.75" x14ac:dyDescent="0.25">
      <c r="B968" t="s">
        <v>921</v>
      </c>
      <c r="C968" t="s">
        <v>937</v>
      </c>
      <c r="D968" s="19">
        <v>178.8</v>
      </c>
      <c r="E968" s="3" t="s">
        <v>53</v>
      </c>
      <c r="F968" s="3" t="s">
        <v>25</v>
      </c>
      <c r="G968" s="8" t="s">
        <v>58</v>
      </c>
      <c r="H968" s="4" t="s">
        <v>23</v>
      </c>
      <c r="I968" s="5">
        <v>1</v>
      </c>
      <c r="J968" s="8" t="s">
        <v>15</v>
      </c>
      <c r="K968" s="4" t="s">
        <v>53</v>
      </c>
      <c r="L968" s="5">
        <v>2</v>
      </c>
      <c r="M968" s="8"/>
      <c r="N968" s="4"/>
      <c r="O968" s="5"/>
      <c r="P968" s="8"/>
      <c r="Q968" s="4"/>
      <c r="R968" s="5"/>
      <c r="W968" s="67" t="s">
        <v>921</v>
      </c>
      <c r="X968" s="68" t="s">
        <v>937</v>
      </c>
      <c r="Y968" s="69">
        <v>178.8</v>
      </c>
      <c r="Z968" t="str">
        <f>IF(AND(Tabla1[[#This Row],[nudo inicial]]=Tabla3[[#This Row],[n1]],Tabla1[[#This Row],[nudo final]]=Tabla3[[#This Row],[n2]],Tabla1[[#This Row],[longitud]]=Tabla3[[#This Row],[long]]),"si","no")</f>
        <v>si</v>
      </c>
    </row>
    <row r="969" spans="2:26" ht="15.75" x14ac:dyDescent="0.25">
      <c r="B969" t="s">
        <v>937</v>
      </c>
      <c r="C969" t="s">
        <v>926</v>
      </c>
      <c r="D969" s="19">
        <v>88.91</v>
      </c>
      <c r="E969" s="3" t="s">
        <v>23</v>
      </c>
      <c r="F969" s="3" t="s">
        <v>25</v>
      </c>
      <c r="G969" s="8" t="s">
        <v>57</v>
      </c>
      <c r="H969" s="4" t="s">
        <v>23</v>
      </c>
      <c r="I969" s="5">
        <v>1</v>
      </c>
      <c r="J969" s="8"/>
      <c r="K969" s="4"/>
      <c r="L969" s="5"/>
      <c r="M969" s="8"/>
      <c r="N969" s="4"/>
      <c r="O969" s="5"/>
      <c r="P969" s="8"/>
      <c r="Q969" s="4"/>
      <c r="R969" s="5"/>
      <c r="W969" s="67" t="s">
        <v>937</v>
      </c>
      <c r="X969" s="68" t="s">
        <v>926</v>
      </c>
      <c r="Y969" s="69">
        <v>88.91</v>
      </c>
      <c r="Z969" t="str">
        <f>IF(AND(Tabla1[[#This Row],[nudo inicial]]=Tabla3[[#This Row],[n1]],Tabla1[[#This Row],[nudo final]]=Tabla3[[#This Row],[n2]],Tabla1[[#This Row],[longitud]]=Tabla3[[#This Row],[long]]),"si","no")</f>
        <v>si</v>
      </c>
    </row>
    <row r="970" spans="2:26" ht="15.75" x14ac:dyDescent="0.25">
      <c r="B970" t="s">
        <v>936</v>
      </c>
      <c r="C970" t="s">
        <v>938</v>
      </c>
      <c r="D970" s="19">
        <v>7.37</v>
      </c>
      <c r="E970" s="3" t="s">
        <v>126</v>
      </c>
      <c r="F970" s="3" t="s">
        <v>25</v>
      </c>
      <c r="G970" s="8" t="s">
        <v>57</v>
      </c>
      <c r="H970" s="4" t="s">
        <v>126</v>
      </c>
      <c r="I970" s="5">
        <v>1</v>
      </c>
      <c r="J970" s="8"/>
      <c r="K970" s="4"/>
      <c r="L970" s="5"/>
      <c r="M970" s="8"/>
      <c r="N970" s="4"/>
      <c r="O970" s="5"/>
      <c r="P970" s="8"/>
      <c r="Q970" s="4"/>
      <c r="R970" s="5"/>
      <c r="W970" s="67" t="s">
        <v>936</v>
      </c>
      <c r="X970" s="68" t="s">
        <v>938</v>
      </c>
      <c r="Y970" s="69">
        <v>7.37</v>
      </c>
      <c r="Z970" t="str">
        <f>IF(AND(Tabla1[[#This Row],[nudo inicial]]=Tabla3[[#This Row],[n1]],Tabla1[[#This Row],[nudo final]]=Tabla3[[#This Row],[n2]],Tabla1[[#This Row],[longitud]]=Tabla3[[#This Row],[long]]),"si","no")</f>
        <v>si</v>
      </c>
    </row>
    <row r="971" spans="2:26" ht="15.75" x14ac:dyDescent="0.25">
      <c r="B971" t="s">
        <v>938</v>
      </c>
      <c r="C971" t="s">
        <v>1222</v>
      </c>
      <c r="D971" s="19">
        <v>16.100000000000001</v>
      </c>
      <c r="E971" s="3" t="s">
        <v>126</v>
      </c>
      <c r="F971" s="3" t="s">
        <v>25</v>
      </c>
      <c r="G971" s="8" t="s">
        <v>57</v>
      </c>
      <c r="H971" s="4" t="s">
        <v>126</v>
      </c>
      <c r="I971" s="5">
        <v>1</v>
      </c>
      <c r="J971" s="8"/>
      <c r="K971" s="4"/>
      <c r="L971" s="5"/>
      <c r="M971" s="8"/>
      <c r="N971" s="4"/>
      <c r="O971" s="5"/>
      <c r="P971" s="8"/>
      <c r="Q971" s="4"/>
      <c r="R971" s="5"/>
      <c r="W971" s="67" t="s">
        <v>938</v>
      </c>
      <c r="X971" s="68" t="s">
        <v>1222</v>
      </c>
      <c r="Y971" s="69">
        <v>16.100000000000001</v>
      </c>
      <c r="Z971" t="str">
        <f>IF(AND(Tabla1[[#This Row],[nudo inicial]]=Tabla3[[#This Row],[n1]],Tabla1[[#This Row],[nudo final]]=Tabla3[[#This Row],[n2]],Tabla1[[#This Row],[longitud]]=Tabla3[[#This Row],[long]]),"si","no")</f>
        <v>si</v>
      </c>
    </row>
    <row r="972" spans="2:26" ht="15.75" x14ac:dyDescent="0.25">
      <c r="B972" t="s">
        <v>1222</v>
      </c>
      <c r="C972" t="s">
        <v>939</v>
      </c>
      <c r="D972" s="19">
        <v>139.38999999999999</v>
      </c>
      <c r="E972" s="3" t="s">
        <v>53</v>
      </c>
      <c r="F972" s="3" t="s">
        <v>25</v>
      </c>
      <c r="G972" s="8" t="s">
        <v>58</v>
      </c>
      <c r="H972" s="4" t="s">
        <v>126</v>
      </c>
      <c r="I972" s="5">
        <v>1</v>
      </c>
      <c r="J972" s="8" t="s">
        <v>15</v>
      </c>
      <c r="K972" s="4" t="s">
        <v>53</v>
      </c>
      <c r="L972" s="5">
        <v>1</v>
      </c>
      <c r="M972" s="8" t="s">
        <v>17</v>
      </c>
      <c r="N972" s="4" t="s">
        <v>53</v>
      </c>
      <c r="O972" s="5">
        <v>1</v>
      </c>
      <c r="P972" s="8"/>
      <c r="Q972" s="4"/>
      <c r="R972" s="5"/>
      <c r="W972" s="67" t="s">
        <v>1222</v>
      </c>
      <c r="X972" s="68" t="s">
        <v>939</v>
      </c>
      <c r="Y972" s="69">
        <v>139.38999999999999</v>
      </c>
      <c r="Z972" t="str">
        <f>IF(AND(Tabla1[[#This Row],[nudo inicial]]=Tabla3[[#This Row],[n1]],Tabla1[[#This Row],[nudo final]]=Tabla3[[#This Row],[n2]],Tabla1[[#This Row],[longitud]]=Tabla3[[#This Row],[long]]),"si","no")</f>
        <v>si</v>
      </c>
    </row>
    <row r="973" spans="2:26" ht="15.75" x14ac:dyDescent="0.25">
      <c r="B973" t="s">
        <v>711</v>
      </c>
      <c r="C973" t="s">
        <v>940</v>
      </c>
      <c r="D973" s="19">
        <v>13.14</v>
      </c>
      <c r="E973" s="3" t="s">
        <v>30</v>
      </c>
      <c r="F973" s="3" t="s">
        <v>25</v>
      </c>
      <c r="G973" s="8" t="s">
        <v>536</v>
      </c>
      <c r="H973" s="4" t="s">
        <v>30</v>
      </c>
      <c r="I973" s="5">
        <v>1</v>
      </c>
      <c r="J973" s="8"/>
      <c r="K973" s="4"/>
      <c r="L973" s="5"/>
      <c r="M973" s="8"/>
      <c r="N973" s="4"/>
      <c r="O973" s="5"/>
      <c r="P973" s="8"/>
      <c r="Q973" s="4"/>
      <c r="R973" s="5"/>
      <c r="W973" s="67" t="s">
        <v>711</v>
      </c>
      <c r="X973" s="68" t="s">
        <v>940</v>
      </c>
      <c r="Y973" s="69">
        <v>13.14</v>
      </c>
      <c r="Z973" t="str">
        <f>IF(AND(Tabla1[[#This Row],[nudo inicial]]=Tabla3[[#This Row],[n1]],Tabla1[[#This Row],[nudo final]]=Tabla3[[#This Row],[n2]],Tabla1[[#This Row],[longitud]]=Tabla3[[#This Row],[long]]),"si","no")</f>
        <v>si</v>
      </c>
    </row>
    <row r="974" spans="2:26" ht="15.75" x14ac:dyDescent="0.25">
      <c r="B974" t="s">
        <v>940</v>
      </c>
      <c r="C974" t="s">
        <v>941</v>
      </c>
      <c r="D974" s="19">
        <v>93.84</v>
      </c>
      <c r="E974" s="3" t="s">
        <v>126</v>
      </c>
      <c r="F974" s="3" t="s">
        <v>26</v>
      </c>
      <c r="G974" s="8" t="s">
        <v>15</v>
      </c>
      <c r="H974" s="4" t="s">
        <v>126</v>
      </c>
      <c r="I974" s="5">
        <v>1</v>
      </c>
      <c r="J974" s="8"/>
      <c r="K974" s="4"/>
      <c r="L974" s="5"/>
      <c r="M974" s="8"/>
      <c r="N974" s="4"/>
      <c r="O974" s="5"/>
      <c r="P974" s="8"/>
      <c r="Q974" s="4"/>
      <c r="R974" s="5"/>
      <c r="W974" s="67" t="s">
        <v>940</v>
      </c>
      <c r="X974" s="68" t="s">
        <v>941</v>
      </c>
      <c r="Y974" s="69">
        <v>93.84</v>
      </c>
      <c r="Z974" t="str">
        <f>IF(AND(Tabla1[[#This Row],[nudo inicial]]=Tabla3[[#This Row],[n1]],Tabla1[[#This Row],[nudo final]]=Tabla3[[#This Row],[n2]],Tabla1[[#This Row],[longitud]]=Tabla3[[#This Row],[long]]),"si","no")</f>
        <v>si</v>
      </c>
    </row>
    <row r="975" spans="2:26" ht="15.75" x14ac:dyDescent="0.25">
      <c r="B975" t="s">
        <v>941</v>
      </c>
      <c r="C975" t="s">
        <v>942</v>
      </c>
      <c r="D975" s="19">
        <v>113.35</v>
      </c>
      <c r="E975" s="3" t="s">
        <v>53</v>
      </c>
      <c r="F975" s="3" t="s">
        <v>25</v>
      </c>
      <c r="G975" s="8" t="s">
        <v>58</v>
      </c>
      <c r="H975" s="4" t="s">
        <v>126</v>
      </c>
      <c r="I975" s="5">
        <v>1</v>
      </c>
      <c r="J975" s="8" t="s">
        <v>15</v>
      </c>
      <c r="K975" s="4" t="s">
        <v>53</v>
      </c>
      <c r="L975" s="5">
        <v>1</v>
      </c>
      <c r="M975" s="8" t="s">
        <v>17</v>
      </c>
      <c r="N975" s="4" t="s">
        <v>53</v>
      </c>
      <c r="O975" s="5">
        <v>1</v>
      </c>
      <c r="P975" s="8"/>
      <c r="Q975" s="4"/>
      <c r="R975" s="5"/>
      <c r="W975" s="67" t="s">
        <v>941</v>
      </c>
      <c r="X975" s="68" t="s">
        <v>942</v>
      </c>
      <c r="Y975" s="69">
        <v>113.35</v>
      </c>
      <c r="Z975" t="str">
        <f>IF(AND(Tabla1[[#This Row],[nudo inicial]]=Tabla3[[#This Row],[n1]],Tabla1[[#This Row],[nudo final]]=Tabla3[[#This Row],[n2]],Tabla1[[#This Row],[longitud]]=Tabla3[[#This Row],[long]]),"si","no")</f>
        <v>si</v>
      </c>
    </row>
    <row r="976" spans="2:26" ht="15.75" x14ac:dyDescent="0.25">
      <c r="B976" t="s">
        <v>710</v>
      </c>
      <c r="C976" t="s">
        <v>943</v>
      </c>
      <c r="D976" s="19">
        <v>83.15</v>
      </c>
      <c r="E976" s="3" t="s">
        <v>23</v>
      </c>
      <c r="F976" s="3" t="s">
        <v>25</v>
      </c>
      <c r="G976" s="8" t="s">
        <v>58</v>
      </c>
      <c r="H976" s="4" t="s">
        <v>55</v>
      </c>
      <c r="I976" s="5">
        <v>1</v>
      </c>
      <c r="J976" s="8" t="s">
        <v>15</v>
      </c>
      <c r="K976" s="4" t="s">
        <v>23</v>
      </c>
      <c r="L976" s="5">
        <v>1</v>
      </c>
      <c r="M976" s="8" t="s">
        <v>32</v>
      </c>
      <c r="N976" s="4" t="s">
        <v>23</v>
      </c>
      <c r="O976" s="5">
        <v>1</v>
      </c>
      <c r="P976" s="8"/>
      <c r="Q976" s="4"/>
      <c r="R976" s="5"/>
      <c r="W976" s="67" t="s">
        <v>710</v>
      </c>
      <c r="X976" s="68" t="s">
        <v>943</v>
      </c>
      <c r="Y976" s="69">
        <v>83.15</v>
      </c>
      <c r="Z976" t="str">
        <f>IF(AND(Tabla1[[#This Row],[nudo inicial]]=Tabla3[[#This Row],[n1]],Tabla1[[#This Row],[nudo final]]=Tabla3[[#This Row],[n2]],Tabla1[[#This Row],[longitud]]=Tabla3[[#This Row],[long]]),"si","no")</f>
        <v>si</v>
      </c>
    </row>
    <row r="977" spans="2:26" ht="15.75" x14ac:dyDescent="0.25">
      <c r="B977" t="s">
        <v>943</v>
      </c>
      <c r="C977" t="s">
        <v>944</v>
      </c>
      <c r="D977" s="19">
        <v>107.94</v>
      </c>
      <c r="E977" s="3" t="s">
        <v>53</v>
      </c>
      <c r="F977" s="3" t="s">
        <v>25</v>
      </c>
      <c r="G977" s="8" t="s">
        <v>58</v>
      </c>
      <c r="H977" s="4" t="s">
        <v>23</v>
      </c>
      <c r="I977" s="5">
        <v>1</v>
      </c>
      <c r="J977" s="8" t="s">
        <v>15</v>
      </c>
      <c r="K977" s="4" t="s">
        <v>53</v>
      </c>
      <c r="L977" s="5">
        <v>1</v>
      </c>
      <c r="M977" s="8" t="s">
        <v>17</v>
      </c>
      <c r="N977" s="4" t="s">
        <v>53</v>
      </c>
      <c r="O977" s="5">
        <v>1</v>
      </c>
      <c r="P977" s="8"/>
      <c r="Q977" s="4"/>
      <c r="R977" s="5"/>
      <c r="W977" s="67" t="s">
        <v>943</v>
      </c>
      <c r="X977" s="68" t="s">
        <v>944</v>
      </c>
      <c r="Y977" s="69">
        <v>107.94</v>
      </c>
      <c r="Z977" t="str">
        <f>IF(AND(Tabla1[[#This Row],[nudo inicial]]=Tabla3[[#This Row],[n1]],Tabla1[[#This Row],[nudo final]]=Tabla3[[#This Row],[n2]],Tabla1[[#This Row],[longitud]]=Tabla3[[#This Row],[long]]),"si","no")</f>
        <v>si</v>
      </c>
    </row>
    <row r="978" spans="2:26" ht="15.75" x14ac:dyDescent="0.25">
      <c r="B978" t="s">
        <v>943</v>
      </c>
      <c r="C978" t="s">
        <v>945</v>
      </c>
      <c r="D978" s="19">
        <v>21.31</v>
      </c>
      <c r="E978" s="3" t="s">
        <v>23</v>
      </c>
      <c r="F978" s="3" t="s">
        <v>25</v>
      </c>
      <c r="G978" s="8" t="s">
        <v>57</v>
      </c>
      <c r="H978" s="4" t="s">
        <v>23</v>
      </c>
      <c r="I978" s="5">
        <v>1</v>
      </c>
      <c r="J978" s="8"/>
      <c r="K978" s="4"/>
      <c r="L978" s="5"/>
      <c r="M978" s="8"/>
      <c r="N978" s="4"/>
      <c r="O978" s="5"/>
      <c r="P978" s="8"/>
      <c r="Q978" s="4"/>
      <c r="R978" s="5"/>
      <c r="W978" s="67" t="s">
        <v>943</v>
      </c>
      <c r="X978" s="68" t="s">
        <v>945</v>
      </c>
      <c r="Y978" s="69">
        <v>21.31</v>
      </c>
      <c r="Z978" t="str">
        <f>IF(AND(Tabla1[[#This Row],[nudo inicial]]=Tabla3[[#This Row],[n1]],Tabla1[[#This Row],[nudo final]]=Tabla3[[#This Row],[n2]],Tabla1[[#This Row],[longitud]]=Tabla3[[#This Row],[long]]),"si","no")</f>
        <v>si</v>
      </c>
    </row>
    <row r="979" spans="2:26" ht="15.75" x14ac:dyDescent="0.25">
      <c r="B979" t="s">
        <v>704</v>
      </c>
      <c r="C979" t="s">
        <v>946</v>
      </c>
      <c r="D979" s="19">
        <v>112.94</v>
      </c>
      <c r="E979" s="3" t="s">
        <v>53</v>
      </c>
      <c r="F979" s="3" t="s">
        <v>25</v>
      </c>
      <c r="G979" s="8" t="s">
        <v>58</v>
      </c>
      <c r="H979" s="4" t="s">
        <v>23</v>
      </c>
      <c r="I979" s="5">
        <v>1</v>
      </c>
      <c r="J979" s="8" t="s">
        <v>15</v>
      </c>
      <c r="K979" s="4" t="s">
        <v>53</v>
      </c>
      <c r="L979" s="5">
        <v>1</v>
      </c>
      <c r="M979" s="8" t="s">
        <v>17</v>
      </c>
      <c r="N979" s="4" t="s">
        <v>53</v>
      </c>
      <c r="O979" s="5">
        <v>1</v>
      </c>
      <c r="P979" s="8"/>
      <c r="Q979" s="4"/>
      <c r="R979" s="5"/>
      <c r="W979" s="67" t="s">
        <v>704</v>
      </c>
      <c r="X979" s="68" t="s">
        <v>946</v>
      </c>
      <c r="Y979" s="69">
        <v>112.94</v>
      </c>
      <c r="Z979" t="str">
        <f>IF(AND(Tabla1[[#This Row],[nudo inicial]]=Tabla3[[#This Row],[n1]],Tabla1[[#This Row],[nudo final]]=Tabla3[[#This Row],[n2]],Tabla1[[#This Row],[longitud]]=Tabla3[[#This Row],[long]]),"si","no")</f>
        <v>si</v>
      </c>
    </row>
    <row r="980" spans="2:26" ht="15.75" x14ac:dyDescent="0.25">
      <c r="B980" t="s">
        <v>703</v>
      </c>
      <c r="C980" t="s">
        <v>947</v>
      </c>
      <c r="D980" s="19">
        <v>60.99</v>
      </c>
      <c r="E980" s="3" t="s">
        <v>23</v>
      </c>
      <c r="F980" s="3" t="s">
        <v>26</v>
      </c>
      <c r="G980" s="8" t="s">
        <v>57</v>
      </c>
      <c r="H980" s="4" t="s">
        <v>23</v>
      </c>
      <c r="I980" s="5">
        <v>1</v>
      </c>
      <c r="J980" s="8" t="s">
        <v>32</v>
      </c>
      <c r="K980" s="4" t="s">
        <v>23</v>
      </c>
      <c r="L980" s="5">
        <v>1</v>
      </c>
      <c r="M980" s="8"/>
      <c r="N980" s="4"/>
      <c r="O980" s="5"/>
      <c r="P980" s="8"/>
      <c r="Q980" s="4"/>
      <c r="R980" s="5"/>
      <c r="W980" s="67" t="s">
        <v>703</v>
      </c>
      <c r="X980" s="68" t="s">
        <v>947</v>
      </c>
      <c r="Y980" s="69">
        <v>60.99</v>
      </c>
      <c r="Z980" t="str">
        <f>IF(AND(Tabla1[[#This Row],[nudo inicial]]=Tabla3[[#This Row],[n1]],Tabla1[[#This Row],[nudo final]]=Tabla3[[#This Row],[n2]],Tabla1[[#This Row],[longitud]]=Tabla3[[#This Row],[long]]),"si","no")</f>
        <v>si</v>
      </c>
    </row>
    <row r="981" spans="2:26" ht="15.75" x14ac:dyDescent="0.25">
      <c r="B981" t="s">
        <v>947</v>
      </c>
      <c r="C981" t="s">
        <v>945</v>
      </c>
      <c r="D981" s="19">
        <v>137.31</v>
      </c>
      <c r="E981" s="3" t="s">
        <v>23</v>
      </c>
      <c r="F981" s="3" t="s">
        <v>26</v>
      </c>
      <c r="G981" s="8" t="s">
        <v>57</v>
      </c>
      <c r="H981" s="4" t="s">
        <v>23</v>
      </c>
      <c r="I981" s="5">
        <v>1</v>
      </c>
      <c r="J981" s="8" t="s">
        <v>16</v>
      </c>
      <c r="K981" s="4" t="s">
        <v>23</v>
      </c>
      <c r="L981" s="5">
        <v>1</v>
      </c>
      <c r="M981" s="8"/>
      <c r="N981" s="4"/>
      <c r="O981" s="5"/>
      <c r="P981" s="8"/>
      <c r="Q981" s="4"/>
      <c r="R981" s="5"/>
      <c r="W981" s="67" t="s">
        <v>947</v>
      </c>
      <c r="X981" s="68" t="s">
        <v>945</v>
      </c>
      <c r="Y981" s="69">
        <v>137.31</v>
      </c>
      <c r="Z981" t="str">
        <f>IF(AND(Tabla1[[#This Row],[nudo inicial]]=Tabla3[[#This Row],[n1]],Tabla1[[#This Row],[nudo final]]=Tabla3[[#This Row],[n2]],Tabla1[[#This Row],[longitud]]=Tabla3[[#This Row],[long]]),"si","no")</f>
        <v>si</v>
      </c>
    </row>
    <row r="982" spans="2:26" ht="15.75" x14ac:dyDescent="0.25">
      <c r="B982" t="s">
        <v>945</v>
      </c>
      <c r="C982" t="s">
        <v>948</v>
      </c>
      <c r="D982" s="19">
        <v>12.82</v>
      </c>
      <c r="E982" s="3" t="s">
        <v>23</v>
      </c>
      <c r="F982" s="3" t="s">
        <v>25</v>
      </c>
      <c r="G982" s="8" t="s">
        <v>57</v>
      </c>
      <c r="H982" s="4" t="s">
        <v>23</v>
      </c>
      <c r="I982" s="5">
        <v>1</v>
      </c>
      <c r="J982" s="8" t="s">
        <v>32</v>
      </c>
      <c r="K982" s="4" t="s">
        <v>23</v>
      </c>
      <c r="L982" s="5">
        <v>1</v>
      </c>
      <c r="M982" s="8"/>
      <c r="N982" s="4"/>
      <c r="O982" s="5"/>
      <c r="P982" s="8"/>
      <c r="Q982" s="4"/>
      <c r="R982" s="5"/>
      <c r="W982" s="67" t="s">
        <v>945</v>
      </c>
      <c r="X982" s="68" t="s">
        <v>948</v>
      </c>
      <c r="Y982" s="69">
        <v>12.82</v>
      </c>
      <c r="Z982" t="str">
        <f>IF(AND(Tabla1[[#This Row],[nudo inicial]]=Tabla3[[#This Row],[n1]],Tabla1[[#This Row],[nudo final]]=Tabla3[[#This Row],[n2]],Tabla1[[#This Row],[longitud]]=Tabla3[[#This Row],[long]]),"si","no")</f>
        <v>si</v>
      </c>
    </row>
    <row r="983" spans="2:26" ht="15.75" x14ac:dyDescent="0.25">
      <c r="B983" t="s">
        <v>938</v>
      </c>
      <c r="C983" t="s">
        <v>948</v>
      </c>
      <c r="D983" s="19">
        <v>156.88</v>
      </c>
      <c r="E983" s="3" t="s">
        <v>23</v>
      </c>
      <c r="F983" s="3" t="s">
        <v>25</v>
      </c>
      <c r="G983" s="8" t="s">
        <v>58</v>
      </c>
      <c r="H983" s="4" t="s">
        <v>126</v>
      </c>
      <c r="I983" s="5">
        <v>1</v>
      </c>
      <c r="J983" s="8" t="s">
        <v>15</v>
      </c>
      <c r="K983" s="4" t="s">
        <v>23</v>
      </c>
      <c r="L983" s="5">
        <v>1</v>
      </c>
      <c r="M983" s="8"/>
      <c r="N983" s="4"/>
      <c r="O983" s="5"/>
      <c r="P983" s="8"/>
      <c r="Q983" s="4"/>
      <c r="R983" s="5"/>
      <c r="W983" s="67" t="s">
        <v>938</v>
      </c>
      <c r="X983" s="68" t="s">
        <v>948</v>
      </c>
      <c r="Y983" s="69">
        <v>156.88</v>
      </c>
      <c r="Z983" t="str">
        <f>IF(AND(Tabla1[[#This Row],[nudo inicial]]=Tabla3[[#This Row],[n1]],Tabla1[[#This Row],[nudo final]]=Tabla3[[#This Row],[n2]],Tabla1[[#This Row],[longitud]]=Tabla3[[#This Row],[long]]),"si","no")</f>
        <v>si</v>
      </c>
    </row>
    <row r="984" spans="2:26" ht="15.75" x14ac:dyDescent="0.25">
      <c r="B984" t="s">
        <v>948</v>
      </c>
      <c r="C984" t="s">
        <v>949</v>
      </c>
      <c r="D984" s="19">
        <v>70.41</v>
      </c>
      <c r="E984" s="3" t="s">
        <v>126</v>
      </c>
      <c r="F984" s="3" t="s">
        <v>25</v>
      </c>
      <c r="G984" s="8" t="s">
        <v>57</v>
      </c>
      <c r="H984" s="4" t="s">
        <v>23</v>
      </c>
      <c r="I984" s="5">
        <v>1</v>
      </c>
      <c r="J984" s="8" t="s">
        <v>6</v>
      </c>
      <c r="K984" s="4" t="s">
        <v>126</v>
      </c>
      <c r="L984" s="5">
        <v>1</v>
      </c>
      <c r="M984" s="8" t="s">
        <v>32</v>
      </c>
      <c r="N984" s="4" t="s">
        <v>126</v>
      </c>
      <c r="O984" s="5">
        <v>1</v>
      </c>
      <c r="P984" s="8"/>
      <c r="Q984" s="4"/>
      <c r="R984" s="5"/>
      <c r="W984" s="67" t="s">
        <v>948</v>
      </c>
      <c r="X984" s="68" t="s">
        <v>949</v>
      </c>
      <c r="Y984" s="69">
        <v>70.41</v>
      </c>
      <c r="Z984" t="str">
        <f>IF(AND(Tabla1[[#This Row],[nudo inicial]]=Tabla3[[#This Row],[n1]],Tabla1[[#This Row],[nudo final]]=Tabla3[[#This Row],[n2]],Tabla1[[#This Row],[longitud]]=Tabla3[[#This Row],[long]]),"si","no")</f>
        <v>si</v>
      </c>
    </row>
    <row r="985" spans="2:26" ht="15.75" x14ac:dyDescent="0.25">
      <c r="B985" t="s">
        <v>949</v>
      </c>
      <c r="C985" t="s">
        <v>952</v>
      </c>
      <c r="D985" s="19">
        <v>107.71</v>
      </c>
      <c r="E985" s="3" t="s">
        <v>56</v>
      </c>
      <c r="F985" s="3" t="s">
        <v>25</v>
      </c>
      <c r="G985" s="8" t="s">
        <v>58</v>
      </c>
      <c r="H985" s="4" t="s">
        <v>126</v>
      </c>
      <c r="I985" s="5">
        <v>1</v>
      </c>
      <c r="J985" s="8" t="s">
        <v>15</v>
      </c>
      <c r="K985" s="4" t="s">
        <v>56</v>
      </c>
      <c r="L985" s="5">
        <v>1</v>
      </c>
      <c r="M985" s="8" t="s">
        <v>17</v>
      </c>
      <c r="N985" s="4" t="s">
        <v>56</v>
      </c>
      <c r="O985" s="5">
        <v>1</v>
      </c>
      <c r="P985" s="8"/>
      <c r="Q985" s="4"/>
      <c r="R985" s="5"/>
      <c r="W985" s="67" t="s">
        <v>949</v>
      </c>
      <c r="X985" s="68" t="s">
        <v>952</v>
      </c>
      <c r="Y985" s="69">
        <v>107.71</v>
      </c>
      <c r="Z985" t="str">
        <f>IF(AND(Tabla1[[#This Row],[nudo inicial]]=Tabla3[[#This Row],[n1]],Tabla1[[#This Row],[nudo final]]=Tabla3[[#This Row],[n2]],Tabla1[[#This Row],[longitud]]=Tabla3[[#This Row],[long]]),"si","no")</f>
        <v>si</v>
      </c>
    </row>
    <row r="986" spans="2:26" ht="15.75" x14ac:dyDescent="0.25">
      <c r="B986" t="s">
        <v>949</v>
      </c>
      <c r="C986" t="s">
        <v>951</v>
      </c>
      <c r="D986" s="19">
        <v>14.25</v>
      </c>
      <c r="E986" s="3" t="s">
        <v>126</v>
      </c>
      <c r="F986" s="3" t="s">
        <v>25</v>
      </c>
      <c r="G986" s="8" t="s">
        <v>57</v>
      </c>
      <c r="H986" s="4" t="s">
        <v>126</v>
      </c>
      <c r="I986" s="5">
        <v>1</v>
      </c>
      <c r="J986" s="8" t="s">
        <v>17</v>
      </c>
      <c r="K986" s="4" t="s">
        <v>126</v>
      </c>
      <c r="L986" s="5">
        <v>1</v>
      </c>
      <c r="M986" s="8"/>
      <c r="N986" s="4"/>
      <c r="O986" s="5"/>
      <c r="P986" s="8"/>
      <c r="Q986" s="4"/>
      <c r="R986" s="5"/>
      <c r="W986" s="67" t="s">
        <v>949</v>
      </c>
      <c r="X986" s="68" t="s">
        <v>951</v>
      </c>
      <c r="Y986" s="69">
        <v>14.25</v>
      </c>
      <c r="Z986" t="str">
        <f>IF(AND(Tabla1[[#This Row],[nudo inicial]]=Tabla3[[#This Row],[n1]],Tabla1[[#This Row],[nudo final]]=Tabla3[[#This Row],[n2]],Tabla1[[#This Row],[longitud]]=Tabla3[[#This Row],[long]]),"si","no")</f>
        <v>si</v>
      </c>
    </row>
    <row r="987" spans="2:26" ht="15.75" x14ac:dyDescent="0.25">
      <c r="B987" t="s">
        <v>894</v>
      </c>
      <c r="C987" t="s">
        <v>950</v>
      </c>
      <c r="D987" s="19">
        <v>38.15</v>
      </c>
      <c r="E987" s="3" t="s">
        <v>23</v>
      </c>
      <c r="F987" s="3" t="s">
        <v>25</v>
      </c>
      <c r="G987" s="8" t="s">
        <v>58</v>
      </c>
      <c r="H987" s="4" t="s">
        <v>23</v>
      </c>
      <c r="I987" s="5">
        <v>1</v>
      </c>
      <c r="J987" s="8"/>
      <c r="K987" s="4"/>
      <c r="L987" s="5"/>
      <c r="M987" s="8"/>
      <c r="N987" s="4"/>
      <c r="O987" s="5"/>
      <c r="P987" s="8"/>
      <c r="Q987" s="4"/>
      <c r="R987" s="5"/>
      <c r="W987" s="67" t="s">
        <v>894</v>
      </c>
      <c r="X987" s="68" t="s">
        <v>950</v>
      </c>
      <c r="Y987" s="69">
        <v>38.15</v>
      </c>
      <c r="Z987" t="str">
        <f>IF(AND(Tabla1[[#This Row],[nudo inicial]]=Tabla3[[#This Row],[n1]],Tabla1[[#This Row],[nudo final]]=Tabla3[[#This Row],[n2]],Tabla1[[#This Row],[longitud]]=Tabla3[[#This Row],[long]]),"si","no")</f>
        <v>si</v>
      </c>
    </row>
    <row r="988" spans="2:26" ht="15.75" x14ac:dyDescent="0.25">
      <c r="B988" t="s">
        <v>950</v>
      </c>
      <c r="C988" t="s">
        <v>953</v>
      </c>
      <c r="D988" s="19">
        <v>215.8</v>
      </c>
      <c r="E988" s="3" t="s">
        <v>23</v>
      </c>
      <c r="F988" s="3" t="s">
        <v>28</v>
      </c>
      <c r="G988" s="8"/>
      <c r="H988" s="4"/>
      <c r="I988" s="5"/>
      <c r="J988" s="8"/>
      <c r="K988" s="4"/>
      <c r="L988" s="5"/>
      <c r="M988" s="8"/>
      <c r="N988" s="4"/>
      <c r="O988" s="5"/>
      <c r="P988" s="8"/>
      <c r="Q988" s="4"/>
      <c r="R988" s="5"/>
      <c r="W988" s="67" t="s">
        <v>950</v>
      </c>
      <c r="X988" s="68" t="s">
        <v>953</v>
      </c>
      <c r="Y988" s="69">
        <v>215.8</v>
      </c>
      <c r="Z988" t="str">
        <f>IF(AND(Tabla1[[#This Row],[nudo inicial]]=Tabla3[[#This Row],[n1]],Tabla1[[#This Row],[nudo final]]=Tabla3[[#This Row],[n2]],Tabla1[[#This Row],[longitud]]=Tabla3[[#This Row],[long]]),"si","no")</f>
        <v>si</v>
      </c>
    </row>
    <row r="989" spans="2:26" ht="15.75" x14ac:dyDescent="0.25">
      <c r="B989" t="s">
        <v>953</v>
      </c>
      <c r="C989" s="35" t="s">
        <v>954</v>
      </c>
      <c r="D989" s="19">
        <v>111.58</v>
      </c>
      <c r="E989" s="3" t="s">
        <v>53</v>
      </c>
      <c r="F989" s="3" t="s">
        <v>25</v>
      </c>
      <c r="G989" s="8" t="s">
        <v>15</v>
      </c>
      <c r="H989" s="4" t="s">
        <v>53</v>
      </c>
      <c r="I989" s="5">
        <v>1</v>
      </c>
      <c r="J989" s="8"/>
      <c r="K989" s="4"/>
      <c r="L989" s="5"/>
      <c r="M989" s="8"/>
      <c r="N989" s="4"/>
      <c r="O989" s="5"/>
      <c r="P989" s="8"/>
      <c r="Q989" s="4"/>
      <c r="R989" s="5"/>
      <c r="W989" s="67" t="s">
        <v>953</v>
      </c>
      <c r="X989" s="68" t="s">
        <v>954</v>
      </c>
      <c r="Y989" s="69">
        <v>111.58</v>
      </c>
      <c r="Z989" t="str">
        <f>IF(AND(Tabla1[[#This Row],[nudo inicial]]=Tabla3[[#This Row],[n1]],Tabla1[[#This Row],[nudo final]]=Tabla3[[#This Row],[n2]],Tabla1[[#This Row],[longitud]]=Tabla3[[#This Row],[long]]),"si","no")</f>
        <v>si</v>
      </c>
    </row>
    <row r="990" spans="2:26" ht="15.75" x14ac:dyDescent="0.25">
      <c r="B990" t="s">
        <v>954</v>
      </c>
      <c r="C990" t="s">
        <v>955</v>
      </c>
      <c r="D990" s="19">
        <v>68</v>
      </c>
      <c r="E990" s="3" t="s">
        <v>53</v>
      </c>
      <c r="F990" s="3" t="s">
        <v>25</v>
      </c>
      <c r="G990" s="8" t="s">
        <v>57</v>
      </c>
      <c r="H990" s="4" t="s">
        <v>53</v>
      </c>
      <c r="I990" s="5">
        <v>1</v>
      </c>
      <c r="J990" s="8" t="s">
        <v>17</v>
      </c>
      <c r="K990" s="4" t="s">
        <v>53</v>
      </c>
      <c r="L990" s="5">
        <v>1</v>
      </c>
      <c r="M990" s="8"/>
      <c r="N990" s="4"/>
      <c r="O990" s="5"/>
      <c r="P990" s="8"/>
      <c r="Q990" s="4"/>
      <c r="R990" s="5"/>
      <c r="W990" s="67" t="s">
        <v>954</v>
      </c>
      <c r="X990" s="68" t="s">
        <v>955</v>
      </c>
      <c r="Y990" s="69">
        <v>68</v>
      </c>
      <c r="Z990" t="str">
        <f>IF(AND(Tabla1[[#This Row],[nudo inicial]]=Tabla3[[#This Row],[n1]],Tabla1[[#This Row],[nudo final]]=Tabla3[[#This Row],[n2]],Tabla1[[#This Row],[longitud]]=Tabla3[[#This Row],[long]]),"si","no")</f>
        <v>si</v>
      </c>
    </row>
    <row r="991" spans="2:26" ht="15.75" x14ac:dyDescent="0.25">
      <c r="B991" t="s">
        <v>954</v>
      </c>
      <c r="C991" t="s">
        <v>956</v>
      </c>
      <c r="D991" s="19">
        <v>210.26</v>
      </c>
      <c r="E991" s="3" t="s">
        <v>53</v>
      </c>
      <c r="F991" s="3" t="s">
        <v>25</v>
      </c>
      <c r="G991" s="8" t="s">
        <v>58</v>
      </c>
      <c r="H991" s="4" t="s">
        <v>53</v>
      </c>
      <c r="I991" s="5">
        <v>1</v>
      </c>
      <c r="J991" s="8" t="s">
        <v>16</v>
      </c>
      <c r="K991" s="4" t="s">
        <v>53</v>
      </c>
      <c r="L991" s="5">
        <v>1</v>
      </c>
      <c r="M991" s="8"/>
      <c r="N991" s="4"/>
      <c r="O991" s="5"/>
      <c r="P991" s="8"/>
      <c r="Q991" s="4"/>
      <c r="R991" s="5"/>
      <c r="W991" s="67" t="s">
        <v>954</v>
      </c>
      <c r="X991" s="68" t="s">
        <v>956</v>
      </c>
      <c r="Y991" s="69">
        <v>210.26</v>
      </c>
      <c r="Z991" t="str">
        <f>IF(AND(Tabla1[[#This Row],[nudo inicial]]=Tabla3[[#This Row],[n1]],Tabla1[[#This Row],[nudo final]]=Tabla3[[#This Row],[n2]],Tabla1[[#This Row],[longitud]]=Tabla3[[#This Row],[long]]),"si","no")</f>
        <v>si</v>
      </c>
    </row>
    <row r="992" spans="2:26" ht="15.75" x14ac:dyDescent="0.25">
      <c r="B992" t="s">
        <v>956</v>
      </c>
      <c r="C992" t="s">
        <v>957</v>
      </c>
      <c r="D992" s="19">
        <v>47.22</v>
      </c>
      <c r="E992" s="3" t="s">
        <v>53</v>
      </c>
      <c r="F992" s="3" t="s">
        <v>25</v>
      </c>
      <c r="G992" s="8" t="s">
        <v>58</v>
      </c>
      <c r="H992" s="4" t="s">
        <v>53</v>
      </c>
      <c r="I992" s="5">
        <v>1</v>
      </c>
      <c r="J992" s="8" t="s">
        <v>17</v>
      </c>
      <c r="K992" s="4" t="s">
        <v>53</v>
      </c>
      <c r="L992" s="5">
        <v>1</v>
      </c>
      <c r="M992" s="8"/>
      <c r="N992" s="4"/>
      <c r="O992" s="5"/>
      <c r="P992" s="8"/>
      <c r="Q992" s="4"/>
      <c r="R992" s="5"/>
      <c r="W992" s="67" t="s">
        <v>956</v>
      </c>
      <c r="X992" s="68" t="s">
        <v>957</v>
      </c>
      <c r="Y992" s="69">
        <v>47.22</v>
      </c>
      <c r="Z992" t="str">
        <f>IF(AND(Tabla1[[#This Row],[nudo inicial]]=Tabla3[[#This Row],[n1]],Tabla1[[#This Row],[nudo final]]=Tabla3[[#This Row],[n2]],Tabla1[[#This Row],[longitud]]=Tabla3[[#This Row],[long]]),"si","no")</f>
        <v>si</v>
      </c>
    </row>
    <row r="993" spans="2:26" ht="15.75" x14ac:dyDescent="0.25">
      <c r="B993" t="s">
        <v>956</v>
      </c>
      <c r="C993" t="s">
        <v>958</v>
      </c>
      <c r="D993" s="19">
        <v>178.16</v>
      </c>
      <c r="E993" s="3" t="s">
        <v>53</v>
      </c>
      <c r="F993" s="3" t="s">
        <v>25</v>
      </c>
      <c r="G993" s="8" t="s">
        <v>58</v>
      </c>
      <c r="H993" s="4" t="s">
        <v>53</v>
      </c>
      <c r="I993" s="5">
        <v>1</v>
      </c>
      <c r="J993" s="8"/>
      <c r="K993" s="4"/>
      <c r="L993" s="5"/>
      <c r="M993" s="8"/>
      <c r="N993" s="4"/>
      <c r="O993" s="5"/>
      <c r="P993" s="8"/>
      <c r="Q993" s="4"/>
      <c r="R993" s="5"/>
      <c r="W993" s="67" t="s">
        <v>956</v>
      </c>
      <c r="X993" s="68" t="s">
        <v>958</v>
      </c>
      <c r="Y993" s="69">
        <v>178.16</v>
      </c>
      <c r="Z993" t="str">
        <f>IF(AND(Tabla1[[#This Row],[nudo inicial]]=Tabla3[[#This Row],[n1]],Tabla1[[#This Row],[nudo final]]=Tabla3[[#This Row],[n2]],Tabla1[[#This Row],[longitud]]=Tabla3[[#This Row],[long]]),"si","no")</f>
        <v>si</v>
      </c>
    </row>
    <row r="994" spans="2:26" ht="15.75" x14ac:dyDescent="0.25">
      <c r="B994" t="s">
        <v>958</v>
      </c>
      <c r="C994" t="s">
        <v>959</v>
      </c>
      <c r="D994" s="19">
        <v>87.03</v>
      </c>
      <c r="E994" s="3" t="s">
        <v>56</v>
      </c>
      <c r="F994" s="3" t="s">
        <v>25</v>
      </c>
      <c r="G994" s="8" t="s">
        <v>58</v>
      </c>
      <c r="H994" s="4" t="s">
        <v>53</v>
      </c>
      <c r="I994" s="5">
        <v>1</v>
      </c>
      <c r="J994" s="8" t="s">
        <v>15</v>
      </c>
      <c r="K994" s="4" t="s">
        <v>56</v>
      </c>
      <c r="L994" s="5">
        <v>1</v>
      </c>
      <c r="M994" s="8" t="s">
        <v>17</v>
      </c>
      <c r="N994" s="4" t="s">
        <v>56</v>
      </c>
      <c r="O994" s="5">
        <v>1</v>
      </c>
      <c r="P994" s="8"/>
      <c r="Q994" s="4"/>
      <c r="R994" s="5"/>
      <c r="W994" s="67" t="s">
        <v>958</v>
      </c>
      <c r="X994" s="68" t="s">
        <v>959</v>
      </c>
      <c r="Y994" s="69">
        <v>87.03</v>
      </c>
      <c r="Z994" t="str">
        <f>IF(AND(Tabla1[[#This Row],[nudo inicial]]=Tabla3[[#This Row],[n1]],Tabla1[[#This Row],[nudo final]]=Tabla3[[#This Row],[n2]],Tabla1[[#This Row],[longitud]]=Tabla3[[#This Row],[long]]),"si","no")</f>
        <v>si</v>
      </c>
    </row>
    <row r="995" spans="2:26" ht="15.75" x14ac:dyDescent="0.25">
      <c r="B995" t="s">
        <v>958</v>
      </c>
      <c r="C995" t="s">
        <v>960</v>
      </c>
      <c r="D995" s="19">
        <v>39.93</v>
      </c>
      <c r="E995" s="3" t="s">
        <v>53</v>
      </c>
      <c r="F995" s="3" t="s">
        <v>25</v>
      </c>
      <c r="G995" s="8" t="s">
        <v>57</v>
      </c>
      <c r="H995" s="4" t="s">
        <v>53</v>
      </c>
      <c r="I995" s="5">
        <v>1</v>
      </c>
      <c r="J995" s="8"/>
      <c r="K995" s="4"/>
      <c r="L995" s="5"/>
      <c r="M995" s="8"/>
      <c r="N995" s="4"/>
      <c r="O995" s="5"/>
      <c r="P995" s="8"/>
      <c r="Q995" s="4"/>
      <c r="R995" s="5"/>
      <c r="W995" s="67" t="s">
        <v>958</v>
      </c>
      <c r="X995" s="68" t="s">
        <v>960</v>
      </c>
      <c r="Y995" s="69">
        <v>39.93</v>
      </c>
      <c r="Z995" t="str">
        <f>IF(AND(Tabla1[[#This Row],[nudo inicial]]=Tabla3[[#This Row],[n1]],Tabla1[[#This Row],[nudo final]]=Tabla3[[#This Row],[n2]],Tabla1[[#This Row],[longitud]]=Tabla3[[#This Row],[long]]),"si","no")</f>
        <v>si</v>
      </c>
    </row>
    <row r="996" spans="2:26" ht="15.75" x14ac:dyDescent="0.25">
      <c r="B996" t="s">
        <v>960</v>
      </c>
      <c r="C996" t="s">
        <v>961</v>
      </c>
      <c r="D996" s="19">
        <v>56.55</v>
      </c>
      <c r="E996" s="3" t="s">
        <v>53</v>
      </c>
      <c r="F996" s="3" t="s">
        <v>25</v>
      </c>
      <c r="G996" s="8" t="s">
        <v>58</v>
      </c>
      <c r="H996" s="4" t="s">
        <v>53</v>
      </c>
      <c r="I996" s="5">
        <v>1</v>
      </c>
      <c r="J996" s="8"/>
      <c r="K996" s="4"/>
      <c r="L996" s="5"/>
      <c r="M996" s="8"/>
      <c r="N996" s="4"/>
      <c r="O996" s="5"/>
      <c r="P996" s="8"/>
      <c r="Q996" s="4"/>
      <c r="R996" s="5"/>
      <c r="W996" s="67" t="s">
        <v>960</v>
      </c>
      <c r="X996" s="68" t="s">
        <v>961</v>
      </c>
      <c r="Y996" s="69">
        <v>56.55</v>
      </c>
      <c r="Z996" t="str">
        <f>IF(AND(Tabla1[[#This Row],[nudo inicial]]=Tabla3[[#This Row],[n1]],Tabla1[[#This Row],[nudo final]]=Tabla3[[#This Row],[n2]],Tabla1[[#This Row],[longitud]]=Tabla3[[#This Row],[long]]),"si","no")</f>
        <v>si</v>
      </c>
    </row>
    <row r="997" spans="2:26" ht="15.75" x14ac:dyDescent="0.25">
      <c r="B997" t="s">
        <v>961</v>
      </c>
      <c r="C997" t="s">
        <v>962</v>
      </c>
      <c r="D997" s="19">
        <v>74.849999999999994</v>
      </c>
      <c r="E997" s="3" t="s">
        <v>53</v>
      </c>
      <c r="F997" s="3" t="s">
        <v>25</v>
      </c>
      <c r="G997" s="8" t="s">
        <v>57</v>
      </c>
      <c r="H997" s="4" t="s">
        <v>53</v>
      </c>
      <c r="I997" s="5">
        <v>1</v>
      </c>
      <c r="J997" s="8" t="s">
        <v>17</v>
      </c>
      <c r="K997" s="4" t="s">
        <v>53</v>
      </c>
      <c r="L997" s="5">
        <v>1</v>
      </c>
      <c r="M997" s="8"/>
      <c r="N997" s="4"/>
      <c r="O997" s="5"/>
      <c r="P997" s="8"/>
      <c r="Q997" s="4"/>
      <c r="R997" s="5"/>
      <c r="W997" s="67" t="s">
        <v>961</v>
      </c>
      <c r="X997" s="68" t="s">
        <v>962</v>
      </c>
      <c r="Y997" s="69">
        <v>74.849999999999994</v>
      </c>
      <c r="Z997" t="str">
        <f>IF(AND(Tabla1[[#This Row],[nudo inicial]]=Tabla3[[#This Row],[n1]],Tabla1[[#This Row],[nudo final]]=Tabla3[[#This Row],[n2]],Tabla1[[#This Row],[longitud]]=Tabla3[[#This Row],[long]]),"si","no")</f>
        <v>si</v>
      </c>
    </row>
    <row r="998" spans="2:26" ht="15.75" x14ac:dyDescent="0.25">
      <c r="B998" t="s">
        <v>961</v>
      </c>
      <c r="C998" t="s">
        <v>963</v>
      </c>
      <c r="D998" s="19">
        <v>57.68</v>
      </c>
      <c r="E998" s="3" t="s">
        <v>53</v>
      </c>
      <c r="F998" s="3" t="s">
        <v>25</v>
      </c>
      <c r="G998" s="8" t="s">
        <v>58</v>
      </c>
      <c r="H998" s="4" t="s">
        <v>53</v>
      </c>
      <c r="I998" s="5">
        <v>1</v>
      </c>
      <c r="J998" s="8" t="s">
        <v>17</v>
      </c>
      <c r="K998" s="4" t="s">
        <v>53</v>
      </c>
      <c r="L998" s="5">
        <v>1</v>
      </c>
      <c r="M998" s="8"/>
      <c r="N998" s="4"/>
      <c r="O998" s="5"/>
      <c r="P998" s="8"/>
      <c r="Q998" s="4"/>
      <c r="R998" s="5"/>
      <c r="W998" s="67" t="s">
        <v>961</v>
      </c>
      <c r="X998" s="68" t="s">
        <v>963</v>
      </c>
      <c r="Y998" s="69">
        <v>57.68</v>
      </c>
      <c r="Z998" t="str">
        <f>IF(AND(Tabla1[[#This Row],[nudo inicial]]=Tabla3[[#This Row],[n1]],Tabla1[[#This Row],[nudo final]]=Tabla3[[#This Row],[n2]],Tabla1[[#This Row],[longitud]]=Tabla3[[#This Row],[long]]),"si","no")</f>
        <v>si</v>
      </c>
    </row>
    <row r="999" spans="2:26" ht="15.75" x14ac:dyDescent="0.25">
      <c r="B999" t="s">
        <v>960</v>
      </c>
      <c r="C999" t="s">
        <v>964</v>
      </c>
      <c r="D999" s="19">
        <v>9.11</v>
      </c>
      <c r="E999" s="3" t="s">
        <v>795</v>
      </c>
      <c r="F999" s="3" t="s">
        <v>25</v>
      </c>
      <c r="G999" s="8" t="s">
        <v>58</v>
      </c>
      <c r="H999" s="4" t="s">
        <v>53</v>
      </c>
      <c r="I999" s="5">
        <v>1</v>
      </c>
      <c r="J999" s="8" t="s">
        <v>15</v>
      </c>
      <c r="K999" s="4" t="s">
        <v>795</v>
      </c>
      <c r="L999" s="5">
        <v>2</v>
      </c>
      <c r="M999" s="8"/>
      <c r="N999" s="4"/>
      <c r="O999" s="5"/>
      <c r="P999" s="8"/>
      <c r="Q999" s="4"/>
      <c r="R999" s="5"/>
      <c r="W999" s="67" t="s">
        <v>960</v>
      </c>
      <c r="X999" s="68" t="s">
        <v>964</v>
      </c>
      <c r="Y999" s="69">
        <v>9.11</v>
      </c>
      <c r="Z999" t="str">
        <f>IF(AND(Tabla1[[#This Row],[nudo inicial]]=Tabla3[[#This Row],[n1]],Tabla1[[#This Row],[nudo final]]=Tabla3[[#This Row],[n2]],Tabla1[[#This Row],[longitud]]=Tabla3[[#This Row],[long]]),"si","no")</f>
        <v>si</v>
      </c>
    </row>
    <row r="1000" spans="2:26" ht="15.75" x14ac:dyDescent="0.25">
      <c r="B1000" t="s">
        <v>964</v>
      </c>
      <c r="C1000" t="s">
        <v>965</v>
      </c>
      <c r="D1000" s="19">
        <v>50.51</v>
      </c>
      <c r="E1000" s="3" t="s">
        <v>795</v>
      </c>
      <c r="F1000" s="3" t="s">
        <v>25</v>
      </c>
      <c r="G1000" s="8" t="s">
        <v>57</v>
      </c>
      <c r="H1000" s="4" t="s">
        <v>53</v>
      </c>
      <c r="I1000" s="5">
        <v>1</v>
      </c>
      <c r="J1000" s="8" t="s">
        <v>15</v>
      </c>
      <c r="K1000" s="4" t="s">
        <v>795</v>
      </c>
      <c r="L1000" s="5">
        <v>1</v>
      </c>
      <c r="M1000" s="8" t="s">
        <v>17</v>
      </c>
      <c r="N1000" s="4" t="s">
        <v>795</v>
      </c>
      <c r="O1000" s="5">
        <v>1</v>
      </c>
      <c r="P1000" s="8"/>
      <c r="Q1000" s="4"/>
      <c r="R1000" s="5"/>
      <c r="W1000" s="67" t="s">
        <v>964</v>
      </c>
      <c r="X1000" s="68" t="s">
        <v>965</v>
      </c>
      <c r="Y1000" s="69">
        <v>50.51</v>
      </c>
      <c r="Z1000" t="str">
        <f>IF(AND(Tabla1[[#This Row],[nudo inicial]]=Tabla3[[#This Row],[n1]],Tabla1[[#This Row],[nudo final]]=Tabla3[[#This Row],[n2]],Tabla1[[#This Row],[longitud]]=Tabla3[[#This Row],[long]]),"si","no")</f>
        <v>si</v>
      </c>
    </row>
    <row r="1001" spans="2:26" ht="15.75" x14ac:dyDescent="0.25">
      <c r="B1001" t="s">
        <v>964</v>
      </c>
      <c r="C1001" t="s">
        <v>966</v>
      </c>
      <c r="D1001" s="19">
        <v>62.85</v>
      </c>
      <c r="E1001" s="3" t="s">
        <v>53</v>
      </c>
      <c r="F1001" s="3" t="s">
        <v>25</v>
      </c>
      <c r="G1001" s="8" t="s">
        <v>58</v>
      </c>
      <c r="H1001" s="4" t="s">
        <v>53</v>
      </c>
      <c r="I1001" s="5">
        <v>1</v>
      </c>
      <c r="J1001" s="8" t="s">
        <v>17</v>
      </c>
      <c r="K1001" s="4" t="s">
        <v>53</v>
      </c>
      <c r="L1001" s="5">
        <v>1</v>
      </c>
      <c r="M1001" s="8" t="s">
        <v>32</v>
      </c>
      <c r="N1001" s="4" t="s">
        <v>53</v>
      </c>
      <c r="O1001" s="5">
        <v>1</v>
      </c>
      <c r="P1001" s="8"/>
      <c r="Q1001" s="4"/>
      <c r="R1001" s="5"/>
      <c r="W1001" s="67" t="s">
        <v>964</v>
      </c>
      <c r="X1001" s="68" t="s">
        <v>966</v>
      </c>
      <c r="Y1001" s="69">
        <v>62.85</v>
      </c>
      <c r="Z1001" t="str">
        <f>IF(AND(Tabla1[[#This Row],[nudo inicial]]=Tabla3[[#This Row],[n1]],Tabla1[[#This Row],[nudo final]]=Tabla3[[#This Row],[n2]],Tabla1[[#This Row],[longitud]]=Tabla3[[#This Row],[long]]),"si","no")</f>
        <v>si</v>
      </c>
    </row>
    <row r="1002" spans="2:26" ht="15.75" x14ac:dyDescent="0.25">
      <c r="B1002" t="s">
        <v>966</v>
      </c>
      <c r="C1002" t="s">
        <v>967</v>
      </c>
      <c r="D1002" s="19">
        <v>3.8</v>
      </c>
      <c r="E1002" s="3" t="s">
        <v>53</v>
      </c>
      <c r="F1002" s="3" t="s">
        <v>25</v>
      </c>
      <c r="G1002" s="8" t="s">
        <v>58</v>
      </c>
      <c r="H1002" s="4" t="s">
        <v>53</v>
      </c>
      <c r="I1002" s="5">
        <v>1</v>
      </c>
      <c r="J1002" s="8" t="s">
        <v>17</v>
      </c>
      <c r="K1002" s="4" t="s">
        <v>53</v>
      </c>
      <c r="L1002" s="5">
        <v>1</v>
      </c>
      <c r="M1002" s="8"/>
      <c r="N1002" s="4"/>
      <c r="O1002" s="5"/>
      <c r="P1002" s="8"/>
      <c r="Q1002" s="4"/>
      <c r="R1002" s="5"/>
      <c r="W1002" s="67" t="s">
        <v>966</v>
      </c>
      <c r="X1002" s="68" t="s">
        <v>967</v>
      </c>
      <c r="Y1002" s="69">
        <v>3.8</v>
      </c>
      <c r="Z1002" t="str">
        <f>IF(AND(Tabla1[[#This Row],[nudo inicial]]=Tabla3[[#This Row],[n1]],Tabla1[[#This Row],[nudo final]]=Tabla3[[#This Row],[n2]],Tabla1[[#This Row],[longitud]]=Tabla3[[#This Row],[long]]),"si","no")</f>
        <v>si</v>
      </c>
    </row>
    <row r="1003" spans="2:26" ht="15.75" x14ac:dyDescent="0.25">
      <c r="B1003" t="s">
        <v>966</v>
      </c>
      <c r="C1003" t="s">
        <v>968</v>
      </c>
      <c r="D1003" s="19">
        <v>31.75</v>
      </c>
      <c r="E1003" s="3" t="s">
        <v>53</v>
      </c>
      <c r="F1003" s="3" t="s">
        <v>25</v>
      </c>
      <c r="G1003" s="8" t="s">
        <v>58</v>
      </c>
      <c r="H1003" s="4" t="s">
        <v>53</v>
      </c>
      <c r="I1003" s="5">
        <v>1</v>
      </c>
      <c r="J1003" s="8"/>
      <c r="K1003" s="4"/>
      <c r="L1003" s="5"/>
      <c r="M1003" s="8"/>
      <c r="N1003" s="4"/>
      <c r="O1003" s="5"/>
      <c r="P1003" s="8"/>
      <c r="Q1003" s="4"/>
      <c r="R1003" s="5"/>
      <c r="W1003" s="67" t="s">
        <v>966</v>
      </c>
      <c r="X1003" s="68" t="s">
        <v>968</v>
      </c>
      <c r="Y1003" s="69">
        <v>31.75</v>
      </c>
      <c r="Z1003" t="str">
        <f>IF(AND(Tabla1[[#This Row],[nudo inicial]]=Tabla3[[#This Row],[n1]],Tabla1[[#This Row],[nudo final]]=Tabla3[[#This Row],[n2]],Tabla1[[#This Row],[longitud]]=Tabla3[[#This Row],[long]]),"si","no")</f>
        <v>si</v>
      </c>
    </row>
    <row r="1004" spans="2:26" ht="15.75" x14ac:dyDescent="0.25">
      <c r="B1004" t="s">
        <v>968</v>
      </c>
      <c r="C1004" t="s">
        <v>969</v>
      </c>
      <c r="D1004" s="19">
        <v>39.049999999999997</v>
      </c>
      <c r="E1004" s="3" t="s">
        <v>53</v>
      </c>
      <c r="F1004" s="3" t="s">
        <v>25</v>
      </c>
      <c r="G1004" s="8" t="s">
        <v>58</v>
      </c>
      <c r="H1004" s="4" t="s">
        <v>53</v>
      </c>
      <c r="I1004" s="5">
        <v>1</v>
      </c>
      <c r="J1004" s="8" t="s">
        <v>17</v>
      </c>
      <c r="K1004" s="4" t="s">
        <v>53</v>
      </c>
      <c r="L1004" s="5">
        <v>1</v>
      </c>
      <c r="M1004" s="8"/>
      <c r="N1004" s="4"/>
      <c r="O1004" s="5"/>
      <c r="P1004" s="8"/>
      <c r="Q1004" s="4"/>
      <c r="R1004" s="5"/>
      <c r="W1004" s="67" t="s">
        <v>968</v>
      </c>
      <c r="X1004" s="68" t="s">
        <v>969</v>
      </c>
      <c r="Y1004" s="69">
        <v>39.049999999999997</v>
      </c>
      <c r="Z1004" t="str">
        <f>IF(AND(Tabla1[[#This Row],[nudo inicial]]=Tabla3[[#This Row],[n1]],Tabla1[[#This Row],[nudo final]]=Tabla3[[#This Row],[n2]],Tabla1[[#This Row],[longitud]]=Tabla3[[#This Row],[long]]),"si","no")</f>
        <v>si</v>
      </c>
    </row>
    <row r="1005" spans="2:26" ht="15.75" x14ac:dyDescent="0.25">
      <c r="B1005" t="s">
        <v>968</v>
      </c>
      <c r="C1005" t="s">
        <v>970</v>
      </c>
      <c r="D1005" s="19">
        <v>178.58</v>
      </c>
      <c r="E1005" s="3" t="s">
        <v>53</v>
      </c>
      <c r="F1005" s="3" t="s">
        <v>25</v>
      </c>
      <c r="G1005" s="8" t="s">
        <v>57</v>
      </c>
      <c r="H1005" s="4" t="s">
        <v>53</v>
      </c>
      <c r="I1005" s="5">
        <v>1</v>
      </c>
      <c r="J1005" s="8" t="s">
        <v>16</v>
      </c>
      <c r="K1005" s="4" t="s">
        <v>53</v>
      </c>
      <c r="L1005" s="5">
        <v>1</v>
      </c>
      <c r="M1005" s="8" t="s">
        <v>17</v>
      </c>
      <c r="N1005" s="4" t="s">
        <v>53</v>
      </c>
      <c r="O1005" s="5">
        <v>1</v>
      </c>
      <c r="P1005" s="8"/>
      <c r="Q1005" s="4"/>
      <c r="R1005" s="5"/>
      <c r="W1005" s="67" t="s">
        <v>968</v>
      </c>
      <c r="X1005" s="68" t="s">
        <v>970</v>
      </c>
      <c r="Y1005" s="69">
        <v>178.58</v>
      </c>
      <c r="Z1005" t="str">
        <f>IF(AND(Tabla1[[#This Row],[nudo inicial]]=Tabla3[[#This Row],[n1]],Tabla1[[#This Row],[nudo final]]=Tabla3[[#This Row],[n2]],Tabla1[[#This Row],[longitud]]=Tabla3[[#This Row],[long]]),"si","no")</f>
        <v>si</v>
      </c>
    </row>
    <row r="1006" spans="2:26" ht="15.75" x14ac:dyDescent="0.25">
      <c r="B1006" t="s">
        <v>917</v>
      </c>
      <c r="C1006" t="s">
        <v>971</v>
      </c>
      <c r="D1006" s="19">
        <v>16.77</v>
      </c>
      <c r="E1006" s="3" t="s">
        <v>126</v>
      </c>
      <c r="F1006" s="3" t="s">
        <v>25</v>
      </c>
      <c r="G1006" s="8" t="s">
        <v>57</v>
      </c>
      <c r="H1006" s="4" t="s">
        <v>126</v>
      </c>
      <c r="I1006" s="5">
        <v>1</v>
      </c>
      <c r="J1006" s="8"/>
      <c r="K1006" s="4"/>
      <c r="L1006" s="5"/>
      <c r="M1006" s="8"/>
      <c r="N1006" s="4"/>
      <c r="O1006" s="5"/>
      <c r="P1006" s="8"/>
      <c r="Q1006" s="4"/>
      <c r="R1006" s="5"/>
      <c r="W1006" s="67" t="s">
        <v>917</v>
      </c>
      <c r="X1006" s="68" t="s">
        <v>971</v>
      </c>
      <c r="Y1006" s="69">
        <v>16.77</v>
      </c>
      <c r="Z1006" t="str">
        <f>IF(AND(Tabla1[[#This Row],[nudo inicial]]=Tabla3[[#This Row],[n1]],Tabla1[[#This Row],[nudo final]]=Tabla3[[#This Row],[n2]],Tabla1[[#This Row],[longitud]]=Tabla3[[#This Row],[long]]),"si","no")</f>
        <v>si</v>
      </c>
    </row>
    <row r="1007" spans="2:26" ht="15.75" x14ac:dyDescent="0.25">
      <c r="B1007" t="s">
        <v>971</v>
      </c>
      <c r="C1007" t="s">
        <v>972</v>
      </c>
      <c r="D1007" s="19">
        <v>62.5</v>
      </c>
      <c r="E1007" s="3" t="s">
        <v>53</v>
      </c>
      <c r="F1007" s="3" t="s">
        <v>25</v>
      </c>
      <c r="G1007" s="8" t="s">
        <v>58</v>
      </c>
      <c r="H1007" s="4" t="s">
        <v>126</v>
      </c>
      <c r="I1007" s="5">
        <v>1</v>
      </c>
      <c r="J1007" s="8" t="s">
        <v>15</v>
      </c>
      <c r="K1007" s="4" t="s">
        <v>53</v>
      </c>
      <c r="L1007" s="5">
        <v>1</v>
      </c>
      <c r="M1007" s="8" t="s">
        <v>32</v>
      </c>
      <c r="N1007" s="4" t="s">
        <v>53</v>
      </c>
      <c r="O1007" s="5">
        <v>1</v>
      </c>
      <c r="P1007" s="8" t="s">
        <v>17</v>
      </c>
      <c r="Q1007" s="4" t="s">
        <v>53</v>
      </c>
      <c r="R1007" s="5">
        <v>1</v>
      </c>
      <c r="W1007" s="67" t="s">
        <v>971</v>
      </c>
      <c r="X1007" s="68" t="s">
        <v>972</v>
      </c>
      <c r="Y1007" s="69">
        <v>62.5</v>
      </c>
      <c r="Z1007" t="str">
        <f>IF(AND(Tabla1[[#This Row],[nudo inicial]]=Tabla3[[#This Row],[n1]],Tabla1[[#This Row],[nudo final]]=Tabla3[[#This Row],[n2]],Tabla1[[#This Row],[longitud]]=Tabla3[[#This Row],[long]]),"si","no")</f>
        <v>si</v>
      </c>
    </row>
    <row r="1008" spans="2:26" ht="15.75" x14ac:dyDescent="0.25">
      <c r="B1008" t="s">
        <v>971</v>
      </c>
      <c r="C1008" t="s">
        <v>973</v>
      </c>
      <c r="D1008" s="19">
        <v>45.63</v>
      </c>
      <c r="E1008" s="3" t="s">
        <v>126</v>
      </c>
      <c r="F1008" s="3" t="s">
        <v>25</v>
      </c>
      <c r="G1008" s="8" t="s">
        <v>57</v>
      </c>
      <c r="H1008" s="4" t="s">
        <v>126</v>
      </c>
      <c r="I1008" s="5">
        <v>1</v>
      </c>
      <c r="J1008" s="8"/>
      <c r="K1008" s="4"/>
      <c r="L1008" s="5"/>
      <c r="M1008" s="8"/>
      <c r="N1008" s="4"/>
      <c r="O1008" s="5"/>
      <c r="P1008" s="8"/>
      <c r="Q1008" s="4"/>
      <c r="R1008" s="5"/>
      <c r="W1008" s="67" t="s">
        <v>971</v>
      </c>
      <c r="X1008" s="68" t="s">
        <v>973</v>
      </c>
      <c r="Y1008" s="69">
        <v>45.63</v>
      </c>
      <c r="Z1008" t="str">
        <f>IF(AND(Tabla1[[#This Row],[nudo inicial]]=Tabla3[[#This Row],[n1]],Tabla1[[#This Row],[nudo final]]=Tabla3[[#This Row],[n2]],Tabla1[[#This Row],[longitud]]=Tabla3[[#This Row],[long]]),"si","no")</f>
        <v>si</v>
      </c>
    </row>
    <row r="1009" spans="1:26" ht="15.75" x14ac:dyDescent="0.25">
      <c r="B1009" t="s">
        <v>973</v>
      </c>
      <c r="C1009" t="s">
        <v>974</v>
      </c>
      <c r="D1009" s="19">
        <v>41.43</v>
      </c>
      <c r="E1009" s="3" t="s">
        <v>53</v>
      </c>
      <c r="F1009" s="3" t="s">
        <v>25</v>
      </c>
      <c r="G1009" s="8" t="s">
        <v>58</v>
      </c>
      <c r="H1009" s="4" t="s">
        <v>126</v>
      </c>
      <c r="I1009" s="5">
        <v>1</v>
      </c>
      <c r="J1009" s="8" t="s">
        <v>15</v>
      </c>
      <c r="K1009" s="4" t="s">
        <v>53</v>
      </c>
      <c r="L1009" s="5">
        <v>1</v>
      </c>
      <c r="M1009" s="8" t="s">
        <v>32</v>
      </c>
      <c r="N1009" s="4" t="s">
        <v>53</v>
      </c>
      <c r="O1009" s="5">
        <v>1</v>
      </c>
      <c r="P1009" s="8" t="s">
        <v>17</v>
      </c>
      <c r="Q1009" s="4" t="s">
        <v>53</v>
      </c>
      <c r="R1009" s="5">
        <v>1</v>
      </c>
      <c r="W1009" s="67" t="s">
        <v>973</v>
      </c>
      <c r="X1009" s="68" t="s">
        <v>974</v>
      </c>
      <c r="Y1009" s="69">
        <v>41.43</v>
      </c>
      <c r="Z1009" t="str">
        <f>IF(AND(Tabla1[[#This Row],[nudo inicial]]=Tabla3[[#This Row],[n1]],Tabla1[[#This Row],[nudo final]]=Tabla3[[#This Row],[n2]],Tabla1[[#This Row],[longitud]]=Tabla3[[#This Row],[long]]),"si","no")</f>
        <v>si</v>
      </c>
    </row>
    <row r="1010" spans="1:26" ht="15.75" x14ac:dyDescent="0.25">
      <c r="B1010" t="s">
        <v>973</v>
      </c>
      <c r="C1010" t="s">
        <v>975</v>
      </c>
      <c r="D1010" s="19">
        <v>39.090000000000003</v>
      </c>
      <c r="E1010" s="3" t="s">
        <v>126</v>
      </c>
      <c r="F1010" s="3" t="s">
        <v>25</v>
      </c>
      <c r="G1010" s="8" t="s">
        <v>57</v>
      </c>
      <c r="H1010" s="4" t="s">
        <v>126</v>
      </c>
      <c r="I1010" s="5">
        <v>1</v>
      </c>
      <c r="J1010" s="8"/>
      <c r="K1010" s="4"/>
      <c r="L1010" s="5"/>
      <c r="M1010" s="8"/>
      <c r="N1010" s="4"/>
      <c r="O1010" s="5"/>
      <c r="P1010" s="8"/>
      <c r="Q1010" s="4"/>
      <c r="R1010" s="5"/>
      <c r="W1010" s="67" t="s">
        <v>973</v>
      </c>
      <c r="X1010" s="68" t="s">
        <v>975</v>
      </c>
      <c r="Y1010" s="69">
        <v>39.090000000000003</v>
      </c>
      <c r="Z1010" t="str">
        <f>IF(AND(Tabla1[[#This Row],[nudo inicial]]=Tabla3[[#This Row],[n1]],Tabla1[[#This Row],[nudo final]]=Tabla3[[#This Row],[n2]],Tabla1[[#This Row],[longitud]]=Tabla3[[#This Row],[long]]),"si","no")</f>
        <v>si</v>
      </c>
    </row>
    <row r="1011" spans="1:26" ht="15.75" x14ac:dyDescent="0.25">
      <c r="B1011" t="s">
        <v>975</v>
      </c>
      <c r="C1011" t="s">
        <v>976</v>
      </c>
      <c r="D1011" s="19">
        <v>27.27</v>
      </c>
      <c r="E1011" s="3" t="s">
        <v>53</v>
      </c>
      <c r="F1011" s="3" t="s">
        <v>25</v>
      </c>
      <c r="G1011" s="8" t="s">
        <v>58</v>
      </c>
      <c r="H1011" s="4" t="s">
        <v>126</v>
      </c>
      <c r="I1011" s="5">
        <v>1</v>
      </c>
      <c r="J1011" s="8" t="s">
        <v>15</v>
      </c>
      <c r="K1011" s="4" t="s">
        <v>53</v>
      </c>
      <c r="L1011" s="5">
        <v>1</v>
      </c>
      <c r="M1011" s="8" t="s">
        <v>32</v>
      </c>
      <c r="N1011" s="4" t="s">
        <v>53</v>
      </c>
      <c r="O1011" s="5">
        <v>1</v>
      </c>
      <c r="P1011" s="8" t="s">
        <v>17</v>
      </c>
      <c r="Q1011" s="4" t="s">
        <v>53</v>
      </c>
      <c r="R1011" s="5">
        <v>1</v>
      </c>
      <c r="W1011" s="67" t="s">
        <v>975</v>
      </c>
      <c r="X1011" s="68" t="s">
        <v>976</v>
      </c>
      <c r="Y1011" s="69">
        <v>27.27</v>
      </c>
      <c r="Z1011" t="str">
        <f>IF(AND(Tabla1[[#This Row],[nudo inicial]]=Tabla3[[#This Row],[n1]],Tabla1[[#This Row],[nudo final]]=Tabla3[[#This Row],[n2]],Tabla1[[#This Row],[longitud]]=Tabla3[[#This Row],[long]]),"si","no")</f>
        <v>si</v>
      </c>
    </row>
    <row r="1012" spans="1:26" ht="15.75" x14ac:dyDescent="0.25">
      <c r="B1012" t="s">
        <v>975</v>
      </c>
      <c r="C1012" t="s">
        <v>977</v>
      </c>
      <c r="D1012" s="19">
        <v>52.56</v>
      </c>
      <c r="E1012" s="3" t="s">
        <v>126</v>
      </c>
      <c r="F1012" s="3" t="s">
        <v>25</v>
      </c>
      <c r="G1012" s="8" t="s">
        <v>57</v>
      </c>
      <c r="H1012" s="4" t="s">
        <v>126</v>
      </c>
      <c r="I1012" s="5">
        <v>1</v>
      </c>
      <c r="J1012" s="8"/>
      <c r="K1012" s="4"/>
      <c r="L1012" s="5"/>
      <c r="M1012" s="8"/>
      <c r="N1012" s="4"/>
      <c r="O1012" s="5"/>
      <c r="P1012" s="8"/>
      <c r="Q1012" s="4"/>
      <c r="R1012" s="5"/>
      <c r="W1012" s="67" t="s">
        <v>975</v>
      </c>
      <c r="X1012" s="68" t="s">
        <v>977</v>
      </c>
      <c r="Y1012" s="69">
        <v>52.56</v>
      </c>
      <c r="Z1012" t="str">
        <f>IF(AND(Tabla1[[#This Row],[nudo inicial]]=Tabla3[[#This Row],[n1]],Tabla1[[#This Row],[nudo final]]=Tabla3[[#This Row],[n2]],Tabla1[[#This Row],[longitud]]=Tabla3[[#This Row],[long]]),"si","no")</f>
        <v>si</v>
      </c>
    </row>
    <row r="1013" spans="1:26" ht="15.75" x14ac:dyDescent="0.25">
      <c r="B1013" t="s">
        <v>977</v>
      </c>
      <c r="C1013" t="s">
        <v>978</v>
      </c>
      <c r="D1013" s="19">
        <v>10.88</v>
      </c>
      <c r="E1013" s="3" t="s">
        <v>126</v>
      </c>
      <c r="F1013" s="3" t="s">
        <v>26</v>
      </c>
      <c r="G1013" s="8" t="s">
        <v>58</v>
      </c>
      <c r="H1013" s="4" t="s">
        <v>126</v>
      </c>
      <c r="I1013" s="5">
        <v>1</v>
      </c>
      <c r="J1013" s="8" t="s">
        <v>32</v>
      </c>
      <c r="K1013" s="4" t="s">
        <v>126</v>
      </c>
      <c r="L1013" s="5">
        <v>1</v>
      </c>
      <c r="M1013" s="8"/>
      <c r="N1013" s="4"/>
      <c r="O1013" s="5"/>
      <c r="P1013" s="8"/>
      <c r="Q1013" s="4"/>
      <c r="R1013" s="5"/>
      <c r="W1013" s="67" t="s">
        <v>977</v>
      </c>
      <c r="X1013" s="68" t="s">
        <v>978</v>
      </c>
      <c r="Y1013" s="69">
        <v>10.88</v>
      </c>
      <c r="Z1013" t="str">
        <f>IF(AND(Tabla1[[#This Row],[nudo inicial]]=Tabla3[[#This Row],[n1]],Tabla1[[#This Row],[nudo final]]=Tabla3[[#This Row],[n2]],Tabla1[[#This Row],[longitud]]=Tabla3[[#This Row],[long]]),"si","no")</f>
        <v>si</v>
      </c>
    </row>
    <row r="1014" spans="1:26" ht="15.75" x14ac:dyDescent="0.25">
      <c r="B1014" t="s">
        <v>978</v>
      </c>
      <c r="C1014" t="s">
        <v>979</v>
      </c>
      <c r="D1014" s="19">
        <v>27.76</v>
      </c>
      <c r="E1014" s="3" t="s">
        <v>126</v>
      </c>
      <c r="F1014" s="3" t="s">
        <v>25</v>
      </c>
      <c r="G1014" s="8"/>
      <c r="H1014" s="4"/>
      <c r="I1014" s="5"/>
      <c r="J1014" s="8"/>
      <c r="K1014" s="4"/>
      <c r="L1014" s="5"/>
      <c r="M1014" s="8"/>
      <c r="N1014" s="4"/>
      <c r="O1014" s="5"/>
      <c r="P1014" s="8"/>
      <c r="Q1014" s="4"/>
      <c r="R1014" s="5"/>
      <c r="W1014" s="67" t="s">
        <v>978</v>
      </c>
      <c r="X1014" s="68" t="s">
        <v>979</v>
      </c>
      <c r="Y1014" s="69">
        <v>27.76</v>
      </c>
      <c r="Z1014" t="str">
        <f>IF(AND(Tabla1[[#This Row],[nudo inicial]]=Tabla3[[#This Row],[n1]],Tabla1[[#This Row],[nudo final]]=Tabla3[[#This Row],[n2]],Tabla1[[#This Row],[longitud]]=Tabla3[[#This Row],[long]]),"si","no")</f>
        <v>si</v>
      </c>
    </row>
    <row r="1015" spans="1:26" ht="15.75" x14ac:dyDescent="0.25">
      <c r="B1015" t="s">
        <v>979</v>
      </c>
      <c r="C1015" t="s">
        <v>980</v>
      </c>
      <c r="D1015" s="19">
        <v>65.819999999999993</v>
      </c>
      <c r="E1015" s="3" t="s">
        <v>56</v>
      </c>
      <c r="F1015" s="3" t="s">
        <v>25</v>
      </c>
      <c r="G1015" s="8" t="s">
        <v>58</v>
      </c>
      <c r="H1015" s="4" t="s">
        <v>126</v>
      </c>
      <c r="I1015" s="5">
        <v>1</v>
      </c>
      <c r="J1015" s="8" t="s">
        <v>15</v>
      </c>
      <c r="K1015" s="4" t="s">
        <v>56</v>
      </c>
      <c r="L1015" s="5">
        <v>1</v>
      </c>
      <c r="M1015" s="8" t="s">
        <v>17</v>
      </c>
      <c r="N1015" s="4" t="s">
        <v>56</v>
      </c>
      <c r="O1015" s="5">
        <v>1</v>
      </c>
      <c r="P1015" s="8"/>
      <c r="Q1015" s="4"/>
      <c r="R1015" s="5"/>
      <c r="W1015" s="67" t="s">
        <v>979</v>
      </c>
      <c r="X1015" s="68" t="s">
        <v>980</v>
      </c>
      <c r="Y1015" s="69">
        <v>65.819999999999993</v>
      </c>
      <c r="Z1015" t="str">
        <f>IF(AND(Tabla1[[#This Row],[nudo inicial]]=Tabla3[[#This Row],[n1]],Tabla1[[#This Row],[nudo final]]=Tabla3[[#This Row],[n2]],Tabla1[[#This Row],[longitud]]=Tabla3[[#This Row],[long]]),"si","no")</f>
        <v>si</v>
      </c>
    </row>
    <row r="1016" spans="1:26" ht="15.75" x14ac:dyDescent="0.25">
      <c r="B1016" t="s">
        <v>979</v>
      </c>
      <c r="C1016" t="s">
        <v>981</v>
      </c>
      <c r="D1016" s="19">
        <v>8.34</v>
      </c>
      <c r="E1016" s="3" t="s">
        <v>126</v>
      </c>
      <c r="F1016" s="3" t="s">
        <v>25</v>
      </c>
      <c r="G1016" s="8" t="s">
        <v>57</v>
      </c>
      <c r="H1016" s="4" t="s">
        <v>126</v>
      </c>
      <c r="I1016" s="5">
        <v>1</v>
      </c>
      <c r="J1016" s="8" t="s">
        <v>17</v>
      </c>
      <c r="K1016" s="4" t="s">
        <v>126</v>
      </c>
      <c r="L1016" s="5">
        <v>1</v>
      </c>
      <c r="M1016" s="8"/>
      <c r="N1016" s="4"/>
      <c r="O1016" s="5"/>
      <c r="P1016" s="8"/>
      <c r="Q1016" s="4"/>
      <c r="R1016" s="5"/>
      <c r="W1016" s="67" t="s">
        <v>979</v>
      </c>
      <c r="X1016" s="68" t="s">
        <v>981</v>
      </c>
      <c r="Y1016" s="69">
        <v>8.34</v>
      </c>
      <c r="Z1016" t="str">
        <f>IF(AND(Tabla1[[#This Row],[nudo inicial]]=Tabla3[[#This Row],[n1]],Tabla1[[#This Row],[nudo final]]=Tabla3[[#This Row],[n2]],Tabla1[[#This Row],[longitud]]=Tabla3[[#This Row],[long]]),"si","no")</f>
        <v>si</v>
      </c>
    </row>
    <row r="1017" spans="1:26" ht="15.75" x14ac:dyDescent="0.25">
      <c r="B1017" t="s">
        <v>977</v>
      </c>
      <c r="C1017" t="s">
        <v>982</v>
      </c>
      <c r="D1017" s="19">
        <v>13.2</v>
      </c>
      <c r="E1017" s="3" t="s">
        <v>126</v>
      </c>
      <c r="F1017" s="3" t="s">
        <v>25</v>
      </c>
      <c r="G1017" s="8" t="s">
        <v>57</v>
      </c>
      <c r="H1017" s="4" t="s">
        <v>126</v>
      </c>
      <c r="I1017" s="5">
        <v>1</v>
      </c>
      <c r="J1017" s="8"/>
      <c r="K1017" s="4"/>
      <c r="L1017" s="5"/>
      <c r="M1017" s="8"/>
      <c r="N1017" s="4"/>
      <c r="O1017" s="5"/>
      <c r="P1017" s="8"/>
      <c r="Q1017" s="4"/>
      <c r="R1017" s="5"/>
      <c r="W1017" s="67" t="s">
        <v>977</v>
      </c>
      <c r="X1017" s="68" t="s">
        <v>982</v>
      </c>
      <c r="Y1017" s="69">
        <v>13.2</v>
      </c>
      <c r="Z1017" t="str">
        <f>IF(AND(Tabla1[[#This Row],[nudo inicial]]=Tabla3[[#This Row],[n1]],Tabla1[[#This Row],[nudo final]]=Tabla3[[#This Row],[n2]],Tabla1[[#This Row],[longitud]]=Tabla3[[#This Row],[long]]),"si","no")</f>
        <v>si</v>
      </c>
    </row>
    <row r="1018" spans="1:26" ht="15.75" x14ac:dyDescent="0.25">
      <c r="B1018" t="s">
        <v>982</v>
      </c>
      <c r="C1018" t="s">
        <v>983</v>
      </c>
      <c r="D1018" s="19">
        <v>67.66</v>
      </c>
      <c r="E1018" s="3" t="s">
        <v>23</v>
      </c>
      <c r="F1018" s="3" t="s">
        <v>25</v>
      </c>
      <c r="G1018" s="8" t="s">
        <v>58</v>
      </c>
      <c r="H1018" s="4" t="s">
        <v>126</v>
      </c>
      <c r="I1018" s="5">
        <v>1</v>
      </c>
      <c r="J1018" s="8" t="s">
        <v>15</v>
      </c>
      <c r="K1018" s="4" t="s">
        <v>23</v>
      </c>
      <c r="L1018" s="5">
        <v>1</v>
      </c>
      <c r="M1018" s="8" t="s">
        <v>32</v>
      </c>
      <c r="N1018" s="4" t="s">
        <v>23</v>
      </c>
      <c r="O1018" s="5">
        <v>1</v>
      </c>
      <c r="P1018" s="8"/>
      <c r="Q1018" s="4"/>
      <c r="R1018" s="5"/>
      <c r="W1018" s="67" t="s">
        <v>982</v>
      </c>
      <c r="X1018" s="68" t="s">
        <v>983</v>
      </c>
      <c r="Y1018" s="69">
        <v>67.66</v>
      </c>
      <c r="Z1018" t="str">
        <f>IF(AND(Tabla1[[#This Row],[nudo inicial]]=Tabla3[[#This Row],[n1]],Tabla1[[#This Row],[nudo final]]=Tabla3[[#This Row],[n2]],Tabla1[[#This Row],[longitud]]=Tabla3[[#This Row],[long]]),"si","no")</f>
        <v>si</v>
      </c>
    </row>
    <row r="1019" spans="1:26" ht="15.75" x14ac:dyDescent="0.25">
      <c r="B1019" t="s">
        <v>983</v>
      </c>
      <c r="C1019" t="s">
        <v>984</v>
      </c>
      <c r="D1019" s="19">
        <v>146.61000000000001</v>
      </c>
      <c r="E1019" s="3" t="s">
        <v>23</v>
      </c>
      <c r="F1019" s="3" t="s">
        <v>25</v>
      </c>
      <c r="G1019" s="8" t="s">
        <v>58</v>
      </c>
      <c r="H1019" s="4" t="s">
        <v>23</v>
      </c>
      <c r="I1019" s="5">
        <v>1</v>
      </c>
      <c r="J1019" s="8" t="s">
        <v>16</v>
      </c>
      <c r="K1019" s="4" t="s">
        <v>23</v>
      </c>
      <c r="L1019" s="5">
        <v>1</v>
      </c>
      <c r="M1019" s="8"/>
      <c r="N1019" s="4"/>
      <c r="O1019" s="5"/>
      <c r="P1019" s="8"/>
      <c r="Q1019" s="4"/>
      <c r="R1019" s="5"/>
      <c r="W1019" s="67" t="s">
        <v>983</v>
      </c>
      <c r="X1019" s="68" t="s">
        <v>984</v>
      </c>
      <c r="Y1019" s="69">
        <v>146.61000000000001</v>
      </c>
      <c r="Z1019" t="str">
        <f>IF(AND(Tabla1[[#This Row],[nudo inicial]]=Tabla3[[#This Row],[n1]],Tabla1[[#This Row],[nudo final]]=Tabla3[[#This Row],[n2]],Tabla1[[#This Row],[longitud]]=Tabla3[[#This Row],[long]]),"si","no")</f>
        <v>si</v>
      </c>
    </row>
    <row r="1020" spans="1:26" ht="15.75" x14ac:dyDescent="0.25">
      <c r="B1020" t="s">
        <v>983</v>
      </c>
      <c r="C1020" t="s">
        <v>985</v>
      </c>
      <c r="D1020" s="19">
        <v>78.989999999999995</v>
      </c>
      <c r="E1020" s="3" t="s">
        <v>23</v>
      </c>
      <c r="F1020" s="3" t="s">
        <v>25</v>
      </c>
      <c r="G1020" s="8" t="s">
        <v>58</v>
      </c>
      <c r="H1020" s="4" t="s">
        <v>23</v>
      </c>
      <c r="I1020" s="5">
        <v>1</v>
      </c>
      <c r="J1020" s="8"/>
      <c r="K1020" s="4"/>
      <c r="L1020" s="5"/>
      <c r="M1020" s="8"/>
      <c r="N1020" s="4"/>
      <c r="O1020" s="5"/>
      <c r="P1020" s="8"/>
      <c r="Q1020" s="4"/>
      <c r="R1020" s="5"/>
      <c r="W1020" s="67" t="s">
        <v>983</v>
      </c>
      <c r="X1020" s="68" t="s">
        <v>985</v>
      </c>
      <c r="Y1020" s="69">
        <v>78.989999999999995</v>
      </c>
      <c r="Z1020" t="str">
        <f>IF(AND(Tabla1[[#This Row],[nudo inicial]]=Tabla3[[#This Row],[n1]],Tabla1[[#This Row],[nudo final]]=Tabla3[[#This Row],[n2]],Tabla1[[#This Row],[longitud]]=Tabla3[[#This Row],[long]]),"si","no")</f>
        <v>si</v>
      </c>
    </row>
    <row r="1021" spans="1:26" ht="15.75" x14ac:dyDescent="0.25">
      <c r="B1021" t="s">
        <v>984</v>
      </c>
      <c r="C1021" t="s">
        <v>985</v>
      </c>
      <c r="D1021" s="19">
        <v>103.63</v>
      </c>
      <c r="E1021" s="3" t="s">
        <v>23</v>
      </c>
      <c r="F1021" s="3" t="s">
        <v>25</v>
      </c>
      <c r="G1021" s="8" t="s">
        <v>58</v>
      </c>
      <c r="H1021" s="4" t="s">
        <v>23</v>
      </c>
      <c r="I1021" s="5">
        <v>1</v>
      </c>
      <c r="J1021" s="8"/>
      <c r="K1021" s="4"/>
      <c r="L1021" s="5"/>
      <c r="M1021" s="8"/>
      <c r="N1021" s="4"/>
      <c r="O1021" s="5"/>
      <c r="P1021" s="8"/>
      <c r="Q1021" s="4"/>
      <c r="R1021" s="5"/>
      <c r="W1021" s="67" t="s">
        <v>984</v>
      </c>
      <c r="X1021" s="68" t="s">
        <v>985</v>
      </c>
      <c r="Y1021" s="69">
        <v>103.63</v>
      </c>
      <c r="Z1021" t="str">
        <f>IF(AND(Tabla1[[#This Row],[nudo inicial]]=Tabla3[[#This Row],[n1]],Tabla1[[#This Row],[nudo final]]=Tabla3[[#This Row],[n2]],Tabla1[[#This Row],[longitud]]=Tabla3[[#This Row],[long]]),"si","no")</f>
        <v>si</v>
      </c>
    </row>
    <row r="1022" spans="1:26" ht="15.75" x14ac:dyDescent="0.25">
      <c r="B1022" t="s">
        <v>985</v>
      </c>
      <c r="C1022" t="s">
        <v>986</v>
      </c>
      <c r="D1022" s="19">
        <v>7.32</v>
      </c>
      <c r="E1022" s="3" t="s">
        <v>23</v>
      </c>
      <c r="F1022" s="3" t="s">
        <v>25</v>
      </c>
      <c r="G1022" s="8" t="s">
        <v>58</v>
      </c>
      <c r="H1022" s="4" t="s">
        <v>23</v>
      </c>
      <c r="I1022" s="5">
        <v>1</v>
      </c>
      <c r="J1022" s="8"/>
      <c r="K1022" s="4"/>
      <c r="L1022" s="5"/>
      <c r="M1022" s="8"/>
      <c r="N1022" s="4"/>
      <c r="O1022" s="5"/>
      <c r="P1022" s="8"/>
      <c r="Q1022" s="4"/>
      <c r="R1022" s="5"/>
      <c r="W1022" s="67" t="s">
        <v>985</v>
      </c>
      <c r="X1022" s="68" t="s">
        <v>986</v>
      </c>
      <c r="Y1022" s="69">
        <v>7.32</v>
      </c>
      <c r="Z1022" t="str">
        <f>IF(AND(Tabla1[[#This Row],[nudo inicial]]=Tabla3[[#This Row],[n1]],Tabla1[[#This Row],[nudo final]]=Tabla3[[#This Row],[n2]],Tabla1[[#This Row],[longitud]]=Tabla3[[#This Row],[long]]),"si","no")</f>
        <v>si</v>
      </c>
    </row>
    <row r="1023" spans="1:26" ht="15.75" x14ac:dyDescent="0.25">
      <c r="A1023" s="14"/>
      <c r="B1023" t="s">
        <v>986</v>
      </c>
      <c r="C1023" t="s">
        <v>987</v>
      </c>
      <c r="D1023" s="19">
        <v>48.2</v>
      </c>
      <c r="E1023" s="3" t="s">
        <v>23</v>
      </c>
      <c r="F1023" s="3" t="s">
        <v>25</v>
      </c>
      <c r="G1023" s="8" t="s">
        <v>57</v>
      </c>
      <c r="H1023" s="4" t="s">
        <v>23</v>
      </c>
      <c r="I1023" s="5">
        <v>1</v>
      </c>
      <c r="J1023" s="8" t="s">
        <v>17</v>
      </c>
      <c r="K1023" s="4" t="s">
        <v>23</v>
      </c>
      <c r="L1023" s="5">
        <v>1</v>
      </c>
      <c r="M1023" s="8"/>
      <c r="N1023" s="4"/>
      <c r="O1023" s="5"/>
      <c r="P1023" s="8"/>
      <c r="Q1023" s="4"/>
      <c r="R1023" s="5"/>
      <c r="W1023" s="67" t="s">
        <v>986</v>
      </c>
      <c r="X1023" s="68" t="s">
        <v>987</v>
      </c>
      <c r="Y1023" s="69">
        <v>48.2</v>
      </c>
      <c r="Z1023" t="str">
        <f>IF(AND(Tabla1[[#This Row],[nudo inicial]]=Tabla3[[#This Row],[n1]],Tabla1[[#This Row],[nudo final]]=Tabla3[[#This Row],[n2]],Tabla1[[#This Row],[longitud]]=Tabla3[[#This Row],[long]]),"si","no")</f>
        <v>si</v>
      </c>
    </row>
    <row r="1024" spans="1:26" ht="15.75" x14ac:dyDescent="0.25">
      <c r="B1024" t="s">
        <v>986</v>
      </c>
      <c r="C1024" t="s">
        <v>988</v>
      </c>
      <c r="D1024" s="19">
        <v>63.29</v>
      </c>
      <c r="E1024" s="3" t="s">
        <v>23</v>
      </c>
      <c r="F1024" s="3" t="s">
        <v>25</v>
      </c>
      <c r="G1024" s="8" t="s">
        <v>58</v>
      </c>
      <c r="H1024" s="4" t="s">
        <v>23</v>
      </c>
      <c r="I1024" s="5">
        <v>1</v>
      </c>
      <c r="J1024" s="8"/>
      <c r="K1024" s="4"/>
      <c r="L1024" s="5"/>
      <c r="M1024" s="8"/>
      <c r="N1024" s="4"/>
      <c r="O1024" s="5"/>
      <c r="P1024" s="8"/>
      <c r="Q1024" s="4"/>
      <c r="R1024" s="5"/>
      <c r="W1024" s="67" t="s">
        <v>986</v>
      </c>
      <c r="X1024" s="68" t="s">
        <v>988</v>
      </c>
      <c r="Y1024" s="69">
        <v>63.29</v>
      </c>
      <c r="Z1024" t="str">
        <f>IF(AND(Tabla1[[#This Row],[nudo inicial]]=Tabla3[[#This Row],[n1]],Tabla1[[#This Row],[nudo final]]=Tabla3[[#This Row],[n2]],Tabla1[[#This Row],[longitud]]=Tabla3[[#This Row],[long]]),"si","no")</f>
        <v>si</v>
      </c>
    </row>
    <row r="1025" spans="2:26" ht="15.75" x14ac:dyDescent="0.25">
      <c r="B1025" s="14" t="s">
        <v>988</v>
      </c>
      <c r="C1025" s="14" t="s">
        <v>989</v>
      </c>
      <c r="D1025" s="20">
        <v>53.85</v>
      </c>
      <c r="E1025" s="15" t="s">
        <v>23</v>
      </c>
      <c r="F1025" s="15" t="s">
        <v>25</v>
      </c>
      <c r="G1025" s="16" t="s">
        <v>58</v>
      </c>
      <c r="H1025" s="17" t="s">
        <v>23</v>
      </c>
      <c r="I1025" s="18">
        <v>1</v>
      </c>
      <c r="J1025" s="16"/>
      <c r="K1025" s="17"/>
      <c r="L1025" s="18"/>
      <c r="M1025" s="16"/>
      <c r="N1025" s="17"/>
      <c r="O1025" s="18"/>
      <c r="P1025" s="16"/>
      <c r="Q1025" s="17"/>
      <c r="R1025" s="18"/>
      <c r="S1025" s="14"/>
      <c r="T1025" s="14"/>
      <c r="U1025" s="14"/>
      <c r="W1025" s="67" t="s">
        <v>988</v>
      </c>
      <c r="X1025" s="68" t="s">
        <v>989</v>
      </c>
      <c r="Y1025" s="69">
        <v>53.85</v>
      </c>
      <c r="Z1025" t="str">
        <f>IF(AND(Tabla1[[#This Row],[nudo inicial]]=Tabla3[[#This Row],[n1]],Tabla1[[#This Row],[nudo final]]=Tabla3[[#This Row],[n2]],Tabla1[[#This Row],[longitud]]=Tabla3[[#This Row],[long]]),"si","no")</f>
        <v>si</v>
      </c>
    </row>
    <row r="1026" spans="2:26" ht="15.75" x14ac:dyDescent="0.25">
      <c r="B1026" t="s">
        <v>989</v>
      </c>
      <c r="C1026" t="s">
        <v>990</v>
      </c>
      <c r="D1026" s="19">
        <v>46.27</v>
      </c>
      <c r="E1026" s="3" t="s">
        <v>23</v>
      </c>
      <c r="F1026" s="3" t="s">
        <v>25</v>
      </c>
      <c r="G1026" s="8" t="s">
        <v>57</v>
      </c>
      <c r="H1026" s="4" t="s">
        <v>23</v>
      </c>
      <c r="I1026" s="5">
        <v>1</v>
      </c>
      <c r="J1026" s="8" t="s">
        <v>17</v>
      </c>
      <c r="K1026" s="4" t="s">
        <v>23</v>
      </c>
      <c r="L1026" s="5">
        <v>1</v>
      </c>
      <c r="M1026" s="8"/>
      <c r="N1026" s="4"/>
      <c r="O1026" s="5"/>
      <c r="P1026" s="8"/>
      <c r="Q1026" s="4"/>
      <c r="R1026" s="5"/>
      <c r="W1026" s="67" t="s">
        <v>989</v>
      </c>
      <c r="X1026" s="68" t="s">
        <v>990</v>
      </c>
      <c r="Y1026" s="69">
        <v>46.27</v>
      </c>
      <c r="Z1026" t="str">
        <f>IF(AND(Tabla1[[#This Row],[nudo inicial]]=Tabla3[[#This Row],[n1]],Tabla1[[#This Row],[nudo final]]=Tabla3[[#This Row],[n2]],Tabla1[[#This Row],[longitud]]=Tabla3[[#This Row],[long]]),"si","no")</f>
        <v>si</v>
      </c>
    </row>
    <row r="1027" spans="2:26" ht="15.75" x14ac:dyDescent="0.25">
      <c r="B1027" t="s">
        <v>989</v>
      </c>
      <c r="C1027" t="s">
        <v>991</v>
      </c>
      <c r="D1027" s="19">
        <v>95.93</v>
      </c>
      <c r="E1027" s="3" t="s">
        <v>23</v>
      </c>
      <c r="F1027" s="3" t="s">
        <v>25</v>
      </c>
      <c r="G1027" s="8" t="s">
        <v>58</v>
      </c>
      <c r="H1027" s="4" t="s">
        <v>23</v>
      </c>
      <c r="I1027" s="5">
        <v>1</v>
      </c>
      <c r="J1027" s="8"/>
      <c r="K1027" s="4"/>
      <c r="L1027" s="5"/>
      <c r="M1027" s="8"/>
      <c r="N1027" s="4"/>
      <c r="O1027" s="5"/>
      <c r="P1027" s="8"/>
      <c r="Q1027" s="4"/>
      <c r="R1027" s="5"/>
      <c r="W1027" s="67" t="s">
        <v>989</v>
      </c>
      <c r="X1027" s="68" t="s">
        <v>991</v>
      </c>
      <c r="Y1027" s="69">
        <v>95.93</v>
      </c>
      <c r="Z1027" t="str">
        <f>IF(AND(Tabla1[[#This Row],[nudo inicial]]=Tabla3[[#This Row],[n1]],Tabla1[[#This Row],[nudo final]]=Tabla3[[#This Row],[n2]],Tabla1[[#This Row],[longitud]]=Tabla3[[#This Row],[long]]),"si","no")</f>
        <v>si</v>
      </c>
    </row>
    <row r="1028" spans="2:26" ht="15.75" x14ac:dyDescent="0.25">
      <c r="B1028" t="s">
        <v>988</v>
      </c>
      <c r="C1028" t="s">
        <v>992</v>
      </c>
      <c r="D1028" s="19">
        <v>154.6</v>
      </c>
      <c r="E1028" s="3" t="s">
        <v>23</v>
      </c>
      <c r="F1028" s="3" t="s">
        <v>25</v>
      </c>
      <c r="G1028" s="8" t="s">
        <v>58</v>
      </c>
      <c r="H1028" s="4" t="s">
        <v>23</v>
      </c>
      <c r="I1028" s="5">
        <v>1</v>
      </c>
      <c r="J1028" s="8" t="s">
        <v>16</v>
      </c>
      <c r="K1028" s="4" t="s">
        <v>23</v>
      </c>
      <c r="L1028" s="5">
        <v>1</v>
      </c>
      <c r="M1028" s="8"/>
      <c r="N1028" s="4"/>
      <c r="O1028" s="5"/>
      <c r="P1028" s="8"/>
      <c r="Q1028" s="4"/>
      <c r="R1028" s="5"/>
      <c r="W1028" s="67" t="s">
        <v>988</v>
      </c>
      <c r="X1028" s="68" t="s">
        <v>992</v>
      </c>
      <c r="Y1028" s="69">
        <v>154.6</v>
      </c>
      <c r="Z1028" t="str">
        <f>IF(AND(Tabla1[[#This Row],[nudo inicial]]=Tabla3[[#This Row],[n1]],Tabla1[[#This Row],[nudo final]]=Tabla3[[#This Row],[n2]],Tabla1[[#This Row],[longitud]]=Tabla3[[#This Row],[long]]),"si","no")</f>
        <v>si</v>
      </c>
    </row>
    <row r="1029" spans="2:26" ht="15.75" x14ac:dyDescent="0.25">
      <c r="B1029" t="s">
        <v>992</v>
      </c>
      <c r="C1029" t="s">
        <v>993</v>
      </c>
      <c r="D1029" s="19">
        <v>27.73</v>
      </c>
      <c r="E1029" s="3" t="s">
        <v>375</v>
      </c>
      <c r="F1029" s="3" t="s">
        <v>25</v>
      </c>
      <c r="G1029" s="8" t="s">
        <v>20</v>
      </c>
      <c r="H1029" s="4" t="s">
        <v>23</v>
      </c>
      <c r="I1029" s="5">
        <v>1</v>
      </c>
      <c r="J1029" s="8" t="s">
        <v>17</v>
      </c>
      <c r="K1029" s="4" t="s">
        <v>375</v>
      </c>
      <c r="L1029" s="5">
        <v>1</v>
      </c>
      <c r="M1029" s="8" t="s">
        <v>15</v>
      </c>
      <c r="N1029" s="4" t="s">
        <v>375</v>
      </c>
      <c r="O1029" s="5">
        <v>1</v>
      </c>
      <c r="P1029" s="8"/>
      <c r="Q1029" s="4"/>
      <c r="R1029" s="5"/>
      <c r="W1029" s="67" t="s">
        <v>992</v>
      </c>
      <c r="X1029" s="68" t="s">
        <v>993</v>
      </c>
      <c r="Y1029" s="69">
        <v>27.73</v>
      </c>
      <c r="Z1029" t="str">
        <f>IF(AND(Tabla1[[#This Row],[nudo inicial]]=Tabla3[[#This Row],[n1]],Tabla1[[#This Row],[nudo final]]=Tabla3[[#This Row],[n2]],Tabla1[[#This Row],[longitud]]=Tabla3[[#This Row],[long]]),"si","no")</f>
        <v>si</v>
      </c>
    </row>
    <row r="1030" spans="2:26" ht="15.75" x14ac:dyDescent="0.25">
      <c r="B1030" t="s">
        <v>991</v>
      </c>
      <c r="C1030" t="s">
        <v>992</v>
      </c>
      <c r="D1030" s="19">
        <v>114.09</v>
      </c>
      <c r="E1030" s="3" t="s">
        <v>23</v>
      </c>
      <c r="F1030" s="3" t="s">
        <v>25</v>
      </c>
      <c r="G1030" s="8" t="s">
        <v>57</v>
      </c>
      <c r="H1030" s="4" t="s">
        <v>23</v>
      </c>
      <c r="I1030" s="5">
        <v>1</v>
      </c>
      <c r="J1030" s="8"/>
      <c r="K1030" s="4"/>
      <c r="L1030" s="5"/>
      <c r="M1030" s="8"/>
      <c r="N1030" s="4"/>
      <c r="O1030" s="5"/>
      <c r="P1030" s="8"/>
      <c r="Q1030" s="4"/>
      <c r="R1030" s="5"/>
      <c r="W1030" s="67" t="s">
        <v>991</v>
      </c>
      <c r="X1030" s="68" t="s">
        <v>992</v>
      </c>
      <c r="Y1030" s="69">
        <v>114.09</v>
      </c>
      <c r="Z1030" t="str">
        <f>IF(AND(Tabla1[[#This Row],[nudo inicial]]=Tabla3[[#This Row],[n1]],Tabla1[[#This Row],[nudo final]]=Tabla3[[#This Row],[n2]],Tabla1[[#This Row],[longitud]]=Tabla3[[#This Row],[long]]),"si","no")</f>
        <v>si</v>
      </c>
    </row>
    <row r="1031" spans="2:26" ht="15.75" x14ac:dyDescent="0.25">
      <c r="B1031" t="s">
        <v>984</v>
      </c>
      <c r="C1031" t="s">
        <v>994</v>
      </c>
      <c r="D1031" s="19">
        <v>86.29</v>
      </c>
      <c r="E1031" s="3" t="s">
        <v>23</v>
      </c>
      <c r="F1031" s="3" t="s">
        <v>25</v>
      </c>
      <c r="G1031" s="8" t="s">
        <v>58</v>
      </c>
      <c r="H1031" s="4" t="s">
        <v>23</v>
      </c>
      <c r="I1031" s="5">
        <v>1</v>
      </c>
      <c r="J1031" s="8" t="s">
        <v>16</v>
      </c>
      <c r="K1031" s="4" t="s">
        <v>23</v>
      </c>
      <c r="L1031" s="5">
        <v>1</v>
      </c>
      <c r="M1031" s="8"/>
      <c r="N1031" s="4"/>
      <c r="O1031" s="5"/>
      <c r="P1031" s="8"/>
      <c r="Q1031" s="4"/>
      <c r="R1031" s="5"/>
      <c r="W1031" s="67" t="s">
        <v>984</v>
      </c>
      <c r="X1031" s="68" t="s">
        <v>994</v>
      </c>
      <c r="Y1031" s="69">
        <v>86.29</v>
      </c>
      <c r="Z1031" t="str">
        <f>IF(AND(Tabla1[[#This Row],[nudo inicial]]=Tabla3[[#This Row],[n1]],Tabla1[[#This Row],[nudo final]]=Tabla3[[#This Row],[n2]],Tabla1[[#This Row],[longitud]]=Tabla3[[#This Row],[long]]),"si","no")</f>
        <v>si</v>
      </c>
    </row>
    <row r="1032" spans="2:26" ht="15.75" x14ac:dyDescent="0.25">
      <c r="B1032" t="s">
        <v>994</v>
      </c>
      <c r="C1032" t="s">
        <v>995</v>
      </c>
      <c r="D1032" s="19">
        <v>127.58</v>
      </c>
      <c r="E1032" s="3" t="s">
        <v>53</v>
      </c>
      <c r="F1032" s="3" t="s">
        <v>25</v>
      </c>
      <c r="G1032" s="8" t="s">
        <v>15</v>
      </c>
      <c r="H1032" s="4" t="s">
        <v>53</v>
      </c>
      <c r="I1032" s="5">
        <v>1</v>
      </c>
      <c r="J1032" s="8"/>
      <c r="K1032" s="4"/>
      <c r="L1032" s="5"/>
      <c r="M1032" s="8"/>
      <c r="N1032" s="4"/>
      <c r="O1032" s="5"/>
      <c r="P1032" s="8"/>
      <c r="Q1032" s="4"/>
      <c r="R1032" s="5"/>
      <c r="W1032" s="67" t="s">
        <v>994</v>
      </c>
      <c r="X1032" s="68" t="s">
        <v>995</v>
      </c>
      <c r="Y1032" s="69">
        <v>127.58</v>
      </c>
      <c r="Z1032" t="str">
        <f>IF(AND(Tabla1[[#This Row],[nudo inicial]]=Tabla3[[#This Row],[n1]],Tabla1[[#This Row],[nudo final]]=Tabla3[[#This Row],[n2]],Tabla1[[#This Row],[longitud]]=Tabla3[[#This Row],[long]]),"si","no")</f>
        <v>si</v>
      </c>
    </row>
    <row r="1033" spans="2:26" ht="15.75" x14ac:dyDescent="0.25">
      <c r="B1033" t="s">
        <v>995</v>
      </c>
      <c r="C1033" t="s">
        <v>996</v>
      </c>
      <c r="D1033" s="19">
        <v>55</v>
      </c>
      <c r="E1033" s="3" t="s">
        <v>56</v>
      </c>
      <c r="F1033" s="3" t="s">
        <v>25</v>
      </c>
      <c r="G1033" s="8" t="s">
        <v>58</v>
      </c>
      <c r="H1033" s="4" t="s">
        <v>53</v>
      </c>
      <c r="I1033" s="5">
        <v>1</v>
      </c>
      <c r="J1033" s="8" t="s">
        <v>15</v>
      </c>
      <c r="K1033" s="4" t="s">
        <v>56</v>
      </c>
      <c r="L1033" s="5">
        <v>1</v>
      </c>
      <c r="M1033" s="8" t="s">
        <v>17</v>
      </c>
      <c r="N1033" s="4" t="s">
        <v>56</v>
      </c>
      <c r="O1033" s="5">
        <v>1</v>
      </c>
      <c r="P1033" s="8"/>
      <c r="Q1033" s="4"/>
      <c r="R1033" s="5"/>
      <c r="W1033" s="67" t="s">
        <v>995</v>
      </c>
      <c r="X1033" s="68" t="s">
        <v>996</v>
      </c>
      <c r="Y1033" s="69">
        <v>55</v>
      </c>
      <c r="Z1033" t="str">
        <f>IF(AND(Tabla1[[#This Row],[nudo inicial]]=Tabla3[[#This Row],[n1]],Tabla1[[#This Row],[nudo final]]=Tabla3[[#This Row],[n2]],Tabla1[[#This Row],[longitud]]=Tabla3[[#This Row],[long]]),"si","no")</f>
        <v>si</v>
      </c>
    </row>
    <row r="1034" spans="2:26" ht="15.75" x14ac:dyDescent="0.25">
      <c r="B1034" t="s">
        <v>995</v>
      </c>
      <c r="C1034" t="s">
        <v>997</v>
      </c>
      <c r="D1034" s="19">
        <v>9</v>
      </c>
      <c r="E1034" s="3" t="s">
        <v>53</v>
      </c>
      <c r="F1034" s="3" t="s">
        <v>25</v>
      </c>
      <c r="G1034" s="8" t="s">
        <v>57</v>
      </c>
      <c r="H1034" s="4" t="s">
        <v>53</v>
      </c>
      <c r="I1034" s="5">
        <v>1</v>
      </c>
      <c r="J1034" s="8" t="s">
        <v>16</v>
      </c>
      <c r="K1034" s="4" t="s">
        <v>53</v>
      </c>
      <c r="L1034" s="5">
        <v>1</v>
      </c>
      <c r="M1034" s="8"/>
      <c r="N1034" s="4"/>
      <c r="O1034" s="5"/>
      <c r="P1034" s="8"/>
      <c r="Q1034" s="4"/>
      <c r="R1034" s="5"/>
      <c r="W1034" s="67" t="s">
        <v>995</v>
      </c>
      <c r="X1034" s="68" t="s">
        <v>997</v>
      </c>
      <c r="Y1034" s="69">
        <v>9</v>
      </c>
      <c r="Z1034" t="str">
        <f>IF(AND(Tabla1[[#This Row],[nudo inicial]]=Tabla3[[#This Row],[n1]],Tabla1[[#This Row],[nudo final]]=Tabla3[[#This Row],[n2]],Tabla1[[#This Row],[longitud]]=Tabla3[[#This Row],[long]]),"si","no")</f>
        <v>si</v>
      </c>
    </row>
    <row r="1035" spans="2:26" ht="15.75" x14ac:dyDescent="0.25">
      <c r="B1035" t="s">
        <v>997</v>
      </c>
      <c r="C1035" t="s">
        <v>991</v>
      </c>
      <c r="D1035" s="19">
        <v>29.78</v>
      </c>
      <c r="E1035" s="3" t="s">
        <v>53</v>
      </c>
      <c r="F1035" s="3" t="s">
        <v>25</v>
      </c>
      <c r="G1035" s="8" t="s">
        <v>57</v>
      </c>
      <c r="H1035" s="4" t="s">
        <v>53</v>
      </c>
      <c r="I1035" s="5">
        <v>1</v>
      </c>
      <c r="J1035" s="8" t="s">
        <v>6</v>
      </c>
      <c r="K1035" s="4" t="s">
        <v>23</v>
      </c>
      <c r="L1035" s="5">
        <v>1</v>
      </c>
      <c r="M1035" s="8"/>
      <c r="N1035" s="4"/>
      <c r="O1035" s="5"/>
      <c r="P1035" s="8"/>
      <c r="Q1035" s="4"/>
      <c r="R1035" s="5"/>
      <c r="W1035" s="67" t="s">
        <v>997</v>
      </c>
      <c r="X1035" s="68" t="s">
        <v>991</v>
      </c>
      <c r="Y1035" s="69">
        <v>29.78</v>
      </c>
      <c r="Z1035" t="str">
        <f>IF(AND(Tabla1[[#This Row],[nudo inicial]]=Tabla3[[#This Row],[n1]],Tabla1[[#This Row],[nudo final]]=Tabla3[[#This Row],[n2]],Tabla1[[#This Row],[longitud]]=Tabla3[[#This Row],[long]]),"si","no")</f>
        <v>si</v>
      </c>
    </row>
    <row r="1036" spans="2:26" ht="15.75" x14ac:dyDescent="0.25">
      <c r="B1036" t="s">
        <v>997</v>
      </c>
      <c r="C1036" t="s">
        <v>998</v>
      </c>
      <c r="D1036" s="19">
        <v>117.41</v>
      </c>
      <c r="E1036" s="3" t="s">
        <v>53</v>
      </c>
      <c r="F1036" s="3" t="s">
        <v>25</v>
      </c>
      <c r="G1036" s="8" t="s">
        <v>58</v>
      </c>
      <c r="H1036" s="4" t="s">
        <v>53</v>
      </c>
      <c r="I1036" s="5">
        <v>1</v>
      </c>
      <c r="J1036" s="8"/>
      <c r="K1036" s="4"/>
      <c r="L1036" s="5"/>
      <c r="M1036" s="8"/>
      <c r="N1036" s="4"/>
      <c r="O1036" s="5"/>
      <c r="P1036" s="8"/>
      <c r="Q1036" s="4"/>
      <c r="R1036" s="5"/>
      <c r="W1036" s="67" t="s">
        <v>997</v>
      </c>
      <c r="X1036" s="68" t="s">
        <v>998</v>
      </c>
      <c r="Y1036" s="69">
        <v>117.41</v>
      </c>
      <c r="Z1036" t="str">
        <f>IF(AND(Tabla1[[#This Row],[nudo inicial]]=Tabla3[[#This Row],[n1]],Tabla1[[#This Row],[nudo final]]=Tabla3[[#This Row],[n2]],Tabla1[[#This Row],[longitud]]=Tabla3[[#This Row],[long]]),"si","no")</f>
        <v>si</v>
      </c>
    </row>
    <row r="1037" spans="2:26" ht="15.75" x14ac:dyDescent="0.25">
      <c r="B1037" t="s">
        <v>998</v>
      </c>
      <c r="C1037" t="s">
        <v>999</v>
      </c>
      <c r="D1037" s="19">
        <v>24.22</v>
      </c>
      <c r="E1037" s="3" t="s">
        <v>53</v>
      </c>
      <c r="F1037" s="3" t="s">
        <v>25</v>
      </c>
      <c r="G1037" s="8" t="s">
        <v>57</v>
      </c>
      <c r="H1037" s="4" t="s">
        <v>53</v>
      </c>
      <c r="I1037" s="5">
        <v>1</v>
      </c>
      <c r="J1037" s="8" t="s">
        <v>16</v>
      </c>
      <c r="K1037" s="4" t="s">
        <v>53</v>
      </c>
      <c r="L1037" s="5">
        <v>1</v>
      </c>
      <c r="M1037" s="8" t="s">
        <v>17</v>
      </c>
      <c r="N1037" s="4" t="s">
        <v>53</v>
      </c>
      <c r="O1037" s="5">
        <v>1</v>
      </c>
      <c r="P1037" s="8"/>
      <c r="Q1037" s="4"/>
      <c r="R1037" s="5"/>
      <c r="W1037" s="67" t="s">
        <v>998</v>
      </c>
      <c r="X1037" s="68" t="s">
        <v>999</v>
      </c>
      <c r="Y1037" s="69">
        <v>24.22</v>
      </c>
      <c r="Z1037" t="str">
        <f>IF(AND(Tabla1[[#This Row],[nudo inicial]]=Tabla3[[#This Row],[n1]],Tabla1[[#This Row],[nudo final]]=Tabla3[[#This Row],[n2]],Tabla1[[#This Row],[longitud]]=Tabla3[[#This Row],[long]]),"si","no")</f>
        <v>si</v>
      </c>
    </row>
    <row r="1038" spans="2:26" ht="15.75" x14ac:dyDescent="0.25">
      <c r="B1038" t="s">
        <v>998</v>
      </c>
      <c r="C1038" t="s">
        <v>1000</v>
      </c>
      <c r="D1038" s="19">
        <v>65.099999999999994</v>
      </c>
      <c r="E1038" s="3" t="s">
        <v>53</v>
      </c>
      <c r="F1038" s="3" t="s">
        <v>25</v>
      </c>
      <c r="G1038" s="8" t="s">
        <v>58</v>
      </c>
      <c r="H1038" s="4" t="s">
        <v>53</v>
      </c>
      <c r="I1038" s="5">
        <v>1</v>
      </c>
      <c r="J1038" s="8" t="s">
        <v>17</v>
      </c>
      <c r="K1038" s="4" t="s">
        <v>53</v>
      </c>
      <c r="L1038" s="5">
        <v>1</v>
      </c>
      <c r="M1038" s="8"/>
      <c r="N1038" s="4"/>
      <c r="O1038" s="5"/>
      <c r="P1038" s="8"/>
      <c r="Q1038" s="4"/>
      <c r="R1038" s="5"/>
      <c r="W1038" s="67" t="s">
        <v>998</v>
      </c>
      <c r="X1038" s="68" t="s">
        <v>1000</v>
      </c>
      <c r="Y1038" s="69">
        <v>65.099999999999994</v>
      </c>
      <c r="Z1038" t="str">
        <f>IF(AND(Tabla1[[#This Row],[nudo inicial]]=Tabla3[[#This Row],[n1]],Tabla1[[#This Row],[nudo final]]=Tabla3[[#This Row],[n2]],Tabla1[[#This Row],[longitud]]=Tabla3[[#This Row],[long]]),"si","no")</f>
        <v>si</v>
      </c>
    </row>
    <row r="1039" spans="2:26" ht="15.75" x14ac:dyDescent="0.25">
      <c r="B1039" t="s">
        <v>982</v>
      </c>
      <c r="C1039" t="s">
        <v>1001</v>
      </c>
      <c r="D1039" s="19">
        <v>230.69</v>
      </c>
      <c r="E1039" s="3" t="s">
        <v>126</v>
      </c>
      <c r="F1039" s="3" t="s">
        <v>25</v>
      </c>
      <c r="G1039" s="8" t="s">
        <v>57</v>
      </c>
      <c r="H1039" s="4" t="s">
        <v>126</v>
      </c>
      <c r="I1039" s="5">
        <v>1</v>
      </c>
      <c r="J1039" s="8" t="s">
        <v>32</v>
      </c>
      <c r="K1039" s="4" t="s">
        <v>126</v>
      </c>
      <c r="L1039" s="5">
        <v>1</v>
      </c>
      <c r="M1039" s="8"/>
      <c r="N1039" s="4"/>
      <c r="O1039" s="5"/>
      <c r="P1039" s="8"/>
      <c r="Q1039" s="4"/>
      <c r="R1039" s="5"/>
      <c r="W1039" s="67" t="s">
        <v>982</v>
      </c>
      <c r="X1039" s="68" t="s">
        <v>1001</v>
      </c>
      <c r="Y1039" s="69">
        <v>230.69</v>
      </c>
      <c r="Z1039" t="str">
        <f>IF(AND(Tabla1[[#This Row],[nudo inicial]]=Tabla3[[#This Row],[n1]],Tabla1[[#This Row],[nudo final]]=Tabla3[[#This Row],[n2]],Tabla1[[#This Row],[longitud]]=Tabla3[[#This Row],[long]]),"si","no")</f>
        <v>si</v>
      </c>
    </row>
    <row r="1040" spans="2:26" ht="15.75" x14ac:dyDescent="0.25">
      <c r="B1040" t="s">
        <v>1001</v>
      </c>
      <c r="C1040" t="s">
        <v>1002</v>
      </c>
      <c r="D1040" s="19">
        <v>21.3</v>
      </c>
      <c r="E1040" s="3" t="s">
        <v>56</v>
      </c>
      <c r="F1040" s="3" t="s">
        <v>25</v>
      </c>
      <c r="G1040" s="8" t="s">
        <v>58</v>
      </c>
      <c r="H1040" s="4" t="s">
        <v>126</v>
      </c>
      <c r="I1040" s="5">
        <v>1</v>
      </c>
      <c r="J1040" s="8" t="s">
        <v>15</v>
      </c>
      <c r="K1040" s="4" t="s">
        <v>56</v>
      </c>
      <c r="L1040" s="5">
        <v>1</v>
      </c>
      <c r="M1040" s="8" t="s">
        <v>17</v>
      </c>
      <c r="N1040" s="4" t="s">
        <v>56</v>
      </c>
      <c r="O1040" s="5">
        <v>1</v>
      </c>
      <c r="P1040" s="8"/>
      <c r="Q1040" s="4"/>
      <c r="R1040" s="5"/>
      <c r="W1040" s="67" t="s">
        <v>1001</v>
      </c>
      <c r="X1040" s="68" t="s">
        <v>1002</v>
      </c>
      <c r="Y1040" s="69">
        <v>21.3</v>
      </c>
      <c r="Z1040" t="str">
        <f>IF(AND(Tabla1[[#This Row],[nudo inicial]]=Tabla3[[#This Row],[n1]],Tabla1[[#This Row],[nudo final]]=Tabla3[[#This Row],[n2]],Tabla1[[#This Row],[longitud]]=Tabla3[[#This Row],[long]]),"si","no")</f>
        <v>si</v>
      </c>
    </row>
    <row r="1041" spans="2:26" ht="15.75" x14ac:dyDescent="0.25">
      <c r="B1041" t="s">
        <v>1001</v>
      </c>
      <c r="C1041" t="s">
        <v>1003</v>
      </c>
      <c r="D1041" s="19">
        <v>70.41</v>
      </c>
      <c r="E1041" s="3" t="s">
        <v>126</v>
      </c>
      <c r="F1041" s="3" t="s">
        <v>25</v>
      </c>
      <c r="G1041" s="8" t="s">
        <v>58</v>
      </c>
      <c r="H1041" s="4" t="s">
        <v>126</v>
      </c>
      <c r="I1041" s="5">
        <v>1</v>
      </c>
      <c r="J1041" s="8" t="s">
        <v>16</v>
      </c>
      <c r="K1041" s="4" t="s">
        <v>126</v>
      </c>
      <c r="L1041" s="5">
        <v>1</v>
      </c>
      <c r="M1041" s="8"/>
      <c r="N1041" s="4"/>
      <c r="O1041" s="5"/>
      <c r="P1041" s="8"/>
      <c r="Q1041" s="4"/>
      <c r="R1041" s="5"/>
      <c r="W1041" s="67" t="s">
        <v>1001</v>
      </c>
      <c r="X1041" s="68" t="s">
        <v>1003</v>
      </c>
      <c r="Y1041" s="69">
        <v>70.41</v>
      </c>
      <c r="Z1041" t="str">
        <f>IF(AND(Tabla1[[#This Row],[nudo inicial]]=Tabla3[[#This Row],[n1]],Tabla1[[#This Row],[nudo final]]=Tabla3[[#This Row],[n2]],Tabla1[[#This Row],[longitud]]=Tabla3[[#This Row],[long]]),"si","no")</f>
        <v>si</v>
      </c>
    </row>
    <row r="1042" spans="2:26" ht="15.75" x14ac:dyDescent="0.25">
      <c r="B1042" t="s">
        <v>1003</v>
      </c>
      <c r="C1042" t="s">
        <v>1004</v>
      </c>
      <c r="D1042" s="19">
        <v>9.9</v>
      </c>
      <c r="E1042" s="3" t="s">
        <v>23</v>
      </c>
      <c r="F1042" s="3" t="s">
        <v>26</v>
      </c>
      <c r="G1042" s="8" t="s">
        <v>58</v>
      </c>
      <c r="H1042" s="4" t="s">
        <v>126</v>
      </c>
      <c r="I1042" s="5">
        <v>1</v>
      </c>
      <c r="J1042" s="8" t="s">
        <v>15</v>
      </c>
      <c r="K1042" s="4" t="s">
        <v>23</v>
      </c>
      <c r="L1042" s="5">
        <v>1</v>
      </c>
      <c r="M1042" s="8" t="s">
        <v>32</v>
      </c>
      <c r="N1042" s="4" t="s">
        <v>23</v>
      </c>
      <c r="O1042" s="5">
        <v>1</v>
      </c>
      <c r="P1042" s="8"/>
      <c r="Q1042" s="4"/>
      <c r="R1042" s="5"/>
      <c r="W1042" s="67" t="s">
        <v>1003</v>
      </c>
      <c r="X1042" s="68" t="s">
        <v>1004</v>
      </c>
      <c r="Y1042" s="69">
        <v>9.9</v>
      </c>
      <c r="Z1042" t="str">
        <f>IF(AND(Tabla1[[#This Row],[nudo inicial]]=Tabla3[[#This Row],[n1]],Tabla1[[#This Row],[nudo final]]=Tabla3[[#This Row],[n2]],Tabla1[[#This Row],[longitud]]=Tabla3[[#This Row],[long]]),"si","no")</f>
        <v>si</v>
      </c>
    </row>
    <row r="1043" spans="2:26" ht="15.75" x14ac:dyDescent="0.25">
      <c r="B1043" t="s">
        <v>1004</v>
      </c>
      <c r="C1043" t="s">
        <v>1005</v>
      </c>
      <c r="D1043" s="19">
        <v>133.34</v>
      </c>
      <c r="E1043" s="3" t="s">
        <v>23</v>
      </c>
      <c r="F1043" s="3" t="s">
        <v>26</v>
      </c>
      <c r="G1043" s="8" t="s">
        <v>58</v>
      </c>
      <c r="H1043" s="4" t="s">
        <v>23</v>
      </c>
      <c r="I1043" s="5">
        <v>1</v>
      </c>
      <c r="J1043" s="8"/>
      <c r="K1043" s="4"/>
      <c r="L1043" s="5"/>
      <c r="M1043" s="8"/>
      <c r="N1043" s="4"/>
      <c r="O1043" s="5"/>
      <c r="P1043" s="8"/>
      <c r="Q1043" s="4"/>
      <c r="R1043" s="5"/>
      <c r="W1043" s="67" t="s">
        <v>1004</v>
      </c>
      <c r="X1043" s="68" t="s">
        <v>1005</v>
      </c>
      <c r="Y1043" s="69">
        <v>133.34</v>
      </c>
      <c r="Z1043" t="str">
        <f>IF(AND(Tabla1[[#This Row],[nudo inicial]]=Tabla3[[#This Row],[n1]],Tabla1[[#This Row],[nudo final]]=Tabla3[[#This Row],[n2]],Tabla1[[#This Row],[longitud]]=Tabla3[[#This Row],[long]]),"si","no")</f>
        <v>si</v>
      </c>
    </row>
    <row r="1044" spans="2:26" ht="15.75" x14ac:dyDescent="0.25">
      <c r="B1044" t="s">
        <v>1004</v>
      </c>
      <c r="C1044" t="s">
        <v>1006</v>
      </c>
      <c r="D1044" s="19">
        <v>51.11</v>
      </c>
      <c r="E1044" s="3" t="s">
        <v>23</v>
      </c>
      <c r="F1044" s="3" t="s">
        <v>25</v>
      </c>
      <c r="G1044" s="8" t="s">
        <v>57</v>
      </c>
      <c r="H1044" s="4" t="s">
        <v>23</v>
      </c>
      <c r="I1044" s="5">
        <v>1</v>
      </c>
      <c r="J1044" s="8"/>
      <c r="K1044" s="4"/>
      <c r="L1044" s="5"/>
      <c r="M1044" s="8"/>
      <c r="N1044" s="4"/>
      <c r="O1044" s="5"/>
      <c r="P1044" s="8"/>
      <c r="Q1044" s="4"/>
      <c r="R1044" s="5"/>
      <c r="W1044" s="67" t="s">
        <v>1004</v>
      </c>
      <c r="X1044" s="68" t="s">
        <v>1006</v>
      </c>
      <c r="Y1044" s="69">
        <v>51.11</v>
      </c>
      <c r="Z1044" t="str">
        <f>IF(AND(Tabla1[[#This Row],[nudo inicial]]=Tabla3[[#This Row],[n1]],Tabla1[[#This Row],[nudo final]]=Tabla3[[#This Row],[n2]],Tabla1[[#This Row],[longitud]]=Tabla3[[#This Row],[long]]),"si","no")</f>
        <v>si</v>
      </c>
    </row>
    <row r="1045" spans="2:26" ht="15.75" x14ac:dyDescent="0.25">
      <c r="B1045" t="s">
        <v>1006</v>
      </c>
      <c r="C1045" t="s">
        <v>1007</v>
      </c>
      <c r="D1045" s="19">
        <v>21.64</v>
      </c>
      <c r="E1045" s="3" t="s">
        <v>53</v>
      </c>
      <c r="F1045" s="3" t="s">
        <v>25</v>
      </c>
      <c r="G1045" s="8" t="s">
        <v>58</v>
      </c>
      <c r="H1045" s="4" t="s">
        <v>23</v>
      </c>
      <c r="I1045" s="5">
        <v>1</v>
      </c>
      <c r="J1045" s="8" t="s">
        <v>15</v>
      </c>
      <c r="K1045" s="4" t="s">
        <v>53</v>
      </c>
      <c r="L1045" s="5">
        <v>1</v>
      </c>
      <c r="M1045" s="8"/>
      <c r="N1045" s="4"/>
      <c r="O1045" s="5"/>
      <c r="P1045" s="8"/>
      <c r="Q1045" s="4"/>
      <c r="R1045" s="5"/>
      <c r="W1045" s="67" t="s">
        <v>1006</v>
      </c>
      <c r="X1045" s="68" t="s">
        <v>1007</v>
      </c>
      <c r="Y1045" s="69">
        <v>21.64</v>
      </c>
      <c r="Z1045" t="str">
        <f>IF(AND(Tabla1[[#This Row],[nudo inicial]]=Tabla3[[#This Row],[n1]],Tabla1[[#This Row],[nudo final]]=Tabla3[[#This Row],[n2]],Tabla1[[#This Row],[longitud]]=Tabla3[[#This Row],[long]]),"si","no")</f>
        <v>si</v>
      </c>
    </row>
    <row r="1046" spans="2:26" ht="15.75" x14ac:dyDescent="0.25">
      <c r="B1046" t="s">
        <v>1007</v>
      </c>
      <c r="C1046" t="s">
        <v>1008</v>
      </c>
      <c r="D1046" s="19">
        <v>21.51</v>
      </c>
      <c r="E1046" s="3" t="s">
        <v>53</v>
      </c>
      <c r="F1046" s="3" t="s">
        <v>25</v>
      </c>
      <c r="G1046" s="8" t="s">
        <v>58</v>
      </c>
      <c r="H1046" s="4" t="s">
        <v>53</v>
      </c>
      <c r="I1046" s="5">
        <v>1</v>
      </c>
      <c r="J1046" s="8" t="s">
        <v>17</v>
      </c>
      <c r="K1046" s="4" t="s">
        <v>53</v>
      </c>
      <c r="L1046" s="5">
        <v>1</v>
      </c>
      <c r="M1046" s="8"/>
      <c r="N1046" s="4"/>
      <c r="O1046" s="5"/>
      <c r="P1046" s="8"/>
      <c r="Q1046" s="4"/>
      <c r="R1046" s="5"/>
      <c r="W1046" s="67" t="s">
        <v>1007</v>
      </c>
      <c r="X1046" s="68" t="s">
        <v>1008</v>
      </c>
      <c r="Y1046" s="69">
        <v>21.51</v>
      </c>
      <c r="Z1046" t="str">
        <f>IF(AND(Tabla1[[#This Row],[nudo inicial]]=Tabla3[[#This Row],[n1]],Tabla1[[#This Row],[nudo final]]=Tabla3[[#This Row],[n2]],Tabla1[[#This Row],[longitud]]=Tabla3[[#This Row],[long]]),"si","no")</f>
        <v>si</v>
      </c>
    </row>
    <row r="1047" spans="2:26" ht="15.75" x14ac:dyDescent="0.25">
      <c r="B1047" t="s">
        <v>1007</v>
      </c>
      <c r="C1047" t="s">
        <v>1009</v>
      </c>
      <c r="D1047" s="19">
        <v>6.58</v>
      </c>
      <c r="E1047" s="3" t="s">
        <v>53</v>
      </c>
      <c r="F1047" s="3" t="s">
        <v>25</v>
      </c>
      <c r="G1047" s="8" t="s">
        <v>57</v>
      </c>
      <c r="H1047" s="4" t="s">
        <v>53</v>
      </c>
      <c r="I1047" s="5">
        <v>1</v>
      </c>
      <c r="J1047" s="8"/>
      <c r="K1047" s="4"/>
      <c r="L1047" s="5"/>
      <c r="M1047" s="8"/>
      <c r="N1047" s="4"/>
      <c r="O1047" s="5"/>
      <c r="P1047" s="8"/>
      <c r="Q1047" s="4"/>
      <c r="R1047" s="5"/>
      <c r="W1047" s="67" t="s">
        <v>1007</v>
      </c>
      <c r="X1047" s="68" t="s">
        <v>1009</v>
      </c>
      <c r="Y1047" s="69">
        <v>6.58</v>
      </c>
      <c r="Z1047" t="str">
        <f>IF(AND(Tabla1[[#This Row],[nudo inicial]]=Tabla3[[#This Row],[n1]],Tabla1[[#This Row],[nudo final]]=Tabla3[[#This Row],[n2]],Tabla1[[#This Row],[longitud]]=Tabla3[[#This Row],[long]]),"si","no")</f>
        <v>si</v>
      </c>
    </row>
    <row r="1048" spans="2:26" ht="15.75" x14ac:dyDescent="0.25">
      <c r="B1048" t="s">
        <v>1009</v>
      </c>
      <c r="C1048" t="s">
        <v>1010</v>
      </c>
      <c r="D1048" s="19">
        <v>41.36</v>
      </c>
      <c r="E1048" s="3" t="s">
        <v>56</v>
      </c>
      <c r="F1048" s="3" t="s">
        <v>25</v>
      </c>
      <c r="G1048" s="8" t="s">
        <v>58</v>
      </c>
      <c r="H1048" s="4" t="s">
        <v>53</v>
      </c>
      <c r="I1048" s="5">
        <v>1</v>
      </c>
      <c r="J1048" s="8" t="s">
        <v>15</v>
      </c>
      <c r="K1048" s="4" t="s">
        <v>56</v>
      </c>
      <c r="L1048" s="5">
        <v>1</v>
      </c>
      <c r="M1048" s="8" t="s">
        <v>17</v>
      </c>
      <c r="N1048" s="4" t="s">
        <v>56</v>
      </c>
      <c r="O1048" s="5">
        <v>1</v>
      </c>
      <c r="P1048" s="8"/>
      <c r="Q1048" s="4"/>
      <c r="R1048" s="5"/>
      <c r="W1048" s="67" t="s">
        <v>1009</v>
      </c>
      <c r="X1048" s="68" t="s">
        <v>1010</v>
      </c>
      <c r="Y1048" s="69">
        <v>41.36</v>
      </c>
      <c r="Z1048" t="str">
        <f>IF(AND(Tabla1[[#This Row],[nudo inicial]]=Tabla3[[#This Row],[n1]],Tabla1[[#This Row],[nudo final]]=Tabla3[[#This Row],[n2]],Tabla1[[#This Row],[longitud]]=Tabla3[[#This Row],[long]]),"si","no")</f>
        <v>si</v>
      </c>
    </row>
    <row r="1049" spans="2:26" ht="15.75" x14ac:dyDescent="0.25">
      <c r="B1049" t="s">
        <v>1009</v>
      </c>
      <c r="C1049" t="s">
        <v>1011</v>
      </c>
      <c r="D1049" s="19">
        <v>15.95</v>
      </c>
      <c r="E1049" s="3" t="s">
        <v>53</v>
      </c>
      <c r="F1049" s="3" t="s">
        <v>25</v>
      </c>
      <c r="G1049" s="8" t="s">
        <v>57</v>
      </c>
      <c r="H1049" s="4" t="s">
        <v>53</v>
      </c>
      <c r="I1049" s="5">
        <v>1</v>
      </c>
      <c r="J1049" s="8"/>
      <c r="K1049" s="4"/>
      <c r="L1049" s="5"/>
      <c r="M1049" s="8"/>
      <c r="N1049" s="4"/>
      <c r="O1049" s="5"/>
      <c r="P1049" s="8"/>
      <c r="Q1049" s="4"/>
      <c r="R1049" s="5"/>
      <c r="W1049" s="67" t="s">
        <v>1009</v>
      </c>
      <c r="X1049" s="68" t="s">
        <v>1011</v>
      </c>
      <c r="Y1049" s="69">
        <v>15.95</v>
      </c>
      <c r="Z1049" t="str">
        <f>IF(AND(Tabla1[[#This Row],[nudo inicial]]=Tabla3[[#This Row],[n1]],Tabla1[[#This Row],[nudo final]]=Tabla3[[#This Row],[n2]],Tabla1[[#This Row],[longitud]]=Tabla3[[#This Row],[long]]),"si","no")</f>
        <v>si</v>
      </c>
    </row>
    <row r="1050" spans="2:26" ht="15.75" x14ac:dyDescent="0.25">
      <c r="B1050" t="s">
        <v>1011</v>
      </c>
      <c r="C1050" t="s">
        <v>1012</v>
      </c>
      <c r="D1050" s="19">
        <v>20.440000000000001</v>
      </c>
      <c r="E1050" s="3" t="s">
        <v>53</v>
      </c>
      <c r="F1050" s="3" t="s">
        <v>25</v>
      </c>
      <c r="G1050" s="8" t="s">
        <v>58</v>
      </c>
      <c r="H1050" s="4" t="s">
        <v>53</v>
      </c>
      <c r="I1050" s="5">
        <v>1</v>
      </c>
      <c r="J1050" s="8" t="s">
        <v>17</v>
      </c>
      <c r="K1050" s="4" t="s">
        <v>53</v>
      </c>
      <c r="L1050" s="5">
        <v>1</v>
      </c>
      <c r="M1050" s="8"/>
      <c r="N1050" s="4"/>
      <c r="O1050" s="5"/>
      <c r="P1050" s="8"/>
      <c r="Q1050" s="4"/>
      <c r="R1050" s="5"/>
      <c r="W1050" s="67" t="s">
        <v>1011</v>
      </c>
      <c r="X1050" s="68" t="s">
        <v>1012</v>
      </c>
      <c r="Y1050" s="69">
        <v>20.440000000000001</v>
      </c>
      <c r="Z1050" t="str">
        <f>IF(AND(Tabla1[[#This Row],[nudo inicial]]=Tabla3[[#This Row],[n1]],Tabla1[[#This Row],[nudo final]]=Tabla3[[#This Row],[n2]],Tabla1[[#This Row],[longitud]]=Tabla3[[#This Row],[long]]),"si","no")</f>
        <v>si</v>
      </c>
    </row>
    <row r="1051" spans="2:26" ht="15.75" x14ac:dyDescent="0.25">
      <c r="B1051" t="s">
        <v>1011</v>
      </c>
      <c r="C1051" t="s">
        <v>1013</v>
      </c>
      <c r="D1051" s="19">
        <v>30</v>
      </c>
      <c r="E1051" s="3" t="s">
        <v>53</v>
      </c>
      <c r="F1051" s="3" t="s">
        <v>25</v>
      </c>
      <c r="G1051" s="8" t="s">
        <v>57</v>
      </c>
      <c r="H1051" s="4" t="s">
        <v>53</v>
      </c>
      <c r="I1051" s="5">
        <v>1</v>
      </c>
      <c r="J1051" s="8" t="s">
        <v>16</v>
      </c>
      <c r="K1051" s="4" t="s">
        <v>53</v>
      </c>
      <c r="L1051" s="5">
        <v>1</v>
      </c>
      <c r="M1051" s="8" t="s">
        <v>17</v>
      </c>
      <c r="N1051" s="4" t="s">
        <v>53</v>
      </c>
      <c r="O1051" s="5">
        <v>1</v>
      </c>
      <c r="P1051" s="8"/>
      <c r="Q1051" s="4"/>
      <c r="R1051" s="5"/>
      <c r="W1051" s="67" t="s">
        <v>1011</v>
      </c>
      <c r="X1051" s="68" t="s">
        <v>1013</v>
      </c>
      <c r="Y1051" s="69">
        <v>30</v>
      </c>
      <c r="Z1051" t="str">
        <f>IF(AND(Tabla1[[#This Row],[nudo inicial]]=Tabla3[[#This Row],[n1]],Tabla1[[#This Row],[nudo final]]=Tabla3[[#This Row],[n2]],Tabla1[[#This Row],[longitud]]=Tabla3[[#This Row],[long]]),"si","no")</f>
        <v>si</v>
      </c>
    </row>
    <row r="1052" spans="2:26" ht="15.75" x14ac:dyDescent="0.25">
      <c r="B1052" t="s">
        <v>1006</v>
      </c>
      <c r="C1052" t="s">
        <v>1014</v>
      </c>
      <c r="D1052" s="19">
        <v>24.94</v>
      </c>
      <c r="E1052" s="3" t="s">
        <v>23</v>
      </c>
      <c r="F1052" s="3" t="s">
        <v>25</v>
      </c>
      <c r="G1052" s="8" t="s">
        <v>57</v>
      </c>
      <c r="H1052" s="4" t="s">
        <v>23</v>
      </c>
      <c r="I1052" s="5">
        <v>1</v>
      </c>
      <c r="J1052" s="8"/>
      <c r="K1052" s="4"/>
      <c r="L1052" s="5"/>
      <c r="M1052" s="8"/>
      <c r="N1052" s="4"/>
      <c r="O1052" s="5"/>
      <c r="P1052" s="8"/>
      <c r="Q1052" s="4"/>
      <c r="R1052" s="5"/>
      <c r="W1052" s="67" t="s">
        <v>1006</v>
      </c>
      <c r="X1052" s="68" t="s">
        <v>1014</v>
      </c>
      <c r="Y1052" s="69">
        <v>24.94</v>
      </c>
      <c r="Z1052" t="str">
        <f>IF(AND(Tabla1[[#This Row],[nudo inicial]]=Tabla3[[#This Row],[n1]],Tabla1[[#This Row],[nudo final]]=Tabla3[[#This Row],[n2]],Tabla1[[#This Row],[longitud]]=Tabla3[[#This Row],[long]]),"si","no")</f>
        <v>si</v>
      </c>
    </row>
    <row r="1053" spans="2:26" ht="30" x14ac:dyDescent="0.25">
      <c r="B1053" t="s">
        <v>947</v>
      </c>
      <c r="C1053" t="s">
        <v>1005</v>
      </c>
      <c r="D1053" s="19">
        <v>42.93</v>
      </c>
      <c r="E1053" s="3" t="s">
        <v>23</v>
      </c>
      <c r="F1053" s="3" t="s">
        <v>25</v>
      </c>
      <c r="G1053" s="8" t="s">
        <v>58</v>
      </c>
      <c r="H1053" s="4" t="s">
        <v>23</v>
      </c>
      <c r="I1053" s="5">
        <v>1</v>
      </c>
      <c r="J1053" s="8" t="s">
        <v>33</v>
      </c>
      <c r="K1053" s="4"/>
      <c r="L1053" s="5">
        <v>1</v>
      </c>
      <c r="M1053" s="8" t="s">
        <v>32</v>
      </c>
      <c r="N1053" s="4" t="s">
        <v>23</v>
      </c>
      <c r="O1053" s="5">
        <v>1</v>
      </c>
      <c r="P1053" s="8"/>
      <c r="Q1053" s="4"/>
      <c r="R1053" s="5"/>
      <c r="W1053" s="67" t="s">
        <v>947</v>
      </c>
      <c r="X1053" s="68" t="s">
        <v>1005</v>
      </c>
      <c r="Y1053" s="69">
        <v>42.93</v>
      </c>
      <c r="Z1053" t="str">
        <f>IF(AND(Tabla1[[#This Row],[nudo inicial]]=Tabla3[[#This Row],[n1]],Tabla1[[#This Row],[nudo final]]=Tabla3[[#This Row],[n2]],Tabla1[[#This Row],[longitud]]=Tabla3[[#This Row],[long]]),"si","no")</f>
        <v>si</v>
      </c>
    </row>
    <row r="1054" spans="2:26" ht="15.75" x14ac:dyDescent="0.25">
      <c r="B1054" t="s">
        <v>1005</v>
      </c>
      <c r="C1054" t="s">
        <v>1014</v>
      </c>
      <c r="D1054" s="19">
        <v>112</v>
      </c>
      <c r="E1054" s="3" t="s">
        <v>23</v>
      </c>
      <c r="F1054" s="3" t="s">
        <v>25</v>
      </c>
      <c r="G1054" s="8" t="s">
        <v>57</v>
      </c>
      <c r="H1054" s="4" t="s">
        <v>23</v>
      </c>
      <c r="I1054" s="5">
        <v>1</v>
      </c>
      <c r="J1054" s="8"/>
      <c r="K1054" s="4"/>
      <c r="L1054" s="5"/>
      <c r="M1054" s="8"/>
      <c r="N1054" s="4"/>
      <c r="O1054" s="5"/>
      <c r="P1054" s="8"/>
      <c r="Q1054" s="4"/>
      <c r="R1054" s="5"/>
      <c r="W1054" s="67" t="s">
        <v>1005</v>
      </c>
      <c r="X1054" s="68" t="s">
        <v>1014</v>
      </c>
      <c r="Y1054" s="69">
        <v>112</v>
      </c>
      <c r="Z1054" t="str">
        <f>IF(AND(Tabla1[[#This Row],[nudo inicial]]=Tabla3[[#This Row],[n1]],Tabla1[[#This Row],[nudo final]]=Tabla3[[#This Row],[n2]],Tabla1[[#This Row],[longitud]]=Tabla3[[#This Row],[long]]),"si","no")</f>
        <v>si</v>
      </c>
    </row>
    <row r="1055" spans="2:26" ht="15.75" x14ac:dyDescent="0.25">
      <c r="B1055" t="s">
        <v>1014</v>
      </c>
      <c r="C1055" t="s">
        <v>702</v>
      </c>
      <c r="D1055" s="19">
        <v>52.39</v>
      </c>
      <c r="E1055" s="3" t="s">
        <v>23</v>
      </c>
      <c r="F1055" s="3" t="s">
        <v>25</v>
      </c>
      <c r="G1055" s="8" t="s">
        <v>57</v>
      </c>
      <c r="H1055" s="4" t="s">
        <v>23</v>
      </c>
      <c r="I1055" s="5">
        <v>1</v>
      </c>
      <c r="J1055" s="8"/>
      <c r="K1055" s="4"/>
      <c r="L1055" s="5"/>
      <c r="M1055" s="8"/>
      <c r="N1055" s="4"/>
      <c r="O1055" s="5"/>
      <c r="P1055" s="8"/>
      <c r="Q1055" s="4"/>
      <c r="R1055" s="5"/>
      <c r="W1055" s="67" t="s">
        <v>1014</v>
      </c>
      <c r="X1055" s="68" t="s">
        <v>702</v>
      </c>
      <c r="Y1055" s="69">
        <v>52.39</v>
      </c>
      <c r="Z1055" t="str">
        <f>IF(AND(Tabla1[[#This Row],[nudo inicial]]=Tabla3[[#This Row],[n1]],Tabla1[[#This Row],[nudo final]]=Tabla3[[#This Row],[n2]],Tabla1[[#This Row],[longitud]]=Tabla3[[#This Row],[long]]),"si","no")</f>
        <v>si</v>
      </c>
    </row>
    <row r="1056" spans="2:26" ht="15.75" x14ac:dyDescent="0.25">
      <c r="B1056" t="s">
        <v>1003</v>
      </c>
      <c r="C1056" t="s">
        <v>1015</v>
      </c>
      <c r="D1056" s="19">
        <v>104.3</v>
      </c>
      <c r="E1056" s="3" t="s">
        <v>23</v>
      </c>
      <c r="F1056" s="3" t="s">
        <v>25</v>
      </c>
      <c r="G1056" s="8" t="s">
        <v>57</v>
      </c>
      <c r="H1056" s="4" t="s">
        <v>126</v>
      </c>
      <c r="I1056" s="5">
        <v>1</v>
      </c>
      <c r="J1056" s="8" t="s">
        <v>15</v>
      </c>
      <c r="K1056" s="4" t="s">
        <v>23</v>
      </c>
      <c r="L1056" s="5">
        <v>1</v>
      </c>
      <c r="M1056" s="8" t="s">
        <v>32</v>
      </c>
      <c r="N1056" s="4" t="s">
        <v>23</v>
      </c>
      <c r="O1056" s="5">
        <v>1</v>
      </c>
      <c r="P1056" s="8" t="s">
        <v>16</v>
      </c>
      <c r="Q1056" s="4" t="s">
        <v>23</v>
      </c>
      <c r="R1056" s="5">
        <v>1</v>
      </c>
      <c r="W1056" s="67" t="s">
        <v>1003</v>
      </c>
      <c r="X1056" s="68" t="s">
        <v>1015</v>
      </c>
      <c r="Y1056" s="69">
        <v>104.3</v>
      </c>
      <c r="Z1056" t="str">
        <f>IF(AND(Tabla1[[#This Row],[nudo inicial]]=Tabla3[[#This Row],[n1]],Tabla1[[#This Row],[nudo final]]=Tabla3[[#This Row],[n2]],Tabla1[[#This Row],[longitud]]=Tabla3[[#This Row],[long]]),"si","no")</f>
        <v>si</v>
      </c>
    </row>
    <row r="1057" spans="1:26" ht="30" x14ac:dyDescent="0.25">
      <c r="B1057" t="s">
        <v>1015</v>
      </c>
      <c r="C1057" t="s">
        <v>1016</v>
      </c>
      <c r="D1057" s="19">
        <v>35.07</v>
      </c>
      <c r="E1057" s="3" t="s">
        <v>23</v>
      </c>
      <c r="F1057" s="3" t="s">
        <v>25</v>
      </c>
      <c r="G1057" s="8" t="s">
        <v>57</v>
      </c>
      <c r="H1057" s="4" t="s">
        <v>23</v>
      </c>
      <c r="I1057" s="5">
        <v>1</v>
      </c>
      <c r="J1057" s="8" t="s">
        <v>33</v>
      </c>
      <c r="K1057" s="4"/>
      <c r="L1057" s="5">
        <v>1</v>
      </c>
      <c r="M1057" s="8"/>
      <c r="N1057" s="4"/>
      <c r="O1057" s="5"/>
      <c r="P1057" s="8"/>
      <c r="Q1057" s="4"/>
      <c r="R1057" s="5"/>
      <c r="W1057" s="67" t="s">
        <v>1015</v>
      </c>
      <c r="X1057" s="68" t="s">
        <v>1016</v>
      </c>
      <c r="Y1057" s="69">
        <v>35.07</v>
      </c>
      <c r="Z1057" t="str">
        <f>IF(AND(Tabla1[[#This Row],[nudo inicial]]=Tabla3[[#This Row],[n1]],Tabla1[[#This Row],[nudo final]]=Tabla3[[#This Row],[n2]],Tabla1[[#This Row],[longitud]]=Tabla3[[#This Row],[long]]),"si","no")</f>
        <v>si</v>
      </c>
    </row>
    <row r="1058" spans="1:26" ht="15.75" x14ac:dyDescent="0.25">
      <c r="B1058" t="s">
        <v>1015</v>
      </c>
      <c r="C1058" t="s">
        <v>1210</v>
      </c>
      <c r="D1058" s="19">
        <v>153</v>
      </c>
      <c r="E1058" s="3" t="s">
        <v>53</v>
      </c>
      <c r="F1058" s="3" t="s">
        <v>25</v>
      </c>
      <c r="G1058" s="8" t="s">
        <v>58</v>
      </c>
      <c r="H1058" s="4" t="s">
        <v>23</v>
      </c>
      <c r="I1058" s="5">
        <v>1</v>
      </c>
      <c r="J1058" s="8" t="s">
        <v>15</v>
      </c>
      <c r="K1058" s="4" t="s">
        <v>53</v>
      </c>
      <c r="L1058" s="5">
        <v>1</v>
      </c>
      <c r="M1058" s="8" t="s">
        <v>32</v>
      </c>
      <c r="N1058" s="4" t="s">
        <v>53</v>
      </c>
      <c r="O1058" s="5">
        <v>1</v>
      </c>
      <c r="P1058" s="8" t="s">
        <v>17</v>
      </c>
      <c r="Q1058" s="4" t="s">
        <v>53</v>
      </c>
      <c r="R1058" s="5">
        <v>1</v>
      </c>
      <c r="W1058" s="67" t="s">
        <v>1015</v>
      </c>
      <c r="X1058" s="68" t="s">
        <v>1210</v>
      </c>
      <c r="Y1058" s="69">
        <v>153</v>
      </c>
      <c r="Z1058" t="str">
        <f>IF(AND(Tabla1[[#This Row],[nudo inicial]]=Tabla3[[#This Row],[n1]],Tabla1[[#This Row],[nudo final]]=Tabla3[[#This Row],[n2]],Tabla1[[#This Row],[longitud]]=Tabla3[[#This Row],[long]]),"si","no")</f>
        <v>si</v>
      </c>
    </row>
    <row r="1059" spans="1:26" ht="15.75" x14ac:dyDescent="0.25">
      <c r="B1059" t="s">
        <v>1016</v>
      </c>
      <c r="C1059" t="s">
        <v>1017</v>
      </c>
      <c r="D1059" s="19">
        <v>74.73</v>
      </c>
      <c r="E1059" s="3" t="s">
        <v>23</v>
      </c>
      <c r="F1059" s="3" t="s">
        <v>25</v>
      </c>
      <c r="G1059" s="8" t="s">
        <v>57</v>
      </c>
      <c r="H1059" s="4" t="s">
        <v>23</v>
      </c>
      <c r="I1059" s="5">
        <v>1</v>
      </c>
      <c r="J1059" s="8" t="s">
        <v>17</v>
      </c>
      <c r="K1059" s="4" t="s">
        <v>23</v>
      </c>
      <c r="L1059" s="5">
        <v>1</v>
      </c>
      <c r="M1059" s="8"/>
      <c r="N1059" s="4"/>
      <c r="O1059" s="5"/>
      <c r="P1059" s="8"/>
      <c r="Q1059" s="4"/>
      <c r="R1059" s="5"/>
      <c r="W1059" s="67" t="s">
        <v>1016</v>
      </c>
      <c r="X1059" s="68" t="s">
        <v>1017</v>
      </c>
      <c r="Y1059" s="69">
        <v>74.73</v>
      </c>
      <c r="Z1059" t="str">
        <f>IF(AND(Tabla1[[#This Row],[nudo inicial]]=Tabla3[[#This Row],[n1]],Tabla1[[#This Row],[nudo final]]=Tabla3[[#This Row],[n2]],Tabla1[[#This Row],[longitud]]=Tabla3[[#This Row],[long]]),"si","no")</f>
        <v>si</v>
      </c>
    </row>
    <row r="1060" spans="1:26" ht="30" x14ac:dyDescent="0.25">
      <c r="B1060" t="s">
        <v>1016</v>
      </c>
      <c r="C1060" t="s">
        <v>1018</v>
      </c>
      <c r="D1060" s="19">
        <v>131.99</v>
      </c>
      <c r="E1060" s="3" t="s">
        <v>23</v>
      </c>
      <c r="F1060" s="3" t="s">
        <v>25</v>
      </c>
      <c r="G1060" s="8" t="s">
        <v>58</v>
      </c>
      <c r="H1060" s="4" t="s">
        <v>23</v>
      </c>
      <c r="I1060" s="5">
        <v>1</v>
      </c>
      <c r="J1060" s="8" t="s">
        <v>33</v>
      </c>
      <c r="K1060" s="4"/>
      <c r="L1060" s="5">
        <v>1</v>
      </c>
      <c r="M1060" s="8" t="s">
        <v>32</v>
      </c>
      <c r="N1060" s="4" t="s">
        <v>23</v>
      </c>
      <c r="O1060" s="5">
        <v>1</v>
      </c>
      <c r="P1060" s="8" t="s">
        <v>16</v>
      </c>
      <c r="Q1060" s="4" t="s">
        <v>23</v>
      </c>
      <c r="R1060" s="5">
        <v>1</v>
      </c>
      <c r="W1060" s="67" t="s">
        <v>1016</v>
      </c>
      <c r="X1060" s="68" t="s">
        <v>1018</v>
      </c>
      <c r="Y1060" s="69">
        <v>131.99</v>
      </c>
      <c r="Z1060" t="str">
        <f>IF(AND(Tabla1[[#This Row],[nudo inicial]]=Tabla3[[#This Row],[n1]],Tabla1[[#This Row],[nudo final]]=Tabla3[[#This Row],[n2]],Tabla1[[#This Row],[longitud]]=Tabla3[[#This Row],[long]]),"si","no")</f>
        <v>si</v>
      </c>
    </row>
    <row r="1061" spans="1:26" ht="15.75" x14ac:dyDescent="0.25">
      <c r="B1061" t="s">
        <v>1018</v>
      </c>
      <c r="C1061" t="s">
        <v>1019</v>
      </c>
      <c r="D1061" s="19">
        <v>19.2</v>
      </c>
      <c r="E1061" s="3" t="s">
        <v>23</v>
      </c>
      <c r="F1061" s="3" t="s">
        <v>25</v>
      </c>
      <c r="G1061" s="8" t="s">
        <v>57</v>
      </c>
      <c r="H1061" s="4" t="s">
        <v>23</v>
      </c>
      <c r="I1061" s="5">
        <v>1</v>
      </c>
      <c r="J1061" s="8" t="s">
        <v>17</v>
      </c>
      <c r="K1061" s="4" t="s">
        <v>23</v>
      </c>
      <c r="L1061" s="5">
        <v>1</v>
      </c>
      <c r="M1061" s="8"/>
      <c r="N1061" s="4"/>
      <c r="O1061" s="5"/>
      <c r="P1061" s="8"/>
      <c r="Q1061" s="4"/>
      <c r="R1061" s="5"/>
      <c r="W1061" s="67" t="s">
        <v>1018</v>
      </c>
      <c r="X1061" s="68" t="s">
        <v>1019</v>
      </c>
      <c r="Y1061" s="69">
        <v>19.2</v>
      </c>
      <c r="Z1061" t="str">
        <f>IF(AND(Tabla1[[#This Row],[nudo inicial]]=Tabla3[[#This Row],[n1]],Tabla1[[#This Row],[nudo final]]=Tabla3[[#This Row],[n2]],Tabla1[[#This Row],[longitud]]=Tabla3[[#This Row],[long]]),"si","no")</f>
        <v>si</v>
      </c>
    </row>
    <row r="1062" spans="1:26" ht="15.75" x14ac:dyDescent="0.25">
      <c r="B1062" t="s">
        <v>1018</v>
      </c>
      <c r="C1062" t="s">
        <v>1020</v>
      </c>
      <c r="D1062" s="19">
        <v>19.41</v>
      </c>
      <c r="E1062" s="3" t="s">
        <v>23</v>
      </c>
      <c r="F1062" s="3" t="s">
        <v>25</v>
      </c>
      <c r="G1062" s="8" t="s">
        <v>58</v>
      </c>
      <c r="H1062" s="4" t="s">
        <v>23</v>
      </c>
      <c r="I1062" s="5">
        <v>1</v>
      </c>
      <c r="J1062" s="8"/>
      <c r="K1062" s="4"/>
      <c r="L1062" s="5"/>
      <c r="M1062" s="8"/>
      <c r="N1062" s="4"/>
      <c r="O1062" s="5"/>
      <c r="P1062" s="8"/>
      <c r="Q1062" s="4"/>
      <c r="R1062" s="5"/>
      <c r="W1062" s="67" t="s">
        <v>1018</v>
      </c>
      <c r="X1062" s="68" t="s">
        <v>1020</v>
      </c>
      <c r="Y1062" s="69">
        <v>19.41</v>
      </c>
      <c r="Z1062" t="str">
        <f>IF(AND(Tabla1[[#This Row],[nudo inicial]]=Tabla3[[#This Row],[n1]],Tabla1[[#This Row],[nudo final]]=Tabla3[[#This Row],[n2]],Tabla1[[#This Row],[longitud]]=Tabla3[[#This Row],[long]]),"si","no")</f>
        <v>si</v>
      </c>
    </row>
    <row r="1063" spans="1:26" ht="15.75" x14ac:dyDescent="0.25">
      <c r="B1063" t="s">
        <v>1020</v>
      </c>
      <c r="C1063" t="s">
        <v>1021</v>
      </c>
      <c r="D1063" s="19">
        <v>103.45</v>
      </c>
      <c r="E1063" s="3" t="s">
        <v>53</v>
      </c>
      <c r="F1063" s="3" t="s">
        <v>25</v>
      </c>
      <c r="G1063" s="8" t="s">
        <v>15</v>
      </c>
      <c r="H1063" s="4" t="s">
        <v>53</v>
      </c>
      <c r="I1063" s="5">
        <v>1</v>
      </c>
      <c r="J1063" s="8"/>
      <c r="K1063" s="4"/>
      <c r="L1063" s="5"/>
      <c r="M1063" s="8"/>
      <c r="N1063" s="4"/>
      <c r="O1063" s="5"/>
      <c r="P1063" s="8"/>
      <c r="Q1063" s="4"/>
      <c r="R1063" s="5"/>
      <c r="W1063" s="67" t="s">
        <v>1020</v>
      </c>
      <c r="X1063" s="68" t="s">
        <v>1021</v>
      </c>
      <c r="Y1063" s="69">
        <v>103.45</v>
      </c>
      <c r="Z1063" t="str">
        <f>IF(AND(Tabla1[[#This Row],[nudo inicial]]=Tabla3[[#This Row],[n1]],Tabla1[[#This Row],[nudo final]]=Tabla3[[#This Row],[n2]],Tabla1[[#This Row],[longitud]]=Tabla3[[#This Row],[long]]),"si","no")</f>
        <v>si</v>
      </c>
    </row>
    <row r="1064" spans="1:26" ht="15.75" x14ac:dyDescent="0.25">
      <c r="B1064" t="s">
        <v>1021</v>
      </c>
      <c r="C1064" t="s">
        <v>1022</v>
      </c>
      <c r="D1064" s="19">
        <v>14.47</v>
      </c>
      <c r="E1064" s="3" t="s">
        <v>375</v>
      </c>
      <c r="F1064" s="3" t="s">
        <v>25</v>
      </c>
      <c r="G1064" s="8" t="s">
        <v>58</v>
      </c>
      <c r="H1064" s="4" t="s">
        <v>53</v>
      </c>
      <c r="I1064" s="5">
        <v>1</v>
      </c>
      <c r="J1064" s="8" t="s">
        <v>15</v>
      </c>
      <c r="K1064" s="4" t="s">
        <v>375</v>
      </c>
      <c r="L1064" s="5">
        <v>1</v>
      </c>
      <c r="M1064" s="8" t="s">
        <v>17</v>
      </c>
      <c r="N1064" s="4" t="s">
        <v>375</v>
      </c>
      <c r="O1064" s="5">
        <v>1</v>
      </c>
      <c r="P1064" s="8"/>
      <c r="Q1064" s="4"/>
      <c r="R1064" s="5"/>
      <c r="W1064" s="67" t="s">
        <v>1021</v>
      </c>
      <c r="X1064" s="68" t="s">
        <v>1022</v>
      </c>
      <c r="Y1064" s="69">
        <v>14.47</v>
      </c>
      <c r="Z1064" t="str">
        <f>IF(AND(Tabla1[[#This Row],[nudo inicial]]=Tabla3[[#This Row],[n1]],Tabla1[[#This Row],[nudo final]]=Tabla3[[#This Row],[n2]],Tabla1[[#This Row],[longitud]]=Tabla3[[#This Row],[long]]),"si","no")</f>
        <v>si</v>
      </c>
    </row>
    <row r="1065" spans="1:26" ht="15.75" x14ac:dyDescent="0.25">
      <c r="B1065" t="s">
        <v>1021</v>
      </c>
      <c r="C1065" t="s">
        <v>1023</v>
      </c>
      <c r="D1065" s="19">
        <v>91.45</v>
      </c>
      <c r="E1065" s="3" t="s">
        <v>53</v>
      </c>
      <c r="F1065" s="3" t="s">
        <v>25</v>
      </c>
      <c r="G1065" s="8" t="s">
        <v>57</v>
      </c>
      <c r="H1065" s="4" t="s">
        <v>53</v>
      </c>
      <c r="I1065" s="5">
        <v>1</v>
      </c>
      <c r="J1065" s="8"/>
      <c r="K1065" s="4"/>
      <c r="L1065" s="5"/>
      <c r="M1065" s="8"/>
      <c r="N1065" s="4"/>
      <c r="O1065" s="5"/>
      <c r="P1065" s="8"/>
      <c r="Q1065" s="4"/>
      <c r="R1065" s="5"/>
      <c r="W1065" s="67" t="s">
        <v>1021</v>
      </c>
      <c r="X1065" s="68" t="s">
        <v>1023</v>
      </c>
      <c r="Y1065" s="69">
        <v>91.45</v>
      </c>
      <c r="Z1065" t="str">
        <f>IF(AND(Tabla1[[#This Row],[nudo inicial]]=Tabla3[[#This Row],[n1]],Tabla1[[#This Row],[nudo final]]=Tabla3[[#This Row],[n2]],Tabla1[[#This Row],[longitud]]=Tabla3[[#This Row],[long]]),"si","no")</f>
        <v>si</v>
      </c>
    </row>
    <row r="1066" spans="1:26" ht="15.75" x14ac:dyDescent="0.25">
      <c r="B1066" t="s">
        <v>676</v>
      </c>
      <c r="C1066" t="s">
        <v>1023</v>
      </c>
      <c r="D1066" s="19">
        <v>56.68</v>
      </c>
      <c r="E1066" s="3" t="s">
        <v>53</v>
      </c>
      <c r="F1066" s="3" t="s">
        <v>25</v>
      </c>
      <c r="G1066" s="8" t="s">
        <v>58</v>
      </c>
      <c r="H1066" s="4" t="s">
        <v>53</v>
      </c>
      <c r="I1066" s="5">
        <v>1</v>
      </c>
      <c r="J1066" s="8" t="s">
        <v>32</v>
      </c>
      <c r="K1066" s="4" t="s">
        <v>53</v>
      </c>
      <c r="L1066" s="5">
        <v>1</v>
      </c>
      <c r="M1066" s="8"/>
      <c r="N1066" s="4"/>
      <c r="O1066" s="5"/>
      <c r="P1066" s="8"/>
      <c r="Q1066" s="4"/>
      <c r="R1066" s="5"/>
      <c r="W1066" s="67" t="s">
        <v>676</v>
      </c>
      <c r="X1066" s="68" t="s">
        <v>1023</v>
      </c>
      <c r="Y1066" s="69">
        <v>56.68</v>
      </c>
      <c r="Z1066" t="str">
        <f>IF(AND(Tabla1[[#This Row],[nudo inicial]]=Tabla3[[#This Row],[n1]],Tabla1[[#This Row],[nudo final]]=Tabla3[[#This Row],[n2]],Tabla1[[#This Row],[longitud]]=Tabla3[[#This Row],[long]]),"si","no")</f>
        <v>si</v>
      </c>
    </row>
    <row r="1067" spans="1:26" ht="15.75" x14ac:dyDescent="0.25">
      <c r="B1067" t="s">
        <v>1023</v>
      </c>
      <c r="C1067" t="s">
        <v>1026</v>
      </c>
      <c r="D1067" s="19">
        <v>299.68</v>
      </c>
      <c r="E1067" s="3" t="s">
        <v>53</v>
      </c>
      <c r="F1067" s="3" t="s">
        <v>25</v>
      </c>
      <c r="G1067" s="8" t="s">
        <v>58</v>
      </c>
      <c r="H1067" s="4" t="s">
        <v>53</v>
      </c>
      <c r="I1067" s="5">
        <v>1</v>
      </c>
      <c r="J1067" s="8" t="s">
        <v>16</v>
      </c>
      <c r="K1067" s="4" t="s">
        <v>53</v>
      </c>
      <c r="L1067" s="5">
        <v>1</v>
      </c>
      <c r="M1067" s="8" t="s">
        <v>17</v>
      </c>
      <c r="N1067" s="4" t="s">
        <v>53</v>
      </c>
      <c r="O1067" s="5">
        <v>1</v>
      </c>
      <c r="P1067" s="8"/>
      <c r="Q1067" s="4"/>
      <c r="R1067" s="5"/>
      <c r="W1067" s="67" t="s">
        <v>1023</v>
      </c>
      <c r="X1067" s="68" t="s">
        <v>1026</v>
      </c>
      <c r="Y1067" s="69">
        <v>299.68</v>
      </c>
      <c r="Z1067" t="str">
        <f>IF(AND(Tabla1[[#This Row],[nudo inicial]]=Tabla3[[#This Row],[n1]],Tabla1[[#This Row],[nudo final]]=Tabla3[[#This Row],[n2]],Tabla1[[#This Row],[longitud]]=Tabla3[[#This Row],[long]]),"si","no")</f>
        <v>si</v>
      </c>
    </row>
    <row r="1068" spans="1:26" ht="15.75" x14ac:dyDescent="0.25">
      <c r="A1068" s="14"/>
      <c r="B1068" t="s">
        <v>840</v>
      </c>
      <c r="C1068" t="s">
        <v>1024</v>
      </c>
      <c r="D1068" s="19">
        <v>99.48</v>
      </c>
      <c r="E1068" s="3" t="s">
        <v>55</v>
      </c>
      <c r="F1068" s="3" t="s">
        <v>25</v>
      </c>
      <c r="G1068" s="8" t="s">
        <v>57</v>
      </c>
      <c r="H1068" s="4" t="s">
        <v>55</v>
      </c>
      <c r="I1068" s="5">
        <v>1</v>
      </c>
      <c r="J1068" s="8"/>
      <c r="K1068" s="4"/>
      <c r="L1068" s="5"/>
      <c r="M1068" s="8"/>
      <c r="N1068" s="4"/>
      <c r="O1068" s="5"/>
      <c r="P1068" s="8"/>
      <c r="Q1068" s="4"/>
      <c r="R1068" s="5"/>
      <c r="W1068" s="67" t="s">
        <v>840</v>
      </c>
      <c r="X1068" s="68" t="s">
        <v>1024</v>
      </c>
      <c r="Y1068" s="69">
        <v>99.48</v>
      </c>
      <c r="Z1068" t="str">
        <f>IF(AND(Tabla1[[#This Row],[nudo inicial]]=Tabla3[[#This Row],[n1]],Tabla1[[#This Row],[nudo final]]=Tabla3[[#This Row],[n2]],Tabla1[[#This Row],[longitud]]=Tabla3[[#This Row],[long]]),"si","no")</f>
        <v>si</v>
      </c>
    </row>
    <row r="1069" spans="1:26" ht="15.75" x14ac:dyDescent="0.25">
      <c r="B1069" t="s">
        <v>1024</v>
      </c>
      <c r="C1069" t="s">
        <v>1025</v>
      </c>
      <c r="D1069" s="19">
        <v>347.76</v>
      </c>
      <c r="E1069" s="3" t="s">
        <v>30</v>
      </c>
      <c r="F1069" s="3" t="s">
        <v>25</v>
      </c>
      <c r="G1069" s="8" t="s">
        <v>6</v>
      </c>
      <c r="H1069" s="4" t="s">
        <v>30</v>
      </c>
      <c r="I1069" s="5">
        <v>1</v>
      </c>
      <c r="J1069" s="8"/>
      <c r="K1069" s="4"/>
      <c r="L1069" s="5"/>
      <c r="M1069" s="8"/>
      <c r="N1069" s="4"/>
      <c r="O1069" s="5"/>
      <c r="P1069" s="8"/>
      <c r="Q1069" s="4"/>
      <c r="R1069" s="5"/>
      <c r="W1069" s="67" t="s">
        <v>1024</v>
      </c>
      <c r="X1069" s="68" t="s">
        <v>1025</v>
      </c>
      <c r="Y1069" s="69">
        <v>347.76</v>
      </c>
      <c r="Z1069" t="str">
        <f>IF(AND(Tabla1[[#This Row],[nudo inicial]]=Tabla3[[#This Row],[n1]],Tabla1[[#This Row],[nudo final]]=Tabla3[[#This Row],[n2]],Tabla1[[#This Row],[longitud]]=Tabla3[[#This Row],[long]]),"si","no")</f>
        <v>si</v>
      </c>
    </row>
    <row r="1070" spans="1:26" ht="15.75" x14ac:dyDescent="0.25">
      <c r="B1070" s="14" t="s">
        <v>1025</v>
      </c>
      <c r="C1070" s="14" t="s">
        <v>1027</v>
      </c>
      <c r="D1070" s="20">
        <v>13.75</v>
      </c>
      <c r="E1070" s="15" t="s">
        <v>30</v>
      </c>
      <c r="F1070" s="15" t="s">
        <v>25</v>
      </c>
      <c r="G1070" s="16" t="s">
        <v>58</v>
      </c>
      <c r="H1070" s="17" t="s">
        <v>30</v>
      </c>
      <c r="I1070" s="18">
        <v>1</v>
      </c>
      <c r="J1070" s="16"/>
      <c r="K1070" s="17"/>
      <c r="L1070" s="18"/>
      <c r="M1070" s="16"/>
      <c r="N1070" s="17"/>
      <c r="O1070" s="18"/>
      <c r="P1070" s="16"/>
      <c r="Q1070" s="17"/>
      <c r="R1070" s="18"/>
      <c r="S1070" s="14"/>
      <c r="T1070" s="14"/>
      <c r="U1070" s="14"/>
      <c r="W1070" s="67" t="s">
        <v>1025</v>
      </c>
      <c r="X1070" s="68" t="s">
        <v>1027</v>
      </c>
      <c r="Y1070" s="69">
        <v>13.75</v>
      </c>
      <c r="Z1070" t="str">
        <f>IF(AND(Tabla1[[#This Row],[nudo inicial]]=Tabla3[[#This Row],[n1]],Tabla1[[#This Row],[nudo final]]=Tabla3[[#This Row],[n2]],Tabla1[[#This Row],[longitud]]=Tabla3[[#This Row],[long]]),"si","no")</f>
        <v>si</v>
      </c>
    </row>
    <row r="1071" spans="1:26" ht="15.75" x14ac:dyDescent="0.25">
      <c r="A1071" s="14"/>
      <c r="B1071" t="s">
        <v>1027</v>
      </c>
      <c r="C1071" t="s">
        <v>1028</v>
      </c>
      <c r="D1071" s="19">
        <v>57.78</v>
      </c>
      <c r="E1071" s="3" t="s">
        <v>23</v>
      </c>
      <c r="F1071" s="3" t="s">
        <v>25</v>
      </c>
      <c r="G1071" s="8"/>
      <c r="H1071" s="4"/>
      <c r="I1071" s="5"/>
      <c r="J1071" s="8"/>
      <c r="K1071" s="4"/>
      <c r="L1071" s="5"/>
      <c r="M1071" s="8"/>
      <c r="N1071" s="4"/>
      <c r="O1071" s="5"/>
      <c r="P1071" s="8"/>
      <c r="Q1071" s="4"/>
      <c r="R1071" s="5"/>
      <c r="W1071" s="67" t="s">
        <v>1027</v>
      </c>
      <c r="X1071" s="68" t="s">
        <v>1028</v>
      </c>
      <c r="Y1071" s="69">
        <v>57.78</v>
      </c>
      <c r="Z1071" t="str">
        <f>IF(AND(Tabla1[[#This Row],[nudo inicial]]=Tabla3[[#This Row],[n1]],Tabla1[[#This Row],[nudo final]]=Tabla3[[#This Row],[n2]],Tabla1[[#This Row],[longitud]]=Tabla3[[#This Row],[long]]),"si","no")</f>
        <v>si</v>
      </c>
    </row>
    <row r="1072" spans="1:26" ht="15.75" x14ac:dyDescent="0.25">
      <c r="B1072" t="s">
        <v>1028</v>
      </c>
      <c r="C1072" t="s">
        <v>1030</v>
      </c>
      <c r="D1072" s="19">
        <v>89.53</v>
      </c>
      <c r="E1072" s="3" t="s">
        <v>53</v>
      </c>
      <c r="F1072" s="3" t="s">
        <v>25</v>
      </c>
      <c r="G1072" s="8" t="s">
        <v>58</v>
      </c>
      <c r="H1072" s="4" t="s">
        <v>23</v>
      </c>
      <c r="I1072" s="5">
        <v>1</v>
      </c>
      <c r="J1072" s="8" t="s">
        <v>15</v>
      </c>
      <c r="K1072" s="4" t="s">
        <v>53</v>
      </c>
      <c r="L1072" s="5">
        <v>1</v>
      </c>
      <c r="M1072" s="8"/>
      <c r="N1072" s="4"/>
      <c r="O1072" s="5"/>
      <c r="P1072" s="8"/>
      <c r="Q1072" s="4"/>
      <c r="R1072" s="5"/>
      <c r="W1072" s="67" t="s">
        <v>1028</v>
      </c>
      <c r="X1072" s="68" t="s">
        <v>1030</v>
      </c>
      <c r="Y1072" s="69">
        <v>89.53</v>
      </c>
      <c r="Z1072" t="str">
        <f>IF(AND(Tabla1[[#This Row],[nudo inicial]]=Tabla3[[#This Row],[n1]],Tabla1[[#This Row],[nudo final]]=Tabla3[[#This Row],[n2]],Tabla1[[#This Row],[longitud]]=Tabla3[[#This Row],[long]]),"si","no")</f>
        <v>si</v>
      </c>
    </row>
    <row r="1073" spans="2:26" ht="15.75" x14ac:dyDescent="0.25">
      <c r="B1073" s="14" t="s">
        <v>1030</v>
      </c>
      <c r="C1073" s="14" t="s">
        <v>1031</v>
      </c>
      <c r="D1073" s="20">
        <f>37.4+45.53+17.85+175.11</f>
        <v>275.89</v>
      </c>
      <c r="E1073" s="15" t="s">
        <v>23</v>
      </c>
      <c r="F1073" s="15" t="s">
        <v>25</v>
      </c>
      <c r="G1073" s="16" t="s">
        <v>6</v>
      </c>
      <c r="H1073" s="17" t="s">
        <v>23</v>
      </c>
      <c r="I1073" s="18">
        <v>1</v>
      </c>
      <c r="J1073" s="16"/>
      <c r="K1073" s="17"/>
      <c r="L1073" s="18"/>
      <c r="M1073" s="16"/>
      <c r="N1073" s="17"/>
      <c r="O1073" s="18"/>
      <c r="P1073" s="16"/>
      <c r="Q1073" s="17"/>
      <c r="R1073" s="18"/>
      <c r="S1073" s="14"/>
      <c r="T1073" s="14"/>
      <c r="U1073" s="14"/>
      <c r="W1073" s="67" t="s">
        <v>1030</v>
      </c>
      <c r="X1073" s="68" t="s">
        <v>1031</v>
      </c>
      <c r="Y1073" s="69">
        <v>275.89</v>
      </c>
      <c r="Z1073" t="str">
        <f>IF(AND(Tabla1[[#This Row],[nudo inicial]]=Tabla3[[#This Row],[n1]],Tabla1[[#This Row],[nudo final]]=Tabla3[[#This Row],[n2]],Tabla1[[#This Row],[longitud]]=Tabla3[[#This Row],[long]]),"si","no")</f>
        <v>si</v>
      </c>
    </row>
    <row r="1074" spans="2:26" ht="15.75" x14ac:dyDescent="0.25">
      <c r="B1074" t="s">
        <v>1031</v>
      </c>
      <c r="C1074" t="s">
        <v>1029</v>
      </c>
      <c r="D1074" s="19">
        <v>120.42</v>
      </c>
      <c r="E1074" s="3" t="s">
        <v>53</v>
      </c>
      <c r="F1074" s="3" t="s">
        <v>25</v>
      </c>
      <c r="G1074" s="8" t="s">
        <v>15</v>
      </c>
      <c r="H1074" s="4" t="s">
        <v>53</v>
      </c>
      <c r="I1074" s="5">
        <v>1</v>
      </c>
      <c r="J1074" s="8" t="s">
        <v>16</v>
      </c>
      <c r="K1074" s="4" t="s">
        <v>53</v>
      </c>
      <c r="L1074" s="5">
        <v>1</v>
      </c>
      <c r="M1074" s="8" t="s">
        <v>17</v>
      </c>
      <c r="N1074" s="4" t="s">
        <v>53</v>
      </c>
      <c r="O1074" s="5">
        <v>1</v>
      </c>
      <c r="P1074" s="8"/>
      <c r="Q1074" s="4"/>
      <c r="R1074" s="5"/>
      <c r="W1074" s="67" t="s">
        <v>1031</v>
      </c>
      <c r="X1074" s="68" t="s">
        <v>1029</v>
      </c>
      <c r="Y1074" s="69">
        <v>120.42</v>
      </c>
      <c r="Z1074" t="str">
        <f>IF(AND(Tabla1[[#This Row],[nudo inicial]]=Tabla3[[#This Row],[n1]],Tabla1[[#This Row],[nudo final]]=Tabla3[[#This Row],[n2]],Tabla1[[#This Row],[longitud]]=Tabla3[[#This Row],[long]]),"si","no")</f>
        <v>si</v>
      </c>
    </row>
    <row r="1075" spans="2:26" ht="15.75" x14ac:dyDescent="0.25">
      <c r="B1075" t="s">
        <v>1028</v>
      </c>
      <c r="C1075" t="s">
        <v>1032</v>
      </c>
      <c r="D1075" s="19">
        <v>319.64</v>
      </c>
      <c r="E1075" s="3" t="s">
        <v>23</v>
      </c>
      <c r="F1075" s="3" t="s">
        <v>25</v>
      </c>
      <c r="G1075" s="8" t="s">
        <v>58</v>
      </c>
      <c r="H1075" s="4" t="s">
        <v>23</v>
      </c>
      <c r="I1075" s="5">
        <v>1</v>
      </c>
      <c r="J1075" s="8"/>
      <c r="K1075" s="4"/>
      <c r="L1075" s="5"/>
      <c r="M1075" s="8"/>
      <c r="N1075" s="4"/>
      <c r="O1075" s="5"/>
      <c r="P1075" s="8"/>
      <c r="Q1075" s="4"/>
      <c r="R1075" s="5"/>
      <c r="W1075" s="67" t="s">
        <v>1028</v>
      </c>
      <c r="X1075" s="68" t="s">
        <v>1032</v>
      </c>
      <c r="Y1075" s="69">
        <v>319.64</v>
      </c>
      <c r="Z1075" t="str">
        <f>IF(AND(Tabla1[[#This Row],[nudo inicial]]=Tabla3[[#This Row],[n1]],Tabla1[[#This Row],[nudo final]]=Tabla3[[#This Row],[n2]],Tabla1[[#This Row],[longitud]]=Tabla3[[#This Row],[long]]),"si","no")</f>
        <v>si</v>
      </c>
    </row>
    <row r="1076" spans="2:26" ht="15.75" x14ac:dyDescent="0.25">
      <c r="B1076" t="s">
        <v>1032</v>
      </c>
      <c r="C1076" t="s">
        <v>1033</v>
      </c>
      <c r="D1076" s="19">
        <v>128.91999999999999</v>
      </c>
      <c r="E1076" s="3" t="s">
        <v>53</v>
      </c>
      <c r="F1076" s="3" t="s">
        <v>25</v>
      </c>
      <c r="G1076" s="8" t="s">
        <v>58</v>
      </c>
      <c r="H1076" s="4" t="s">
        <v>23</v>
      </c>
      <c r="I1076" s="5">
        <v>1</v>
      </c>
      <c r="J1076" s="8" t="s">
        <v>15</v>
      </c>
      <c r="K1076" s="4" t="s">
        <v>53</v>
      </c>
      <c r="L1076" s="5">
        <v>1</v>
      </c>
      <c r="M1076" s="8" t="s">
        <v>17</v>
      </c>
      <c r="N1076" s="4" t="s">
        <v>53</v>
      </c>
      <c r="O1076" s="5">
        <v>1</v>
      </c>
      <c r="P1076" s="8"/>
      <c r="Q1076" s="4"/>
      <c r="R1076" s="5"/>
      <c r="W1076" s="67" t="s">
        <v>1032</v>
      </c>
      <c r="X1076" s="68" t="s">
        <v>1033</v>
      </c>
      <c r="Y1076" s="69">
        <v>128.91999999999999</v>
      </c>
      <c r="Z1076" t="str">
        <f>IF(AND(Tabla1[[#This Row],[nudo inicial]]=Tabla3[[#This Row],[n1]],Tabla1[[#This Row],[nudo final]]=Tabla3[[#This Row],[n2]],Tabla1[[#This Row],[longitud]]=Tabla3[[#This Row],[long]]),"si","no")</f>
        <v>si</v>
      </c>
    </row>
    <row r="1077" spans="2:26" ht="15.75" x14ac:dyDescent="0.25">
      <c r="B1077" t="s">
        <v>1032</v>
      </c>
      <c r="C1077" t="s">
        <v>1034</v>
      </c>
      <c r="D1077" s="19">
        <v>123.79</v>
      </c>
      <c r="E1077" s="3" t="s">
        <v>53</v>
      </c>
      <c r="F1077" s="3" t="s">
        <v>25</v>
      </c>
      <c r="G1077" s="8" t="s">
        <v>57</v>
      </c>
      <c r="H1077" s="4" t="s">
        <v>23</v>
      </c>
      <c r="I1077" s="5">
        <v>1</v>
      </c>
      <c r="J1077" s="8" t="s">
        <v>15</v>
      </c>
      <c r="K1077" s="4" t="s">
        <v>53</v>
      </c>
      <c r="L1077" s="5">
        <v>1</v>
      </c>
      <c r="M1077" s="8" t="s">
        <v>17</v>
      </c>
      <c r="N1077" s="4" t="s">
        <v>53</v>
      </c>
      <c r="O1077" s="5">
        <v>1</v>
      </c>
      <c r="P1077" s="8"/>
      <c r="Q1077" s="4"/>
      <c r="R1077" s="5"/>
      <c r="W1077" s="67" t="s">
        <v>1032</v>
      </c>
      <c r="X1077" s="68" t="s">
        <v>1034</v>
      </c>
      <c r="Y1077" s="69">
        <v>123.79</v>
      </c>
      <c r="Z1077" t="str">
        <f>IF(AND(Tabla1[[#This Row],[nudo inicial]]=Tabla3[[#This Row],[n1]],Tabla1[[#This Row],[nudo final]]=Tabla3[[#This Row],[n2]],Tabla1[[#This Row],[longitud]]=Tabla3[[#This Row],[long]]),"si","no")</f>
        <v>si</v>
      </c>
    </row>
    <row r="1078" spans="2:26" ht="15.75" x14ac:dyDescent="0.25">
      <c r="B1078" t="s">
        <v>1025</v>
      </c>
      <c r="C1078" t="s">
        <v>1035</v>
      </c>
      <c r="D1078" s="19">
        <v>141.53</v>
      </c>
      <c r="E1078" s="3" t="s">
        <v>30</v>
      </c>
      <c r="F1078" s="3" t="s">
        <v>25</v>
      </c>
      <c r="G1078" s="8" t="s">
        <v>57</v>
      </c>
      <c r="H1078" s="4" t="s">
        <v>30</v>
      </c>
      <c r="I1078" s="5">
        <v>1</v>
      </c>
      <c r="J1078" s="8"/>
      <c r="K1078" s="4"/>
      <c r="L1078" s="5"/>
      <c r="M1078" s="8"/>
      <c r="N1078" s="4"/>
      <c r="O1078" s="5"/>
      <c r="P1078" s="8"/>
      <c r="Q1078" s="4"/>
      <c r="R1078" s="5"/>
      <c r="W1078" s="67" t="s">
        <v>1025</v>
      </c>
      <c r="X1078" s="68" t="s">
        <v>1035</v>
      </c>
      <c r="Y1078" s="69">
        <v>141.53</v>
      </c>
      <c r="Z1078" t="str">
        <f>IF(AND(Tabla1[[#This Row],[nudo inicial]]=Tabla3[[#This Row],[n1]],Tabla1[[#This Row],[nudo final]]=Tabla3[[#This Row],[n2]],Tabla1[[#This Row],[longitud]]=Tabla3[[#This Row],[long]]),"si","no")</f>
        <v>si</v>
      </c>
    </row>
    <row r="1079" spans="2:26" ht="15.75" x14ac:dyDescent="0.25">
      <c r="B1079" t="s">
        <v>1035</v>
      </c>
      <c r="C1079" t="s">
        <v>1036</v>
      </c>
      <c r="D1079" s="19">
        <v>19.21</v>
      </c>
      <c r="E1079" s="3" t="s">
        <v>30</v>
      </c>
      <c r="F1079" s="3" t="s">
        <v>25</v>
      </c>
      <c r="G1079" s="8" t="s">
        <v>58</v>
      </c>
      <c r="H1079" s="4" t="s">
        <v>30</v>
      </c>
      <c r="I1079" s="5">
        <v>1</v>
      </c>
      <c r="J1079" s="8" t="s">
        <v>32</v>
      </c>
      <c r="K1079" s="4" t="s">
        <v>30</v>
      </c>
      <c r="L1079" s="5">
        <v>1</v>
      </c>
      <c r="M1079" s="8"/>
      <c r="N1079" s="4"/>
      <c r="O1079" s="5"/>
      <c r="P1079" s="8"/>
      <c r="Q1079" s="4"/>
      <c r="R1079" s="5"/>
      <c r="W1079" s="67" t="s">
        <v>1035</v>
      </c>
      <c r="X1079" s="68" t="s">
        <v>1036</v>
      </c>
      <c r="Y1079" s="69">
        <v>19.21</v>
      </c>
      <c r="Z1079" t="str">
        <f>IF(AND(Tabla1[[#This Row],[nudo inicial]]=Tabla3[[#This Row],[n1]],Tabla1[[#This Row],[nudo final]]=Tabla3[[#This Row],[n2]],Tabla1[[#This Row],[longitud]]=Tabla3[[#This Row],[long]]),"si","no")</f>
        <v>si</v>
      </c>
    </row>
    <row r="1080" spans="2:26" ht="30" x14ac:dyDescent="0.25">
      <c r="B1080" t="s">
        <v>1036</v>
      </c>
      <c r="C1080" s="35" t="s">
        <v>1037</v>
      </c>
      <c r="D1080" s="19">
        <v>60.73</v>
      </c>
      <c r="E1080" s="3" t="s">
        <v>23</v>
      </c>
      <c r="F1080" s="3" t="s">
        <v>25</v>
      </c>
      <c r="G1080" s="8" t="s">
        <v>15</v>
      </c>
      <c r="H1080" s="4" t="s">
        <v>23</v>
      </c>
      <c r="I1080" s="5">
        <v>1</v>
      </c>
      <c r="J1080" s="8" t="s">
        <v>33</v>
      </c>
      <c r="K1080" s="4"/>
      <c r="L1080" s="5">
        <v>1</v>
      </c>
      <c r="M1080" s="8"/>
      <c r="N1080" s="4"/>
      <c r="O1080" s="5"/>
      <c r="P1080" s="8"/>
      <c r="Q1080" s="4"/>
      <c r="R1080" s="5"/>
      <c r="W1080" s="67" t="s">
        <v>1036</v>
      </c>
      <c r="X1080" s="68" t="s">
        <v>1037</v>
      </c>
      <c r="Y1080" s="69">
        <v>60.73</v>
      </c>
      <c r="Z1080" t="str">
        <f>IF(AND(Tabla1[[#This Row],[nudo inicial]]=Tabla3[[#This Row],[n1]],Tabla1[[#This Row],[nudo final]]=Tabla3[[#This Row],[n2]],Tabla1[[#This Row],[longitud]]=Tabla3[[#This Row],[long]]),"si","no")</f>
        <v>si</v>
      </c>
    </row>
    <row r="1081" spans="2:26" ht="15.75" x14ac:dyDescent="0.25">
      <c r="B1081" t="s">
        <v>1037</v>
      </c>
      <c r="C1081" t="s">
        <v>1038</v>
      </c>
      <c r="D1081" s="19">
        <v>46.55</v>
      </c>
      <c r="E1081" s="3" t="s">
        <v>53</v>
      </c>
      <c r="F1081" s="3" t="s">
        <v>25</v>
      </c>
      <c r="G1081" s="8" t="s">
        <v>15</v>
      </c>
      <c r="H1081" s="4" t="s">
        <v>53</v>
      </c>
      <c r="I1081" s="5">
        <v>1</v>
      </c>
      <c r="J1081" s="8"/>
      <c r="K1081" s="4"/>
      <c r="L1081" s="5"/>
      <c r="M1081" s="8"/>
      <c r="N1081" s="4"/>
      <c r="O1081" s="5"/>
      <c r="P1081" s="8"/>
      <c r="Q1081" s="4"/>
      <c r="R1081" s="5"/>
      <c r="W1081" s="67" t="s">
        <v>1037</v>
      </c>
      <c r="X1081" s="68" t="s">
        <v>1038</v>
      </c>
      <c r="Y1081" s="69">
        <v>46.55</v>
      </c>
      <c r="Z1081" t="str">
        <f>IF(AND(Tabla1[[#This Row],[nudo inicial]]=Tabla3[[#This Row],[n1]],Tabla1[[#This Row],[nudo final]]=Tabla3[[#This Row],[n2]],Tabla1[[#This Row],[longitud]]=Tabla3[[#This Row],[long]]),"si","no")</f>
        <v>si</v>
      </c>
    </row>
    <row r="1082" spans="2:26" ht="15.75" x14ac:dyDescent="0.25">
      <c r="B1082" t="s">
        <v>1038</v>
      </c>
      <c r="C1082" t="s">
        <v>1039</v>
      </c>
      <c r="D1082" s="19">
        <v>76.180000000000007</v>
      </c>
      <c r="E1082" s="3" t="s">
        <v>53</v>
      </c>
      <c r="F1082" s="3" t="s">
        <v>25</v>
      </c>
      <c r="G1082" s="8" t="s">
        <v>58</v>
      </c>
      <c r="H1082" s="4" t="s">
        <v>53</v>
      </c>
      <c r="I1082" s="5">
        <v>1</v>
      </c>
      <c r="J1082" s="8" t="s">
        <v>16</v>
      </c>
      <c r="K1082" s="4" t="s">
        <v>53</v>
      </c>
      <c r="L1082" s="5">
        <v>1</v>
      </c>
      <c r="M1082" s="8" t="s">
        <v>17</v>
      </c>
      <c r="N1082" s="4" t="s">
        <v>53</v>
      </c>
      <c r="O1082" s="5">
        <v>1</v>
      </c>
      <c r="P1082" s="8"/>
      <c r="Q1082" s="4"/>
      <c r="R1082" s="5"/>
      <c r="W1082" s="67" t="s">
        <v>1038</v>
      </c>
      <c r="X1082" s="68" t="s">
        <v>1039</v>
      </c>
      <c r="Y1082" s="69">
        <v>76.180000000000007</v>
      </c>
      <c r="Z1082" t="str">
        <f>IF(AND(Tabla1[[#This Row],[nudo inicial]]=Tabla3[[#This Row],[n1]],Tabla1[[#This Row],[nudo final]]=Tabla3[[#This Row],[n2]],Tabla1[[#This Row],[longitud]]=Tabla3[[#This Row],[long]]),"si","no")</f>
        <v>si</v>
      </c>
    </row>
    <row r="1083" spans="2:26" ht="15.75" x14ac:dyDescent="0.25">
      <c r="B1083" t="s">
        <v>1038</v>
      </c>
      <c r="C1083" t="s">
        <v>1040</v>
      </c>
      <c r="D1083" s="19">
        <v>126.55</v>
      </c>
      <c r="E1083" s="3" t="s">
        <v>53</v>
      </c>
      <c r="F1083" s="3" t="s">
        <v>25</v>
      </c>
      <c r="G1083" s="8" t="s">
        <v>57</v>
      </c>
      <c r="H1083" s="4" t="s">
        <v>53</v>
      </c>
      <c r="I1083" s="5">
        <v>1</v>
      </c>
      <c r="J1083" s="8" t="s">
        <v>16</v>
      </c>
      <c r="K1083" s="4" t="s">
        <v>53</v>
      </c>
      <c r="L1083" s="5">
        <v>2</v>
      </c>
      <c r="M1083" s="8" t="s">
        <v>17</v>
      </c>
      <c r="N1083" s="4" t="s">
        <v>53</v>
      </c>
      <c r="O1083" s="5">
        <v>1</v>
      </c>
      <c r="P1083" s="8"/>
      <c r="Q1083" s="4"/>
      <c r="R1083" s="5"/>
      <c r="W1083" s="67" t="s">
        <v>1038</v>
      </c>
      <c r="X1083" s="68" t="s">
        <v>1040</v>
      </c>
      <c r="Y1083" s="69">
        <v>126.55</v>
      </c>
      <c r="Z1083" t="str">
        <f>IF(AND(Tabla1[[#This Row],[nudo inicial]]=Tabla3[[#This Row],[n1]],Tabla1[[#This Row],[nudo final]]=Tabla3[[#This Row],[n2]],Tabla1[[#This Row],[longitud]]=Tabla3[[#This Row],[long]]),"si","no")</f>
        <v>si</v>
      </c>
    </row>
    <row r="1084" spans="2:26" ht="15.75" x14ac:dyDescent="0.25">
      <c r="B1084" t="s">
        <v>1035</v>
      </c>
      <c r="C1084" t="s">
        <v>1041</v>
      </c>
      <c r="D1084" s="19">
        <v>142.82</v>
      </c>
      <c r="E1084" s="3" t="s">
        <v>30</v>
      </c>
      <c r="F1084" s="3" t="s">
        <v>25</v>
      </c>
      <c r="G1084" s="8" t="s">
        <v>57</v>
      </c>
      <c r="H1084" s="4" t="s">
        <v>30</v>
      </c>
      <c r="I1084" s="5">
        <v>1</v>
      </c>
      <c r="J1084" s="8"/>
      <c r="K1084" s="4"/>
      <c r="L1084" s="5"/>
      <c r="M1084" s="8"/>
      <c r="N1084" s="4"/>
      <c r="O1084" s="5"/>
      <c r="P1084" s="8"/>
      <c r="Q1084" s="4"/>
      <c r="R1084" s="5"/>
      <c r="W1084" s="67" t="s">
        <v>1035</v>
      </c>
      <c r="X1084" s="68" t="s">
        <v>1041</v>
      </c>
      <c r="Y1084" s="69">
        <v>142.82</v>
      </c>
      <c r="Z1084" t="str">
        <f>IF(AND(Tabla1[[#This Row],[nudo inicial]]=Tabla3[[#This Row],[n1]],Tabla1[[#This Row],[nudo final]]=Tabla3[[#This Row],[n2]],Tabla1[[#This Row],[longitud]]=Tabla3[[#This Row],[long]]),"si","no")</f>
        <v>si</v>
      </c>
    </row>
    <row r="1085" spans="2:26" ht="15.75" x14ac:dyDescent="0.25">
      <c r="B1085" t="s">
        <v>1041</v>
      </c>
      <c r="C1085" t="s">
        <v>1042</v>
      </c>
      <c r="D1085" s="19">
        <v>100.23</v>
      </c>
      <c r="E1085" s="3" t="s">
        <v>55</v>
      </c>
      <c r="F1085" s="3" t="s">
        <v>25</v>
      </c>
      <c r="G1085" s="8" t="s">
        <v>15</v>
      </c>
      <c r="H1085" s="4" t="s">
        <v>55</v>
      </c>
      <c r="I1085" s="5">
        <v>1</v>
      </c>
      <c r="J1085" s="8"/>
      <c r="K1085" s="4"/>
      <c r="L1085" s="5"/>
      <c r="M1085" s="8"/>
      <c r="N1085" s="4"/>
      <c r="O1085" s="5"/>
      <c r="P1085" s="8"/>
      <c r="Q1085" s="4"/>
      <c r="R1085" s="5"/>
      <c r="W1085" s="67" t="s">
        <v>1041</v>
      </c>
      <c r="X1085" s="68" t="s">
        <v>1042</v>
      </c>
      <c r="Y1085" s="69">
        <v>100.23</v>
      </c>
      <c r="Z1085" t="str">
        <f>IF(AND(Tabla1[[#This Row],[nudo inicial]]=Tabla3[[#This Row],[n1]],Tabla1[[#This Row],[nudo final]]=Tabla3[[#This Row],[n2]],Tabla1[[#This Row],[longitud]]=Tabla3[[#This Row],[long]]),"si","no")</f>
        <v>si</v>
      </c>
    </row>
    <row r="1086" spans="2:26" ht="15.75" x14ac:dyDescent="0.25">
      <c r="B1086" t="s">
        <v>1042</v>
      </c>
      <c r="C1086" t="s">
        <v>1043</v>
      </c>
      <c r="D1086" s="19">
        <v>21.28</v>
      </c>
      <c r="E1086" s="3" t="s">
        <v>55</v>
      </c>
      <c r="F1086" s="3" t="s">
        <v>25</v>
      </c>
      <c r="G1086" s="8" t="s">
        <v>58</v>
      </c>
      <c r="H1086" s="4" t="s">
        <v>55</v>
      </c>
      <c r="I1086" s="5">
        <v>1</v>
      </c>
      <c r="J1086" s="8" t="s">
        <v>32</v>
      </c>
      <c r="K1086" s="4" t="s">
        <v>55</v>
      </c>
      <c r="L1086" s="5">
        <v>1</v>
      </c>
      <c r="M1086" s="8"/>
      <c r="N1086" s="4"/>
      <c r="O1086" s="5"/>
      <c r="P1086" s="8"/>
      <c r="Q1086" s="4"/>
      <c r="R1086" s="5"/>
      <c r="W1086" s="67" t="s">
        <v>1042</v>
      </c>
      <c r="X1086" s="68" t="s">
        <v>1043</v>
      </c>
      <c r="Y1086" s="69">
        <v>21.28</v>
      </c>
      <c r="Z1086" t="str">
        <f>IF(AND(Tabla1[[#This Row],[nudo inicial]]=Tabla3[[#This Row],[n1]],Tabla1[[#This Row],[nudo final]]=Tabla3[[#This Row],[n2]],Tabla1[[#This Row],[longitud]]=Tabla3[[#This Row],[long]]),"si","no")</f>
        <v>si</v>
      </c>
    </row>
    <row r="1087" spans="2:26" ht="15.75" x14ac:dyDescent="0.25">
      <c r="B1087" t="s">
        <v>1043</v>
      </c>
      <c r="C1087" t="s">
        <v>1044</v>
      </c>
      <c r="D1087" s="19">
        <v>40.6</v>
      </c>
      <c r="E1087" s="3" t="s">
        <v>126</v>
      </c>
      <c r="F1087" s="3" t="s">
        <v>25</v>
      </c>
      <c r="G1087" s="8" t="s">
        <v>15</v>
      </c>
      <c r="H1087" s="4" t="s">
        <v>126</v>
      </c>
      <c r="I1087" s="5">
        <v>1</v>
      </c>
      <c r="J1087" s="8"/>
      <c r="K1087" s="4"/>
      <c r="L1087" s="5"/>
      <c r="M1087" s="8"/>
      <c r="N1087" s="4"/>
      <c r="O1087" s="5"/>
      <c r="P1087" s="8"/>
      <c r="Q1087" s="4"/>
      <c r="R1087" s="5"/>
      <c r="W1087" s="67" t="s">
        <v>1043</v>
      </c>
      <c r="X1087" s="68" t="s">
        <v>1044</v>
      </c>
      <c r="Y1087" s="69">
        <v>40.6</v>
      </c>
      <c r="Z1087" t="str">
        <f>IF(AND(Tabla1[[#This Row],[nudo inicial]]=Tabla3[[#This Row],[n1]],Tabla1[[#This Row],[nudo final]]=Tabla3[[#This Row],[n2]],Tabla1[[#This Row],[longitud]]=Tabla3[[#This Row],[long]]),"si","no")</f>
        <v>si</v>
      </c>
    </row>
    <row r="1088" spans="2:26" ht="15.75" x14ac:dyDescent="0.25">
      <c r="B1088" t="s">
        <v>1044</v>
      </c>
      <c r="C1088" t="s">
        <v>1046</v>
      </c>
      <c r="D1088" s="19">
        <v>128.65</v>
      </c>
      <c r="E1088" s="3" t="s">
        <v>53</v>
      </c>
      <c r="F1088" s="3" t="s">
        <v>25</v>
      </c>
      <c r="G1088" s="8" t="s">
        <v>58</v>
      </c>
      <c r="H1088" s="4" t="s">
        <v>126</v>
      </c>
      <c r="I1088" s="5">
        <v>1</v>
      </c>
      <c r="J1088" s="8" t="s">
        <v>15</v>
      </c>
      <c r="K1088" s="4" t="s">
        <v>53</v>
      </c>
      <c r="L1088" s="5">
        <v>1</v>
      </c>
      <c r="M1088" s="8" t="s">
        <v>17</v>
      </c>
      <c r="N1088" s="4" t="s">
        <v>53</v>
      </c>
      <c r="O1088" s="5">
        <v>1</v>
      </c>
      <c r="P1088" s="8"/>
      <c r="Q1088" s="4"/>
      <c r="R1088" s="5"/>
      <c r="W1088" s="67" t="s">
        <v>1044</v>
      </c>
      <c r="X1088" s="68" t="s">
        <v>1046</v>
      </c>
      <c r="Y1088" s="69">
        <v>128.65</v>
      </c>
      <c r="Z1088" t="str">
        <f>IF(AND(Tabla1[[#This Row],[nudo inicial]]=Tabla3[[#This Row],[n1]],Tabla1[[#This Row],[nudo final]]=Tabla3[[#This Row],[n2]],Tabla1[[#This Row],[longitud]]=Tabla3[[#This Row],[long]]),"si","no")</f>
        <v>si</v>
      </c>
    </row>
    <row r="1089" spans="1:26" ht="15.75" x14ac:dyDescent="0.25">
      <c r="B1089" t="s">
        <v>1044</v>
      </c>
      <c r="C1089" t="s">
        <v>1045</v>
      </c>
      <c r="D1089" s="19">
        <v>163.07</v>
      </c>
      <c r="E1089" s="3" t="s">
        <v>126</v>
      </c>
      <c r="F1089" s="3" t="s">
        <v>25</v>
      </c>
      <c r="G1089" s="8" t="s">
        <v>57</v>
      </c>
      <c r="H1089" s="4" t="s">
        <v>126</v>
      </c>
      <c r="I1089" s="5">
        <v>1</v>
      </c>
      <c r="J1089" s="8"/>
      <c r="K1089" s="4"/>
      <c r="L1089" s="5"/>
      <c r="M1089" s="8"/>
      <c r="N1089" s="4"/>
      <c r="O1089" s="5"/>
      <c r="P1089" s="8"/>
      <c r="Q1089" s="4"/>
      <c r="R1089" s="5"/>
      <c r="W1089" s="67" t="s">
        <v>1044</v>
      </c>
      <c r="X1089" s="68" t="s">
        <v>1045</v>
      </c>
      <c r="Y1089" s="69">
        <v>163.07</v>
      </c>
      <c r="Z1089" t="str">
        <f>IF(AND(Tabla1[[#This Row],[nudo inicial]]=Tabla3[[#This Row],[n1]],Tabla1[[#This Row],[nudo final]]=Tabla3[[#This Row],[n2]],Tabla1[[#This Row],[longitud]]=Tabla3[[#This Row],[long]]),"si","no")</f>
        <v>si</v>
      </c>
    </row>
    <row r="1090" spans="1:26" ht="15.75" x14ac:dyDescent="0.25">
      <c r="B1090" t="s">
        <v>1045</v>
      </c>
      <c r="C1090" t="s">
        <v>1047</v>
      </c>
      <c r="D1090" s="19">
        <v>54.39</v>
      </c>
      <c r="E1090" s="3" t="s">
        <v>126</v>
      </c>
      <c r="F1090" s="3" t="s">
        <v>25</v>
      </c>
      <c r="G1090" s="8" t="s">
        <v>58</v>
      </c>
      <c r="H1090" s="4" t="s">
        <v>126</v>
      </c>
      <c r="I1090" s="5">
        <v>1</v>
      </c>
      <c r="J1090" s="8" t="s">
        <v>16</v>
      </c>
      <c r="K1090" s="4" t="s">
        <v>126</v>
      </c>
      <c r="L1090" s="5">
        <v>1</v>
      </c>
      <c r="M1090" s="8"/>
      <c r="N1090" s="4"/>
      <c r="O1090" s="5"/>
      <c r="P1090" s="8"/>
      <c r="Q1090" s="4"/>
      <c r="R1090" s="5"/>
      <c r="W1090" s="67" t="s">
        <v>1045</v>
      </c>
      <c r="X1090" s="68" t="s">
        <v>1047</v>
      </c>
      <c r="Y1090" s="69">
        <v>54.39</v>
      </c>
      <c r="Z1090" t="str">
        <f>IF(AND(Tabla1[[#This Row],[nudo inicial]]=Tabla3[[#This Row],[n1]],Tabla1[[#This Row],[nudo final]]=Tabla3[[#This Row],[n2]],Tabla1[[#This Row],[longitud]]=Tabla3[[#This Row],[long]]),"si","no")</f>
        <v>si</v>
      </c>
    </row>
    <row r="1091" spans="1:26" ht="15.75" x14ac:dyDescent="0.25">
      <c r="B1091" t="s">
        <v>1047</v>
      </c>
      <c r="C1091" t="s">
        <v>1048</v>
      </c>
      <c r="D1091" s="19">
        <v>66.83</v>
      </c>
      <c r="E1091" s="3" t="s">
        <v>23</v>
      </c>
      <c r="F1091" s="3" t="s">
        <v>25</v>
      </c>
      <c r="G1091" s="8" t="s">
        <v>16</v>
      </c>
      <c r="H1091" s="4" t="s">
        <v>23</v>
      </c>
      <c r="I1091" s="5">
        <v>1</v>
      </c>
      <c r="J1091" s="8"/>
      <c r="K1091" s="4"/>
      <c r="L1091" s="5"/>
      <c r="M1091" s="8"/>
      <c r="N1091" s="4"/>
      <c r="O1091" s="5"/>
      <c r="P1091" s="8"/>
      <c r="Q1091" s="4"/>
      <c r="R1091" s="5"/>
      <c r="W1091" s="67" t="s">
        <v>1047</v>
      </c>
      <c r="X1091" s="68" t="s">
        <v>1048</v>
      </c>
      <c r="Y1091" s="69">
        <v>66.83</v>
      </c>
      <c r="Z1091" t="str">
        <f>IF(AND(Tabla1[[#This Row],[nudo inicial]]=Tabla3[[#This Row],[n1]],Tabla1[[#This Row],[nudo final]]=Tabla3[[#This Row],[n2]],Tabla1[[#This Row],[longitud]]=Tabla3[[#This Row],[long]]),"si","no")</f>
        <v>si</v>
      </c>
    </row>
    <row r="1092" spans="1:26" ht="15.75" x14ac:dyDescent="0.25">
      <c r="B1092" t="s">
        <v>1048</v>
      </c>
      <c r="C1092" t="s">
        <v>1049</v>
      </c>
      <c r="D1092" s="19">
        <v>128</v>
      </c>
      <c r="E1092" s="3" t="s">
        <v>23</v>
      </c>
      <c r="F1092" s="3" t="s">
        <v>25</v>
      </c>
      <c r="G1092" s="8" t="s">
        <v>58</v>
      </c>
      <c r="H1092" s="4" t="s">
        <v>23</v>
      </c>
      <c r="I1092" s="5">
        <v>1</v>
      </c>
      <c r="J1092" s="8"/>
      <c r="K1092" s="4"/>
      <c r="L1092" s="5"/>
      <c r="M1092" s="8"/>
      <c r="N1092" s="4"/>
      <c r="O1092" s="5"/>
      <c r="P1092" s="8"/>
      <c r="Q1092" s="4"/>
      <c r="R1092" s="5"/>
      <c r="W1092" s="67" t="s">
        <v>1048</v>
      </c>
      <c r="X1092" s="68" t="s">
        <v>1049</v>
      </c>
      <c r="Y1092" s="69">
        <v>128</v>
      </c>
      <c r="Z1092" t="str">
        <f>IF(AND(Tabla1[[#This Row],[nudo inicial]]=Tabla3[[#This Row],[n1]],Tabla1[[#This Row],[nudo final]]=Tabla3[[#This Row],[n2]],Tabla1[[#This Row],[longitud]]=Tabla3[[#This Row],[long]]),"si","no")</f>
        <v>si</v>
      </c>
    </row>
    <row r="1093" spans="1:26" ht="15.75" x14ac:dyDescent="0.25">
      <c r="B1093" t="s">
        <v>1049</v>
      </c>
      <c r="C1093" t="s">
        <v>1050</v>
      </c>
      <c r="D1093" s="19">
        <v>139.08000000000001</v>
      </c>
      <c r="E1093" s="3" t="s">
        <v>53</v>
      </c>
      <c r="F1093" s="3" t="s">
        <v>25</v>
      </c>
      <c r="G1093" s="8" t="s">
        <v>58</v>
      </c>
      <c r="H1093" s="4" t="s">
        <v>23</v>
      </c>
      <c r="I1093" s="5">
        <v>1</v>
      </c>
      <c r="J1093" s="8" t="s">
        <v>15</v>
      </c>
      <c r="K1093" s="4" t="s">
        <v>53</v>
      </c>
      <c r="L1093" s="5">
        <v>1</v>
      </c>
      <c r="M1093" s="8" t="s">
        <v>17</v>
      </c>
      <c r="N1093" s="4" t="s">
        <v>53</v>
      </c>
      <c r="O1093" s="5">
        <v>1</v>
      </c>
      <c r="P1093" s="8"/>
      <c r="Q1093" s="4"/>
      <c r="R1093" s="5"/>
      <c r="W1093" s="67" t="s">
        <v>1049</v>
      </c>
      <c r="X1093" s="68" t="s">
        <v>1050</v>
      </c>
      <c r="Y1093" s="69">
        <v>139.08000000000001</v>
      </c>
      <c r="Z1093" t="str">
        <f>IF(AND(Tabla1[[#This Row],[nudo inicial]]=Tabla3[[#This Row],[n1]],Tabla1[[#This Row],[nudo final]]=Tabla3[[#This Row],[n2]],Tabla1[[#This Row],[longitud]]=Tabla3[[#This Row],[long]]),"si","no")</f>
        <v>si</v>
      </c>
    </row>
    <row r="1094" spans="1:26" ht="15.75" x14ac:dyDescent="0.25">
      <c r="B1094" t="s">
        <v>1049</v>
      </c>
      <c r="C1094" t="s">
        <v>1051</v>
      </c>
      <c r="D1094" s="19">
        <v>98.28</v>
      </c>
      <c r="E1094" s="3" t="s">
        <v>23</v>
      </c>
      <c r="F1094" s="3" t="s">
        <v>25</v>
      </c>
      <c r="G1094" s="8" t="s">
        <v>57</v>
      </c>
      <c r="H1094" s="4" t="s">
        <v>23</v>
      </c>
      <c r="I1094" s="5">
        <v>1</v>
      </c>
      <c r="J1094" s="8"/>
      <c r="K1094" s="4"/>
      <c r="L1094" s="5"/>
      <c r="M1094" s="8"/>
      <c r="N1094" s="4"/>
      <c r="O1094" s="5"/>
      <c r="P1094" s="8"/>
      <c r="Q1094" s="4"/>
      <c r="R1094" s="5"/>
      <c r="W1094" s="67" t="s">
        <v>1049</v>
      </c>
      <c r="X1094" s="68" t="s">
        <v>1051</v>
      </c>
      <c r="Y1094" s="69">
        <v>98.28</v>
      </c>
      <c r="Z1094" t="str">
        <f>IF(AND(Tabla1[[#This Row],[nudo inicial]]=Tabla3[[#This Row],[n1]],Tabla1[[#This Row],[nudo final]]=Tabla3[[#This Row],[n2]],Tabla1[[#This Row],[longitud]]=Tabla3[[#This Row],[long]]),"si","no")</f>
        <v>si</v>
      </c>
    </row>
    <row r="1095" spans="1:26" ht="15.75" x14ac:dyDescent="0.25">
      <c r="B1095" t="s">
        <v>1051</v>
      </c>
      <c r="C1095" t="s">
        <v>1052</v>
      </c>
      <c r="D1095" s="19">
        <v>56.54</v>
      </c>
      <c r="E1095" s="3" t="s">
        <v>23</v>
      </c>
      <c r="F1095" s="3" t="s">
        <v>25</v>
      </c>
      <c r="G1095" s="8" t="s">
        <v>57</v>
      </c>
      <c r="H1095" s="4" t="s">
        <v>23</v>
      </c>
      <c r="I1095" s="5">
        <v>1</v>
      </c>
      <c r="J1095" s="8" t="s">
        <v>17</v>
      </c>
      <c r="K1095" s="4" t="s">
        <v>23</v>
      </c>
      <c r="L1095" s="5">
        <v>1</v>
      </c>
      <c r="M1095" s="8"/>
      <c r="N1095" s="4"/>
      <c r="O1095" s="5"/>
      <c r="P1095" s="8"/>
      <c r="Q1095" s="4"/>
      <c r="R1095" s="5"/>
      <c r="W1095" s="67" t="s">
        <v>1051</v>
      </c>
      <c r="X1095" s="68" t="s">
        <v>1052</v>
      </c>
      <c r="Y1095" s="69">
        <v>56.54</v>
      </c>
      <c r="Z1095" t="str">
        <f>IF(AND(Tabla1[[#This Row],[nudo inicial]]=Tabla3[[#This Row],[n1]],Tabla1[[#This Row],[nudo final]]=Tabla3[[#This Row],[n2]],Tabla1[[#This Row],[longitud]]=Tabla3[[#This Row],[long]]),"si","no")</f>
        <v>si</v>
      </c>
    </row>
    <row r="1096" spans="1:26" ht="15.75" x14ac:dyDescent="0.25">
      <c r="B1096" t="s">
        <v>1051</v>
      </c>
      <c r="C1096" t="s">
        <v>1053</v>
      </c>
      <c r="D1096" s="19">
        <v>241.72</v>
      </c>
      <c r="E1096" s="3" t="s">
        <v>53</v>
      </c>
      <c r="F1096" s="3" t="s">
        <v>25</v>
      </c>
      <c r="G1096" s="8" t="s">
        <v>58</v>
      </c>
      <c r="H1096" s="4" t="s">
        <v>23</v>
      </c>
      <c r="I1096" s="5">
        <v>1</v>
      </c>
      <c r="J1096" s="8" t="s">
        <v>15</v>
      </c>
      <c r="K1096" s="4" t="s">
        <v>53</v>
      </c>
      <c r="L1096" s="5">
        <v>1</v>
      </c>
      <c r="M1096" s="8" t="s">
        <v>17</v>
      </c>
      <c r="N1096" s="4" t="s">
        <v>53</v>
      </c>
      <c r="O1096" s="5">
        <v>1</v>
      </c>
      <c r="P1096" s="8"/>
      <c r="Q1096" s="4"/>
      <c r="R1096" s="5"/>
      <c r="W1096" s="67" t="s">
        <v>1051</v>
      </c>
      <c r="X1096" s="68" t="s">
        <v>1053</v>
      </c>
      <c r="Y1096" s="69">
        <v>241.72</v>
      </c>
      <c r="Z1096" t="str">
        <f>IF(AND(Tabla1[[#This Row],[nudo inicial]]=Tabla3[[#This Row],[n1]],Tabla1[[#This Row],[nudo final]]=Tabla3[[#This Row],[n2]],Tabla1[[#This Row],[longitud]]=Tabla3[[#This Row],[long]]),"si","no")</f>
        <v>si</v>
      </c>
    </row>
    <row r="1097" spans="1:26" ht="15.75" x14ac:dyDescent="0.25">
      <c r="B1097" t="s">
        <v>1048</v>
      </c>
      <c r="C1097" t="s">
        <v>1054</v>
      </c>
      <c r="D1097" s="19">
        <v>22.75</v>
      </c>
      <c r="E1097" s="3" t="s">
        <v>23</v>
      </c>
      <c r="F1097" s="3" t="s">
        <v>25</v>
      </c>
      <c r="G1097" s="8" t="s">
        <v>57</v>
      </c>
      <c r="H1097" s="4" t="s">
        <v>23</v>
      </c>
      <c r="I1097" s="5">
        <v>1</v>
      </c>
      <c r="J1097" s="8"/>
      <c r="K1097" s="4"/>
      <c r="L1097" s="5"/>
      <c r="M1097" s="8"/>
      <c r="N1097" s="4"/>
      <c r="O1097" s="5"/>
      <c r="P1097" s="8"/>
      <c r="Q1097" s="4"/>
      <c r="R1097" s="5"/>
      <c r="W1097" s="67" t="s">
        <v>1048</v>
      </c>
      <c r="X1097" s="68" t="s">
        <v>1054</v>
      </c>
      <c r="Y1097" s="69">
        <v>22.75</v>
      </c>
      <c r="Z1097" t="str">
        <f>IF(AND(Tabla1[[#This Row],[nudo inicial]]=Tabla3[[#This Row],[n1]],Tabla1[[#This Row],[nudo final]]=Tabla3[[#This Row],[n2]],Tabla1[[#This Row],[longitud]]=Tabla3[[#This Row],[long]]),"si","no")</f>
        <v>si</v>
      </c>
    </row>
    <row r="1098" spans="1:26" ht="15.75" x14ac:dyDescent="0.25">
      <c r="B1098" t="s">
        <v>1054</v>
      </c>
      <c r="C1098" t="s">
        <v>1055</v>
      </c>
      <c r="D1098" s="19">
        <v>260.94</v>
      </c>
      <c r="E1098" s="3" t="s">
        <v>53</v>
      </c>
      <c r="F1098" s="3" t="s">
        <v>25</v>
      </c>
      <c r="G1098" s="8" t="s">
        <v>58</v>
      </c>
      <c r="H1098" s="4" t="s">
        <v>23</v>
      </c>
      <c r="I1098" s="5">
        <v>1</v>
      </c>
      <c r="J1098" s="8" t="s">
        <v>15</v>
      </c>
      <c r="K1098" s="4" t="s">
        <v>53</v>
      </c>
      <c r="L1098" s="5">
        <v>1</v>
      </c>
      <c r="M1098" s="8" t="s">
        <v>17</v>
      </c>
      <c r="N1098" s="4" t="s">
        <v>53</v>
      </c>
      <c r="O1098" s="5">
        <v>1</v>
      </c>
      <c r="P1098" s="8"/>
      <c r="Q1098" s="4"/>
      <c r="R1098" s="5"/>
      <c r="W1098" s="67" t="s">
        <v>1054</v>
      </c>
      <c r="X1098" s="68" t="s">
        <v>1055</v>
      </c>
      <c r="Y1098" s="69">
        <v>260.94</v>
      </c>
      <c r="Z1098" t="str">
        <f>IF(AND(Tabla1[[#This Row],[nudo inicial]]=Tabla3[[#This Row],[n1]],Tabla1[[#This Row],[nudo final]]=Tabla3[[#This Row],[n2]],Tabla1[[#This Row],[longitud]]=Tabla3[[#This Row],[long]]),"si","no")</f>
        <v>si</v>
      </c>
    </row>
    <row r="1099" spans="1:26" ht="15.75" x14ac:dyDescent="0.25">
      <c r="B1099" t="s">
        <v>1054</v>
      </c>
      <c r="C1099" t="s">
        <v>1056</v>
      </c>
      <c r="D1099" s="19">
        <v>126.82</v>
      </c>
      <c r="E1099" s="3" t="s">
        <v>53</v>
      </c>
      <c r="F1099" s="3" t="s">
        <v>25</v>
      </c>
      <c r="G1099" s="8" t="s">
        <v>57</v>
      </c>
      <c r="H1099" s="4" t="s">
        <v>23</v>
      </c>
      <c r="I1099" s="5">
        <v>1</v>
      </c>
      <c r="J1099" s="8" t="s">
        <v>15</v>
      </c>
      <c r="K1099" s="4" t="s">
        <v>53</v>
      </c>
      <c r="L1099" s="5">
        <v>1</v>
      </c>
      <c r="M1099" s="8"/>
      <c r="N1099" s="4"/>
      <c r="O1099" s="5"/>
      <c r="P1099" s="8"/>
      <c r="Q1099" s="4"/>
      <c r="R1099" s="5"/>
      <c r="W1099" s="67" t="s">
        <v>1054</v>
      </c>
      <c r="X1099" s="68" t="s">
        <v>1056</v>
      </c>
      <c r="Y1099" s="69">
        <v>126.82</v>
      </c>
      <c r="Z1099" t="str">
        <f>IF(AND(Tabla1[[#This Row],[nudo inicial]]=Tabla3[[#This Row],[n1]],Tabla1[[#This Row],[nudo final]]=Tabla3[[#This Row],[n2]],Tabla1[[#This Row],[longitud]]=Tabla3[[#This Row],[long]]),"si","no")</f>
        <v>si</v>
      </c>
    </row>
    <row r="1100" spans="1:26" ht="15.75" x14ac:dyDescent="0.25">
      <c r="B1100" t="s">
        <v>1056</v>
      </c>
      <c r="C1100" t="s">
        <v>1057</v>
      </c>
      <c r="D1100" s="19">
        <v>145.91999999999999</v>
      </c>
      <c r="E1100" s="3" t="s">
        <v>53</v>
      </c>
      <c r="F1100" s="3" t="s">
        <v>25</v>
      </c>
      <c r="G1100" s="8" t="s">
        <v>58</v>
      </c>
      <c r="H1100" s="4" t="s">
        <v>53</v>
      </c>
      <c r="I1100" s="5">
        <v>1</v>
      </c>
      <c r="J1100" s="8" t="s">
        <v>16</v>
      </c>
      <c r="K1100" s="4" t="s">
        <v>53</v>
      </c>
      <c r="L1100" s="5">
        <v>1</v>
      </c>
      <c r="M1100" s="8" t="s">
        <v>17</v>
      </c>
      <c r="N1100" s="4" t="s">
        <v>53</v>
      </c>
      <c r="O1100" s="5">
        <v>1</v>
      </c>
      <c r="P1100" s="8"/>
      <c r="Q1100" s="4"/>
      <c r="R1100" s="5"/>
      <c r="W1100" s="67" t="s">
        <v>1056</v>
      </c>
      <c r="X1100" s="68" t="s">
        <v>1057</v>
      </c>
      <c r="Y1100" s="69">
        <v>145.91999999999999</v>
      </c>
      <c r="Z1100" t="str">
        <f>IF(AND(Tabla1[[#This Row],[nudo inicial]]=Tabla3[[#This Row],[n1]],Tabla1[[#This Row],[nudo final]]=Tabla3[[#This Row],[n2]],Tabla1[[#This Row],[longitud]]=Tabla3[[#This Row],[long]]),"si","no")</f>
        <v>si</v>
      </c>
    </row>
    <row r="1101" spans="1:26" ht="15.75" x14ac:dyDescent="0.25">
      <c r="B1101" t="s">
        <v>1056</v>
      </c>
      <c r="C1101" t="s">
        <v>1058</v>
      </c>
      <c r="D1101" s="19">
        <v>19.57</v>
      </c>
      <c r="E1101" s="3" t="s">
        <v>53</v>
      </c>
      <c r="F1101" s="3" t="s">
        <v>25</v>
      </c>
      <c r="G1101" s="8" t="s">
        <v>58</v>
      </c>
      <c r="H1101" s="4" t="s">
        <v>53</v>
      </c>
      <c r="I1101" s="5">
        <v>1</v>
      </c>
      <c r="J1101" s="8" t="s">
        <v>16</v>
      </c>
      <c r="K1101" s="4" t="s">
        <v>53</v>
      </c>
      <c r="L1101" s="5">
        <v>1</v>
      </c>
      <c r="M1101" s="8" t="s">
        <v>17</v>
      </c>
      <c r="N1101" s="4" t="s">
        <v>53</v>
      </c>
      <c r="O1101" s="5">
        <v>1</v>
      </c>
      <c r="P1101" s="8"/>
      <c r="Q1101" s="4"/>
      <c r="R1101" s="5"/>
      <c r="W1101" s="67" t="s">
        <v>1056</v>
      </c>
      <c r="X1101" s="68" t="s">
        <v>1058</v>
      </c>
      <c r="Y1101" s="69">
        <v>19.57</v>
      </c>
      <c r="Z1101" t="str">
        <f>IF(AND(Tabla1[[#This Row],[nudo inicial]]=Tabla3[[#This Row],[n1]],Tabla1[[#This Row],[nudo final]]=Tabla3[[#This Row],[n2]],Tabla1[[#This Row],[longitud]]=Tabla3[[#This Row],[long]]),"si","no")</f>
        <v>si</v>
      </c>
    </row>
    <row r="1102" spans="1:26" ht="15.75" x14ac:dyDescent="0.25">
      <c r="B1102" t="s">
        <v>1045</v>
      </c>
      <c r="C1102" t="s">
        <v>1059</v>
      </c>
      <c r="D1102" s="19">
        <v>10.38</v>
      </c>
      <c r="E1102" s="3" t="s">
        <v>126</v>
      </c>
      <c r="F1102" s="3" t="s">
        <v>25</v>
      </c>
      <c r="G1102" s="8" t="s">
        <v>57</v>
      </c>
      <c r="H1102" s="4" t="s">
        <v>126</v>
      </c>
      <c r="I1102" s="5">
        <v>1</v>
      </c>
      <c r="J1102" s="8"/>
      <c r="K1102" s="4"/>
      <c r="L1102" s="5"/>
      <c r="M1102" s="8"/>
      <c r="N1102" s="4"/>
      <c r="O1102" s="5"/>
      <c r="P1102" s="8"/>
      <c r="Q1102" s="4"/>
      <c r="R1102" s="5"/>
      <c r="W1102" s="67" t="s">
        <v>1045</v>
      </c>
      <c r="X1102" s="68" t="s">
        <v>1059</v>
      </c>
      <c r="Y1102" s="69">
        <v>10.38</v>
      </c>
      <c r="Z1102" t="str">
        <f>IF(AND(Tabla1[[#This Row],[nudo inicial]]=Tabla3[[#This Row],[n1]],Tabla1[[#This Row],[nudo final]]=Tabla3[[#This Row],[n2]],Tabla1[[#This Row],[longitud]]=Tabla3[[#This Row],[long]]),"si","no")</f>
        <v>si</v>
      </c>
    </row>
    <row r="1103" spans="1:26" ht="15.75" x14ac:dyDescent="0.25">
      <c r="B1103" t="s">
        <v>1059</v>
      </c>
      <c r="C1103" t="s">
        <v>1060</v>
      </c>
      <c r="D1103" s="19">
        <v>290.02</v>
      </c>
      <c r="E1103" s="3" t="s">
        <v>23</v>
      </c>
      <c r="F1103" s="3" t="s">
        <v>25</v>
      </c>
      <c r="G1103" s="8" t="s">
        <v>15</v>
      </c>
      <c r="H1103" s="4" t="s">
        <v>23</v>
      </c>
      <c r="I1103" s="5">
        <v>1</v>
      </c>
      <c r="J1103" s="8"/>
      <c r="K1103" s="4"/>
      <c r="L1103" s="5"/>
      <c r="M1103" s="8"/>
      <c r="N1103" s="4"/>
      <c r="O1103" s="5"/>
      <c r="P1103" s="8"/>
      <c r="Q1103" s="4"/>
      <c r="R1103" s="5"/>
      <c r="W1103" s="67" t="s">
        <v>1059</v>
      </c>
      <c r="X1103" s="68" t="s">
        <v>1060</v>
      </c>
      <c r="Y1103" s="69">
        <v>290.02</v>
      </c>
      <c r="Z1103" t="str">
        <f>IF(AND(Tabla1[[#This Row],[nudo inicial]]=Tabla3[[#This Row],[n1]],Tabla1[[#This Row],[nudo final]]=Tabla3[[#This Row],[n2]],Tabla1[[#This Row],[longitud]]=Tabla3[[#This Row],[long]]),"si","no")</f>
        <v>si</v>
      </c>
    </row>
    <row r="1104" spans="1:26" ht="15.75" x14ac:dyDescent="0.25">
      <c r="A1104" s="14"/>
      <c r="B1104" t="s">
        <v>1060</v>
      </c>
      <c r="C1104" t="s">
        <v>1061</v>
      </c>
      <c r="D1104" s="19">
        <v>56.36</v>
      </c>
      <c r="E1104" s="3" t="s">
        <v>23</v>
      </c>
      <c r="F1104" s="3" t="s">
        <v>25</v>
      </c>
      <c r="G1104" s="8" t="s">
        <v>57</v>
      </c>
      <c r="H1104" s="4" t="s">
        <v>23</v>
      </c>
      <c r="I1104" s="5">
        <v>1</v>
      </c>
      <c r="J1104" s="8" t="s">
        <v>17</v>
      </c>
      <c r="K1104" s="4" t="s">
        <v>23</v>
      </c>
      <c r="L1104" s="5">
        <v>1</v>
      </c>
      <c r="M1104" s="8"/>
      <c r="N1104" s="4"/>
      <c r="O1104" s="5"/>
      <c r="P1104" s="8"/>
      <c r="Q1104" s="4"/>
      <c r="R1104" s="5"/>
      <c r="W1104" s="67" t="s">
        <v>1060</v>
      </c>
      <c r="X1104" s="68" t="s">
        <v>1061</v>
      </c>
      <c r="Y1104" s="69">
        <v>56.36</v>
      </c>
      <c r="Z1104" t="str">
        <f>IF(AND(Tabla1[[#This Row],[nudo inicial]]=Tabla3[[#This Row],[n1]],Tabla1[[#This Row],[nudo final]]=Tabla3[[#This Row],[n2]],Tabla1[[#This Row],[longitud]]=Tabla3[[#This Row],[long]]),"si","no")</f>
        <v>si</v>
      </c>
    </row>
    <row r="1105" spans="2:26" ht="15.75" x14ac:dyDescent="0.25">
      <c r="B1105" t="s">
        <v>1060</v>
      </c>
      <c r="C1105" t="s">
        <v>1062</v>
      </c>
      <c r="D1105" s="19">
        <v>64.19</v>
      </c>
      <c r="E1105" s="3" t="s">
        <v>53</v>
      </c>
      <c r="F1105" s="3" t="s">
        <v>25</v>
      </c>
      <c r="G1105" s="8" t="s">
        <v>58</v>
      </c>
      <c r="H1105" s="4" t="s">
        <v>23</v>
      </c>
      <c r="I1105" s="5">
        <v>1</v>
      </c>
      <c r="J1105" s="8" t="s">
        <v>15</v>
      </c>
      <c r="K1105" s="4" t="s">
        <v>53</v>
      </c>
      <c r="L1105" s="5">
        <v>1</v>
      </c>
      <c r="M1105" s="8"/>
      <c r="N1105" s="4"/>
      <c r="O1105" s="5"/>
      <c r="P1105" s="8"/>
      <c r="Q1105" s="4"/>
      <c r="R1105" s="5"/>
      <c r="W1105" s="67" t="s">
        <v>1060</v>
      </c>
      <c r="X1105" s="68" t="s">
        <v>1062</v>
      </c>
      <c r="Y1105" s="69">
        <v>64.19</v>
      </c>
      <c r="Z1105" t="str">
        <f>IF(AND(Tabla1[[#This Row],[nudo inicial]]=Tabla3[[#This Row],[n1]],Tabla1[[#This Row],[nudo final]]=Tabla3[[#This Row],[n2]],Tabla1[[#This Row],[longitud]]=Tabla3[[#This Row],[long]]),"si","no")</f>
        <v>si</v>
      </c>
    </row>
    <row r="1106" spans="2:26" ht="15.75" x14ac:dyDescent="0.25">
      <c r="B1106" s="14" t="s">
        <v>1062</v>
      </c>
      <c r="C1106" s="14" t="s">
        <v>1063</v>
      </c>
      <c r="D1106" s="20">
        <v>117</v>
      </c>
      <c r="E1106" s="15" t="s">
        <v>53</v>
      </c>
      <c r="F1106" s="15" t="s">
        <v>25</v>
      </c>
      <c r="G1106" s="16" t="s">
        <v>57</v>
      </c>
      <c r="H1106" s="17" t="s">
        <v>53</v>
      </c>
      <c r="I1106" s="18">
        <v>1</v>
      </c>
      <c r="J1106" s="16" t="s">
        <v>16</v>
      </c>
      <c r="K1106" s="17" t="s">
        <v>53</v>
      </c>
      <c r="L1106" s="18">
        <v>1</v>
      </c>
      <c r="M1106" s="16" t="s">
        <v>17</v>
      </c>
      <c r="N1106" s="17" t="s">
        <v>53</v>
      </c>
      <c r="O1106" s="18">
        <v>1</v>
      </c>
      <c r="P1106" s="16"/>
      <c r="Q1106" s="17"/>
      <c r="R1106" s="18"/>
      <c r="S1106" s="14"/>
      <c r="T1106" s="14"/>
      <c r="U1106" s="14"/>
      <c r="W1106" s="67" t="s">
        <v>1062</v>
      </c>
      <c r="X1106" s="68" t="s">
        <v>1063</v>
      </c>
      <c r="Y1106" s="69">
        <v>117</v>
      </c>
      <c r="Z1106" t="str">
        <f>IF(AND(Tabla1[[#This Row],[nudo inicial]]=Tabla3[[#This Row],[n1]],Tabla1[[#This Row],[nudo final]]=Tabla3[[#This Row],[n2]],Tabla1[[#This Row],[longitud]]=Tabla3[[#This Row],[long]]),"si","no")</f>
        <v>si</v>
      </c>
    </row>
    <row r="1107" spans="2:26" ht="15.75" x14ac:dyDescent="0.25">
      <c r="B1107" t="s">
        <v>1062</v>
      </c>
      <c r="C1107" t="s">
        <v>1064</v>
      </c>
      <c r="D1107" s="19">
        <v>120.65</v>
      </c>
      <c r="E1107" s="3" t="s">
        <v>53</v>
      </c>
      <c r="F1107" s="3" t="s">
        <v>25</v>
      </c>
      <c r="G1107" s="8" t="s">
        <v>58</v>
      </c>
      <c r="H1107" s="4" t="s">
        <v>53</v>
      </c>
      <c r="I1107" s="5">
        <v>1</v>
      </c>
      <c r="J1107" s="8" t="s">
        <v>16</v>
      </c>
      <c r="K1107" s="4" t="s">
        <v>53</v>
      </c>
      <c r="L1107" s="5">
        <v>1</v>
      </c>
      <c r="M1107" s="8" t="s">
        <v>32</v>
      </c>
      <c r="N1107" s="4" t="s">
        <v>53</v>
      </c>
      <c r="O1107" s="5">
        <v>1</v>
      </c>
      <c r="P1107" s="8"/>
      <c r="Q1107" s="4"/>
      <c r="R1107" s="5"/>
      <c r="W1107" s="67" t="s">
        <v>1062</v>
      </c>
      <c r="X1107" s="68" t="s">
        <v>1064</v>
      </c>
      <c r="Y1107" s="69">
        <v>120.65</v>
      </c>
      <c r="Z1107" t="str">
        <f>IF(AND(Tabla1[[#This Row],[nudo inicial]]=Tabla3[[#This Row],[n1]],Tabla1[[#This Row],[nudo final]]=Tabla3[[#This Row],[n2]],Tabla1[[#This Row],[longitud]]=Tabla3[[#This Row],[long]]),"si","no")</f>
        <v>si</v>
      </c>
    </row>
    <row r="1108" spans="2:26" ht="15.75" x14ac:dyDescent="0.25">
      <c r="B1108" t="s">
        <v>1064</v>
      </c>
      <c r="C1108" t="s">
        <v>1065</v>
      </c>
      <c r="D1108" s="19">
        <v>190.13</v>
      </c>
      <c r="E1108" s="3" t="s">
        <v>53</v>
      </c>
      <c r="F1108" s="3" t="s">
        <v>25</v>
      </c>
      <c r="G1108" s="8" t="s">
        <v>58</v>
      </c>
      <c r="H1108" s="4" t="s">
        <v>53</v>
      </c>
      <c r="I1108" s="5">
        <v>1</v>
      </c>
      <c r="J1108" s="8" t="s">
        <v>17</v>
      </c>
      <c r="K1108" s="4" t="s">
        <v>53</v>
      </c>
      <c r="L1108" s="5">
        <v>1</v>
      </c>
      <c r="M1108" s="8"/>
      <c r="N1108" s="4"/>
      <c r="O1108" s="5"/>
      <c r="P1108" s="8"/>
      <c r="Q1108" s="4"/>
      <c r="R1108" s="5"/>
      <c r="W1108" s="67" t="s">
        <v>1064</v>
      </c>
      <c r="X1108" s="68" t="s">
        <v>1065</v>
      </c>
      <c r="Y1108" s="69">
        <v>190.13</v>
      </c>
      <c r="Z1108" t="str">
        <f>IF(AND(Tabla1[[#This Row],[nudo inicial]]=Tabla3[[#This Row],[n1]],Tabla1[[#This Row],[nudo final]]=Tabla3[[#This Row],[n2]],Tabla1[[#This Row],[longitud]]=Tabla3[[#This Row],[long]]),"si","no")</f>
        <v>si</v>
      </c>
    </row>
    <row r="1109" spans="2:26" ht="15.75" x14ac:dyDescent="0.25">
      <c r="B1109" t="s">
        <v>1064</v>
      </c>
      <c r="C1109" t="s">
        <v>1066</v>
      </c>
      <c r="D1109" s="19">
        <v>204.72</v>
      </c>
      <c r="E1109" s="3" t="s">
        <v>53</v>
      </c>
      <c r="F1109" s="3" t="s">
        <v>25</v>
      </c>
      <c r="G1109" s="8" t="s">
        <v>57</v>
      </c>
      <c r="H1109" s="4" t="s">
        <v>53</v>
      </c>
      <c r="I1109" s="5">
        <v>1</v>
      </c>
      <c r="J1109" s="8" t="s">
        <v>16</v>
      </c>
      <c r="K1109" s="4" t="s">
        <v>53</v>
      </c>
      <c r="L1109" s="5">
        <v>1</v>
      </c>
      <c r="M1109" s="8" t="s">
        <v>17</v>
      </c>
      <c r="N1109" s="4" t="s">
        <v>53</v>
      </c>
      <c r="O1109" s="5">
        <v>1</v>
      </c>
      <c r="P1109" s="8"/>
      <c r="Q1109" s="4"/>
      <c r="R1109" s="5"/>
      <c r="W1109" s="67" t="s">
        <v>1064</v>
      </c>
      <c r="X1109" s="68" t="s">
        <v>1066</v>
      </c>
      <c r="Y1109" s="69">
        <v>204.72</v>
      </c>
      <c r="Z1109" t="str">
        <f>IF(AND(Tabla1[[#This Row],[nudo inicial]]=Tabla3[[#This Row],[n1]],Tabla1[[#This Row],[nudo final]]=Tabla3[[#This Row],[n2]],Tabla1[[#This Row],[longitud]]=Tabla3[[#This Row],[long]]),"si","no")</f>
        <v>si</v>
      </c>
    </row>
    <row r="1110" spans="2:26" ht="15.75" x14ac:dyDescent="0.25">
      <c r="B1110" t="s">
        <v>1042</v>
      </c>
      <c r="C1110" t="s">
        <v>1067</v>
      </c>
      <c r="D1110" s="19">
        <v>11.48</v>
      </c>
      <c r="E1110" s="3" t="s">
        <v>55</v>
      </c>
      <c r="F1110" s="3" t="s">
        <v>25</v>
      </c>
      <c r="G1110" s="8" t="s">
        <v>57</v>
      </c>
      <c r="H1110" s="4" t="s">
        <v>55</v>
      </c>
      <c r="I1110" s="5">
        <v>1</v>
      </c>
      <c r="J1110" s="8"/>
      <c r="K1110" s="4"/>
      <c r="L1110" s="5"/>
      <c r="M1110" s="8"/>
      <c r="N1110" s="4"/>
      <c r="O1110" s="5"/>
      <c r="P1110" s="8"/>
      <c r="Q1110" s="4"/>
      <c r="R1110" s="5"/>
      <c r="W1110" s="67" t="s">
        <v>1042</v>
      </c>
      <c r="X1110" s="68" t="s">
        <v>1067</v>
      </c>
      <c r="Y1110" s="69">
        <v>11.48</v>
      </c>
      <c r="Z1110" t="str">
        <f>IF(AND(Tabla1[[#This Row],[nudo inicial]]=Tabla3[[#This Row],[n1]],Tabla1[[#This Row],[nudo final]]=Tabla3[[#This Row],[n2]],Tabla1[[#This Row],[longitud]]=Tabla3[[#This Row],[long]]),"si","no")</f>
        <v>si</v>
      </c>
    </row>
    <row r="1111" spans="2:26" ht="15.75" x14ac:dyDescent="0.25">
      <c r="B1111" t="s">
        <v>1067</v>
      </c>
      <c r="C1111" t="s">
        <v>1068</v>
      </c>
      <c r="D1111" s="19">
        <v>27</v>
      </c>
      <c r="E1111" s="3" t="s">
        <v>126</v>
      </c>
      <c r="F1111" s="3" t="s">
        <v>25</v>
      </c>
      <c r="G1111" s="8" t="s">
        <v>15</v>
      </c>
      <c r="H1111" s="4" t="s">
        <v>126</v>
      </c>
      <c r="I1111" s="5">
        <v>1</v>
      </c>
      <c r="J1111" s="8" t="s">
        <v>32</v>
      </c>
      <c r="K1111" s="4" t="s">
        <v>126</v>
      </c>
      <c r="L1111" s="5">
        <v>1</v>
      </c>
      <c r="M1111" s="8"/>
      <c r="N1111" s="4"/>
      <c r="O1111" s="5"/>
      <c r="P1111" s="8"/>
      <c r="Q1111" s="4"/>
      <c r="R1111" s="5"/>
      <c r="W1111" s="67" t="s">
        <v>1067</v>
      </c>
      <c r="X1111" s="68" t="s">
        <v>1068</v>
      </c>
      <c r="Y1111" s="69">
        <v>27</v>
      </c>
      <c r="Z1111" t="str">
        <f>IF(AND(Tabla1[[#This Row],[nudo inicial]]=Tabla3[[#This Row],[n1]],Tabla1[[#This Row],[nudo final]]=Tabla3[[#This Row],[n2]],Tabla1[[#This Row],[longitud]]=Tabla3[[#This Row],[long]]),"si","no")</f>
        <v>si</v>
      </c>
    </row>
    <row r="1112" spans="2:26" ht="15.75" x14ac:dyDescent="0.25">
      <c r="B1112" t="s">
        <v>1068</v>
      </c>
      <c r="C1112" t="s">
        <v>1069</v>
      </c>
      <c r="D1112" s="19">
        <v>59.4</v>
      </c>
      <c r="E1112" s="3" t="s">
        <v>56</v>
      </c>
      <c r="F1112" s="3" t="s">
        <v>25</v>
      </c>
      <c r="G1112" s="8" t="s">
        <v>58</v>
      </c>
      <c r="H1112" s="4" t="s">
        <v>126</v>
      </c>
      <c r="I1112" s="5">
        <v>1</v>
      </c>
      <c r="J1112" s="8" t="s">
        <v>15</v>
      </c>
      <c r="K1112" s="4" t="s">
        <v>56</v>
      </c>
      <c r="L1112" s="5">
        <v>1</v>
      </c>
      <c r="M1112" s="8" t="s">
        <v>17</v>
      </c>
      <c r="N1112" s="4" t="s">
        <v>56</v>
      </c>
      <c r="O1112" s="5">
        <v>1</v>
      </c>
      <c r="P1112" s="8"/>
      <c r="Q1112" s="4"/>
      <c r="R1112" s="5"/>
      <c r="W1112" s="67" t="s">
        <v>1068</v>
      </c>
      <c r="X1112" s="68" t="s">
        <v>1069</v>
      </c>
      <c r="Y1112" s="69">
        <v>59.4</v>
      </c>
      <c r="Z1112" t="str">
        <f>IF(AND(Tabla1[[#This Row],[nudo inicial]]=Tabla3[[#This Row],[n1]],Tabla1[[#This Row],[nudo final]]=Tabla3[[#This Row],[n2]],Tabla1[[#This Row],[longitud]]=Tabla3[[#This Row],[long]]),"si","no")</f>
        <v>si</v>
      </c>
    </row>
    <row r="1113" spans="2:26" ht="15.75" x14ac:dyDescent="0.25">
      <c r="B1113" t="s">
        <v>1068</v>
      </c>
      <c r="C1113" t="s">
        <v>1070</v>
      </c>
      <c r="D1113" s="19">
        <v>168.76</v>
      </c>
      <c r="E1113" s="3" t="s">
        <v>126</v>
      </c>
      <c r="F1113" s="3" t="s">
        <v>25</v>
      </c>
      <c r="G1113" s="8" t="s">
        <v>57</v>
      </c>
      <c r="H1113" s="4" t="s">
        <v>126</v>
      </c>
      <c r="I1113" s="5">
        <v>1</v>
      </c>
      <c r="J1113" s="8"/>
      <c r="K1113" s="4"/>
      <c r="L1113" s="5"/>
      <c r="M1113" s="8"/>
      <c r="N1113" s="4"/>
      <c r="O1113" s="5"/>
      <c r="P1113" s="8"/>
      <c r="Q1113" s="4"/>
      <c r="R1113" s="5"/>
      <c r="W1113" s="67" t="s">
        <v>1068</v>
      </c>
      <c r="X1113" s="68" t="s">
        <v>1070</v>
      </c>
      <c r="Y1113" s="69">
        <v>168.76</v>
      </c>
      <c r="Z1113" t="str">
        <f>IF(AND(Tabla1[[#This Row],[nudo inicial]]=Tabla3[[#This Row],[n1]],Tabla1[[#This Row],[nudo final]]=Tabla3[[#This Row],[n2]],Tabla1[[#This Row],[longitud]]=Tabla3[[#This Row],[long]]),"si","no")</f>
        <v>si</v>
      </c>
    </row>
    <row r="1114" spans="2:26" ht="15.75" x14ac:dyDescent="0.25">
      <c r="B1114" t="s">
        <v>1070</v>
      </c>
      <c r="C1114" t="s">
        <v>1071</v>
      </c>
      <c r="D1114" s="19">
        <v>46.93</v>
      </c>
      <c r="E1114" s="3" t="s">
        <v>23</v>
      </c>
      <c r="F1114" s="3" t="s">
        <v>25</v>
      </c>
      <c r="G1114" s="8" t="s">
        <v>58</v>
      </c>
      <c r="H1114" s="4" t="s">
        <v>126</v>
      </c>
      <c r="I1114" s="5">
        <v>1</v>
      </c>
      <c r="J1114" s="8" t="s">
        <v>15</v>
      </c>
      <c r="K1114" s="4" t="s">
        <v>23</v>
      </c>
      <c r="L1114" s="5">
        <v>1</v>
      </c>
      <c r="M1114" s="8" t="s">
        <v>17</v>
      </c>
      <c r="N1114" s="4" t="s">
        <v>23</v>
      </c>
      <c r="O1114" s="5">
        <v>1</v>
      </c>
      <c r="P1114" s="8"/>
      <c r="Q1114" s="4"/>
      <c r="R1114" s="5"/>
      <c r="W1114" s="67" t="s">
        <v>1070</v>
      </c>
      <c r="X1114" s="68" t="s">
        <v>1071</v>
      </c>
      <c r="Y1114" s="69">
        <v>46.93</v>
      </c>
      <c r="Z1114" t="str">
        <f>IF(AND(Tabla1[[#This Row],[nudo inicial]]=Tabla3[[#This Row],[n1]],Tabla1[[#This Row],[nudo final]]=Tabla3[[#This Row],[n2]],Tabla1[[#This Row],[longitud]]=Tabla3[[#This Row],[long]]),"si","no")</f>
        <v>si</v>
      </c>
    </row>
    <row r="1115" spans="2:26" ht="15.75" x14ac:dyDescent="0.25">
      <c r="B1115" t="s">
        <v>1070</v>
      </c>
      <c r="C1115" t="s">
        <v>1072</v>
      </c>
      <c r="D1115" s="19">
        <v>7.12</v>
      </c>
      <c r="E1115" s="3" t="s">
        <v>126</v>
      </c>
      <c r="F1115" s="3" t="s">
        <v>25</v>
      </c>
      <c r="G1115" s="8" t="s">
        <v>57</v>
      </c>
      <c r="H1115" s="4" t="s">
        <v>126</v>
      </c>
      <c r="I1115" s="5">
        <v>1</v>
      </c>
      <c r="J1115" s="8"/>
      <c r="K1115" s="4"/>
      <c r="L1115" s="5"/>
      <c r="M1115" s="8"/>
      <c r="N1115" s="4"/>
      <c r="O1115" s="5"/>
      <c r="P1115" s="8"/>
      <c r="Q1115" s="4"/>
      <c r="R1115" s="5"/>
      <c r="W1115" s="67" t="s">
        <v>1070</v>
      </c>
      <c r="X1115" s="68" t="s">
        <v>1072</v>
      </c>
      <c r="Y1115" s="69">
        <v>7.12</v>
      </c>
      <c r="Z1115" t="str">
        <f>IF(AND(Tabla1[[#This Row],[nudo inicial]]=Tabla3[[#This Row],[n1]],Tabla1[[#This Row],[nudo final]]=Tabla3[[#This Row],[n2]],Tabla1[[#This Row],[longitud]]=Tabla3[[#This Row],[long]]),"si","no")</f>
        <v>si</v>
      </c>
    </row>
    <row r="1116" spans="2:26" ht="15.75" x14ac:dyDescent="0.25">
      <c r="B1116" t="s">
        <v>1072</v>
      </c>
      <c r="C1116" t="s">
        <v>1073</v>
      </c>
      <c r="D1116" s="19">
        <v>123.04</v>
      </c>
      <c r="E1116" s="3" t="s">
        <v>23</v>
      </c>
      <c r="F1116" s="3" t="s">
        <v>25</v>
      </c>
      <c r="G1116" s="8" t="s">
        <v>58</v>
      </c>
      <c r="H1116" s="4" t="s">
        <v>126</v>
      </c>
      <c r="I1116" s="5">
        <v>1</v>
      </c>
      <c r="J1116" s="8" t="s">
        <v>15</v>
      </c>
      <c r="K1116" s="4" t="s">
        <v>23</v>
      </c>
      <c r="L1116" s="5">
        <v>1</v>
      </c>
      <c r="M1116" s="8"/>
      <c r="N1116" s="4"/>
      <c r="O1116" s="5"/>
      <c r="P1116" s="8"/>
      <c r="Q1116" s="4"/>
      <c r="R1116" s="5"/>
      <c r="W1116" s="67" t="s">
        <v>1072</v>
      </c>
      <c r="X1116" s="68" t="s">
        <v>1073</v>
      </c>
      <c r="Y1116" s="69">
        <v>123.04</v>
      </c>
      <c r="Z1116" t="str">
        <f>IF(AND(Tabla1[[#This Row],[nudo inicial]]=Tabla3[[#This Row],[n1]],Tabla1[[#This Row],[nudo final]]=Tabla3[[#This Row],[n2]],Tabla1[[#This Row],[longitud]]=Tabla3[[#This Row],[long]]),"si","no")</f>
        <v>si</v>
      </c>
    </row>
    <row r="1117" spans="2:26" ht="15.75" x14ac:dyDescent="0.25">
      <c r="B1117" t="s">
        <v>1073</v>
      </c>
      <c r="C1117" t="s">
        <v>1074</v>
      </c>
      <c r="D1117" s="19">
        <v>84.67</v>
      </c>
      <c r="E1117" s="3" t="s">
        <v>53</v>
      </c>
      <c r="F1117" s="3" t="s">
        <v>25</v>
      </c>
      <c r="G1117" s="8" t="s">
        <v>58</v>
      </c>
      <c r="H1117" s="4" t="s">
        <v>23</v>
      </c>
      <c r="I1117" s="5">
        <v>1</v>
      </c>
      <c r="J1117" s="8" t="s">
        <v>15</v>
      </c>
      <c r="K1117" s="4" t="s">
        <v>53</v>
      </c>
      <c r="L1117" s="5">
        <v>1</v>
      </c>
      <c r="M1117" s="8" t="s">
        <v>17</v>
      </c>
      <c r="N1117" s="4" t="s">
        <v>53</v>
      </c>
      <c r="O1117" s="5">
        <v>1</v>
      </c>
      <c r="P1117" s="8"/>
      <c r="Q1117" s="4"/>
      <c r="R1117" s="5"/>
      <c r="W1117" s="67" t="s">
        <v>1073</v>
      </c>
      <c r="X1117" s="68" t="s">
        <v>1074</v>
      </c>
      <c r="Y1117" s="69">
        <v>84.67</v>
      </c>
      <c r="Z1117" t="str">
        <f>IF(AND(Tabla1[[#This Row],[nudo inicial]]=Tabla3[[#This Row],[n1]],Tabla1[[#This Row],[nudo final]]=Tabla3[[#This Row],[n2]],Tabla1[[#This Row],[longitud]]=Tabla3[[#This Row],[long]]),"si","no")</f>
        <v>si</v>
      </c>
    </row>
    <row r="1118" spans="2:26" ht="15.75" x14ac:dyDescent="0.25">
      <c r="B1118" t="s">
        <v>1073</v>
      </c>
      <c r="C1118" t="s">
        <v>1075</v>
      </c>
      <c r="D1118" s="19">
        <v>55.45</v>
      </c>
      <c r="E1118" s="3" t="s">
        <v>53</v>
      </c>
      <c r="F1118" s="3" t="s">
        <v>25</v>
      </c>
      <c r="G1118" s="8" t="s">
        <v>57</v>
      </c>
      <c r="H1118" s="4" t="s">
        <v>53</v>
      </c>
      <c r="I1118" s="5">
        <v>1</v>
      </c>
      <c r="J1118" s="8"/>
      <c r="K1118" s="4"/>
      <c r="L1118" s="5"/>
      <c r="M1118" s="8"/>
      <c r="N1118" s="4"/>
      <c r="O1118" s="5"/>
      <c r="P1118" s="8"/>
      <c r="Q1118" s="4"/>
      <c r="R1118" s="5"/>
      <c r="W1118" s="67" t="s">
        <v>1073</v>
      </c>
      <c r="X1118" s="68" t="s">
        <v>1075</v>
      </c>
      <c r="Y1118" s="69">
        <v>55.45</v>
      </c>
      <c r="Z1118" t="str">
        <f>IF(AND(Tabla1[[#This Row],[nudo inicial]]=Tabla3[[#This Row],[n1]],Tabla1[[#This Row],[nudo final]]=Tabla3[[#This Row],[n2]],Tabla1[[#This Row],[longitud]]=Tabla3[[#This Row],[long]]),"si","no")</f>
        <v>si</v>
      </c>
    </row>
    <row r="1119" spans="2:26" ht="15.75" x14ac:dyDescent="0.25">
      <c r="B1119" t="s">
        <v>1075</v>
      </c>
      <c r="C1119" t="s">
        <v>1076</v>
      </c>
      <c r="D1119" s="19">
        <v>41.5</v>
      </c>
      <c r="E1119" s="3" t="s">
        <v>53</v>
      </c>
      <c r="F1119" s="3" t="s">
        <v>25</v>
      </c>
      <c r="G1119" s="8" t="s">
        <v>58</v>
      </c>
      <c r="H1119" s="4" t="s">
        <v>53</v>
      </c>
      <c r="I1119" s="5">
        <v>1</v>
      </c>
      <c r="J1119" s="8" t="s">
        <v>17</v>
      </c>
      <c r="K1119" s="4" t="s">
        <v>53</v>
      </c>
      <c r="L1119" s="5">
        <v>1</v>
      </c>
      <c r="M1119" s="8"/>
      <c r="N1119" s="4"/>
      <c r="O1119" s="5"/>
      <c r="P1119" s="8"/>
      <c r="Q1119" s="4"/>
      <c r="R1119" s="5"/>
      <c r="W1119" s="67" t="s">
        <v>1075</v>
      </c>
      <c r="X1119" s="68" t="s">
        <v>1076</v>
      </c>
      <c r="Y1119" s="69">
        <v>41.5</v>
      </c>
      <c r="Z1119" t="str">
        <f>IF(AND(Tabla1[[#This Row],[nudo inicial]]=Tabla3[[#This Row],[n1]],Tabla1[[#This Row],[nudo final]]=Tabla3[[#This Row],[n2]],Tabla1[[#This Row],[longitud]]=Tabla3[[#This Row],[long]]),"si","no")</f>
        <v>si</v>
      </c>
    </row>
    <row r="1120" spans="2:26" ht="15.75" x14ac:dyDescent="0.25">
      <c r="B1120" t="s">
        <v>1075</v>
      </c>
      <c r="C1120" t="s">
        <v>1077</v>
      </c>
      <c r="D1120" s="19">
        <v>8.7200000000000006</v>
      </c>
      <c r="E1120" s="3" t="s">
        <v>53</v>
      </c>
      <c r="F1120" s="3" t="s">
        <v>25</v>
      </c>
      <c r="G1120" s="8" t="s">
        <v>57</v>
      </c>
      <c r="H1120" s="4" t="s">
        <v>53</v>
      </c>
      <c r="I1120" s="5">
        <v>1</v>
      </c>
      <c r="J1120" s="8"/>
      <c r="K1120" s="4"/>
      <c r="L1120" s="5"/>
      <c r="M1120" s="8"/>
      <c r="N1120" s="4"/>
      <c r="O1120" s="5"/>
      <c r="P1120" s="8"/>
      <c r="Q1120" s="4"/>
      <c r="R1120" s="5"/>
      <c r="W1120" s="67" t="s">
        <v>1075</v>
      </c>
      <c r="X1120" s="68" t="s">
        <v>1077</v>
      </c>
      <c r="Y1120" s="69">
        <v>8.7200000000000006</v>
      </c>
      <c r="Z1120" t="str">
        <f>IF(AND(Tabla1[[#This Row],[nudo inicial]]=Tabla3[[#This Row],[n1]],Tabla1[[#This Row],[nudo final]]=Tabla3[[#This Row],[n2]],Tabla1[[#This Row],[longitud]]=Tabla3[[#This Row],[long]]),"si","no")</f>
        <v>si</v>
      </c>
    </row>
    <row r="1121" spans="2:26" ht="15.75" x14ac:dyDescent="0.25">
      <c r="B1121" t="s">
        <v>1077</v>
      </c>
      <c r="C1121" t="s">
        <v>1078</v>
      </c>
      <c r="D1121" s="19">
        <v>156.65</v>
      </c>
      <c r="E1121" s="3" t="s">
        <v>53</v>
      </c>
      <c r="F1121" s="3" t="s">
        <v>25</v>
      </c>
      <c r="G1121" s="8" t="s">
        <v>58</v>
      </c>
      <c r="H1121" s="4" t="s">
        <v>53</v>
      </c>
      <c r="I1121" s="5">
        <v>1</v>
      </c>
      <c r="J1121" s="8" t="s">
        <v>16</v>
      </c>
      <c r="K1121" s="4" t="s">
        <v>53</v>
      </c>
      <c r="L1121" s="5">
        <v>1</v>
      </c>
      <c r="M1121" s="8" t="s">
        <v>17</v>
      </c>
      <c r="N1121" s="4" t="s">
        <v>53</v>
      </c>
      <c r="O1121" s="5">
        <v>1</v>
      </c>
      <c r="P1121" s="8"/>
      <c r="Q1121" s="4"/>
      <c r="R1121" s="5"/>
      <c r="W1121" s="67" t="s">
        <v>1077</v>
      </c>
      <c r="X1121" s="68" t="s">
        <v>1078</v>
      </c>
      <c r="Y1121" s="69">
        <v>156.65</v>
      </c>
      <c r="Z1121" t="str">
        <f>IF(AND(Tabla1[[#This Row],[nudo inicial]]=Tabla3[[#This Row],[n1]],Tabla1[[#This Row],[nudo final]]=Tabla3[[#This Row],[n2]],Tabla1[[#This Row],[longitud]]=Tabla3[[#This Row],[long]]),"si","no")</f>
        <v>si</v>
      </c>
    </row>
    <row r="1122" spans="2:26" ht="15.75" x14ac:dyDescent="0.25">
      <c r="B1122" t="s">
        <v>1077</v>
      </c>
      <c r="C1122" t="s">
        <v>1079</v>
      </c>
      <c r="D1122" s="19">
        <v>37.130000000000003</v>
      </c>
      <c r="E1122" s="3" t="s">
        <v>53</v>
      </c>
      <c r="F1122" s="3" t="s">
        <v>25</v>
      </c>
      <c r="G1122" s="8" t="s">
        <v>57</v>
      </c>
      <c r="H1122" s="4" t="s">
        <v>53</v>
      </c>
      <c r="I1122" s="5">
        <v>1</v>
      </c>
      <c r="J1122" s="8"/>
      <c r="K1122" s="4"/>
      <c r="L1122" s="5"/>
      <c r="M1122" s="8"/>
      <c r="N1122" s="4"/>
      <c r="O1122" s="5"/>
      <c r="P1122" s="8"/>
      <c r="Q1122" s="4"/>
      <c r="R1122" s="5"/>
      <c r="W1122" s="67" t="s">
        <v>1077</v>
      </c>
      <c r="X1122" s="68" t="s">
        <v>1079</v>
      </c>
      <c r="Y1122" s="69">
        <v>37.130000000000003</v>
      </c>
      <c r="Z1122" t="str">
        <f>IF(AND(Tabla1[[#This Row],[nudo inicial]]=Tabla3[[#This Row],[n1]],Tabla1[[#This Row],[nudo final]]=Tabla3[[#This Row],[n2]],Tabla1[[#This Row],[longitud]]=Tabla3[[#This Row],[long]]),"si","no")</f>
        <v>si</v>
      </c>
    </row>
    <row r="1123" spans="2:26" ht="15.75" x14ac:dyDescent="0.25">
      <c r="B1123" t="s">
        <v>1079</v>
      </c>
      <c r="C1123" t="s">
        <v>1080</v>
      </c>
      <c r="D1123" s="19">
        <v>52.37</v>
      </c>
      <c r="E1123" s="3" t="s">
        <v>53</v>
      </c>
      <c r="F1123" s="3" t="s">
        <v>25</v>
      </c>
      <c r="G1123" s="8" t="s">
        <v>58</v>
      </c>
      <c r="H1123" s="4" t="s">
        <v>53</v>
      </c>
      <c r="I1123" s="5">
        <v>1</v>
      </c>
      <c r="J1123" s="8" t="s">
        <v>17</v>
      </c>
      <c r="K1123" s="4" t="s">
        <v>53</v>
      </c>
      <c r="L1123" s="5">
        <v>1</v>
      </c>
      <c r="M1123" s="8"/>
      <c r="N1123" s="4"/>
      <c r="O1123" s="5"/>
      <c r="P1123" s="8"/>
      <c r="Q1123" s="4"/>
      <c r="R1123" s="5"/>
      <c r="W1123" s="67" t="s">
        <v>1079</v>
      </c>
      <c r="X1123" s="68" t="s">
        <v>1080</v>
      </c>
      <c r="Y1123" s="69">
        <v>52.37</v>
      </c>
      <c r="Z1123" t="str">
        <f>IF(AND(Tabla1[[#This Row],[nudo inicial]]=Tabla3[[#This Row],[n1]],Tabla1[[#This Row],[nudo final]]=Tabla3[[#This Row],[n2]],Tabla1[[#This Row],[longitud]]=Tabla3[[#This Row],[long]]),"si","no")</f>
        <v>si</v>
      </c>
    </row>
    <row r="1124" spans="2:26" ht="15.75" x14ac:dyDescent="0.25">
      <c r="B1124" t="s">
        <v>1079</v>
      </c>
      <c r="C1124" t="s">
        <v>1081</v>
      </c>
      <c r="D1124" s="19">
        <v>30.94</v>
      </c>
      <c r="E1124" s="3" t="s">
        <v>53</v>
      </c>
      <c r="F1124" s="3" t="s">
        <v>25</v>
      </c>
      <c r="G1124" s="8" t="s">
        <v>57</v>
      </c>
      <c r="H1124" s="4" t="s">
        <v>53</v>
      </c>
      <c r="I1124" s="5">
        <v>1</v>
      </c>
      <c r="J1124" s="8" t="s">
        <v>17</v>
      </c>
      <c r="K1124" s="4" t="s">
        <v>53</v>
      </c>
      <c r="L1124" s="5">
        <v>1</v>
      </c>
      <c r="M1124" s="8"/>
      <c r="N1124" s="4"/>
      <c r="O1124" s="5"/>
      <c r="P1124" s="8"/>
      <c r="Q1124" s="4"/>
      <c r="R1124" s="5"/>
      <c r="W1124" s="67" t="s">
        <v>1079</v>
      </c>
      <c r="X1124" s="68" t="s">
        <v>1081</v>
      </c>
      <c r="Y1124" s="69">
        <v>30.94</v>
      </c>
      <c r="Z1124" t="str">
        <f>IF(AND(Tabla1[[#This Row],[nudo inicial]]=Tabla3[[#This Row],[n1]],Tabla1[[#This Row],[nudo final]]=Tabla3[[#This Row],[n2]],Tabla1[[#This Row],[longitud]]=Tabla3[[#This Row],[long]]),"si","no")</f>
        <v>si</v>
      </c>
    </row>
    <row r="1125" spans="2:26" ht="15.75" x14ac:dyDescent="0.25">
      <c r="B1125" t="s">
        <v>1072</v>
      </c>
      <c r="C1125" t="s">
        <v>1082</v>
      </c>
      <c r="D1125" s="19">
        <v>96.08</v>
      </c>
      <c r="E1125" s="3" t="s">
        <v>126</v>
      </c>
      <c r="F1125" s="3" t="s">
        <v>25</v>
      </c>
      <c r="G1125" s="8" t="s">
        <v>57</v>
      </c>
      <c r="H1125" s="4" t="s">
        <v>126</v>
      </c>
      <c r="I1125" s="5">
        <v>1</v>
      </c>
      <c r="J1125" s="8"/>
      <c r="K1125" s="4"/>
      <c r="L1125" s="5"/>
      <c r="M1125" s="8"/>
      <c r="N1125" s="4"/>
      <c r="O1125" s="5"/>
      <c r="P1125" s="8"/>
      <c r="Q1125" s="4"/>
      <c r="R1125" s="5"/>
      <c r="W1125" s="67" t="s">
        <v>1072</v>
      </c>
      <c r="X1125" s="68" t="s">
        <v>1082</v>
      </c>
      <c r="Y1125" s="69">
        <v>96.08</v>
      </c>
      <c r="Z1125" t="str">
        <f>IF(AND(Tabla1[[#This Row],[nudo inicial]]=Tabla3[[#This Row],[n1]],Tabla1[[#This Row],[nudo final]]=Tabla3[[#This Row],[n2]],Tabla1[[#This Row],[longitud]]=Tabla3[[#This Row],[long]]),"si","no")</f>
        <v>si</v>
      </c>
    </row>
    <row r="1126" spans="2:26" ht="15.75" x14ac:dyDescent="0.25">
      <c r="B1126" t="s">
        <v>1082</v>
      </c>
      <c r="C1126" t="s">
        <v>1083</v>
      </c>
      <c r="D1126" s="19">
        <v>10.19</v>
      </c>
      <c r="E1126" s="3" t="s">
        <v>53</v>
      </c>
      <c r="F1126" s="3" t="s">
        <v>25</v>
      </c>
      <c r="G1126" s="8" t="s">
        <v>58</v>
      </c>
      <c r="H1126" s="4" t="s">
        <v>126</v>
      </c>
      <c r="I1126" s="5">
        <v>1</v>
      </c>
      <c r="J1126" s="8" t="s">
        <v>15</v>
      </c>
      <c r="K1126" s="4" t="s">
        <v>53</v>
      </c>
      <c r="L1126" s="5">
        <v>1</v>
      </c>
      <c r="M1126" s="8"/>
      <c r="N1126" s="4"/>
      <c r="O1126" s="5"/>
      <c r="P1126" s="8"/>
      <c r="Q1126" s="4"/>
      <c r="R1126" s="5"/>
      <c r="W1126" s="67" t="s">
        <v>1082</v>
      </c>
      <c r="X1126" s="68" t="s">
        <v>1083</v>
      </c>
      <c r="Y1126" s="69">
        <v>10.19</v>
      </c>
      <c r="Z1126" t="str">
        <f>IF(AND(Tabla1[[#This Row],[nudo inicial]]=Tabla3[[#This Row],[n1]],Tabla1[[#This Row],[nudo final]]=Tabla3[[#This Row],[n2]],Tabla1[[#This Row],[longitud]]=Tabla3[[#This Row],[long]]),"si","no")</f>
        <v>si</v>
      </c>
    </row>
    <row r="1127" spans="2:26" ht="15.75" x14ac:dyDescent="0.25">
      <c r="B1127" t="s">
        <v>1083</v>
      </c>
      <c r="C1127" t="s">
        <v>1084</v>
      </c>
      <c r="D1127" s="19">
        <v>70.53</v>
      </c>
      <c r="E1127" s="3" t="s">
        <v>56</v>
      </c>
      <c r="F1127" s="3" t="s">
        <v>25</v>
      </c>
      <c r="G1127" s="8" t="s">
        <v>58</v>
      </c>
      <c r="H1127" s="4" t="s">
        <v>53</v>
      </c>
      <c r="I1127" s="5">
        <v>1</v>
      </c>
      <c r="J1127" s="8" t="s">
        <v>15</v>
      </c>
      <c r="K1127" s="4" t="s">
        <v>56</v>
      </c>
      <c r="L1127" s="5">
        <v>1</v>
      </c>
      <c r="M1127" s="8" t="s">
        <v>16</v>
      </c>
      <c r="N1127" s="4" t="s">
        <v>56</v>
      </c>
      <c r="O1127" s="5">
        <v>1</v>
      </c>
      <c r="P1127" s="8" t="s">
        <v>17</v>
      </c>
      <c r="Q1127" s="4" t="s">
        <v>56</v>
      </c>
      <c r="R1127" s="5">
        <v>1</v>
      </c>
      <c r="W1127" s="67" t="s">
        <v>1083</v>
      </c>
      <c r="X1127" s="68" t="s">
        <v>1084</v>
      </c>
      <c r="Y1127" s="69">
        <v>70.53</v>
      </c>
      <c r="Z1127" t="str">
        <f>IF(AND(Tabla1[[#This Row],[nudo inicial]]=Tabla3[[#This Row],[n1]],Tabla1[[#This Row],[nudo final]]=Tabla3[[#This Row],[n2]],Tabla1[[#This Row],[longitud]]=Tabla3[[#This Row],[long]]),"si","no")</f>
        <v>si</v>
      </c>
    </row>
    <row r="1128" spans="2:26" ht="15.75" x14ac:dyDescent="0.25">
      <c r="B1128" t="s">
        <v>1083</v>
      </c>
      <c r="C1128" t="s">
        <v>1085</v>
      </c>
      <c r="D1128" s="19">
        <v>135.18</v>
      </c>
      <c r="E1128" s="3" t="s">
        <v>53</v>
      </c>
      <c r="F1128" s="3" t="s">
        <v>25</v>
      </c>
      <c r="G1128" s="8" t="s">
        <v>57</v>
      </c>
      <c r="H1128" s="4" t="s">
        <v>53</v>
      </c>
      <c r="I1128" s="5">
        <v>1</v>
      </c>
      <c r="J1128" s="8"/>
      <c r="K1128" s="4"/>
      <c r="L1128" s="5"/>
      <c r="M1128" s="8"/>
      <c r="N1128" s="4"/>
      <c r="O1128" s="5"/>
      <c r="P1128" s="8"/>
      <c r="Q1128" s="4"/>
      <c r="R1128" s="5"/>
      <c r="W1128" s="67" t="s">
        <v>1083</v>
      </c>
      <c r="X1128" s="68" t="s">
        <v>1085</v>
      </c>
      <c r="Y1128" s="69">
        <v>135.18</v>
      </c>
      <c r="Z1128" t="str">
        <f>IF(AND(Tabla1[[#This Row],[nudo inicial]]=Tabla3[[#This Row],[n1]],Tabla1[[#This Row],[nudo final]]=Tabla3[[#This Row],[n2]],Tabla1[[#This Row],[longitud]]=Tabla3[[#This Row],[long]]),"si","no")</f>
        <v>si</v>
      </c>
    </row>
    <row r="1129" spans="2:26" ht="15.75" x14ac:dyDescent="0.25">
      <c r="B1129" t="s">
        <v>1085</v>
      </c>
      <c r="C1129" t="s">
        <v>1086</v>
      </c>
      <c r="D1129" s="19">
        <v>54.63</v>
      </c>
      <c r="E1129" s="3" t="s">
        <v>53</v>
      </c>
      <c r="F1129" s="3" t="s">
        <v>25</v>
      </c>
      <c r="G1129" s="8" t="s">
        <v>57</v>
      </c>
      <c r="H1129" s="4" t="s">
        <v>53</v>
      </c>
      <c r="I1129" s="5">
        <v>1</v>
      </c>
      <c r="J1129" s="8" t="s">
        <v>17</v>
      </c>
      <c r="K1129" s="4" t="s">
        <v>53</v>
      </c>
      <c r="L1129" s="5">
        <v>1</v>
      </c>
      <c r="M1129" s="8"/>
      <c r="N1129" s="4"/>
      <c r="O1129" s="5"/>
      <c r="P1129" s="8"/>
      <c r="Q1129" s="4"/>
      <c r="R1129" s="5"/>
      <c r="W1129" s="67" t="s">
        <v>1085</v>
      </c>
      <c r="X1129" s="68" t="s">
        <v>1086</v>
      </c>
      <c r="Y1129" s="69">
        <v>54.63</v>
      </c>
      <c r="Z1129" t="str">
        <f>IF(AND(Tabla1[[#This Row],[nudo inicial]]=Tabla3[[#This Row],[n1]],Tabla1[[#This Row],[nudo final]]=Tabla3[[#This Row],[n2]],Tabla1[[#This Row],[longitud]]=Tabla3[[#This Row],[long]]),"si","no")</f>
        <v>si</v>
      </c>
    </row>
    <row r="1130" spans="2:26" ht="15.75" x14ac:dyDescent="0.25">
      <c r="B1130" t="s">
        <v>1085</v>
      </c>
      <c r="C1130" t="s">
        <v>1087</v>
      </c>
      <c r="D1130" s="19">
        <v>64.66</v>
      </c>
      <c r="E1130" s="3" t="s">
        <v>53</v>
      </c>
      <c r="F1130" s="3" t="s">
        <v>25</v>
      </c>
      <c r="G1130" s="8" t="s">
        <v>58</v>
      </c>
      <c r="H1130" s="4" t="s">
        <v>53</v>
      </c>
      <c r="I1130" s="5">
        <v>1</v>
      </c>
      <c r="J1130" s="8" t="s">
        <v>17</v>
      </c>
      <c r="K1130" s="4" t="s">
        <v>53</v>
      </c>
      <c r="L1130" s="5">
        <v>1</v>
      </c>
      <c r="M1130" s="8"/>
      <c r="N1130" s="4"/>
      <c r="O1130" s="5"/>
      <c r="P1130" s="8"/>
      <c r="Q1130" s="4"/>
      <c r="R1130" s="5"/>
      <c r="W1130" s="67" t="s">
        <v>1085</v>
      </c>
      <c r="X1130" s="68" t="s">
        <v>1087</v>
      </c>
      <c r="Y1130" s="69">
        <v>64.66</v>
      </c>
      <c r="Z1130" t="str">
        <f>IF(AND(Tabla1[[#This Row],[nudo inicial]]=Tabla3[[#This Row],[n1]],Tabla1[[#This Row],[nudo final]]=Tabla3[[#This Row],[n2]],Tabla1[[#This Row],[longitud]]=Tabla3[[#This Row],[long]]),"si","no")</f>
        <v>si</v>
      </c>
    </row>
    <row r="1131" spans="2:26" ht="15.75" x14ac:dyDescent="0.25">
      <c r="B1131" t="s">
        <v>1082</v>
      </c>
      <c r="C1131" t="s">
        <v>1088</v>
      </c>
      <c r="D1131" s="19">
        <v>51.32</v>
      </c>
      <c r="E1131" s="3" t="s">
        <v>126</v>
      </c>
      <c r="F1131" s="3" t="s">
        <v>25</v>
      </c>
      <c r="G1131" s="8" t="s">
        <v>57</v>
      </c>
      <c r="H1131" s="4" t="s">
        <v>126</v>
      </c>
      <c r="I1131" s="5">
        <v>1</v>
      </c>
      <c r="J1131" s="8"/>
      <c r="K1131" s="4"/>
      <c r="L1131" s="5"/>
      <c r="M1131" s="8"/>
      <c r="N1131" s="4"/>
      <c r="O1131" s="5"/>
      <c r="P1131" s="8"/>
      <c r="Q1131" s="4"/>
      <c r="R1131" s="5"/>
      <c r="W1131" s="67" t="s">
        <v>1082</v>
      </c>
      <c r="X1131" s="68" t="s">
        <v>1088</v>
      </c>
      <c r="Y1131" s="69">
        <v>51.32</v>
      </c>
      <c r="Z1131" t="str">
        <f>IF(AND(Tabla1[[#This Row],[nudo inicial]]=Tabla3[[#This Row],[n1]],Tabla1[[#This Row],[nudo final]]=Tabla3[[#This Row],[n2]],Tabla1[[#This Row],[longitud]]=Tabla3[[#This Row],[long]]),"si","no")</f>
        <v>si</v>
      </c>
    </row>
    <row r="1132" spans="2:26" ht="15.75" x14ac:dyDescent="0.25">
      <c r="B1132" t="s">
        <v>1088</v>
      </c>
      <c r="C1132" t="s">
        <v>1089</v>
      </c>
      <c r="D1132" s="19">
        <v>92.03</v>
      </c>
      <c r="E1132" s="3" t="s">
        <v>53</v>
      </c>
      <c r="F1132" s="3" t="s">
        <v>25</v>
      </c>
      <c r="G1132" s="8" t="s">
        <v>57</v>
      </c>
      <c r="H1132" s="4" t="s">
        <v>126</v>
      </c>
      <c r="I1132" s="5">
        <v>1</v>
      </c>
      <c r="J1132" s="8" t="s">
        <v>15</v>
      </c>
      <c r="K1132" s="4" t="s">
        <v>53</v>
      </c>
      <c r="L1132" s="5">
        <v>1</v>
      </c>
      <c r="M1132" s="8" t="s">
        <v>32</v>
      </c>
      <c r="N1132" s="4" t="s">
        <v>53</v>
      </c>
      <c r="O1132" s="5">
        <v>1</v>
      </c>
      <c r="P1132" s="8"/>
      <c r="Q1132" s="4"/>
      <c r="R1132" s="5"/>
      <c r="W1132" s="67" t="s">
        <v>1088</v>
      </c>
      <c r="X1132" s="68" t="s">
        <v>1089</v>
      </c>
      <c r="Y1132" s="69">
        <v>92.03</v>
      </c>
      <c r="Z1132" t="str">
        <f>IF(AND(Tabla1[[#This Row],[nudo inicial]]=Tabla3[[#This Row],[n1]],Tabla1[[#This Row],[nudo final]]=Tabla3[[#This Row],[n2]],Tabla1[[#This Row],[longitud]]=Tabla3[[#This Row],[long]]),"si","no")</f>
        <v>si</v>
      </c>
    </row>
    <row r="1133" spans="2:26" ht="15.75" x14ac:dyDescent="0.25">
      <c r="B1133" t="s">
        <v>1089</v>
      </c>
      <c r="C1133" t="s">
        <v>1090</v>
      </c>
      <c r="D1133" s="19">
        <v>68.72</v>
      </c>
      <c r="E1133" s="3" t="s">
        <v>53</v>
      </c>
      <c r="F1133" s="3" t="s">
        <v>25</v>
      </c>
      <c r="G1133" s="8" t="s">
        <v>57</v>
      </c>
      <c r="H1133" s="4" t="s">
        <v>53</v>
      </c>
      <c r="I1133" s="5">
        <v>1</v>
      </c>
      <c r="J1133" s="8"/>
      <c r="K1133" s="4"/>
      <c r="L1133" s="5"/>
      <c r="M1133" s="8"/>
      <c r="N1133" s="4"/>
      <c r="O1133" s="5"/>
      <c r="P1133" s="8"/>
      <c r="Q1133" s="4"/>
      <c r="R1133" s="5"/>
      <c r="W1133" s="67" t="s">
        <v>1089</v>
      </c>
      <c r="X1133" s="68" t="s">
        <v>1090</v>
      </c>
      <c r="Y1133" s="69">
        <v>68.72</v>
      </c>
      <c r="Z1133" t="str">
        <f>IF(AND(Tabla1[[#This Row],[nudo inicial]]=Tabla3[[#This Row],[n1]],Tabla1[[#This Row],[nudo final]]=Tabla3[[#This Row],[n2]],Tabla1[[#This Row],[longitud]]=Tabla3[[#This Row],[long]]),"si","no")</f>
        <v>si</v>
      </c>
    </row>
    <row r="1134" spans="2:26" ht="15.75" x14ac:dyDescent="0.25">
      <c r="B1134" t="s">
        <v>1090</v>
      </c>
      <c r="C1134" t="s">
        <v>1092</v>
      </c>
      <c r="D1134" s="19">
        <v>58.24</v>
      </c>
      <c r="E1134" s="3" t="s">
        <v>53</v>
      </c>
      <c r="F1134" s="3" t="s">
        <v>25</v>
      </c>
      <c r="G1134" s="8" t="s">
        <v>57</v>
      </c>
      <c r="H1134" s="4" t="s">
        <v>53</v>
      </c>
      <c r="I1134" s="5">
        <v>1</v>
      </c>
      <c r="J1134" s="8" t="s">
        <v>32</v>
      </c>
      <c r="K1134" s="4" t="s">
        <v>53</v>
      </c>
      <c r="L1134" s="5">
        <v>1</v>
      </c>
      <c r="M1134" s="8" t="s">
        <v>16</v>
      </c>
      <c r="N1134" s="4" t="s">
        <v>53</v>
      </c>
      <c r="O1134" s="5">
        <v>1</v>
      </c>
      <c r="P1134" s="8"/>
      <c r="Q1134" s="4"/>
      <c r="R1134" s="5"/>
      <c r="W1134" s="67" t="s">
        <v>1090</v>
      </c>
      <c r="X1134" s="68" t="s">
        <v>1092</v>
      </c>
      <c r="Y1134" s="69">
        <v>58.24</v>
      </c>
      <c r="Z1134" t="str">
        <f>IF(AND(Tabla1[[#This Row],[nudo inicial]]=Tabla3[[#This Row],[n1]],Tabla1[[#This Row],[nudo final]]=Tabla3[[#This Row],[n2]],Tabla1[[#This Row],[longitud]]=Tabla3[[#This Row],[long]]),"si","no")</f>
        <v>si</v>
      </c>
    </row>
    <row r="1135" spans="2:26" ht="15.75" x14ac:dyDescent="0.25">
      <c r="B1135" t="s">
        <v>1092</v>
      </c>
      <c r="C1135" t="s">
        <v>1091</v>
      </c>
      <c r="D1135" s="19">
        <v>24.9</v>
      </c>
      <c r="E1135" s="3" t="s">
        <v>53</v>
      </c>
      <c r="F1135" s="3" t="s">
        <v>25</v>
      </c>
      <c r="G1135" s="8" t="s">
        <v>57</v>
      </c>
      <c r="H1135" s="4" t="s">
        <v>53</v>
      </c>
      <c r="I1135" s="5">
        <v>1</v>
      </c>
      <c r="J1135" s="8" t="s">
        <v>17</v>
      </c>
      <c r="K1135" s="4" t="s">
        <v>53</v>
      </c>
      <c r="L1135" s="5">
        <v>1</v>
      </c>
      <c r="M1135" s="8"/>
      <c r="N1135" s="4"/>
      <c r="O1135" s="5"/>
      <c r="P1135" s="8"/>
      <c r="Q1135" s="4"/>
      <c r="R1135" s="5"/>
      <c r="W1135" s="67" t="s">
        <v>1092</v>
      </c>
      <c r="X1135" s="68" t="s">
        <v>1091</v>
      </c>
      <c r="Y1135" s="69">
        <v>24.9</v>
      </c>
      <c r="Z1135" t="str">
        <f>IF(AND(Tabla1[[#This Row],[nudo inicial]]=Tabla3[[#This Row],[n1]],Tabla1[[#This Row],[nudo final]]=Tabla3[[#This Row],[n2]],Tabla1[[#This Row],[longitud]]=Tabla3[[#This Row],[long]]),"si","no")</f>
        <v>si</v>
      </c>
    </row>
    <row r="1136" spans="2:26" ht="15.75" x14ac:dyDescent="0.25">
      <c r="B1136" t="s">
        <v>1092</v>
      </c>
      <c r="C1136" t="s">
        <v>1093</v>
      </c>
      <c r="D1136" s="19">
        <v>49.48</v>
      </c>
      <c r="E1136" s="3" t="s">
        <v>53</v>
      </c>
      <c r="F1136" s="3" t="s">
        <v>25</v>
      </c>
      <c r="G1136" s="8" t="s">
        <v>58</v>
      </c>
      <c r="H1136" s="4" t="s">
        <v>53</v>
      </c>
      <c r="I1136" s="5">
        <v>1</v>
      </c>
      <c r="J1136" s="8" t="s">
        <v>17</v>
      </c>
      <c r="K1136" s="4" t="s">
        <v>53</v>
      </c>
      <c r="L1136" s="5">
        <v>1</v>
      </c>
      <c r="M1136" s="8"/>
      <c r="N1136" s="4"/>
      <c r="O1136" s="5"/>
      <c r="P1136" s="8"/>
      <c r="Q1136" s="4"/>
      <c r="R1136" s="5"/>
      <c r="W1136" s="67" t="s">
        <v>1092</v>
      </c>
      <c r="X1136" s="68" t="s">
        <v>1093</v>
      </c>
      <c r="Y1136" s="69">
        <v>49.48</v>
      </c>
      <c r="Z1136" t="str">
        <f>IF(AND(Tabla1[[#This Row],[nudo inicial]]=Tabla3[[#This Row],[n1]],Tabla1[[#This Row],[nudo final]]=Tabla3[[#This Row],[n2]],Tabla1[[#This Row],[longitud]]=Tabla3[[#This Row],[long]]),"si","no")</f>
        <v>si</v>
      </c>
    </row>
    <row r="1137" spans="2:26" ht="15.75" x14ac:dyDescent="0.25">
      <c r="B1137" t="s">
        <v>1090</v>
      </c>
      <c r="C1137" t="s">
        <v>1094</v>
      </c>
      <c r="D1137" s="19">
        <v>41.21</v>
      </c>
      <c r="E1137" s="3" t="s">
        <v>53</v>
      </c>
      <c r="F1137" s="3" t="s">
        <v>25</v>
      </c>
      <c r="G1137" s="8" t="s">
        <v>58</v>
      </c>
      <c r="H1137" s="4" t="s">
        <v>53</v>
      </c>
      <c r="I1137" s="5">
        <v>1</v>
      </c>
      <c r="J1137" s="8" t="s">
        <v>16</v>
      </c>
      <c r="K1137" s="4" t="s">
        <v>53</v>
      </c>
      <c r="L1137" s="5">
        <v>3</v>
      </c>
      <c r="M1137" s="8"/>
      <c r="N1137" s="4"/>
      <c r="O1137" s="5"/>
      <c r="P1137" s="8"/>
      <c r="Q1137" s="4"/>
      <c r="R1137" s="5"/>
      <c r="W1137" s="67" t="s">
        <v>1090</v>
      </c>
      <c r="X1137" s="68" t="s">
        <v>1094</v>
      </c>
      <c r="Y1137" s="69">
        <v>41.21</v>
      </c>
      <c r="Z1137" t="str">
        <f>IF(AND(Tabla1[[#This Row],[nudo inicial]]=Tabla3[[#This Row],[n1]],Tabla1[[#This Row],[nudo final]]=Tabla3[[#This Row],[n2]],Tabla1[[#This Row],[longitud]]=Tabla3[[#This Row],[long]]),"si","no")</f>
        <v>si</v>
      </c>
    </row>
    <row r="1138" spans="2:26" ht="15.75" x14ac:dyDescent="0.25">
      <c r="B1138" t="s">
        <v>1094</v>
      </c>
      <c r="C1138" t="s">
        <v>1095</v>
      </c>
      <c r="D1138" s="19">
        <v>25.67</v>
      </c>
      <c r="E1138" s="3" t="s">
        <v>53</v>
      </c>
      <c r="F1138" s="3" t="s">
        <v>25</v>
      </c>
      <c r="G1138" s="8" t="s">
        <v>58</v>
      </c>
      <c r="H1138" s="4" t="s">
        <v>53</v>
      </c>
      <c r="I1138" s="5">
        <v>1</v>
      </c>
      <c r="J1138" s="8"/>
      <c r="K1138" s="4"/>
      <c r="L1138" s="5"/>
      <c r="M1138" s="8"/>
      <c r="N1138" s="4"/>
      <c r="O1138" s="5"/>
      <c r="P1138" s="8"/>
      <c r="Q1138" s="4"/>
      <c r="R1138" s="5"/>
      <c r="W1138" s="67" t="s">
        <v>1094</v>
      </c>
      <c r="X1138" s="68" t="s">
        <v>1095</v>
      </c>
      <c r="Y1138" s="69">
        <v>25.67</v>
      </c>
      <c r="Z1138" t="str">
        <f>IF(AND(Tabla1[[#This Row],[nudo inicial]]=Tabla3[[#This Row],[n1]],Tabla1[[#This Row],[nudo final]]=Tabla3[[#This Row],[n2]],Tabla1[[#This Row],[longitud]]=Tabla3[[#This Row],[long]]),"si","no")</f>
        <v>si</v>
      </c>
    </row>
    <row r="1139" spans="2:26" ht="15.75" x14ac:dyDescent="0.25">
      <c r="B1139" t="s">
        <v>1095</v>
      </c>
      <c r="C1139" t="s">
        <v>1096</v>
      </c>
      <c r="D1139" s="19">
        <v>26.1</v>
      </c>
      <c r="E1139" s="3" t="s">
        <v>53</v>
      </c>
      <c r="F1139" s="3" t="s">
        <v>25</v>
      </c>
      <c r="G1139" s="8" t="s">
        <v>58</v>
      </c>
      <c r="H1139" s="4" t="s">
        <v>53</v>
      </c>
      <c r="I1139" s="5">
        <v>1</v>
      </c>
      <c r="J1139" s="8" t="s">
        <v>17</v>
      </c>
      <c r="K1139" s="4" t="s">
        <v>53</v>
      </c>
      <c r="L1139" s="5">
        <v>1</v>
      </c>
      <c r="M1139" s="8"/>
      <c r="N1139" s="4"/>
      <c r="O1139" s="5"/>
      <c r="P1139" s="8"/>
      <c r="Q1139" s="4"/>
      <c r="R1139" s="5"/>
      <c r="W1139" s="67" t="s">
        <v>1095</v>
      </c>
      <c r="X1139" s="68" t="s">
        <v>1096</v>
      </c>
      <c r="Y1139" s="69">
        <v>26.1</v>
      </c>
      <c r="Z1139" t="str">
        <f>IF(AND(Tabla1[[#This Row],[nudo inicial]]=Tabla3[[#This Row],[n1]],Tabla1[[#This Row],[nudo final]]=Tabla3[[#This Row],[n2]],Tabla1[[#This Row],[longitud]]=Tabla3[[#This Row],[long]]),"si","no")</f>
        <v>si</v>
      </c>
    </row>
    <row r="1140" spans="2:26" ht="15.75" x14ac:dyDescent="0.25">
      <c r="B1140" t="s">
        <v>1095</v>
      </c>
      <c r="C1140" t="s">
        <v>1097</v>
      </c>
      <c r="D1140" s="19">
        <v>29.11</v>
      </c>
      <c r="E1140" s="3" t="s">
        <v>53</v>
      </c>
      <c r="F1140" s="3" t="s">
        <v>25</v>
      </c>
      <c r="G1140" s="8" t="s">
        <v>57</v>
      </c>
      <c r="H1140" s="4" t="s">
        <v>53</v>
      </c>
      <c r="I1140" s="5">
        <v>1</v>
      </c>
      <c r="J1140" s="8" t="s">
        <v>16</v>
      </c>
      <c r="K1140" s="4" t="s">
        <v>53</v>
      </c>
      <c r="L1140" s="5">
        <v>1</v>
      </c>
      <c r="M1140" s="8"/>
      <c r="N1140" s="4"/>
      <c r="O1140" s="5"/>
      <c r="P1140" s="8"/>
      <c r="Q1140" s="4"/>
      <c r="R1140" s="5"/>
      <c r="W1140" s="67" t="s">
        <v>1095</v>
      </c>
      <c r="X1140" s="68" t="s">
        <v>1097</v>
      </c>
      <c r="Y1140" s="69">
        <v>29.11</v>
      </c>
      <c r="Z1140" t="str">
        <f>IF(AND(Tabla1[[#This Row],[nudo inicial]]=Tabla3[[#This Row],[n1]],Tabla1[[#This Row],[nudo final]]=Tabla3[[#This Row],[n2]],Tabla1[[#This Row],[longitud]]=Tabla3[[#This Row],[long]]),"si","no")</f>
        <v>si</v>
      </c>
    </row>
    <row r="1141" spans="2:26" ht="15.75" x14ac:dyDescent="0.25">
      <c r="B1141" t="s">
        <v>1089</v>
      </c>
      <c r="C1141" t="s">
        <v>1098</v>
      </c>
      <c r="D1141" s="19">
        <v>30.03</v>
      </c>
      <c r="E1141" s="3" t="s">
        <v>53</v>
      </c>
      <c r="F1141" s="3" t="s">
        <v>25</v>
      </c>
      <c r="G1141" s="8" t="s">
        <v>58</v>
      </c>
      <c r="H1141" s="4" t="s">
        <v>53</v>
      </c>
      <c r="I1141" s="5">
        <v>1</v>
      </c>
      <c r="J1141" s="8" t="s">
        <v>16</v>
      </c>
      <c r="K1141" s="4" t="s">
        <v>53</v>
      </c>
      <c r="L1141" s="5">
        <v>1</v>
      </c>
      <c r="M1141" s="8"/>
      <c r="N1141" s="4"/>
      <c r="O1141" s="5"/>
      <c r="P1141" s="8"/>
      <c r="Q1141" s="4"/>
      <c r="R1141" s="5"/>
      <c r="W1141" s="67" t="s">
        <v>1089</v>
      </c>
      <c r="X1141" s="68" t="s">
        <v>1098</v>
      </c>
      <c r="Y1141" s="69">
        <v>30.03</v>
      </c>
      <c r="Z1141" t="str">
        <f>IF(AND(Tabla1[[#This Row],[nudo inicial]]=Tabla3[[#This Row],[n1]],Tabla1[[#This Row],[nudo final]]=Tabla3[[#This Row],[n2]],Tabla1[[#This Row],[longitud]]=Tabla3[[#This Row],[long]]),"si","no")</f>
        <v>si</v>
      </c>
    </row>
    <row r="1142" spans="2:26" ht="15.75" x14ac:dyDescent="0.25">
      <c r="B1142" t="s">
        <v>1098</v>
      </c>
      <c r="C1142" t="s">
        <v>1094</v>
      </c>
      <c r="D1142" s="19">
        <v>52.51</v>
      </c>
      <c r="E1142" s="3" t="s">
        <v>53</v>
      </c>
      <c r="F1142" s="3" t="s">
        <v>25</v>
      </c>
      <c r="G1142" s="8" t="s">
        <v>57</v>
      </c>
      <c r="H1142" s="4" t="s">
        <v>53</v>
      </c>
      <c r="I1142" s="5">
        <v>1</v>
      </c>
      <c r="J1142" s="8"/>
      <c r="K1142" s="4"/>
      <c r="L1142" s="5"/>
      <c r="M1142" s="8"/>
      <c r="N1142" s="4"/>
      <c r="O1142" s="5"/>
      <c r="P1142" s="8"/>
      <c r="Q1142" s="4"/>
      <c r="R1142" s="5"/>
      <c r="W1142" s="67" t="s">
        <v>1098</v>
      </c>
      <c r="X1142" s="68" t="s">
        <v>1094</v>
      </c>
      <c r="Y1142" s="69">
        <v>52.51</v>
      </c>
      <c r="Z1142" t="str">
        <f>IF(AND(Tabla1[[#This Row],[nudo inicial]]=Tabla3[[#This Row],[n1]],Tabla1[[#This Row],[nudo final]]=Tabla3[[#This Row],[n2]],Tabla1[[#This Row],[longitud]]=Tabla3[[#This Row],[long]]),"si","no")</f>
        <v>si</v>
      </c>
    </row>
    <row r="1143" spans="2:26" ht="15.75" x14ac:dyDescent="0.25">
      <c r="B1143" t="s">
        <v>1098</v>
      </c>
      <c r="C1143" t="s">
        <v>1097</v>
      </c>
      <c r="D1143" s="19">
        <v>123.9</v>
      </c>
      <c r="E1143" s="3" t="s">
        <v>53</v>
      </c>
      <c r="F1143" s="3" t="s">
        <v>25</v>
      </c>
      <c r="G1143" s="8" t="s">
        <v>58</v>
      </c>
      <c r="H1143" s="4" t="s">
        <v>53</v>
      </c>
      <c r="I1143" s="5">
        <v>1</v>
      </c>
      <c r="J1143" s="8" t="s">
        <v>16</v>
      </c>
      <c r="K1143" s="4" t="s">
        <v>53</v>
      </c>
      <c r="L1143" s="5">
        <v>2</v>
      </c>
      <c r="M1143" s="8"/>
      <c r="N1143" s="4"/>
      <c r="O1143" s="5"/>
      <c r="P1143" s="8"/>
      <c r="Q1143" s="4"/>
      <c r="R1143" s="5"/>
      <c r="W1143" s="67" t="s">
        <v>1098</v>
      </c>
      <c r="X1143" s="68" t="s">
        <v>1097</v>
      </c>
      <c r="Y1143" s="69">
        <v>123.9</v>
      </c>
      <c r="Z1143" t="str">
        <f>IF(AND(Tabla1[[#This Row],[nudo inicial]]=Tabla3[[#This Row],[n1]],Tabla1[[#This Row],[nudo final]]=Tabla3[[#This Row],[n2]],Tabla1[[#This Row],[longitud]]=Tabla3[[#This Row],[long]]),"si","no")</f>
        <v>si</v>
      </c>
    </row>
    <row r="1144" spans="2:26" ht="15.75" x14ac:dyDescent="0.25">
      <c r="B1144" t="s">
        <v>1097</v>
      </c>
      <c r="C1144" t="s">
        <v>1099</v>
      </c>
      <c r="D1144" s="19">
        <v>51.64</v>
      </c>
      <c r="E1144" s="3" t="s">
        <v>53</v>
      </c>
      <c r="F1144" s="3" t="s">
        <v>25</v>
      </c>
      <c r="G1144" s="8" t="s">
        <v>58</v>
      </c>
      <c r="H1144" s="4" t="s">
        <v>53</v>
      </c>
      <c r="I1144" s="5">
        <v>1</v>
      </c>
      <c r="J1144" s="8" t="s">
        <v>16</v>
      </c>
      <c r="K1144" s="4" t="s">
        <v>53</v>
      </c>
      <c r="L1144" s="5">
        <v>1</v>
      </c>
      <c r="M1144" s="8"/>
      <c r="N1144" s="4"/>
      <c r="O1144" s="5"/>
      <c r="P1144" s="8"/>
      <c r="Q1144" s="4"/>
      <c r="R1144" s="5"/>
      <c r="W1144" s="67" t="s">
        <v>1097</v>
      </c>
      <c r="X1144" s="68" t="s">
        <v>1099</v>
      </c>
      <c r="Y1144" s="69">
        <v>51.64</v>
      </c>
      <c r="Z1144" t="str">
        <f>IF(AND(Tabla1[[#This Row],[nudo inicial]]=Tabla3[[#This Row],[n1]],Tabla1[[#This Row],[nudo final]]=Tabla3[[#This Row],[n2]],Tabla1[[#This Row],[longitud]]=Tabla3[[#This Row],[long]]),"si","no")</f>
        <v>si</v>
      </c>
    </row>
    <row r="1145" spans="2:26" ht="15.75" x14ac:dyDescent="0.25">
      <c r="B1145" t="s">
        <v>1099</v>
      </c>
      <c r="C1145" t="s">
        <v>1100</v>
      </c>
      <c r="D1145" s="19">
        <v>32.86</v>
      </c>
      <c r="E1145" s="3" t="s">
        <v>53</v>
      </c>
      <c r="F1145" s="3" t="s">
        <v>25</v>
      </c>
      <c r="G1145" s="8" t="s">
        <v>58</v>
      </c>
      <c r="H1145" s="4" t="s">
        <v>53</v>
      </c>
      <c r="I1145" s="5">
        <v>1</v>
      </c>
      <c r="J1145" s="8"/>
      <c r="K1145" s="4"/>
      <c r="L1145" s="5"/>
      <c r="M1145" s="8"/>
      <c r="N1145" s="4"/>
      <c r="O1145" s="5"/>
      <c r="P1145" s="8"/>
      <c r="Q1145" s="4"/>
      <c r="R1145" s="5"/>
      <c r="W1145" s="67" t="s">
        <v>1099</v>
      </c>
      <c r="X1145" s="68" t="s">
        <v>1100</v>
      </c>
      <c r="Y1145" s="69">
        <v>32.86</v>
      </c>
      <c r="Z1145" t="str">
        <f>IF(AND(Tabla1[[#This Row],[nudo inicial]]=Tabla3[[#This Row],[n1]],Tabla1[[#This Row],[nudo final]]=Tabla3[[#This Row],[n2]],Tabla1[[#This Row],[longitud]]=Tabla3[[#This Row],[long]]),"si","no")</f>
        <v>si</v>
      </c>
    </row>
    <row r="1146" spans="2:26" ht="15.75" x14ac:dyDescent="0.25">
      <c r="B1146" t="s">
        <v>1100</v>
      </c>
      <c r="C1146" t="s">
        <v>1101</v>
      </c>
      <c r="D1146" s="19">
        <v>72.37</v>
      </c>
      <c r="E1146" s="3" t="s">
        <v>53</v>
      </c>
      <c r="F1146" s="3" t="s">
        <v>25</v>
      </c>
      <c r="G1146" s="8" t="s">
        <v>58</v>
      </c>
      <c r="H1146" s="4" t="s">
        <v>53</v>
      </c>
      <c r="I1146" s="5">
        <v>1</v>
      </c>
      <c r="J1146" s="8" t="s">
        <v>16</v>
      </c>
      <c r="K1146" s="4" t="s">
        <v>53</v>
      </c>
      <c r="L1146" s="5">
        <v>1</v>
      </c>
      <c r="M1146" s="8" t="s">
        <v>17</v>
      </c>
      <c r="N1146" s="4" t="s">
        <v>53</v>
      </c>
      <c r="O1146" s="5">
        <v>1</v>
      </c>
      <c r="P1146" s="8"/>
      <c r="Q1146" s="4"/>
      <c r="R1146" s="5"/>
      <c r="W1146" s="67" t="s">
        <v>1100</v>
      </c>
      <c r="X1146" s="68" t="s">
        <v>1101</v>
      </c>
      <c r="Y1146" s="69">
        <v>72.37</v>
      </c>
      <c r="Z1146" t="str">
        <f>IF(AND(Tabla1[[#This Row],[nudo inicial]]=Tabla3[[#This Row],[n1]],Tabla1[[#This Row],[nudo final]]=Tabla3[[#This Row],[n2]],Tabla1[[#This Row],[longitud]]=Tabla3[[#This Row],[long]]),"si","no")</f>
        <v>si</v>
      </c>
    </row>
    <row r="1147" spans="2:26" ht="15.75" x14ac:dyDescent="0.25">
      <c r="B1147" t="s">
        <v>1100</v>
      </c>
      <c r="C1147" t="s">
        <v>1102</v>
      </c>
      <c r="D1147" s="19">
        <v>12.15</v>
      </c>
      <c r="E1147" s="3" t="s">
        <v>53</v>
      </c>
      <c r="F1147" s="3" t="s">
        <v>25</v>
      </c>
      <c r="G1147" s="8" t="s">
        <v>58</v>
      </c>
      <c r="H1147" s="4" t="s">
        <v>53</v>
      </c>
      <c r="I1147" s="5">
        <v>1</v>
      </c>
      <c r="J1147" s="8"/>
      <c r="K1147" s="4"/>
      <c r="L1147" s="5"/>
      <c r="M1147" s="8"/>
      <c r="N1147" s="4"/>
      <c r="O1147" s="5"/>
      <c r="P1147" s="8"/>
      <c r="Q1147" s="4"/>
      <c r="R1147" s="5"/>
      <c r="W1147" s="67" t="s">
        <v>1100</v>
      </c>
      <c r="X1147" s="68" t="s">
        <v>1102</v>
      </c>
      <c r="Y1147" s="69">
        <v>12.15</v>
      </c>
      <c r="Z1147" t="str">
        <f>IF(AND(Tabla1[[#This Row],[nudo inicial]]=Tabla3[[#This Row],[n1]],Tabla1[[#This Row],[nudo final]]=Tabla3[[#This Row],[n2]],Tabla1[[#This Row],[longitud]]=Tabla3[[#This Row],[long]]),"si","no")</f>
        <v>si</v>
      </c>
    </row>
    <row r="1148" spans="2:26" ht="15.75" x14ac:dyDescent="0.25">
      <c r="B1148" t="s">
        <v>1102</v>
      </c>
      <c r="C1148" t="s">
        <v>1103</v>
      </c>
      <c r="D1148" s="19">
        <v>25.67</v>
      </c>
      <c r="E1148" s="3" t="s">
        <v>53</v>
      </c>
      <c r="F1148" s="3" t="s">
        <v>25</v>
      </c>
      <c r="G1148" s="8" t="s">
        <v>58</v>
      </c>
      <c r="H1148" s="4" t="s">
        <v>53</v>
      </c>
      <c r="I1148" s="5">
        <v>1</v>
      </c>
      <c r="J1148" s="8" t="s">
        <v>17</v>
      </c>
      <c r="K1148" s="4" t="s">
        <v>53</v>
      </c>
      <c r="L1148" s="5">
        <v>1</v>
      </c>
      <c r="M1148" s="8"/>
      <c r="N1148" s="4"/>
      <c r="O1148" s="5"/>
      <c r="P1148" s="8"/>
      <c r="Q1148" s="4"/>
      <c r="R1148" s="5"/>
      <c r="W1148" s="67" t="s">
        <v>1102</v>
      </c>
      <c r="X1148" s="68" t="s">
        <v>1103</v>
      </c>
      <c r="Y1148" s="69">
        <v>25.67</v>
      </c>
      <c r="Z1148" t="str">
        <f>IF(AND(Tabla1[[#This Row],[nudo inicial]]=Tabla3[[#This Row],[n1]],Tabla1[[#This Row],[nudo final]]=Tabla3[[#This Row],[n2]],Tabla1[[#This Row],[longitud]]=Tabla3[[#This Row],[long]]),"si","no")</f>
        <v>si</v>
      </c>
    </row>
    <row r="1149" spans="2:26" ht="15.75" x14ac:dyDescent="0.25">
      <c r="B1149" t="s">
        <v>1102</v>
      </c>
      <c r="C1149" t="s">
        <v>1104</v>
      </c>
      <c r="D1149" s="19">
        <v>28.85</v>
      </c>
      <c r="E1149" s="3" t="s">
        <v>53</v>
      </c>
      <c r="F1149" s="3" t="s">
        <v>25</v>
      </c>
      <c r="G1149" s="8" t="s">
        <v>57</v>
      </c>
      <c r="H1149" s="4" t="s">
        <v>53</v>
      </c>
      <c r="I1149" s="5">
        <v>1</v>
      </c>
      <c r="J1149" s="8"/>
      <c r="K1149" s="4"/>
      <c r="L1149" s="5"/>
      <c r="M1149" s="8"/>
      <c r="N1149" s="4"/>
      <c r="O1149" s="5"/>
      <c r="P1149" s="8"/>
      <c r="Q1149" s="4"/>
      <c r="R1149" s="5"/>
      <c r="W1149" s="67" t="s">
        <v>1102</v>
      </c>
      <c r="X1149" s="68" t="s">
        <v>1104</v>
      </c>
      <c r="Y1149" s="69">
        <v>28.85</v>
      </c>
      <c r="Z1149" t="str">
        <f>IF(AND(Tabla1[[#This Row],[nudo inicial]]=Tabla3[[#This Row],[n1]],Tabla1[[#This Row],[nudo final]]=Tabla3[[#This Row],[n2]],Tabla1[[#This Row],[longitud]]=Tabla3[[#This Row],[long]]),"si","no")</f>
        <v>si</v>
      </c>
    </row>
    <row r="1150" spans="2:26" ht="15.75" x14ac:dyDescent="0.25">
      <c r="B1150" t="s">
        <v>1104</v>
      </c>
      <c r="C1150" t="s">
        <v>1105</v>
      </c>
      <c r="D1150" s="19">
        <v>28.71</v>
      </c>
      <c r="E1150" s="3" t="s">
        <v>53</v>
      </c>
      <c r="F1150" s="3" t="s">
        <v>25</v>
      </c>
      <c r="G1150" s="8" t="s">
        <v>536</v>
      </c>
      <c r="H1150" s="4" t="s">
        <v>53</v>
      </c>
      <c r="I1150" s="5">
        <v>1</v>
      </c>
      <c r="J1150" s="8" t="s">
        <v>17</v>
      </c>
      <c r="K1150" s="4" t="s">
        <v>53</v>
      </c>
      <c r="L1150" s="5">
        <v>1</v>
      </c>
      <c r="M1150" s="8"/>
      <c r="N1150" s="4"/>
      <c r="O1150" s="5"/>
      <c r="P1150" s="8"/>
      <c r="Q1150" s="4"/>
      <c r="R1150" s="5"/>
      <c r="W1150" s="67" t="s">
        <v>1104</v>
      </c>
      <c r="X1150" s="68" t="s">
        <v>1105</v>
      </c>
      <c r="Y1150" s="69">
        <v>28.71</v>
      </c>
      <c r="Z1150" t="str">
        <f>IF(AND(Tabla1[[#This Row],[nudo inicial]]=Tabla3[[#This Row],[n1]],Tabla1[[#This Row],[nudo final]]=Tabla3[[#This Row],[n2]],Tabla1[[#This Row],[longitud]]=Tabla3[[#This Row],[long]]),"si","no")</f>
        <v>si</v>
      </c>
    </row>
    <row r="1151" spans="2:26" ht="15.75" x14ac:dyDescent="0.25">
      <c r="B1151" t="s">
        <v>1104</v>
      </c>
      <c r="C1151" t="s">
        <v>1106</v>
      </c>
      <c r="D1151" s="19">
        <v>58.09</v>
      </c>
      <c r="E1151" s="3" t="s">
        <v>53</v>
      </c>
      <c r="F1151" s="3" t="s">
        <v>25</v>
      </c>
      <c r="G1151" s="8" t="s">
        <v>536</v>
      </c>
      <c r="H1151" s="4" t="s">
        <v>53</v>
      </c>
      <c r="I1151" s="5">
        <v>1</v>
      </c>
      <c r="J1151" s="8" t="s">
        <v>17</v>
      </c>
      <c r="K1151" s="4" t="s">
        <v>53</v>
      </c>
      <c r="L1151" s="5">
        <v>1</v>
      </c>
      <c r="M1151" s="8"/>
      <c r="N1151" s="4"/>
      <c r="O1151" s="5"/>
      <c r="P1151" s="8"/>
      <c r="Q1151" s="4"/>
      <c r="R1151" s="5"/>
      <c r="W1151" s="67" t="s">
        <v>1104</v>
      </c>
      <c r="X1151" s="68" t="s">
        <v>1106</v>
      </c>
      <c r="Y1151" s="69">
        <v>58.09</v>
      </c>
      <c r="Z1151" t="str">
        <f>IF(AND(Tabla1[[#This Row],[nudo inicial]]=Tabla3[[#This Row],[n1]],Tabla1[[#This Row],[nudo final]]=Tabla3[[#This Row],[n2]],Tabla1[[#This Row],[longitud]]=Tabla3[[#This Row],[long]]),"si","no")</f>
        <v>si</v>
      </c>
    </row>
    <row r="1152" spans="2:26" ht="15.75" x14ac:dyDescent="0.25">
      <c r="B1152" t="s">
        <v>1104</v>
      </c>
      <c r="C1152" t="s">
        <v>1107</v>
      </c>
      <c r="D1152" s="19">
        <v>27.5</v>
      </c>
      <c r="E1152" s="3" t="s">
        <v>53</v>
      </c>
      <c r="F1152" s="3" t="s">
        <v>25</v>
      </c>
      <c r="G1152" s="8" t="s">
        <v>536</v>
      </c>
      <c r="H1152" s="4" t="s">
        <v>53</v>
      </c>
      <c r="I1152" s="5">
        <v>1</v>
      </c>
      <c r="J1152" s="8"/>
      <c r="K1152" s="4"/>
      <c r="L1152" s="5"/>
      <c r="M1152" s="8"/>
      <c r="N1152" s="4"/>
      <c r="O1152" s="5"/>
      <c r="P1152" s="8"/>
      <c r="Q1152" s="4"/>
      <c r="R1152" s="5"/>
      <c r="W1152" s="67" t="s">
        <v>1104</v>
      </c>
      <c r="X1152" s="68" t="s">
        <v>1107</v>
      </c>
      <c r="Y1152" s="69">
        <v>27.5</v>
      </c>
      <c r="Z1152" t="str">
        <f>IF(AND(Tabla1[[#This Row],[nudo inicial]]=Tabla3[[#This Row],[n1]],Tabla1[[#This Row],[nudo final]]=Tabla3[[#This Row],[n2]],Tabla1[[#This Row],[longitud]]=Tabla3[[#This Row],[long]]),"si","no")</f>
        <v>si</v>
      </c>
    </row>
    <row r="1153" spans="1:26" ht="15.75" x14ac:dyDescent="0.25">
      <c r="B1153" t="s">
        <v>1107</v>
      </c>
      <c r="C1153" t="s">
        <v>1108</v>
      </c>
      <c r="D1153" s="19">
        <v>20.309999999999999</v>
      </c>
      <c r="E1153" s="3" t="s">
        <v>53</v>
      </c>
      <c r="F1153" s="3" t="s">
        <v>25</v>
      </c>
      <c r="G1153" s="8" t="s">
        <v>58</v>
      </c>
      <c r="H1153" s="4" t="s">
        <v>53</v>
      </c>
      <c r="I1153" s="5">
        <v>1</v>
      </c>
      <c r="J1153" s="8" t="s">
        <v>17</v>
      </c>
      <c r="K1153" s="4" t="s">
        <v>53</v>
      </c>
      <c r="L1153" s="5">
        <v>1</v>
      </c>
      <c r="M1153" s="8"/>
      <c r="N1153" s="4"/>
      <c r="O1153" s="5"/>
      <c r="P1153" s="8"/>
      <c r="Q1153" s="4"/>
      <c r="R1153" s="5"/>
      <c r="W1153" s="67" t="s">
        <v>1107</v>
      </c>
      <c r="X1153" s="68" t="s">
        <v>1108</v>
      </c>
      <c r="Y1153" s="69">
        <v>20.309999999999999</v>
      </c>
      <c r="Z1153" t="str">
        <f>IF(AND(Tabla1[[#This Row],[nudo inicial]]=Tabla3[[#This Row],[n1]],Tabla1[[#This Row],[nudo final]]=Tabla3[[#This Row],[n2]],Tabla1[[#This Row],[longitud]]=Tabla3[[#This Row],[long]]),"si","no")</f>
        <v>si</v>
      </c>
    </row>
    <row r="1154" spans="1:26" ht="15.75" x14ac:dyDescent="0.25">
      <c r="B1154" t="s">
        <v>1107</v>
      </c>
      <c r="C1154" t="s">
        <v>1109</v>
      </c>
      <c r="D1154" s="19">
        <v>59.16</v>
      </c>
      <c r="E1154" s="3" t="s">
        <v>53</v>
      </c>
      <c r="F1154" s="3" t="s">
        <v>25</v>
      </c>
      <c r="G1154" s="8" t="s">
        <v>58</v>
      </c>
      <c r="H1154" s="4" t="s">
        <v>53</v>
      </c>
      <c r="I1154" s="5">
        <v>1</v>
      </c>
      <c r="J1154" s="8" t="s">
        <v>17</v>
      </c>
      <c r="K1154" s="4" t="s">
        <v>53</v>
      </c>
      <c r="L1154" s="5">
        <v>1</v>
      </c>
      <c r="M1154" s="8"/>
      <c r="N1154" s="4"/>
      <c r="O1154" s="5"/>
      <c r="P1154" s="8"/>
      <c r="Q1154" s="4"/>
      <c r="R1154" s="5"/>
      <c r="W1154" s="67" t="s">
        <v>1107</v>
      </c>
      <c r="X1154" s="68" t="s">
        <v>1109</v>
      </c>
      <c r="Y1154" s="69">
        <v>59.16</v>
      </c>
      <c r="Z1154" t="str">
        <f>IF(AND(Tabla1[[#This Row],[nudo inicial]]=Tabla3[[#This Row],[n1]],Tabla1[[#This Row],[nudo final]]=Tabla3[[#This Row],[n2]],Tabla1[[#This Row],[longitud]]=Tabla3[[#This Row],[long]]),"si","no")</f>
        <v>si</v>
      </c>
    </row>
    <row r="1155" spans="1:26" ht="15.75" x14ac:dyDescent="0.25">
      <c r="B1155" t="s">
        <v>1099</v>
      </c>
      <c r="C1155" t="s">
        <v>1110</v>
      </c>
      <c r="D1155" s="19">
        <v>103.7</v>
      </c>
      <c r="E1155" s="3" t="s">
        <v>53</v>
      </c>
      <c r="F1155" s="3" t="s">
        <v>25</v>
      </c>
      <c r="G1155" s="8" t="s">
        <v>58</v>
      </c>
      <c r="H1155" s="4" t="s">
        <v>53</v>
      </c>
      <c r="I1155" s="5">
        <v>1</v>
      </c>
      <c r="J1155" s="8"/>
      <c r="K1155" s="4"/>
      <c r="L1155" s="5"/>
      <c r="M1155" s="8"/>
      <c r="N1155" s="4"/>
      <c r="O1155" s="5"/>
      <c r="P1155" s="8"/>
      <c r="Q1155" s="4"/>
      <c r="R1155" s="5"/>
      <c r="W1155" s="67" t="s">
        <v>1099</v>
      </c>
      <c r="X1155" s="68" t="s">
        <v>1110</v>
      </c>
      <c r="Y1155" s="69">
        <v>103.7</v>
      </c>
      <c r="Z1155" t="str">
        <f>IF(AND(Tabla1[[#This Row],[nudo inicial]]=Tabla3[[#This Row],[n1]],Tabla1[[#This Row],[nudo final]]=Tabla3[[#This Row],[n2]],Tabla1[[#This Row],[longitud]]=Tabla3[[#This Row],[long]]),"si","no")</f>
        <v>si</v>
      </c>
    </row>
    <row r="1156" spans="1:26" ht="15.75" x14ac:dyDescent="0.25">
      <c r="B1156" t="s">
        <v>1110</v>
      </c>
      <c r="C1156" t="s">
        <v>1111</v>
      </c>
      <c r="D1156" s="19">
        <v>71.7</v>
      </c>
      <c r="E1156" s="3" t="s">
        <v>53</v>
      </c>
      <c r="F1156" s="3" t="s">
        <v>25</v>
      </c>
      <c r="G1156" s="8" t="s">
        <v>58</v>
      </c>
      <c r="H1156" s="4" t="s">
        <v>53</v>
      </c>
      <c r="I1156" s="5">
        <v>1</v>
      </c>
      <c r="J1156" s="8" t="s">
        <v>17</v>
      </c>
      <c r="K1156" s="4" t="s">
        <v>53</v>
      </c>
      <c r="L1156" s="5">
        <v>1</v>
      </c>
      <c r="M1156" s="8"/>
      <c r="N1156" s="4"/>
      <c r="O1156" s="5"/>
      <c r="P1156" s="8"/>
      <c r="Q1156" s="4"/>
      <c r="R1156" s="5"/>
      <c r="W1156" s="67" t="s">
        <v>1110</v>
      </c>
      <c r="X1156" s="68" t="s">
        <v>1111</v>
      </c>
      <c r="Y1156" s="69">
        <v>71.7</v>
      </c>
      <c r="Z1156" t="str">
        <f>IF(AND(Tabla1[[#This Row],[nudo inicial]]=Tabla3[[#This Row],[n1]],Tabla1[[#This Row],[nudo final]]=Tabla3[[#This Row],[n2]],Tabla1[[#This Row],[longitud]]=Tabla3[[#This Row],[long]]),"si","no")</f>
        <v>si</v>
      </c>
    </row>
    <row r="1157" spans="1:26" ht="15.75" x14ac:dyDescent="0.25">
      <c r="B1157" t="s">
        <v>1110</v>
      </c>
      <c r="C1157" t="s">
        <v>1112</v>
      </c>
      <c r="D1157" s="19">
        <v>40.450000000000003</v>
      </c>
      <c r="E1157" s="3" t="s">
        <v>53</v>
      </c>
      <c r="F1157" s="3" t="s">
        <v>25</v>
      </c>
      <c r="G1157" s="8" t="s">
        <v>57</v>
      </c>
      <c r="H1157" s="4" t="s">
        <v>53</v>
      </c>
      <c r="I1157" s="5">
        <v>1</v>
      </c>
      <c r="J1157" s="8" t="s">
        <v>32</v>
      </c>
      <c r="K1157" s="4" t="s">
        <v>53</v>
      </c>
      <c r="L1157" s="5">
        <v>1</v>
      </c>
      <c r="M1157" s="8"/>
      <c r="N1157" s="4"/>
      <c r="O1157" s="5"/>
      <c r="P1157" s="8"/>
      <c r="Q1157" s="4"/>
      <c r="R1157" s="5"/>
      <c r="W1157" s="67" t="s">
        <v>1110</v>
      </c>
      <c r="X1157" s="68" t="s">
        <v>1112</v>
      </c>
      <c r="Y1157" s="69">
        <v>40.450000000000003</v>
      </c>
      <c r="Z1157" t="str">
        <f>IF(AND(Tabla1[[#This Row],[nudo inicial]]=Tabla3[[#This Row],[n1]],Tabla1[[#This Row],[nudo final]]=Tabla3[[#This Row],[n2]],Tabla1[[#This Row],[longitud]]=Tabla3[[#This Row],[long]]),"si","no")</f>
        <v>si</v>
      </c>
    </row>
    <row r="1158" spans="1:26" ht="15.75" x14ac:dyDescent="0.25">
      <c r="B1158" t="s">
        <v>1112</v>
      </c>
      <c r="C1158" t="s">
        <v>1113</v>
      </c>
      <c r="D1158" s="19">
        <v>122.76</v>
      </c>
      <c r="E1158" s="3" t="s">
        <v>53</v>
      </c>
      <c r="F1158" s="3" t="s">
        <v>25</v>
      </c>
      <c r="G1158" s="8" t="s">
        <v>58</v>
      </c>
      <c r="H1158" s="4" t="s">
        <v>53</v>
      </c>
      <c r="I1158" s="5">
        <v>1</v>
      </c>
      <c r="J1158" s="8" t="s">
        <v>17</v>
      </c>
      <c r="K1158" s="4" t="s">
        <v>53</v>
      </c>
      <c r="L1158" s="5">
        <v>1</v>
      </c>
      <c r="M1158" s="8"/>
      <c r="N1158" s="4"/>
      <c r="O1158" s="5"/>
      <c r="P1158" s="8"/>
      <c r="Q1158" s="4"/>
      <c r="R1158" s="5"/>
      <c r="W1158" s="67" t="s">
        <v>1112</v>
      </c>
      <c r="X1158" s="68" t="s">
        <v>1113</v>
      </c>
      <c r="Y1158" s="69">
        <v>122.76</v>
      </c>
      <c r="Z1158" t="str">
        <f>IF(AND(Tabla1[[#This Row],[nudo inicial]]=Tabla3[[#This Row],[n1]],Tabla1[[#This Row],[nudo final]]=Tabla3[[#This Row],[n2]],Tabla1[[#This Row],[longitud]]=Tabla3[[#This Row],[long]]),"si","no")</f>
        <v>si</v>
      </c>
    </row>
    <row r="1159" spans="1:26" ht="15.75" x14ac:dyDescent="0.25">
      <c r="B1159" t="s">
        <v>1112</v>
      </c>
      <c r="C1159" t="s">
        <v>1114</v>
      </c>
      <c r="D1159" s="19">
        <v>12.32</v>
      </c>
      <c r="E1159" s="3" t="s">
        <v>53</v>
      </c>
      <c r="F1159" s="3" t="s">
        <v>25</v>
      </c>
      <c r="G1159" s="8" t="s">
        <v>57</v>
      </c>
      <c r="H1159" s="4" t="s">
        <v>53</v>
      </c>
      <c r="I1159" s="5">
        <v>1</v>
      </c>
      <c r="J1159" s="8"/>
      <c r="K1159" s="4"/>
      <c r="L1159" s="5"/>
      <c r="M1159" s="8"/>
      <c r="N1159" s="4"/>
      <c r="O1159" s="5"/>
      <c r="P1159" s="8"/>
      <c r="Q1159" s="4"/>
      <c r="R1159" s="5"/>
      <c r="W1159" s="67" t="s">
        <v>1112</v>
      </c>
      <c r="X1159" s="68" t="s">
        <v>1114</v>
      </c>
      <c r="Y1159" s="69">
        <v>12.32</v>
      </c>
      <c r="Z1159" t="str">
        <f>IF(AND(Tabla1[[#This Row],[nudo inicial]]=Tabla3[[#This Row],[n1]],Tabla1[[#This Row],[nudo final]]=Tabla3[[#This Row],[n2]],Tabla1[[#This Row],[longitud]]=Tabla3[[#This Row],[long]]),"si","no")</f>
        <v>si</v>
      </c>
    </row>
    <row r="1160" spans="1:26" ht="15.75" x14ac:dyDescent="0.25">
      <c r="B1160" t="s">
        <v>1114</v>
      </c>
      <c r="C1160" t="s">
        <v>1115</v>
      </c>
      <c r="D1160" s="19">
        <v>52.4</v>
      </c>
      <c r="E1160" s="3" t="s">
        <v>53</v>
      </c>
      <c r="F1160" s="3" t="s">
        <v>25</v>
      </c>
      <c r="G1160" s="8" t="s">
        <v>58</v>
      </c>
      <c r="H1160" s="4" t="s">
        <v>53</v>
      </c>
      <c r="I1160" s="5">
        <v>1</v>
      </c>
      <c r="J1160" s="8" t="s">
        <v>17</v>
      </c>
      <c r="K1160" s="4" t="s">
        <v>53</v>
      </c>
      <c r="L1160" s="5">
        <v>1</v>
      </c>
      <c r="M1160" s="8"/>
      <c r="N1160" s="4"/>
      <c r="O1160" s="5"/>
      <c r="P1160" s="8"/>
      <c r="Q1160" s="4"/>
      <c r="R1160" s="5"/>
      <c r="W1160" s="67" t="s">
        <v>1114</v>
      </c>
      <c r="X1160" s="68" t="s">
        <v>1115</v>
      </c>
      <c r="Y1160" s="69">
        <v>52.4</v>
      </c>
      <c r="Z1160" t="str">
        <f>IF(AND(Tabla1[[#This Row],[nudo inicial]]=Tabla3[[#This Row],[n1]],Tabla1[[#This Row],[nudo final]]=Tabla3[[#This Row],[n2]],Tabla1[[#This Row],[longitud]]=Tabla3[[#This Row],[long]]),"si","no")</f>
        <v>si</v>
      </c>
    </row>
    <row r="1161" spans="1:26" ht="15.75" x14ac:dyDescent="0.25">
      <c r="B1161" t="s">
        <v>1114</v>
      </c>
      <c r="C1161" t="s">
        <v>1116</v>
      </c>
      <c r="D1161" s="19">
        <v>41.68</v>
      </c>
      <c r="E1161" s="3" t="s">
        <v>53</v>
      </c>
      <c r="F1161" s="3" t="s">
        <v>25</v>
      </c>
      <c r="G1161" s="8" t="s">
        <v>57</v>
      </c>
      <c r="H1161" s="4" t="s">
        <v>53</v>
      </c>
      <c r="I1161" s="5">
        <v>1</v>
      </c>
      <c r="J1161" s="8"/>
      <c r="K1161" s="4"/>
      <c r="L1161" s="5"/>
      <c r="M1161" s="8"/>
      <c r="N1161" s="4"/>
      <c r="O1161" s="5"/>
      <c r="P1161" s="8"/>
      <c r="Q1161" s="4"/>
      <c r="R1161" s="5"/>
      <c r="W1161" s="67" t="s">
        <v>1114</v>
      </c>
      <c r="X1161" s="68" t="s">
        <v>1116</v>
      </c>
      <c r="Y1161" s="69">
        <v>41.68</v>
      </c>
      <c r="Z1161" t="str">
        <f>IF(AND(Tabla1[[#This Row],[nudo inicial]]=Tabla3[[#This Row],[n1]],Tabla1[[#This Row],[nudo final]]=Tabla3[[#This Row],[n2]],Tabla1[[#This Row],[longitud]]=Tabla3[[#This Row],[long]]),"si","no")</f>
        <v>si</v>
      </c>
    </row>
    <row r="1162" spans="1:26" ht="15.75" x14ac:dyDescent="0.25">
      <c r="B1162" t="s">
        <v>1116</v>
      </c>
      <c r="C1162" t="s">
        <v>1117</v>
      </c>
      <c r="D1162" s="19">
        <v>110.82</v>
      </c>
      <c r="E1162" s="3" t="s">
        <v>53</v>
      </c>
      <c r="F1162" s="3" t="s">
        <v>25</v>
      </c>
      <c r="G1162" s="8" t="s">
        <v>58</v>
      </c>
      <c r="H1162" s="4" t="s">
        <v>53</v>
      </c>
      <c r="I1162" s="5">
        <v>1</v>
      </c>
      <c r="J1162" s="8" t="s">
        <v>17</v>
      </c>
      <c r="K1162" s="4" t="s">
        <v>53</v>
      </c>
      <c r="L1162" s="5">
        <v>1</v>
      </c>
      <c r="M1162" s="8"/>
      <c r="N1162" s="4"/>
      <c r="O1162" s="5"/>
      <c r="P1162" s="8"/>
      <c r="Q1162" s="4"/>
      <c r="R1162" s="5"/>
      <c r="W1162" s="67" t="s">
        <v>1116</v>
      </c>
      <c r="X1162" s="68" t="s">
        <v>1117</v>
      </c>
      <c r="Y1162" s="69">
        <v>110.82</v>
      </c>
      <c r="Z1162" t="str">
        <f>IF(AND(Tabla1[[#This Row],[nudo inicial]]=Tabla3[[#This Row],[n1]],Tabla1[[#This Row],[nudo final]]=Tabla3[[#This Row],[n2]],Tabla1[[#This Row],[longitud]]=Tabla3[[#This Row],[long]]),"si","no")</f>
        <v>si</v>
      </c>
    </row>
    <row r="1163" spans="1:26" ht="15.75" x14ac:dyDescent="0.25">
      <c r="B1163" t="s">
        <v>1116</v>
      </c>
      <c r="C1163" t="s">
        <v>1119</v>
      </c>
      <c r="D1163" s="19">
        <v>51</v>
      </c>
      <c r="E1163" s="3" t="s">
        <v>53</v>
      </c>
      <c r="F1163" s="3" t="s">
        <v>25</v>
      </c>
      <c r="G1163" s="8" t="s">
        <v>58</v>
      </c>
      <c r="H1163" s="4" t="s">
        <v>53</v>
      </c>
      <c r="I1163" s="5">
        <v>1</v>
      </c>
      <c r="J1163" s="8"/>
      <c r="K1163" s="4"/>
      <c r="L1163" s="5"/>
      <c r="M1163" s="8"/>
      <c r="N1163" s="4"/>
      <c r="O1163" s="5"/>
      <c r="P1163" s="8"/>
      <c r="Q1163" s="4"/>
      <c r="R1163" s="5"/>
      <c r="W1163" s="67" t="s">
        <v>1116</v>
      </c>
      <c r="X1163" s="68" t="s">
        <v>1119</v>
      </c>
      <c r="Y1163" s="69">
        <v>51</v>
      </c>
      <c r="Z1163" t="str">
        <f>IF(AND(Tabla1[[#This Row],[nudo inicial]]=Tabla3[[#This Row],[n1]],Tabla1[[#This Row],[nudo final]]=Tabla3[[#This Row],[n2]],Tabla1[[#This Row],[longitud]]=Tabla3[[#This Row],[long]]),"si","no")</f>
        <v>si</v>
      </c>
    </row>
    <row r="1164" spans="1:26" ht="31.5" x14ac:dyDescent="0.25">
      <c r="B1164" t="s">
        <v>1088</v>
      </c>
      <c r="C1164" t="s">
        <v>1120</v>
      </c>
      <c r="D1164" s="19">
        <v>87.63</v>
      </c>
      <c r="E1164" s="3" t="s">
        <v>126</v>
      </c>
      <c r="F1164" s="3" t="s">
        <v>25</v>
      </c>
      <c r="G1164" s="8" t="s">
        <v>58</v>
      </c>
      <c r="H1164" s="4" t="s">
        <v>126</v>
      </c>
      <c r="I1164" s="5">
        <v>1</v>
      </c>
      <c r="J1164" s="8" t="s">
        <v>16</v>
      </c>
      <c r="K1164" s="4" t="s">
        <v>126</v>
      </c>
      <c r="L1164" s="5">
        <v>1</v>
      </c>
      <c r="M1164" s="8"/>
      <c r="N1164" s="4"/>
      <c r="O1164" s="5"/>
      <c r="P1164" s="8"/>
      <c r="Q1164" s="4"/>
      <c r="R1164" s="5"/>
      <c r="W1164" s="67" t="s">
        <v>1088</v>
      </c>
      <c r="X1164" s="68" t="s">
        <v>1120</v>
      </c>
      <c r="Y1164" s="69">
        <v>87.63</v>
      </c>
      <c r="Z1164" t="str">
        <f>IF(AND(Tabla1[[#This Row],[nudo inicial]]=Tabla3[[#This Row],[n1]],Tabla1[[#This Row],[nudo final]]=Tabla3[[#This Row],[n2]],Tabla1[[#This Row],[longitud]]=Tabla3[[#This Row],[long]]),"si","no")</f>
        <v>si</v>
      </c>
    </row>
    <row r="1165" spans="1:26" ht="31.5" x14ac:dyDescent="0.25">
      <c r="B1165" t="s">
        <v>1120</v>
      </c>
      <c r="C1165" t="s">
        <v>1122</v>
      </c>
      <c r="D1165" s="19">
        <v>88.33</v>
      </c>
      <c r="E1165" s="3" t="s">
        <v>23</v>
      </c>
      <c r="F1165" s="3" t="s">
        <v>25</v>
      </c>
      <c r="G1165" s="8" t="s">
        <v>16</v>
      </c>
      <c r="H1165" s="4" t="s">
        <v>23</v>
      </c>
      <c r="I1165" s="5">
        <v>2</v>
      </c>
      <c r="J1165" s="8"/>
      <c r="K1165" s="4"/>
      <c r="L1165" s="5"/>
      <c r="M1165" s="8"/>
      <c r="N1165" s="4"/>
      <c r="O1165" s="5"/>
      <c r="P1165" s="8"/>
      <c r="Q1165" s="4"/>
      <c r="R1165" s="5"/>
      <c r="W1165" s="67" t="s">
        <v>1121</v>
      </c>
      <c r="X1165" s="68" t="s">
        <v>1122</v>
      </c>
      <c r="Y1165" s="69">
        <v>88.33</v>
      </c>
      <c r="Z1165" t="str">
        <f>IF(AND(Tabla1[[#This Row],[nudo inicial]]=Tabla3[[#This Row],[n1]],Tabla1[[#This Row],[nudo final]]=Tabla3[[#This Row],[n2]],Tabla1[[#This Row],[longitud]]=Tabla3[[#This Row],[long]]),"si","no")</f>
        <v>no</v>
      </c>
    </row>
    <row r="1166" spans="1:26" ht="15.75" x14ac:dyDescent="0.25">
      <c r="B1166" t="s">
        <v>1122</v>
      </c>
      <c r="C1166" t="s">
        <v>1118</v>
      </c>
      <c r="D1166" s="19">
        <v>44.75</v>
      </c>
      <c r="E1166" s="3" t="s">
        <v>23</v>
      </c>
      <c r="F1166" s="3" t="s">
        <v>25</v>
      </c>
      <c r="G1166" s="8" t="s">
        <v>58</v>
      </c>
      <c r="H1166" s="4" t="s">
        <v>23</v>
      </c>
      <c r="I1166" s="5">
        <v>1</v>
      </c>
      <c r="J1166" s="8" t="s">
        <v>17</v>
      </c>
      <c r="K1166" s="4" t="s">
        <v>23</v>
      </c>
      <c r="L1166" s="5">
        <v>1</v>
      </c>
      <c r="M1166" s="8"/>
      <c r="N1166" s="4"/>
      <c r="O1166" s="5"/>
      <c r="P1166" s="8"/>
      <c r="Q1166" s="4"/>
      <c r="R1166" s="5"/>
      <c r="W1166" s="67" t="s">
        <v>1122</v>
      </c>
      <c r="X1166" s="68" t="s">
        <v>1118</v>
      </c>
      <c r="Y1166" s="69">
        <v>44.75</v>
      </c>
      <c r="Z1166" t="str">
        <f>IF(AND(Tabla1[[#This Row],[nudo inicial]]=Tabla3[[#This Row],[n1]],Tabla1[[#This Row],[nudo final]]=Tabla3[[#This Row],[n2]],Tabla1[[#This Row],[longitud]]=Tabla3[[#This Row],[long]]),"si","no")</f>
        <v>si</v>
      </c>
    </row>
    <row r="1167" spans="1:26" ht="15.75" x14ac:dyDescent="0.25">
      <c r="B1167" t="s">
        <v>1122</v>
      </c>
      <c r="C1167" t="s">
        <v>1123</v>
      </c>
      <c r="D1167" s="19">
        <v>27.57</v>
      </c>
      <c r="E1167" s="3" t="s">
        <v>23</v>
      </c>
      <c r="F1167" s="3" t="s">
        <v>25</v>
      </c>
      <c r="G1167" s="8" t="s">
        <v>57</v>
      </c>
      <c r="H1167" s="4" t="s">
        <v>23</v>
      </c>
      <c r="I1167" s="5">
        <v>1</v>
      </c>
      <c r="J1167" s="8"/>
      <c r="K1167" s="4"/>
      <c r="L1167" s="5"/>
      <c r="M1167" s="8"/>
      <c r="N1167" s="4"/>
      <c r="O1167" s="5"/>
      <c r="P1167" s="8"/>
      <c r="Q1167" s="4"/>
      <c r="R1167" s="5"/>
      <c r="W1167" s="67" t="s">
        <v>1122</v>
      </c>
      <c r="X1167" s="68" t="s">
        <v>1123</v>
      </c>
      <c r="Y1167" s="69">
        <v>27.57</v>
      </c>
      <c r="Z1167" t="str">
        <f>IF(AND(Tabla1[[#This Row],[nudo inicial]]=Tabla3[[#This Row],[n1]],Tabla1[[#This Row],[nudo final]]=Tabla3[[#This Row],[n2]],Tabla1[[#This Row],[longitud]]=Tabla3[[#This Row],[long]]),"si","no")</f>
        <v>si</v>
      </c>
    </row>
    <row r="1168" spans="1:26" ht="15.75" x14ac:dyDescent="0.25">
      <c r="A1168" s="14"/>
      <c r="B1168" t="s">
        <v>1123</v>
      </c>
      <c r="C1168" t="s">
        <v>1124</v>
      </c>
      <c r="D1168" s="19">
        <v>103.55</v>
      </c>
      <c r="E1168" s="3" t="s">
        <v>53</v>
      </c>
      <c r="F1168" s="3" t="s">
        <v>25</v>
      </c>
      <c r="G1168" s="8" t="s">
        <v>58</v>
      </c>
      <c r="H1168" s="4" t="s">
        <v>23</v>
      </c>
      <c r="I1168" s="5">
        <v>1</v>
      </c>
      <c r="J1168" s="8" t="s">
        <v>15</v>
      </c>
      <c r="K1168" s="4" t="s">
        <v>53</v>
      </c>
      <c r="L1168" s="5">
        <v>1</v>
      </c>
      <c r="M1168" s="8" t="s">
        <v>17</v>
      </c>
      <c r="N1168" s="4" t="s">
        <v>53</v>
      </c>
      <c r="O1168" s="5">
        <v>1</v>
      </c>
      <c r="P1168" s="8"/>
      <c r="Q1168" s="4"/>
      <c r="R1168" s="5"/>
      <c r="W1168" s="67" t="s">
        <v>1123</v>
      </c>
      <c r="X1168" s="68" t="s">
        <v>1124</v>
      </c>
      <c r="Y1168" s="69">
        <v>103.55</v>
      </c>
      <c r="Z1168" t="str">
        <f>IF(AND(Tabla1[[#This Row],[nudo inicial]]=Tabla3[[#This Row],[n1]],Tabla1[[#This Row],[nudo final]]=Tabla3[[#This Row],[n2]],Tabla1[[#This Row],[longitud]]=Tabla3[[#This Row],[long]]),"si","no")</f>
        <v>si</v>
      </c>
    </row>
    <row r="1169" spans="1:26" ht="15.75" x14ac:dyDescent="0.25">
      <c r="A1169" s="14"/>
      <c r="B1169" t="s">
        <v>1123</v>
      </c>
      <c r="C1169" t="s">
        <v>1125</v>
      </c>
      <c r="D1169" s="19">
        <v>41.18</v>
      </c>
      <c r="E1169" s="3" t="s">
        <v>23</v>
      </c>
      <c r="F1169" s="3" t="s">
        <v>25</v>
      </c>
      <c r="G1169" s="8" t="s">
        <v>57</v>
      </c>
      <c r="H1169" s="4" t="s">
        <v>23</v>
      </c>
      <c r="I1169" s="5">
        <v>1</v>
      </c>
      <c r="J1169" s="8"/>
      <c r="K1169" s="4"/>
      <c r="L1169" s="5"/>
      <c r="M1169" s="8"/>
      <c r="N1169" s="4"/>
      <c r="O1169" s="5"/>
      <c r="P1169" s="8"/>
      <c r="Q1169" s="4"/>
      <c r="R1169" s="5"/>
      <c r="W1169" s="67" t="s">
        <v>1123</v>
      </c>
      <c r="X1169" s="68" t="s">
        <v>1125</v>
      </c>
      <c r="Y1169" s="69">
        <v>41.18</v>
      </c>
      <c r="Z1169" t="str">
        <f>IF(AND(Tabla1[[#This Row],[nudo inicial]]=Tabla3[[#This Row],[n1]],Tabla1[[#This Row],[nudo final]]=Tabla3[[#This Row],[n2]],Tabla1[[#This Row],[longitud]]=Tabla3[[#This Row],[long]]),"si","no")</f>
        <v>si</v>
      </c>
    </row>
    <row r="1170" spans="1:26" ht="15.75" x14ac:dyDescent="0.25">
      <c r="A1170" s="14"/>
      <c r="B1170" s="14" t="s">
        <v>1125</v>
      </c>
      <c r="C1170" s="14" t="s">
        <v>1126</v>
      </c>
      <c r="D1170" s="20">
        <v>114.24</v>
      </c>
      <c r="E1170" s="15" t="s">
        <v>53</v>
      </c>
      <c r="F1170" s="15" t="s">
        <v>25</v>
      </c>
      <c r="G1170" s="16" t="s">
        <v>58</v>
      </c>
      <c r="H1170" s="17" t="s">
        <v>23</v>
      </c>
      <c r="I1170" s="18">
        <v>1</v>
      </c>
      <c r="J1170" s="16" t="s">
        <v>15</v>
      </c>
      <c r="K1170" s="17" t="s">
        <v>53</v>
      </c>
      <c r="L1170" s="18">
        <v>1</v>
      </c>
      <c r="M1170" s="16"/>
      <c r="N1170" s="17"/>
      <c r="O1170" s="18"/>
      <c r="P1170" s="16"/>
      <c r="Q1170" s="17"/>
      <c r="R1170" s="18"/>
      <c r="S1170" s="14"/>
      <c r="T1170" s="14"/>
      <c r="U1170" s="14"/>
      <c r="W1170" s="67" t="s">
        <v>1125</v>
      </c>
      <c r="X1170" s="68" t="s">
        <v>1126</v>
      </c>
      <c r="Y1170" s="69">
        <v>114.24</v>
      </c>
      <c r="Z1170" t="str">
        <f>IF(AND(Tabla1[[#This Row],[nudo inicial]]=Tabla3[[#This Row],[n1]],Tabla1[[#This Row],[nudo final]]=Tabla3[[#This Row],[n2]],Tabla1[[#This Row],[longitud]]=Tabla3[[#This Row],[long]]),"si","no")</f>
        <v>si</v>
      </c>
    </row>
    <row r="1171" spans="1:26" ht="15.75" x14ac:dyDescent="0.25">
      <c r="B1171" s="14" t="s">
        <v>1126</v>
      </c>
      <c r="C1171" s="14" t="s">
        <v>1128</v>
      </c>
      <c r="D1171" s="20">
        <v>114.53</v>
      </c>
      <c r="E1171" s="15" t="s">
        <v>53</v>
      </c>
      <c r="F1171" s="15" t="s">
        <v>25</v>
      </c>
      <c r="G1171" s="16" t="s">
        <v>57</v>
      </c>
      <c r="H1171" s="17" t="s">
        <v>53</v>
      </c>
      <c r="I1171" s="18">
        <v>1</v>
      </c>
      <c r="J1171" s="16" t="s">
        <v>17</v>
      </c>
      <c r="K1171" s="17" t="s">
        <v>53</v>
      </c>
      <c r="L1171" s="18">
        <v>1</v>
      </c>
      <c r="M1171" s="16"/>
      <c r="N1171" s="17"/>
      <c r="O1171" s="18"/>
      <c r="P1171" s="16"/>
      <c r="Q1171" s="17"/>
      <c r="R1171" s="18"/>
      <c r="S1171" s="14"/>
      <c r="T1171" s="14"/>
      <c r="U1171" s="14"/>
      <c r="W1171" s="67" t="s">
        <v>1126</v>
      </c>
      <c r="X1171" s="68" t="s">
        <v>1128</v>
      </c>
      <c r="Y1171" s="69">
        <v>114.53</v>
      </c>
      <c r="Z1171" t="str">
        <f>IF(AND(Tabla1[[#This Row],[nudo inicial]]=Tabla3[[#This Row],[n1]],Tabla1[[#This Row],[nudo final]]=Tabla3[[#This Row],[n2]],Tabla1[[#This Row],[longitud]]=Tabla3[[#This Row],[long]]),"si","no")</f>
        <v>si</v>
      </c>
    </row>
    <row r="1172" spans="1:26" ht="15.75" x14ac:dyDescent="0.25">
      <c r="A1172" s="14"/>
      <c r="B1172" s="14" t="s">
        <v>1126</v>
      </c>
      <c r="C1172" s="14" t="s">
        <v>1127</v>
      </c>
      <c r="D1172" s="20">
        <v>116.68</v>
      </c>
      <c r="E1172" s="15" t="s">
        <v>53</v>
      </c>
      <c r="F1172" s="15" t="s">
        <v>25</v>
      </c>
      <c r="G1172" s="16" t="s">
        <v>58</v>
      </c>
      <c r="H1172" s="17" t="s">
        <v>53</v>
      </c>
      <c r="I1172" s="18">
        <v>1</v>
      </c>
      <c r="J1172" s="16" t="s">
        <v>16</v>
      </c>
      <c r="K1172" s="17" t="s">
        <v>53</v>
      </c>
      <c r="L1172" s="18">
        <v>2</v>
      </c>
      <c r="M1172" s="16"/>
      <c r="N1172" s="17"/>
      <c r="O1172" s="18"/>
      <c r="P1172" s="16"/>
      <c r="Q1172" s="17"/>
      <c r="R1172" s="18"/>
      <c r="S1172" s="14"/>
      <c r="T1172" s="14"/>
      <c r="U1172" s="14"/>
      <c r="W1172" s="67" t="s">
        <v>1126</v>
      </c>
      <c r="X1172" s="68" t="s">
        <v>1127</v>
      </c>
      <c r="Y1172" s="69">
        <v>116.68</v>
      </c>
      <c r="Z1172" t="str">
        <f>IF(AND(Tabla1[[#This Row],[nudo inicial]]=Tabla3[[#This Row],[n1]],Tabla1[[#This Row],[nudo final]]=Tabla3[[#This Row],[n2]],Tabla1[[#This Row],[longitud]]=Tabla3[[#This Row],[long]]),"si","no")</f>
        <v>si</v>
      </c>
    </row>
    <row r="1173" spans="1:26" ht="15.75" x14ac:dyDescent="0.25">
      <c r="A1173" s="14"/>
      <c r="B1173" t="s">
        <v>1127</v>
      </c>
      <c r="C1173" t="s">
        <v>1129</v>
      </c>
      <c r="D1173" s="19">
        <v>26.55</v>
      </c>
      <c r="E1173" s="3" t="s">
        <v>53</v>
      </c>
      <c r="F1173" s="3" t="s">
        <v>25</v>
      </c>
      <c r="G1173" s="8" t="s">
        <v>57</v>
      </c>
      <c r="H1173" s="4" t="s">
        <v>53</v>
      </c>
      <c r="I1173" s="5">
        <v>1</v>
      </c>
      <c r="J1173" s="8" t="s">
        <v>17</v>
      </c>
      <c r="K1173" s="4" t="s">
        <v>53</v>
      </c>
      <c r="L1173" s="5">
        <v>1</v>
      </c>
      <c r="M1173" s="8"/>
      <c r="N1173" s="4"/>
      <c r="O1173" s="5"/>
      <c r="P1173" s="8"/>
      <c r="Q1173" s="4"/>
      <c r="R1173" s="5"/>
      <c r="W1173" s="67" t="s">
        <v>1127</v>
      </c>
      <c r="X1173" s="68" t="s">
        <v>1129</v>
      </c>
      <c r="Y1173" s="69">
        <v>26.55</v>
      </c>
      <c r="Z1173" t="str">
        <f>IF(AND(Tabla1[[#This Row],[nudo inicial]]=Tabla3[[#This Row],[n1]],Tabla1[[#This Row],[nudo final]]=Tabla3[[#This Row],[n2]],Tabla1[[#This Row],[longitud]]=Tabla3[[#This Row],[long]]),"si","no")</f>
        <v>si</v>
      </c>
    </row>
    <row r="1174" spans="1:26" ht="15.75" x14ac:dyDescent="0.25">
      <c r="A1174" s="14"/>
      <c r="B1174" s="14" t="s">
        <v>1127</v>
      </c>
      <c r="C1174" s="14" t="s">
        <v>1130</v>
      </c>
      <c r="D1174" s="20">
        <v>163.75</v>
      </c>
      <c r="E1174" s="15" t="s">
        <v>53</v>
      </c>
      <c r="F1174" s="15" t="s">
        <v>25</v>
      </c>
      <c r="G1174" s="16" t="s">
        <v>58</v>
      </c>
      <c r="H1174" s="17" t="s">
        <v>53</v>
      </c>
      <c r="I1174" s="18">
        <v>1</v>
      </c>
      <c r="J1174" s="16"/>
      <c r="K1174" s="17"/>
      <c r="L1174" s="18"/>
      <c r="M1174" s="16"/>
      <c r="N1174" s="17"/>
      <c r="O1174" s="18"/>
      <c r="P1174" s="16"/>
      <c r="Q1174" s="17"/>
      <c r="R1174" s="18"/>
      <c r="S1174" s="14"/>
      <c r="T1174" s="14"/>
      <c r="U1174" s="14"/>
      <c r="W1174" s="67" t="s">
        <v>1127</v>
      </c>
      <c r="X1174" s="68" t="s">
        <v>1130</v>
      </c>
      <c r="Y1174" s="69">
        <v>163.75</v>
      </c>
      <c r="Z1174" t="str">
        <f>IF(AND(Tabla1[[#This Row],[nudo inicial]]=Tabla3[[#This Row],[n1]],Tabla1[[#This Row],[nudo final]]=Tabla3[[#This Row],[n2]],Tabla1[[#This Row],[longitud]]=Tabla3[[#This Row],[long]]),"si","no")</f>
        <v>si</v>
      </c>
    </row>
    <row r="1175" spans="1:26" ht="15.75" x14ac:dyDescent="0.25">
      <c r="B1175" s="14" t="s">
        <v>1130</v>
      </c>
      <c r="C1175" s="14" t="s">
        <v>1131</v>
      </c>
      <c r="D1175" s="20">
        <v>29.85</v>
      </c>
      <c r="E1175" s="15" t="s">
        <v>53</v>
      </c>
      <c r="F1175" s="15" t="s">
        <v>25</v>
      </c>
      <c r="G1175" s="16" t="s">
        <v>57</v>
      </c>
      <c r="H1175" s="17" t="s">
        <v>53</v>
      </c>
      <c r="I1175" s="18">
        <v>1</v>
      </c>
      <c r="J1175" s="16" t="s">
        <v>16</v>
      </c>
      <c r="K1175" s="17" t="s">
        <v>53</v>
      </c>
      <c r="L1175" s="18">
        <v>1</v>
      </c>
      <c r="M1175" s="16" t="s">
        <v>17</v>
      </c>
      <c r="N1175" s="17" t="s">
        <v>53</v>
      </c>
      <c r="O1175" s="18">
        <v>1</v>
      </c>
      <c r="P1175" s="16"/>
      <c r="Q1175" s="17"/>
      <c r="R1175" s="18"/>
      <c r="S1175" s="14"/>
      <c r="T1175" s="14"/>
      <c r="U1175" s="14"/>
      <c r="W1175" s="67" t="s">
        <v>1130</v>
      </c>
      <c r="X1175" s="68" t="s">
        <v>1131</v>
      </c>
      <c r="Y1175" s="69">
        <v>29.85</v>
      </c>
      <c r="Z1175" t="str">
        <f>IF(AND(Tabla1[[#This Row],[nudo inicial]]=Tabla3[[#This Row],[n1]],Tabla1[[#This Row],[nudo final]]=Tabla3[[#This Row],[n2]],Tabla1[[#This Row],[longitud]]=Tabla3[[#This Row],[long]]),"si","no")</f>
        <v>si</v>
      </c>
    </row>
    <row r="1176" spans="1:26" ht="15.75" x14ac:dyDescent="0.25">
      <c r="A1176" s="14"/>
      <c r="B1176" s="14" t="s">
        <v>1130</v>
      </c>
      <c r="C1176" s="14" t="s">
        <v>1132</v>
      </c>
      <c r="D1176" s="20">
        <v>29.15</v>
      </c>
      <c r="E1176" s="15" t="s">
        <v>53</v>
      </c>
      <c r="F1176" s="15" t="s">
        <v>25</v>
      </c>
      <c r="G1176" s="16" t="s">
        <v>58</v>
      </c>
      <c r="H1176" s="17" t="s">
        <v>53</v>
      </c>
      <c r="I1176" s="18">
        <v>1</v>
      </c>
      <c r="J1176" s="16" t="s">
        <v>17</v>
      </c>
      <c r="K1176" s="17" t="s">
        <v>53</v>
      </c>
      <c r="L1176" s="18">
        <v>1</v>
      </c>
      <c r="M1176" s="16"/>
      <c r="N1176" s="17"/>
      <c r="O1176" s="18"/>
      <c r="P1176" s="16"/>
      <c r="Q1176" s="17"/>
      <c r="R1176" s="18"/>
      <c r="S1176" s="14"/>
      <c r="T1176" s="14"/>
      <c r="U1176" s="14"/>
      <c r="W1176" s="67" t="s">
        <v>1130</v>
      </c>
      <c r="X1176" s="68" t="s">
        <v>1132</v>
      </c>
      <c r="Y1176" s="69">
        <v>29.15</v>
      </c>
      <c r="Z1176" t="str">
        <f>IF(AND(Tabla1[[#This Row],[nudo inicial]]=Tabla3[[#This Row],[n1]],Tabla1[[#This Row],[nudo final]]=Tabla3[[#This Row],[n2]],Tabla1[[#This Row],[longitud]]=Tabla3[[#This Row],[long]]),"si","no")</f>
        <v>si</v>
      </c>
    </row>
    <row r="1177" spans="1:26" ht="15.75" x14ac:dyDescent="0.25">
      <c r="B1177" t="s">
        <v>1125</v>
      </c>
      <c r="C1177" t="s">
        <v>1133</v>
      </c>
      <c r="D1177" s="19">
        <v>36.04</v>
      </c>
      <c r="E1177" s="3" t="s">
        <v>23</v>
      </c>
      <c r="F1177" s="3" t="s">
        <v>25</v>
      </c>
      <c r="G1177" s="8" t="s">
        <v>57</v>
      </c>
      <c r="H1177" s="4" t="s">
        <v>23</v>
      </c>
      <c r="I1177" s="5">
        <v>1</v>
      </c>
      <c r="J1177" s="8"/>
      <c r="K1177" s="4"/>
      <c r="L1177" s="5"/>
      <c r="M1177" s="8"/>
      <c r="N1177" s="4"/>
      <c r="O1177" s="5"/>
      <c r="P1177" s="8"/>
      <c r="Q1177" s="4"/>
      <c r="R1177" s="5"/>
      <c r="W1177" s="67" t="s">
        <v>1125</v>
      </c>
      <c r="X1177" s="68" t="s">
        <v>1133</v>
      </c>
      <c r="Y1177" s="69">
        <v>36.04</v>
      </c>
      <c r="Z1177" t="str">
        <f>IF(AND(Tabla1[[#This Row],[nudo inicial]]=Tabla3[[#This Row],[n1]],Tabla1[[#This Row],[nudo final]]=Tabla3[[#This Row],[n2]],Tabla1[[#This Row],[longitud]]=Tabla3[[#This Row],[long]]),"si","no")</f>
        <v>si</v>
      </c>
    </row>
    <row r="1178" spans="1:26" ht="15.75" x14ac:dyDescent="0.25">
      <c r="B1178" s="14" t="s">
        <v>1133</v>
      </c>
      <c r="C1178" s="14" t="s">
        <v>1134</v>
      </c>
      <c r="D1178" s="20">
        <v>241.49</v>
      </c>
      <c r="E1178" s="15" t="s">
        <v>53</v>
      </c>
      <c r="F1178" s="15" t="s">
        <v>25</v>
      </c>
      <c r="G1178" s="16" t="s">
        <v>58</v>
      </c>
      <c r="H1178" s="17" t="s">
        <v>23</v>
      </c>
      <c r="I1178" s="18">
        <v>1</v>
      </c>
      <c r="J1178" s="16" t="s">
        <v>15</v>
      </c>
      <c r="K1178" s="17" t="s">
        <v>53</v>
      </c>
      <c r="L1178" s="18">
        <v>1</v>
      </c>
      <c r="M1178" s="16" t="s">
        <v>17</v>
      </c>
      <c r="N1178" s="17" t="s">
        <v>53</v>
      </c>
      <c r="O1178" s="18">
        <v>1</v>
      </c>
      <c r="P1178" s="16"/>
      <c r="Q1178" s="17"/>
      <c r="R1178" s="18"/>
      <c r="S1178" s="14"/>
      <c r="T1178" s="14"/>
      <c r="U1178" s="14"/>
      <c r="W1178" s="67" t="s">
        <v>1133</v>
      </c>
      <c r="X1178" s="68" t="s">
        <v>1134</v>
      </c>
      <c r="Y1178" s="69">
        <v>241.49</v>
      </c>
      <c r="Z1178" t="str">
        <f>IF(AND(Tabla1[[#This Row],[nudo inicial]]=Tabla3[[#This Row],[n1]],Tabla1[[#This Row],[nudo final]]=Tabla3[[#This Row],[n2]],Tabla1[[#This Row],[longitud]]=Tabla3[[#This Row],[long]]),"si","no")</f>
        <v>si</v>
      </c>
    </row>
    <row r="1179" spans="1:26" ht="15.75" x14ac:dyDescent="0.25">
      <c r="B1179" t="s">
        <v>1133</v>
      </c>
      <c r="C1179" t="s">
        <v>1119</v>
      </c>
      <c r="D1179" s="19">
        <v>10.31</v>
      </c>
      <c r="E1179" s="3" t="s">
        <v>23</v>
      </c>
      <c r="F1179" s="3" t="s">
        <v>25</v>
      </c>
      <c r="G1179" s="8" t="s">
        <v>57</v>
      </c>
      <c r="H1179" s="4" t="s">
        <v>23</v>
      </c>
      <c r="I1179" s="5">
        <v>1</v>
      </c>
      <c r="J1179" s="8"/>
      <c r="K1179" s="4"/>
      <c r="L1179" s="5"/>
      <c r="M1179" s="8"/>
      <c r="N1179" s="4"/>
      <c r="O1179" s="5"/>
      <c r="P1179" s="8"/>
      <c r="Q1179" s="4"/>
      <c r="R1179" s="5"/>
      <c r="W1179" s="67" t="s">
        <v>1133</v>
      </c>
      <c r="X1179" s="68" t="s">
        <v>1119</v>
      </c>
      <c r="Y1179" s="69">
        <v>10.31</v>
      </c>
      <c r="Z1179" t="str">
        <f>IF(AND(Tabla1[[#This Row],[nudo inicial]]=Tabla3[[#This Row],[n1]],Tabla1[[#This Row],[nudo final]]=Tabla3[[#This Row],[n2]],Tabla1[[#This Row],[longitud]]=Tabla3[[#This Row],[long]]),"si","no")</f>
        <v>si</v>
      </c>
    </row>
    <row r="1180" spans="1:26" ht="15.75" x14ac:dyDescent="0.25">
      <c r="A1180" s="14"/>
      <c r="B1180" t="s">
        <v>1119</v>
      </c>
      <c r="C1180" t="s">
        <v>1149</v>
      </c>
      <c r="D1180" s="19">
        <v>25.56</v>
      </c>
      <c r="E1180" s="3" t="s">
        <v>23</v>
      </c>
      <c r="F1180" s="3" t="s">
        <v>25</v>
      </c>
      <c r="G1180" s="8" t="s">
        <v>57</v>
      </c>
      <c r="H1180" s="4" t="s">
        <v>23</v>
      </c>
      <c r="I1180" s="5">
        <v>1</v>
      </c>
      <c r="J1180" s="8"/>
      <c r="K1180" s="4"/>
      <c r="L1180" s="5"/>
      <c r="M1180" s="8"/>
      <c r="N1180" s="4"/>
      <c r="O1180" s="5"/>
      <c r="P1180" s="8"/>
      <c r="Q1180" s="4"/>
      <c r="R1180" s="5"/>
      <c r="W1180" s="67" t="s">
        <v>1119</v>
      </c>
      <c r="X1180" s="68" t="s">
        <v>1149</v>
      </c>
      <c r="Y1180" s="69">
        <v>25.56</v>
      </c>
      <c r="Z1180" t="str">
        <f>IF(AND(Tabla1[[#This Row],[nudo inicial]]=Tabla3[[#This Row],[n1]],Tabla1[[#This Row],[nudo final]]=Tabla3[[#This Row],[n2]],Tabla1[[#This Row],[longitud]]=Tabla3[[#This Row],[long]]),"si","no")</f>
        <v>si</v>
      </c>
    </row>
    <row r="1181" spans="1:26" ht="15.75" x14ac:dyDescent="0.25">
      <c r="B1181" t="s">
        <v>1149</v>
      </c>
      <c r="C1181" t="s">
        <v>1135</v>
      </c>
      <c r="D1181" s="19">
        <v>21.17</v>
      </c>
      <c r="E1181" s="3" t="s">
        <v>23</v>
      </c>
      <c r="F1181" s="3" t="s">
        <v>25</v>
      </c>
      <c r="G1181" s="8" t="s">
        <v>57</v>
      </c>
      <c r="H1181" s="4" t="s">
        <v>23</v>
      </c>
      <c r="I1181" s="5">
        <v>1</v>
      </c>
      <c r="J1181" s="8" t="s">
        <v>16</v>
      </c>
      <c r="K1181" s="4" t="s">
        <v>23</v>
      </c>
      <c r="L1181" s="5">
        <v>1</v>
      </c>
      <c r="M1181" s="8"/>
      <c r="N1181" s="4"/>
      <c r="O1181" s="5"/>
      <c r="P1181" s="8"/>
      <c r="Q1181" s="4"/>
      <c r="R1181" s="5"/>
      <c r="W1181" s="67" t="s">
        <v>1149</v>
      </c>
      <c r="X1181" s="68" t="s">
        <v>1135</v>
      </c>
      <c r="Y1181" s="69">
        <v>21.17</v>
      </c>
      <c r="Z1181" t="str">
        <f>IF(AND(Tabla1[[#This Row],[nudo inicial]]=Tabla3[[#This Row],[n1]],Tabla1[[#This Row],[nudo final]]=Tabla3[[#This Row],[n2]],Tabla1[[#This Row],[longitud]]=Tabla3[[#This Row],[long]]),"si","no")</f>
        <v>si</v>
      </c>
    </row>
    <row r="1182" spans="1:26" ht="15.75" x14ac:dyDescent="0.25">
      <c r="B1182" s="14" t="s">
        <v>1135</v>
      </c>
      <c r="C1182" s="14" t="s">
        <v>1136</v>
      </c>
      <c r="D1182" s="20">
        <v>6.66</v>
      </c>
      <c r="E1182" s="15" t="s">
        <v>53</v>
      </c>
      <c r="F1182" s="15" t="s">
        <v>25</v>
      </c>
      <c r="G1182" s="16" t="s">
        <v>58</v>
      </c>
      <c r="H1182" s="17" t="s">
        <v>23</v>
      </c>
      <c r="I1182" s="18">
        <v>1</v>
      </c>
      <c r="J1182" s="16" t="s">
        <v>15</v>
      </c>
      <c r="K1182" s="17" t="s">
        <v>53</v>
      </c>
      <c r="L1182" s="18">
        <v>1</v>
      </c>
      <c r="M1182" s="16" t="s">
        <v>32</v>
      </c>
      <c r="N1182" s="17" t="s">
        <v>53</v>
      </c>
      <c r="O1182" s="18">
        <v>1</v>
      </c>
      <c r="P1182" s="16"/>
      <c r="Q1182" s="17"/>
      <c r="R1182" s="18"/>
      <c r="S1182" s="14"/>
      <c r="T1182" s="14"/>
      <c r="U1182" s="14"/>
      <c r="W1182" s="67" t="s">
        <v>1135</v>
      </c>
      <c r="X1182" s="68" t="s">
        <v>1136</v>
      </c>
      <c r="Y1182" s="69">
        <v>6.66</v>
      </c>
      <c r="Z1182" t="str">
        <f>IF(AND(Tabla1[[#This Row],[nudo inicial]]=Tabla3[[#This Row],[n1]],Tabla1[[#This Row],[nudo final]]=Tabla3[[#This Row],[n2]],Tabla1[[#This Row],[longitud]]=Tabla3[[#This Row],[long]]),"si","no")</f>
        <v>si</v>
      </c>
    </row>
    <row r="1183" spans="1:26" ht="15.75" x14ac:dyDescent="0.25">
      <c r="B1183" t="s">
        <v>1136</v>
      </c>
      <c r="C1183" t="s">
        <v>1137</v>
      </c>
      <c r="D1183" s="19">
        <v>50.88</v>
      </c>
      <c r="E1183" s="3" t="s">
        <v>53</v>
      </c>
      <c r="F1183" s="3" t="s">
        <v>25</v>
      </c>
      <c r="G1183" s="8" t="s">
        <v>57</v>
      </c>
      <c r="H1183" s="4" t="s">
        <v>53</v>
      </c>
      <c r="I1183" s="5">
        <v>1</v>
      </c>
      <c r="J1183" s="8" t="s">
        <v>17</v>
      </c>
      <c r="K1183" s="4" t="s">
        <v>53</v>
      </c>
      <c r="L1183" s="5">
        <v>1</v>
      </c>
      <c r="M1183" s="8"/>
      <c r="N1183" s="4"/>
      <c r="O1183" s="5"/>
      <c r="P1183" s="8"/>
      <c r="Q1183" s="4"/>
      <c r="R1183" s="5"/>
      <c r="W1183" s="67" t="s">
        <v>1136</v>
      </c>
      <c r="X1183" s="68" t="s">
        <v>1137</v>
      </c>
      <c r="Y1183" s="69">
        <v>50.88</v>
      </c>
      <c r="Z1183" t="str">
        <f>IF(AND(Tabla1[[#This Row],[nudo inicial]]=Tabla3[[#This Row],[n1]],Tabla1[[#This Row],[nudo final]]=Tabla3[[#This Row],[n2]],Tabla1[[#This Row],[longitud]]=Tabla3[[#This Row],[long]]),"si","no")</f>
        <v>si</v>
      </c>
    </row>
    <row r="1184" spans="1:26" ht="15.75" x14ac:dyDescent="0.25">
      <c r="B1184" t="s">
        <v>1136</v>
      </c>
      <c r="C1184" t="s">
        <v>1138</v>
      </c>
      <c r="D1184" s="19">
        <v>24.38</v>
      </c>
      <c r="E1184" s="3" t="s">
        <v>53</v>
      </c>
      <c r="F1184" s="3" t="s">
        <v>25</v>
      </c>
      <c r="G1184" s="8" t="s">
        <v>58</v>
      </c>
      <c r="H1184" s="4" t="s">
        <v>53</v>
      </c>
      <c r="I1184" s="5">
        <v>1</v>
      </c>
      <c r="J1184" s="8"/>
      <c r="K1184" s="4"/>
      <c r="L1184" s="5"/>
      <c r="M1184" s="8"/>
      <c r="N1184" s="4"/>
      <c r="O1184" s="5"/>
      <c r="P1184" s="8"/>
      <c r="Q1184" s="4"/>
      <c r="R1184" s="5"/>
      <c r="W1184" s="67" t="s">
        <v>1136</v>
      </c>
      <c r="X1184" s="68" t="s">
        <v>1138</v>
      </c>
      <c r="Y1184" s="69">
        <v>24.38</v>
      </c>
      <c r="Z1184" t="str">
        <f>IF(AND(Tabla1[[#This Row],[nudo inicial]]=Tabla3[[#This Row],[n1]],Tabla1[[#This Row],[nudo final]]=Tabla3[[#This Row],[n2]],Tabla1[[#This Row],[longitud]]=Tabla3[[#This Row],[long]]),"si","no")</f>
        <v>si</v>
      </c>
    </row>
    <row r="1185" spans="2:26" ht="15.75" x14ac:dyDescent="0.25">
      <c r="B1185" t="s">
        <v>1138</v>
      </c>
      <c r="C1185" t="s">
        <v>1139</v>
      </c>
      <c r="D1185" s="19">
        <v>54.62</v>
      </c>
      <c r="E1185" s="3" t="s">
        <v>53</v>
      </c>
      <c r="F1185" s="3" t="s">
        <v>25</v>
      </c>
      <c r="G1185" s="8" t="s">
        <v>58</v>
      </c>
      <c r="H1185" s="4" t="s">
        <v>53</v>
      </c>
      <c r="I1185" s="5">
        <v>1</v>
      </c>
      <c r="J1185" s="8" t="s">
        <v>17</v>
      </c>
      <c r="K1185" s="4" t="s">
        <v>53</v>
      </c>
      <c r="L1185" s="5">
        <v>1</v>
      </c>
      <c r="M1185" s="8"/>
      <c r="N1185" s="4"/>
      <c r="O1185" s="5"/>
      <c r="P1185" s="8"/>
      <c r="Q1185" s="4"/>
      <c r="R1185" s="5"/>
      <c r="W1185" s="67" t="s">
        <v>1138</v>
      </c>
      <c r="X1185" s="68" t="s">
        <v>1139</v>
      </c>
      <c r="Y1185" s="69">
        <v>54.62</v>
      </c>
      <c r="Z1185" t="str">
        <f>IF(AND(Tabla1[[#This Row],[nudo inicial]]=Tabla3[[#This Row],[n1]],Tabla1[[#This Row],[nudo final]]=Tabla3[[#This Row],[n2]],Tabla1[[#This Row],[longitud]]=Tabla3[[#This Row],[long]]),"si","no")</f>
        <v>si</v>
      </c>
    </row>
    <row r="1186" spans="2:26" ht="15.75" x14ac:dyDescent="0.25">
      <c r="B1186" t="s">
        <v>1138</v>
      </c>
      <c r="C1186" t="s">
        <v>1140</v>
      </c>
      <c r="D1186" s="19">
        <v>77.66</v>
      </c>
      <c r="E1186" s="3" t="s">
        <v>53</v>
      </c>
      <c r="F1186" s="3" t="s">
        <v>25</v>
      </c>
      <c r="G1186" s="8" t="s">
        <v>57</v>
      </c>
      <c r="H1186" s="4" t="s">
        <v>53</v>
      </c>
      <c r="I1186" s="5">
        <v>1</v>
      </c>
      <c r="J1186" s="8" t="s">
        <v>16</v>
      </c>
      <c r="K1186" s="4" t="s">
        <v>53</v>
      </c>
      <c r="L1186" s="5">
        <v>1</v>
      </c>
      <c r="M1186" s="8" t="s">
        <v>17</v>
      </c>
      <c r="N1186" s="4" t="s">
        <v>53</v>
      </c>
      <c r="O1186" s="5">
        <v>1</v>
      </c>
      <c r="P1186" s="8"/>
      <c r="Q1186" s="4"/>
      <c r="R1186" s="5"/>
      <c r="W1186" s="67" t="s">
        <v>1138</v>
      </c>
      <c r="X1186" s="68" t="s">
        <v>1140</v>
      </c>
      <c r="Y1186" s="69">
        <v>77.66</v>
      </c>
      <c r="Z1186" t="str">
        <f>IF(AND(Tabla1[[#This Row],[nudo inicial]]=Tabla3[[#This Row],[n1]],Tabla1[[#This Row],[nudo final]]=Tabla3[[#This Row],[n2]],Tabla1[[#This Row],[longitud]]=Tabla3[[#This Row],[long]]),"si","no")</f>
        <v>si</v>
      </c>
    </row>
    <row r="1187" spans="2:26" ht="15.75" x14ac:dyDescent="0.25">
      <c r="B1187" t="s">
        <v>1135</v>
      </c>
      <c r="C1187" t="s">
        <v>1141</v>
      </c>
      <c r="D1187" s="19">
        <v>158.87</v>
      </c>
      <c r="E1187" s="3" t="s">
        <v>53</v>
      </c>
      <c r="F1187" s="3" t="s">
        <v>25</v>
      </c>
      <c r="G1187" s="8" t="s">
        <v>57</v>
      </c>
      <c r="H1187" s="4" t="s">
        <v>23</v>
      </c>
      <c r="I1187" s="5">
        <v>1</v>
      </c>
      <c r="J1187" s="8" t="s">
        <v>15</v>
      </c>
      <c r="K1187" s="4" t="s">
        <v>53</v>
      </c>
      <c r="L1187" s="5">
        <v>1</v>
      </c>
      <c r="M1187" s="8" t="s">
        <v>16</v>
      </c>
      <c r="N1187" s="4" t="s">
        <v>53</v>
      </c>
      <c r="O1187" s="5">
        <v>1</v>
      </c>
      <c r="P1187" s="8"/>
      <c r="Q1187" s="4"/>
      <c r="R1187" s="5"/>
      <c r="W1187" s="67" t="s">
        <v>1135</v>
      </c>
      <c r="X1187" s="68" t="s">
        <v>1141</v>
      </c>
      <c r="Y1187" s="69">
        <v>158.87</v>
      </c>
      <c r="Z1187" t="str">
        <f>IF(AND(Tabla1[[#This Row],[nudo inicial]]=Tabla3[[#This Row],[n1]],Tabla1[[#This Row],[nudo final]]=Tabla3[[#This Row],[n2]],Tabla1[[#This Row],[longitud]]=Tabla3[[#This Row],[long]]),"si","no")</f>
        <v>si</v>
      </c>
    </row>
    <row r="1188" spans="2:26" ht="15.75" x14ac:dyDescent="0.25">
      <c r="B1188" t="s">
        <v>1141</v>
      </c>
      <c r="C1188" t="s">
        <v>1142</v>
      </c>
      <c r="D1188" s="19">
        <v>43.32</v>
      </c>
      <c r="E1188" s="3" t="s">
        <v>53</v>
      </c>
      <c r="F1188" s="3" t="s">
        <v>25</v>
      </c>
      <c r="G1188" s="8" t="s">
        <v>57</v>
      </c>
      <c r="H1188" s="4" t="s">
        <v>53</v>
      </c>
      <c r="I1188" s="5">
        <v>1</v>
      </c>
      <c r="J1188" s="8" t="s">
        <v>17</v>
      </c>
      <c r="K1188" s="4" t="s">
        <v>53</v>
      </c>
      <c r="L1188" s="5">
        <v>1</v>
      </c>
      <c r="M1188" s="8"/>
      <c r="N1188" s="4"/>
      <c r="O1188" s="5"/>
      <c r="P1188" s="8"/>
      <c r="Q1188" s="4"/>
      <c r="R1188" s="5"/>
      <c r="W1188" s="67" t="s">
        <v>1141</v>
      </c>
      <c r="X1188" s="68" t="s">
        <v>1142</v>
      </c>
      <c r="Y1188" s="69">
        <v>43.32</v>
      </c>
      <c r="Z1188" t="str">
        <f>IF(AND(Tabla1[[#This Row],[nudo inicial]]=Tabla3[[#This Row],[n1]],Tabla1[[#This Row],[nudo final]]=Tabla3[[#This Row],[n2]],Tabla1[[#This Row],[longitud]]=Tabla3[[#This Row],[long]]),"si","no")</f>
        <v>si</v>
      </c>
    </row>
    <row r="1189" spans="2:26" ht="15.75" x14ac:dyDescent="0.25">
      <c r="B1189" t="s">
        <v>1141</v>
      </c>
      <c r="C1189" t="s">
        <v>1143</v>
      </c>
      <c r="D1189" s="19">
        <v>107.14</v>
      </c>
      <c r="E1189" s="3" t="s">
        <v>53</v>
      </c>
      <c r="F1189" s="3" t="s">
        <v>25</v>
      </c>
      <c r="G1189" s="8" t="s">
        <v>58</v>
      </c>
      <c r="H1189" s="4" t="s">
        <v>53</v>
      </c>
      <c r="I1189" s="5">
        <v>1</v>
      </c>
      <c r="J1189" s="8" t="s">
        <v>32</v>
      </c>
      <c r="K1189" s="4" t="s">
        <v>53</v>
      </c>
      <c r="L1189" s="5">
        <v>1</v>
      </c>
      <c r="M1189" s="8" t="s">
        <v>17</v>
      </c>
      <c r="N1189" s="4" t="s">
        <v>53</v>
      </c>
      <c r="O1189" s="5">
        <v>1</v>
      </c>
      <c r="P1189" s="8"/>
      <c r="Q1189" s="4"/>
      <c r="R1189" s="5"/>
      <c r="W1189" s="67" t="s">
        <v>1141</v>
      </c>
      <c r="X1189" s="68" t="s">
        <v>1143</v>
      </c>
      <c r="Y1189" s="69">
        <v>107.14</v>
      </c>
      <c r="Z1189" t="str">
        <f>IF(AND(Tabla1[[#This Row],[nudo inicial]]=Tabla3[[#This Row],[n1]],Tabla1[[#This Row],[nudo final]]=Tabla3[[#This Row],[n2]],Tabla1[[#This Row],[longitud]]=Tabla3[[#This Row],[long]]),"si","no")</f>
        <v>si</v>
      </c>
    </row>
    <row r="1190" spans="2:26" ht="31.5" x14ac:dyDescent="0.25">
      <c r="B1190" t="s">
        <v>1120</v>
      </c>
      <c r="C1190" t="s">
        <v>1144</v>
      </c>
      <c r="D1190" s="19">
        <v>336.34</v>
      </c>
      <c r="E1190" s="3" t="s">
        <v>23</v>
      </c>
      <c r="F1190" s="3" t="s">
        <v>25</v>
      </c>
      <c r="G1190" s="8" t="s">
        <v>16</v>
      </c>
      <c r="H1190" s="4" t="s">
        <v>23</v>
      </c>
      <c r="I1190" s="5">
        <v>5</v>
      </c>
      <c r="J1190" s="8"/>
      <c r="K1190" s="4"/>
      <c r="L1190" s="5"/>
      <c r="M1190" s="8"/>
      <c r="N1190" s="4"/>
      <c r="O1190" s="5"/>
      <c r="P1190" s="8"/>
      <c r="Q1190" s="4"/>
      <c r="R1190" s="5"/>
      <c r="W1190" s="67" t="s">
        <v>1121</v>
      </c>
      <c r="X1190" s="68" t="s">
        <v>1144</v>
      </c>
      <c r="Y1190" s="69">
        <v>336.34</v>
      </c>
      <c r="Z1190" t="str">
        <f>IF(AND(Tabla1[[#This Row],[nudo inicial]]=Tabla3[[#This Row],[n1]],Tabla1[[#This Row],[nudo final]]=Tabla3[[#This Row],[n2]],Tabla1[[#This Row],[longitud]]=Tabla3[[#This Row],[long]]),"si","no")</f>
        <v>no</v>
      </c>
    </row>
    <row r="1191" spans="2:26" ht="15.75" x14ac:dyDescent="0.25">
      <c r="B1191" t="s">
        <v>1144</v>
      </c>
      <c r="C1191" t="s">
        <v>1145</v>
      </c>
      <c r="D1191" s="19">
        <v>113.9</v>
      </c>
      <c r="E1191" s="3" t="s">
        <v>53</v>
      </c>
      <c r="F1191" s="3" t="s">
        <v>25</v>
      </c>
      <c r="G1191" s="8" t="s">
        <v>58</v>
      </c>
      <c r="H1191" s="4" t="s">
        <v>23</v>
      </c>
      <c r="I1191" s="5">
        <v>1</v>
      </c>
      <c r="J1191" s="8" t="s">
        <v>15</v>
      </c>
      <c r="K1191" s="4" t="s">
        <v>53</v>
      </c>
      <c r="L1191" s="5">
        <v>1</v>
      </c>
      <c r="M1191" s="8" t="s">
        <v>17</v>
      </c>
      <c r="N1191" s="4" t="s">
        <v>53</v>
      </c>
      <c r="O1191" s="5">
        <v>1</v>
      </c>
      <c r="P1191" s="8"/>
      <c r="Q1191" s="4"/>
      <c r="R1191" s="5"/>
      <c r="W1191" s="67" t="s">
        <v>1144</v>
      </c>
      <c r="X1191" s="68" t="s">
        <v>1145</v>
      </c>
      <c r="Y1191" s="69">
        <v>113.9</v>
      </c>
      <c r="Z1191" t="str">
        <f>IF(AND(Tabla1[[#This Row],[nudo inicial]]=Tabla3[[#This Row],[n1]],Tabla1[[#This Row],[nudo final]]=Tabla3[[#This Row],[n2]],Tabla1[[#This Row],[longitud]]=Tabla3[[#This Row],[long]]),"si","no")</f>
        <v>si</v>
      </c>
    </row>
    <row r="1192" spans="2:26" ht="15.75" x14ac:dyDescent="0.25">
      <c r="B1192" t="s">
        <v>1144</v>
      </c>
      <c r="C1192" t="s">
        <v>1146</v>
      </c>
      <c r="D1192" s="19">
        <v>52.17</v>
      </c>
      <c r="E1192" s="3" t="s">
        <v>23</v>
      </c>
      <c r="F1192" s="3" t="s">
        <v>25</v>
      </c>
      <c r="G1192" s="8" t="s">
        <v>57</v>
      </c>
      <c r="H1192" s="4" t="s">
        <v>23</v>
      </c>
      <c r="I1192" s="5">
        <v>1</v>
      </c>
      <c r="J1192" s="8"/>
      <c r="K1192" s="4"/>
      <c r="L1192" s="5"/>
      <c r="M1192" s="8"/>
      <c r="N1192" s="4"/>
      <c r="O1192" s="5"/>
      <c r="P1192" s="8"/>
      <c r="Q1192" s="4"/>
      <c r="R1192" s="5"/>
      <c r="W1192" s="67" t="s">
        <v>1144</v>
      </c>
      <c r="X1192" s="68" t="s">
        <v>1146</v>
      </c>
      <c r="Y1192" s="69">
        <v>52.17</v>
      </c>
      <c r="Z1192" t="str">
        <f>IF(AND(Tabla1[[#This Row],[nudo inicial]]=Tabla3[[#This Row],[n1]],Tabla1[[#This Row],[nudo final]]=Tabla3[[#This Row],[n2]],Tabla1[[#This Row],[longitud]]=Tabla3[[#This Row],[long]]),"si","no")</f>
        <v>si</v>
      </c>
    </row>
    <row r="1193" spans="2:26" ht="15.75" x14ac:dyDescent="0.25">
      <c r="B1193" t="s">
        <v>1146</v>
      </c>
      <c r="C1193" t="s">
        <v>1147</v>
      </c>
      <c r="D1193" s="19">
        <v>111.97</v>
      </c>
      <c r="E1193" s="3" t="s">
        <v>53</v>
      </c>
      <c r="F1193" s="3" t="s">
        <v>25</v>
      </c>
      <c r="G1193" s="8" t="s">
        <v>58</v>
      </c>
      <c r="H1193" s="4" t="s">
        <v>23</v>
      </c>
      <c r="I1193" s="5">
        <v>1</v>
      </c>
      <c r="J1193" s="8" t="s">
        <v>15</v>
      </c>
      <c r="K1193" s="4" t="s">
        <v>53</v>
      </c>
      <c r="L1193" s="5">
        <v>1</v>
      </c>
      <c r="M1193" s="8" t="s">
        <v>17</v>
      </c>
      <c r="N1193" s="4" t="s">
        <v>53</v>
      </c>
      <c r="O1193" s="5">
        <v>1</v>
      </c>
      <c r="P1193" s="8"/>
      <c r="Q1193" s="4"/>
      <c r="R1193" s="5"/>
      <c r="W1193" s="67" t="s">
        <v>1146</v>
      </c>
      <c r="X1193" s="68" t="s">
        <v>1147</v>
      </c>
      <c r="Y1193" s="69">
        <v>111.97</v>
      </c>
      <c r="Z1193" t="str">
        <f>IF(AND(Tabla1[[#This Row],[nudo inicial]]=Tabla3[[#This Row],[n1]],Tabla1[[#This Row],[nudo final]]=Tabla3[[#This Row],[n2]],Tabla1[[#This Row],[longitud]]=Tabla3[[#This Row],[long]]),"si","no")</f>
        <v>si</v>
      </c>
    </row>
    <row r="1194" spans="2:26" ht="15.75" x14ac:dyDescent="0.25">
      <c r="B1194" t="s">
        <v>1146</v>
      </c>
      <c r="C1194" t="s">
        <v>1148</v>
      </c>
      <c r="D1194" s="19">
        <v>229.81</v>
      </c>
      <c r="E1194" s="3" t="s">
        <v>53</v>
      </c>
      <c r="F1194" s="3" t="s">
        <v>25</v>
      </c>
      <c r="G1194" s="8" t="s">
        <v>57</v>
      </c>
      <c r="H1194" s="4" t="s">
        <v>23</v>
      </c>
      <c r="I1194" s="5">
        <v>1</v>
      </c>
      <c r="J1194" s="8" t="s">
        <v>15</v>
      </c>
      <c r="K1194" s="4" t="s">
        <v>53</v>
      </c>
      <c r="L1194" s="5">
        <v>1</v>
      </c>
      <c r="M1194" s="8" t="s">
        <v>16</v>
      </c>
      <c r="N1194" s="4" t="s">
        <v>53</v>
      </c>
      <c r="O1194" s="5">
        <v>2</v>
      </c>
      <c r="P1194" s="8" t="s">
        <v>17</v>
      </c>
      <c r="Q1194" s="4" t="s">
        <v>53</v>
      </c>
      <c r="R1194" s="5">
        <v>1</v>
      </c>
      <c r="W1194" s="67" t="s">
        <v>1146</v>
      </c>
      <c r="X1194" s="68" t="s">
        <v>1148</v>
      </c>
      <c r="Y1194" s="69">
        <v>229.81</v>
      </c>
      <c r="Z1194" t="str">
        <f>IF(AND(Tabla1[[#This Row],[nudo inicial]]=Tabla3[[#This Row],[n1]],Tabla1[[#This Row],[nudo final]]=Tabla3[[#This Row],[n2]],Tabla1[[#This Row],[longitud]]=Tabla3[[#This Row],[long]]),"si","no")</f>
        <v>si</v>
      </c>
    </row>
    <row r="1195" spans="2:26" ht="15.75" x14ac:dyDescent="0.25">
      <c r="B1195" t="s">
        <v>1149</v>
      </c>
      <c r="C1195" t="s">
        <v>1150</v>
      </c>
      <c r="D1195" s="19">
        <v>214.3</v>
      </c>
      <c r="E1195" s="3" t="s">
        <v>23</v>
      </c>
      <c r="F1195" s="3" t="s">
        <v>25</v>
      </c>
      <c r="G1195" s="8" t="s">
        <v>58</v>
      </c>
      <c r="H1195" s="4" t="s">
        <v>23</v>
      </c>
      <c r="I1195" s="5">
        <v>1</v>
      </c>
      <c r="J1195" s="8"/>
      <c r="K1195" s="4"/>
      <c r="L1195" s="5"/>
      <c r="M1195" s="8"/>
      <c r="N1195" s="4"/>
      <c r="O1195" s="5"/>
      <c r="P1195" s="8"/>
      <c r="Q1195" s="4"/>
      <c r="R1195" s="5"/>
      <c r="W1195" s="67" t="s">
        <v>1149</v>
      </c>
      <c r="X1195" s="68" t="s">
        <v>1150</v>
      </c>
      <c r="Y1195" s="69">
        <v>214.3</v>
      </c>
      <c r="Z1195" t="str">
        <f>IF(AND(Tabla1[[#This Row],[nudo inicial]]=Tabla3[[#This Row],[n1]],Tabla1[[#This Row],[nudo final]]=Tabla3[[#This Row],[n2]],Tabla1[[#This Row],[longitud]]=Tabla3[[#This Row],[long]]),"si","no")</f>
        <v>si</v>
      </c>
    </row>
    <row r="1196" spans="2:26" ht="15.75" x14ac:dyDescent="0.25">
      <c r="B1196" t="s">
        <v>1150</v>
      </c>
      <c r="C1196" t="s">
        <v>1151</v>
      </c>
      <c r="D1196" s="19">
        <v>150.27000000000001</v>
      </c>
      <c r="E1196" s="3" t="s">
        <v>53</v>
      </c>
      <c r="F1196" s="3" t="s">
        <v>25</v>
      </c>
      <c r="G1196" s="8" t="s">
        <v>58</v>
      </c>
      <c r="H1196" s="4" t="s">
        <v>23</v>
      </c>
      <c r="I1196" s="5">
        <v>1</v>
      </c>
      <c r="J1196" s="8" t="s">
        <v>15</v>
      </c>
      <c r="K1196" s="4" t="s">
        <v>53</v>
      </c>
      <c r="L1196" s="5">
        <v>1</v>
      </c>
      <c r="M1196" s="8" t="s">
        <v>16</v>
      </c>
      <c r="N1196" s="4" t="s">
        <v>53</v>
      </c>
      <c r="O1196" s="5">
        <v>1</v>
      </c>
      <c r="P1196" s="8"/>
      <c r="Q1196" s="4"/>
      <c r="R1196" s="5"/>
      <c r="W1196" s="67" t="s">
        <v>1150</v>
      </c>
      <c r="X1196" s="68" t="s">
        <v>1151</v>
      </c>
      <c r="Y1196" s="69">
        <v>150.27000000000001</v>
      </c>
      <c r="Z1196" t="str">
        <f>IF(AND(Tabla1[[#This Row],[nudo inicial]]=Tabla3[[#This Row],[n1]],Tabla1[[#This Row],[nudo final]]=Tabla3[[#This Row],[n2]],Tabla1[[#This Row],[longitud]]=Tabla3[[#This Row],[long]]),"si","no")</f>
        <v>si</v>
      </c>
    </row>
    <row r="1197" spans="2:26" ht="15.75" x14ac:dyDescent="0.25">
      <c r="B1197" t="s">
        <v>1151</v>
      </c>
      <c r="C1197" t="s">
        <v>1152</v>
      </c>
      <c r="D1197" s="19">
        <v>50.66</v>
      </c>
      <c r="E1197" s="3" t="s">
        <v>53</v>
      </c>
      <c r="F1197" s="3" t="s">
        <v>25</v>
      </c>
      <c r="G1197" s="8" t="s">
        <v>58</v>
      </c>
      <c r="H1197" s="4" t="s">
        <v>53</v>
      </c>
      <c r="I1197" s="5">
        <v>1</v>
      </c>
      <c r="J1197" s="8" t="s">
        <v>17</v>
      </c>
      <c r="K1197" s="4" t="s">
        <v>53</v>
      </c>
      <c r="L1197" s="5">
        <v>1</v>
      </c>
      <c r="M1197" s="8"/>
      <c r="N1197" s="4"/>
      <c r="O1197" s="5"/>
      <c r="P1197" s="8"/>
      <c r="Q1197" s="4"/>
      <c r="R1197" s="5"/>
      <c r="W1197" s="67" t="s">
        <v>1151</v>
      </c>
      <c r="X1197" s="68" t="s">
        <v>1152</v>
      </c>
      <c r="Y1197" s="69">
        <v>50.66</v>
      </c>
      <c r="Z1197" t="str">
        <f>IF(AND(Tabla1[[#This Row],[nudo inicial]]=Tabla3[[#This Row],[n1]],Tabla1[[#This Row],[nudo final]]=Tabla3[[#This Row],[n2]],Tabla1[[#This Row],[longitud]]=Tabla3[[#This Row],[long]]),"si","no")</f>
        <v>si</v>
      </c>
    </row>
    <row r="1198" spans="2:26" ht="15.75" x14ac:dyDescent="0.25">
      <c r="B1198" t="s">
        <v>1151</v>
      </c>
      <c r="C1198" t="s">
        <v>1153</v>
      </c>
      <c r="D1198" s="19">
        <v>37.49</v>
      </c>
      <c r="E1198" s="3" t="s">
        <v>53</v>
      </c>
      <c r="F1198" s="3" t="s">
        <v>25</v>
      </c>
      <c r="G1198" s="8" t="s">
        <v>57</v>
      </c>
      <c r="H1198" s="4" t="s">
        <v>53</v>
      </c>
      <c r="I1198" s="5">
        <v>1</v>
      </c>
      <c r="J1198" s="8"/>
      <c r="K1198" s="4"/>
      <c r="L1198" s="5"/>
      <c r="M1198" s="8"/>
      <c r="N1198" s="4"/>
      <c r="O1198" s="5"/>
      <c r="P1198" s="8"/>
      <c r="Q1198" s="4"/>
      <c r="R1198" s="5"/>
      <c r="W1198" s="67" t="s">
        <v>1151</v>
      </c>
      <c r="X1198" s="68" t="s">
        <v>1153</v>
      </c>
      <c r="Y1198" s="69">
        <v>37.49</v>
      </c>
      <c r="Z1198" t="str">
        <f>IF(AND(Tabla1[[#This Row],[nudo inicial]]=Tabla3[[#This Row],[n1]],Tabla1[[#This Row],[nudo final]]=Tabla3[[#This Row],[n2]],Tabla1[[#This Row],[longitud]]=Tabla3[[#This Row],[long]]),"si","no")</f>
        <v>si</v>
      </c>
    </row>
    <row r="1199" spans="2:26" ht="15.75" x14ac:dyDescent="0.25">
      <c r="B1199" t="s">
        <v>1153</v>
      </c>
      <c r="C1199" t="s">
        <v>1155</v>
      </c>
      <c r="D1199" s="19">
        <v>42.55</v>
      </c>
      <c r="E1199" s="3" t="s">
        <v>53</v>
      </c>
      <c r="F1199" s="3" t="s">
        <v>25</v>
      </c>
      <c r="G1199" s="8" t="s">
        <v>58</v>
      </c>
      <c r="H1199" s="4" t="s">
        <v>53</v>
      </c>
      <c r="I1199" s="5">
        <v>1</v>
      </c>
      <c r="J1199" s="8" t="s">
        <v>16</v>
      </c>
      <c r="K1199" s="4" t="s">
        <v>53</v>
      </c>
      <c r="L1199" s="5">
        <v>1</v>
      </c>
      <c r="M1199" s="8"/>
      <c r="N1199" s="4"/>
      <c r="O1199" s="5"/>
      <c r="P1199" s="8"/>
      <c r="Q1199" s="4"/>
      <c r="R1199" s="5"/>
      <c r="W1199" s="67" t="s">
        <v>1153</v>
      </c>
      <c r="X1199" s="68" t="s">
        <v>1155</v>
      </c>
      <c r="Y1199" s="69">
        <v>42.55</v>
      </c>
      <c r="Z1199" t="str">
        <f>IF(AND(Tabla1[[#This Row],[nudo inicial]]=Tabla3[[#This Row],[n1]],Tabla1[[#This Row],[nudo final]]=Tabla3[[#This Row],[n2]],Tabla1[[#This Row],[longitud]]=Tabla3[[#This Row],[long]]),"si","no")</f>
        <v>si</v>
      </c>
    </row>
    <row r="1200" spans="2:26" ht="15.75" x14ac:dyDescent="0.25">
      <c r="B1200" s="59" t="s">
        <v>1155</v>
      </c>
      <c r="C1200" s="36" t="s">
        <v>1154</v>
      </c>
      <c r="D1200" s="19">
        <v>18.53</v>
      </c>
      <c r="E1200" s="3" t="s">
        <v>56</v>
      </c>
      <c r="F1200" s="3" t="s">
        <v>25</v>
      </c>
      <c r="G1200" s="8" t="s">
        <v>15</v>
      </c>
      <c r="H1200" s="4" t="s">
        <v>56</v>
      </c>
      <c r="I1200" s="5">
        <v>1</v>
      </c>
      <c r="J1200" s="8" t="s">
        <v>17</v>
      </c>
      <c r="K1200" s="4" t="s">
        <v>56</v>
      </c>
      <c r="L1200" s="5">
        <v>1</v>
      </c>
      <c r="M1200" s="8"/>
      <c r="N1200" s="4"/>
      <c r="O1200" s="5"/>
      <c r="P1200" s="8"/>
      <c r="Q1200" s="4"/>
      <c r="R1200" s="5"/>
      <c r="W1200" s="67" t="s">
        <v>1155</v>
      </c>
      <c r="X1200" s="68" t="s">
        <v>1154</v>
      </c>
      <c r="Y1200" s="69">
        <v>18.53</v>
      </c>
      <c r="Z1200" t="str">
        <f>IF(AND(Tabla1[[#This Row],[nudo inicial]]=Tabla3[[#This Row],[n1]],Tabla1[[#This Row],[nudo final]]=Tabla3[[#This Row],[n2]],Tabla1[[#This Row],[longitud]]=Tabla3[[#This Row],[long]]),"si","no")</f>
        <v>si</v>
      </c>
    </row>
    <row r="1201" spans="2:26" ht="15.75" x14ac:dyDescent="0.25">
      <c r="B1201" t="s">
        <v>1153</v>
      </c>
      <c r="C1201" t="s">
        <v>1156</v>
      </c>
      <c r="D1201" s="19">
        <v>87.68</v>
      </c>
      <c r="E1201" s="3" t="s">
        <v>53</v>
      </c>
      <c r="F1201" s="3" t="s">
        <v>25</v>
      </c>
      <c r="G1201" s="8" t="s">
        <v>57</v>
      </c>
      <c r="H1201" s="4" t="s">
        <v>53</v>
      </c>
      <c r="I1201" s="5">
        <v>1</v>
      </c>
      <c r="J1201" s="8" t="s">
        <v>16</v>
      </c>
      <c r="K1201" s="4" t="s">
        <v>53</v>
      </c>
      <c r="L1201" s="5">
        <v>1</v>
      </c>
      <c r="M1201" s="8" t="s">
        <v>17</v>
      </c>
      <c r="N1201" s="4" t="s">
        <v>53</v>
      </c>
      <c r="O1201" s="5">
        <v>1</v>
      </c>
      <c r="P1201" s="8"/>
      <c r="Q1201" s="4"/>
      <c r="R1201" s="5"/>
      <c r="W1201" s="67" t="s">
        <v>1153</v>
      </c>
      <c r="X1201" s="68" t="s">
        <v>1156</v>
      </c>
      <c r="Y1201" s="69">
        <v>87.68</v>
      </c>
      <c r="Z1201" t="str">
        <f>IF(AND(Tabla1[[#This Row],[nudo inicial]]=Tabla3[[#This Row],[n1]],Tabla1[[#This Row],[nudo final]]=Tabla3[[#This Row],[n2]],Tabla1[[#This Row],[longitud]]=Tabla3[[#This Row],[long]]),"si","no")</f>
        <v>si</v>
      </c>
    </row>
    <row r="1202" spans="2:26" ht="30" x14ac:dyDescent="0.25">
      <c r="B1202" t="s">
        <v>1150</v>
      </c>
      <c r="C1202" t="s">
        <v>1157</v>
      </c>
      <c r="D1202" s="19">
        <v>271.32</v>
      </c>
      <c r="E1202" s="3" t="s">
        <v>23</v>
      </c>
      <c r="F1202" s="3" t="s">
        <v>25</v>
      </c>
      <c r="G1202" s="8" t="s">
        <v>57</v>
      </c>
      <c r="H1202" s="4" t="s">
        <v>23</v>
      </c>
      <c r="I1202" s="5">
        <v>1</v>
      </c>
      <c r="J1202" s="8" t="s">
        <v>34</v>
      </c>
      <c r="K1202" s="4"/>
      <c r="L1202" s="5">
        <v>1</v>
      </c>
      <c r="M1202" s="8"/>
      <c r="N1202" s="4"/>
      <c r="O1202" s="5"/>
      <c r="P1202" s="8"/>
      <c r="Q1202" s="4"/>
      <c r="R1202" s="5"/>
      <c r="W1202" s="67" t="s">
        <v>1150</v>
      </c>
      <c r="X1202" s="68" t="s">
        <v>1157</v>
      </c>
      <c r="Y1202" s="69">
        <v>271.32</v>
      </c>
      <c r="Z1202" t="str">
        <f>IF(AND(Tabla1[[#This Row],[nudo inicial]]=Tabla3[[#This Row],[n1]],Tabla1[[#This Row],[nudo final]]=Tabla3[[#This Row],[n2]],Tabla1[[#This Row],[longitud]]=Tabla3[[#This Row],[long]]),"si","no")</f>
        <v>si</v>
      </c>
    </row>
    <row r="1203" spans="2:26" ht="15.75" x14ac:dyDescent="0.25">
      <c r="B1203" t="s">
        <v>1157</v>
      </c>
      <c r="C1203" t="s">
        <v>1158</v>
      </c>
      <c r="D1203" s="19">
        <v>41.27</v>
      </c>
      <c r="E1203" s="3" t="s">
        <v>53</v>
      </c>
      <c r="F1203" s="3" t="s">
        <v>25</v>
      </c>
      <c r="G1203" s="8" t="s">
        <v>58</v>
      </c>
      <c r="H1203" s="4" t="s">
        <v>23</v>
      </c>
      <c r="I1203" s="5">
        <v>1</v>
      </c>
      <c r="J1203" s="8" t="s">
        <v>15</v>
      </c>
      <c r="K1203" s="4" t="s">
        <v>53</v>
      </c>
      <c r="L1203" s="5">
        <v>1</v>
      </c>
      <c r="M1203" s="8" t="s">
        <v>17</v>
      </c>
      <c r="N1203" s="4" t="s">
        <v>53</v>
      </c>
      <c r="O1203" s="5">
        <v>1</v>
      </c>
      <c r="P1203" s="8"/>
      <c r="Q1203" s="4"/>
      <c r="R1203" s="5"/>
      <c r="W1203" s="67" t="s">
        <v>1157</v>
      </c>
      <c r="X1203" s="68" t="s">
        <v>1158</v>
      </c>
      <c r="Y1203" s="69">
        <v>41.27</v>
      </c>
      <c r="Z1203" t="str">
        <f>IF(AND(Tabla1[[#This Row],[nudo inicial]]=Tabla3[[#This Row],[n1]],Tabla1[[#This Row],[nudo final]]=Tabla3[[#This Row],[n2]],Tabla1[[#This Row],[longitud]]=Tabla3[[#This Row],[long]]),"si","no")</f>
        <v>si</v>
      </c>
    </row>
    <row r="1204" spans="2:26" ht="15.75" x14ac:dyDescent="0.25">
      <c r="B1204" t="s">
        <v>1157</v>
      </c>
      <c r="C1204" t="s">
        <v>1159</v>
      </c>
      <c r="D1204" s="19">
        <v>70.08</v>
      </c>
      <c r="E1204" s="3" t="s">
        <v>23</v>
      </c>
      <c r="F1204" s="3" t="s">
        <v>25</v>
      </c>
      <c r="G1204" s="8" t="s">
        <v>57</v>
      </c>
      <c r="H1204" s="4" t="s">
        <v>23</v>
      </c>
      <c r="I1204" s="5">
        <v>1</v>
      </c>
      <c r="J1204" s="8"/>
      <c r="K1204" s="4"/>
      <c r="L1204" s="5"/>
      <c r="M1204" s="8"/>
      <c r="N1204" s="4"/>
      <c r="O1204" s="5"/>
      <c r="P1204" s="8"/>
      <c r="Q1204" s="4"/>
      <c r="R1204" s="5"/>
      <c r="W1204" s="67" t="s">
        <v>1157</v>
      </c>
      <c r="X1204" s="68" t="s">
        <v>1159</v>
      </c>
      <c r="Y1204" s="69">
        <v>70.08</v>
      </c>
      <c r="Z1204" t="str">
        <f>IF(AND(Tabla1[[#This Row],[nudo inicial]]=Tabla3[[#This Row],[n1]],Tabla1[[#This Row],[nudo final]]=Tabla3[[#This Row],[n2]],Tabla1[[#This Row],[longitud]]=Tabla3[[#This Row],[long]]),"si","no")</f>
        <v>si</v>
      </c>
    </row>
    <row r="1205" spans="2:26" ht="15.75" x14ac:dyDescent="0.25">
      <c r="B1205" t="s">
        <v>1159</v>
      </c>
      <c r="C1205" t="s">
        <v>1160</v>
      </c>
      <c r="D1205" s="19">
        <v>7.61</v>
      </c>
      <c r="E1205" s="3" t="s">
        <v>23</v>
      </c>
      <c r="F1205" s="3" t="s">
        <v>25</v>
      </c>
      <c r="G1205" s="8" t="s">
        <v>57</v>
      </c>
      <c r="H1205" s="4" t="s">
        <v>23</v>
      </c>
      <c r="I1205" s="5">
        <v>1</v>
      </c>
      <c r="J1205" s="8" t="s">
        <v>17</v>
      </c>
      <c r="K1205" s="4" t="s">
        <v>23</v>
      </c>
      <c r="L1205" s="5">
        <v>1</v>
      </c>
      <c r="M1205" s="8"/>
      <c r="N1205" s="4"/>
      <c r="O1205" s="5"/>
      <c r="P1205" s="8"/>
      <c r="Q1205" s="4"/>
      <c r="R1205" s="5"/>
      <c r="W1205" s="67" t="s">
        <v>1159</v>
      </c>
      <c r="X1205" s="68" t="s">
        <v>1160</v>
      </c>
      <c r="Y1205" s="69">
        <v>7.61</v>
      </c>
      <c r="Z1205" t="str">
        <f>IF(AND(Tabla1[[#This Row],[nudo inicial]]=Tabla3[[#This Row],[n1]],Tabla1[[#This Row],[nudo final]]=Tabla3[[#This Row],[n2]],Tabla1[[#This Row],[longitud]]=Tabla3[[#This Row],[long]]),"si","no")</f>
        <v>si</v>
      </c>
    </row>
    <row r="1206" spans="2:26" ht="15.75" x14ac:dyDescent="0.25">
      <c r="B1206" t="s">
        <v>1159</v>
      </c>
      <c r="C1206" t="s">
        <v>1161</v>
      </c>
      <c r="D1206" s="19">
        <v>33.06</v>
      </c>
      <c r="E1206" s="3" t="s">
        <v>53</v>
      </c>
      <c r="F1206" s="3" t="s">
        <v>25</v>
      </c>
      <c r="G1206" s="8" t="s">
        <v>58</v>
      </c>
      <c r="H1206" s="4" t="s">
        <v>23</v>
      </c>
      <c r="I1206" s="5">
        <v>1</v>
      </c>
      <c r="J1206" s="8" t="s">
        <v>15</v>
      </c>
      <c r="K1206" s="4" t="s">
        <v>53</v>
      </c>
      <c r="L1206" s="5">
        <v>1</v>
      </c>
      <c r="M1206" s="8"/>
      <c r="N1206" s="4"/>
      <c r="O1206" s="5"/>
      <c r="P1206" s="8"/>
      <c r="Q1206" s="4"/>
      <c r="R1206" s="5"/>
      <c r="W1206" s="67" t="s">
        <v>1159</v>
      </c>
      <c r="X1206" s="68" t="s">
        <v>1161</v>
      </c>
      <c r="Y1206" s="69">
        <v>33.06</v>
      </c>
      <c r="Z1206" t="str">
        <f>IF(AND(Tabla1[[#This Row],[nudo inicial]]=Tabla3[[#This Row],[n1]],Tabla1[[#This Row],[nudo final]]=Tabla3[[#This Row],[n2]],Tabla1[[#This Row],[longitud]]=Tabla3[[#This Row],[long]]),"si","no")</f>
        <v>si</v>
      </c>
    </row>
    <row r="1207" spans="2:26" ht="15.75" x14ac:dyDescent="0.25">
      <c r="B1207" t="s">
        <v>1161</v>
      </c>
      <c r="C1207" t="s">
        <v>1162</v>
      </c>
      <c r="D1207" s="19">
        <v>31</v>
      </c>
      <c r="E1207" s="3" t="s">
        <v>53</v>
      </c>
      <c r="F1207" s="3" t="s">
        <v>25</v>
      </c>
      <c r="G1207" s="8" t="s">
        <v>58</v>
      </c>
      <c r="H1207" s="4" t="s">
        <v>53</v>
      </c>
      <c r="I1207" s="5">
        <v>1</v>
      </c>
      <c r="J1207" s="8" t="s">
        <v>17</v>
      </c>
      <c r="K1207" s="4" t="s">
        <v>53</v>
      </c>
      <c r="L1207" s="5">
        <v>1</v>
      </c>
      <c r="M1207" s="8"/>
      <c r="N1207" s="4"/>
      <c r="O1207" s="5"/>
      <c r="P1207" s="8"/>
      <c r="Q1207" s="4"/>
      <c r="R1207" s="5"/>
      <c r="W1207" s="67" t="s">
        <v>1161</v>
      </c>
      <c r="X1207" s="68" t="s">
        <v>1162</v>
      </c>
      <c r="Y1207" s="69">
        <v>31</v>
      </c>
      <c r="Z1207" t="str">
        <f>IF(AND(Tabla1[[#This Row],[nudo inicial]]=Tabla3[[#This Row],[n1]],Tabla1[[#This Row],[nudo final]]=Tabla3[[#This Row],[n2]],Tabla1[[#This Row],[longitud]]=Tabla3[[#This Row],[long]]),"si","no")</f>
        <v>si</v>
      </c>
    </row>
    <row r="1208" spans="2:26" ht="15.75" x14ac:dyDescent="0.25">
      <c r="B1208" t="s">
        <v>1161</v>
      </c>
      <c r="C1208" t="s">
        <v>1163</v>
      </c>
      <c r="D1208" s="19">
        <v>204.93</v>
      </c>
      <c r="E1208" s="3" t="s">
        <v>53</v>
      </c>
      <c r="F1208" s="3" t="s">
        <v>25</v>
      </c>
      <c r="G1208" s="8" t="s">
        <v>57</v>
      </c>
      <c r="H1208" s="4" t="s">
        <v>53</v>
      </c>
      <c r="I1208" s="5">
        <v>1</v>
      </c>
      <c r="J1208" s="8" t="s">
        <v>16</v>
      </c>
      <c r="K1208" s="4" t="s">
        <v>53</v>
      </c>
      <c r="L1208" s="5">
        <v>1</v>
      </c>
      <c r="M1208" s="8" t="s">
        <v>17</v>
      </c>
      <c r="N1208" s="4" t="s">
        <v>53</v>
      </c>
      <c r="O1208" s="5">
        <v>1</v>
      </c>
      <c r="P1208" s="8"/>
      <c r="Q1208" s="4"/>
      <c r="R1208" s="5"/>
      <c r="W1208" s="67" t="s">
        <v>1161</v>
      </c>
      <c r="X1208" s="68" t="s">
        <v>1163</v>
      </c>
      <c r="Y1208" s="69">
        <v>204.93</v>
      </c>
      <c r="Z1208" t="str">
        <f>IF(AND(Tabla1[[#This Row],[nudo inicial]]=Tabla3[[#This Row],[n1]],Tabla1[[#This Row],[nudo final]]=Tabla3[[#This Row],[n2]],Tabla1[[#This Row],[longitud]]=Tabla3[[#This Row],[long]]),"si","no")</f>
        <v>si</v>
      </c>
    </row>
  </sheetData>
  <mergeCells count="9">
    <mergeCell ref="B2:C2"/>
    <mergeCell ref="D2:D3"/>
    <mergeCell ref="E2:E3"/>
    <mergeCell ref="F2:F3"/>
    <mergeCell ref="S2:U2"/>
    <mergeCell ref="M2:O2"/>
    <mergeCell ref="P2:R2"/>
    <mergeCell ref="J2:L2"/>
    <mergeCell ref="G2:I2"/>
  </mergeCells>
  <phoneticPr fontId="5" type="noConversion"/>
  <conditionalFormatting sqref="Z6:Z1208">
    <cfRule type="containsText" dxfId="1" priority="1" operator="containsText" text="no">
      <formula>NOT(ISERROR(SEARCH("no",Z6)))</formula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1A6005B-A0BC-4FB5-9568-B77CF403B6F5}">
          <x14:formula1>
            <xm:f>Hoja2!$C$3:$C$15</xm:f>
          </x14:formula1>
          <xm:sqref>G6:G27 M366:M378 M542 P543 S6:S100 P102:P541 P6:P100 J102:J542 J6:J100 M102:M364 M6:M100 G102:G377 G29:G100 S972:S1208 S102:S970</xm:sqref>
        </x14:dataValidation>
        <x14:dataValidation type="list" allowBlank="1" showInputMessage="1" showErrorMessage="1" xr:uid="{E481ECE8-E065-4E60-8B62-08A357EF7BE7}">
          <x14:formula1>
            <xm:f>Hoja2!$C$3:$C$16</xm:f>
          </x14:formula1>
          <xm:sqref>G526:G529</xm:sqref>
        </x14:dataValidation>
        <x14:dataValidation type="list" allowBlank="1" showInputMessage="1" showErrorMessage="1" xr:uid="{423D35AC-5FB9-4AF0-81DD-B15A61659AB4}">
          <x14:formula1>
            <xm:f>Hoja2!$E$3:$E$7</xm:f>
          </x14:formula1>
          <xm:sqref>F6:F100 F972:F1208 F102:F970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C4DA5-57CB-4536-B181-D8DC0F416582}">
  <dimension ref="B2:AQ1212"/>
  <sheetViews>
    <sheetView tabSelected="1" zoomScale="74" zoomScaleNormal="106" workbookViewId="0">
      <pane ySplit="4" topLeftCell="A76" activePane="bottomLeft" state="frozen"/>
      <selection pane="bottomLeft" activeCell="AE12" sqref="AE12"/>
    </sheetView>
  </sheetViews>
  <sheetFormatPr baseColWidth="10" defaultRowHeight="15.75" x14ac:dyDescent="0.25"/>
  <cols>
    <col min="1" max="1" width="11.42578125" style="51"/>
    <col min="2" max="2" width="22.28515625" style="58" bestFit="1" customWidth="1"/>
    <col min="3" max="3" width="22.28515625" style="58" customWidth="1"/>
    <col min="4" max="4" width="16.5703125" style="51" bestFit="1" customWidth="1"/>
    <col min="5" max="5" width="11.42578125" style="51"/>
    <col min="6" max="6" width="16.42578125" style="51" bestFit="1" customWidth="1"/>
    <col min="7" max="7" width="14.42578125" style="51" bestFit="1" customWidth="1"/>
    <col min="8" max="9" width="8.5703125" style="51" bestFit="1" customWidth="1"/>
    <col min="10" max="13" width="8.5703125" style="51" customWidth="1"/>
    <col min="14" max="15" width="9.85546875" style="51" bestFit="1" customWidth="1"/>
    <col min="16" max="16" width="9.85546875" style="51" customWidth="1"/>
    <col min="17" max="18" width="8.5703125" style="51" bestFit="1" customWidth="1"/>
    <col min="19" max="19" width="8.5703125" style="51" customWidth="1"/>
    <col min="20" max="21" width="9.85546875" style="51" bestFit="1" customWidth="1"/>
    <col min="22" max="22" width="9.85546875" style="51" customWidth="1"/>
    <col min="23" max="24" width="9.85546875" style="51" bestFit="1" customWidth="1"/>
    <col min="25" max="25" width="9.85546875" style="51" customWidth="1"/>
    <col min="26" max="30" width="9.85546875" style="51" bestFit="1" customWidth="1"/>
    <col min="31" max="40" width="9.85546875" style="51" customWidth="1"/>
    <col min="41" max="16384" width="11.42578125" style="51"/>
  </cols>
  <sheetData>
    <row r="2" spans="2:41" ht="33" customHeight="1" x14ac:dyDescent="0.25">
      <c r="B2" s="94" t="s">
        <v>1215</v>
      </c>
      <c r="C2" s="94"/>
      <c r="D2" s="95" t="s">
        <v>1216</v>
      </c>
      <c r="E2" s="95" t="s">
        <v>1214</v>
      </c>
      <c r="F2" s="95" t="s">
        <v>1169</v>
      </c>
      <c r="G2" s="95" t="s">
        <v>1260</v>
      </c>
      <c r="H2" s="91" t="s">
        <v>57</v>
      </c>
      <c r="I2" s="91"/>
      <c r="J2" s="56" t="s">
        <v>1228</v>
      </c>
      <c r="K2" s="97" t="s">
        <v>58</v>
      </c>
      <c r="L2" s="98"/>
      <c r="M2" s="56" t="s">
        <v>1228</v>
      </c>
      <c r="N2" s="97" t="s">
        <v>1219</v>
      </c>
      <c r="O2" s="98"/>
      <c r="P2" s="56" t="s">
        <v>1228</v>
      </c>
      <c r="Q2" s="91" t="s">
        <v>1181</v>
      </c>
      <c r="R2" s="91"/>
      <c r="S2" s="56" t="s">
        <v>1228</v>
      </c>
      <c r="T2" s="91" t="s">
        <v>1182</v>
      </c>
      <c r="U2" s="91"/>
      <c r="V2" s="56" t="s">
        <v>1228</v>
      </c>
      <c r="W2" s="91" t="s">
        <v>1209</v>
      </c>
      <c r="X2" s="91"/>
      <c r="Y2" s="56" t="s">
        <v>1228</v>
      </c>
      <c r="Z2" s="92" t="s">
        <v>1183</v>
      </c>
      <c r="AA2" s="93"/>
      <c r="AB2" s="56" t="s">
        <v>1228</v>
      </c>
      <c r="AC2" s="97" t="s">
        <v>1184</v>
      </c>
      <c r="AD2" s="98"/>
      <c r="AE2" s="56" t="s">
        <v>1228</v>
      </c>
      <c r="AF2" s="97" t="s">
        <v>1227</v>
      </c>
      <c r="AG2" s="98"/>
      <c r="AH2" s="56" t="s">
        <v>1228</v>
      </c>
      <c r="AI2" s="97" t="s">
        <v>1185</v>
      </c>
      <c r="AJ2" s="98"/>
      <c r="AK2" s="92" t="s">
        <v>1186</v>
      </c>
      <c r="AL2" s="93"/>
      <c r="AM2" s="91" t="s">
        <v>1187</v>
      </c>
      <c r="AN2" s="91"/>
      <c r="AO2" s="54" t="s">
        <v>1230</v>
      </c>
    </row>
    <row r="3" spans="2:41" x14ac:dyDescent="0.25">
      <c r="B3" s="89" t="s">
        <v>1213</v>
      </c>
      <c r="C3" s="89" t="s">
        <v>1212</v>
      </c>
      <c r="D3" s="96"/>
      <c r="E3" s="96"/>
      <c r="F3" s="100"/>
      <c r="G3" s="100"/>
      <c r="H3" s="54" t="s">
        <v>1214</v>
      </c>
      <c r="I3" s="53" t="s">
        <v>1217</v>
      </c>
      <c r="J3" s="95" t="s">
        <v>1229</v>
      </c>
      <c r="K3" s="54" t="s">
        <v>1214</v>
      </c>
      <c r="L3" s="53" t="s">
        <v>1217</v>
      </c>
      <c r="M3" s="95" t="s">
        <v>1229</v>
      </c>
      <c r="N3" s="54" t="s">
        <v>1214</v>
      </c>
      <c r="O3" s="53" t="s">
        <v>1217</v>
      </c>
      <c r="P3" s="95" t="s">
        <v>1229</v>
      </c>
      <c r="Q3" s="54" t="s">
        <v>1214</v>
      </c>
      <c r="R3" s="53" t="s">
        <v>1217</v>
      </c>
      <c r="S3" s="95" t="s">
        <v>1229</v>
      </c>
      <c r="T3" s="54" t="s">
        <v>1214</v>
      </c>
      <c r="U3" s="53" t="s">
        <v>1217</v>
      </c>
      <c r="V3" s="95" t="s">
        <v>1229</v>
      </c>
      <c r="W3" s="54" t="s">
        <v>1214</v>
      </c>
      <c r="X3" s="53" t="s">
        <v>1217</v>
      </c>
      <c r="Y3" s="95" t="s">
        <v>1229</v>
      </c>
      <c r="Z3" s="54" t="s">
        <v>1214</v>
      </c>
      <c r="AA3" s="53" t="s">
        <v>1217</v>
      </c>
      <c r="AB3" s="95" t="s">
        <v>1229</v>
      </c>
      <c r="AC3" s="54" t="s">
        <v>1214</v>
      </c>
      <c r="AD3" s="53" t="s">
        <v>1217</v>
      </c>
      <c r="AE3" s="95" t="s">
        <v>1229</v>
      </c>
      <c r="AF3" s="54" t="s">
        <v>1214</v>
      </c>
      <c r="AG3" s="53" t="s">
        <v>1217</v>
      </c>
      <c r="AH3" s="95" t="s">
        <v>1229</v>
      </c>
      <c r="AI3" s="54" t="s">
        <v>1214</v>
      </c>
      <c r="AJ3" s="53" t="s">
        <v>1217</v>
      </c>
      <c r="AK3" s="54" t="s">
        <v>1214</v>
      </c>
      <c r="AL3" s="53" t="s">
        <v>1217</v>
      </c>
      <c r="AM3" s="54" t="s">
        <v>1214</v>
      </c>
      <c r="AN3" s="53" t="s">
        <v>1217</v>
      </c>
      <c r="AO3" s="94" t="s">
        <v>38</v>
      </c>
    </row>
    <row r="4" spans="2:41" ht="16.5" thickBot="1" x14ac:dyDescent="0.3">
      <c r="B4" s="90"/>
      <c r="C4" s="90"/>
      <c r="D4" s="55" t="s">
        <v>38</v>
      </c>
      <c r="E4" s="55" t="s">
        <v>9</v>
      </c>
      <c r="F4" s="99"/>
      <c r="G4" s="99"/>
      <c r="H4" s="55" t="s">
        <v>9</v>
      </c>
      <c r="I4" s="55" t="s">
        <v>5</v>
      </c>
      <c r="J4" s="99"/>
      <c r="K4" s="55" t="s">
        <v>9</v>
      </c>
      <c r="L4" s="55" t="s">
        <v>5</v>
      </c>
      <c r="M4" s="99"/>
      <c r="N4" s="55" t="s">
        <v>9</v>
      </c>
      <c r="O4" s="55" t="s">
        <v>5</v>
      </c>
      <c r="P4" s="99"/>
      <c r="Q4" s="55" t="s">
        <v>9</v>
      </c>
      <c r="R4" s="55" t="s">
        <v>5</v>
      </c>
      <c r="S4" s="99"/>
      <c r="T4" s="55" t="s">
        <v>9</v>
      </c>
      <c r="U4" s="55" t="s">
        <v>5</v>
      </c>
      <c r="V4" s="99"/>
      <c r="W4" s="55" t="s">
        <v>9</v>
      </c>
      <c r="X4" s="55" t="s">
        <v>5</v>
      </c>
      <c r="Y4" s="99"/>
      <c r="Z4" s="55" t="s">
        <v>9</v>
      </c>
      <c r="AA4" s="55" t="s">
        <v>5</v>
      </c>
      <c r="AB4" s="99"/>
      <c r="AC4" s="55" t="s">
        <v>9</v>
      </c>
      <c r="AD4" s="55" t="s">
        <v>5</v>
      </c>
      <c r="AE4" s="99"/>
      <c r="AF4" s="55" t="s">
        <v>9</v>
      </c>
      <c r="AG4" s="55" t="s">
        <v>5</v>
      </c>
      <c r="AH4" s="99"/>
      <c r="AI4" s="55" t="s">
        <v>9</v>
      </c>
      <c r="AJ4" s="55" t="s">
        <v>5</v>
      </c>
      <c r="AK4" s="55" t="s">
        <v>9</v>
      </c>
      <c r="AL4" s="55" t="s">
        <v>5</v>
      </c>
      <c r="AM4" s="53" t="s">
        <v>9</v>
      </c>
      <c r="AN4" s="53" t="s">
        <v>5</v>
      </c>
      <c r="AO4" s="94"/>
    </row>
    <row r="5" spans="2:41" x14ac:dyDescent="0.25">
      <c r="B5" s="57" t="s">
        <v>1213</v>
      </c>
      <c r="C5" s="57" t="s">
        <v>1212</v>
      </c>
      <c r="D5" s="51" t="s">
        <v>1211</v>
      </c>
      <c r="E5" s="51" t="s">
        <v>8</v>
      </c>
      <c r="F5" s="51" t="s">
        <v>24</v>
      </c>
      <c r="G5" s="51" t="s">
        <v>1261</v>
      </c>
      <c r="H5" s="51" t="s">
        <v>1262</v>
      </c>
      <c r="I5" s="51" t="s">
        <v>1263</v>
      </c>
      <c r="J5" s="51" t="s">
        <v>1264</v>
      </c>
      <c r="K5" s="51" t="s">
        <v>10</v>
      </c>
      <c r="L5" s="51" t="s">
        <v>11</v>
      </c>
      <c r="M5" s="51" t="s">
        <v>12</v>
      </c>
      <c r="N5" s="51" t="s">
        <v>1188</v>
      </c>
      <c r="O5" s="51" t="s">
        <v>1189</v>
      </c>
      <c r="P5" s="51" t="s">
        <v>1190</v>
      </c>
      <c r="Q5" s="51" t="s">
        <v>1191</v>
      </c>
      <c r="R5" s="51" t="s">
        <v>1192</v>
      </c>
      <c r="S5" s="51" t="s">
        <v>1193</v>
      </c>
      <c r="T5" s="51" t="s">
        <v>1194</v>
      </c>
      <c r="U5" s="51" t="s">
        <v>1195</v>
      </c>
      <c r="V5" s="51" t="s">
        <v>1196</v>
      </c>
      <c r="W5" s="51" t="s">
        <v>1197</v>
      </c>
      <c r="X5" s="51" t="s">
        <v>1198</v>
      </c>
      <c r="Y5" s="51" t="s">
        <v>1199</v>
      </c>
      <c r="Z5" s="51" t="s">
        <v>1200</v>
      </c>
      <c r="AA5" s="51" t="s">
        <v>1201</v>
      </c>
      <c r="AB5" s="51" t="s">
        <v>1202</v>
      </c>
      <c r="AC5" s="51" t="s">
        <v>1203</v>
      </c>
      <c r="AD5" s="51" t="s">
        <v>1204</v>
      </c>
      <c r="AE5" s="51" t="s">
        <v>1205</v>
      </c>
      <c r="AF5" s="51" t="s">
        <v>1206</v>
      </c>
      <c r="AG5" s="51" t="s">
        <v>1207</v>
      </c>
      <c r="AH5" s="51" t="s">
        <v>1208</v>
      </c>
      <c r="AI5" s="51" t="s">
        <v>1253</v>
      </c>
      <c r="AJ5" s="51" t="s">
        <v>1254</v>
      </c>
      <c r="AK5" s="51" t="s">
        <v>1255</v>
      </c>
      <c r="AL5" s="51" t="s">
        <v>1256</v>
      </c>
      <c r="AM5" s="51" t="s">
        <v>1257</v>
      </c>
      <c r="AN5" s="51" t="s">
        <v>1258</v>
      </c>
      <c r="AO5" s="51" t="s">
        <v>1259</v>
      </c>
    </row>
    <row r="6" spans="2:41" x14ac:dyDescent="0.25">
      <c r="B6" s="58" t="str">
        <f>Tabla1[[#This Row],[nudo inicial]]</f>
        <v>PTAP2</v>
      </c>
      <c r="C6" s="58" t="str">
        <f>Tabla1[[#This Row],[nudo final]]</f>
        <v>N1</v>
      </c>
      <c r="D6" s="51">
        <f>Tabla1[[#This Row],[longitud]]</f>
        <v>4333.8900000000003</v>
      </c>
      <c r="E6" s="51" t="str">
        <f>Tabla1[[#This Row],[diametro]]</f>
        <v>3"</v>
      </c>
      <c r="F6" s="51" t="str">
        <f>Tabla1[[#This Row],[material]]</f>
        <v>PVC</v>
      </c>
      <c r="G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" s="52" t="str">
        <f>IF(Tabla1[[#This Row],[5]]="TPD",Tabla1[[#This Row],[6]],"")</f>
        <v/>
      </c>
      <c r="I6" s="52" t="str">
        <f>IF(OR(Tabla1[[#This Row],[5]]="TPD"),Tabla1[[#This Row],[7]],"")</f>
        <v/>
      </c>
      <c r="J6" s="52">
        <f>IF(Tabla15[[#This Row],[2]]="",0,VLOOKUP(TRAMOS!$H$2,Tabla5[#All],3,FALSE)*Tabla15[[#This Row],[3]])</f>
        <v>0</v>
      </c>
      <c r="K6" s="52" t="str">
        <f>IF(Tabla1[[#This Row],[5]]="TPL",Tabla1[[#This Row],[6]],"")</f>
        <v>3"</v>
      </c>
      <c r="L6" s="52">
        <f>IF(OR(Tabla1[[#This Row],[5]]="TPL"),Tabla1[[#This Row],[7]],"")</f>
        <v>1</v>
      </c>
      <c r="M6" s="52">
        <f>IF(Tabla15[[#This Row],[5]]="",0,VLOOKUP(TRAMOS!$K$2,Tabla5[#All],3,FALSE)*Tabla15[[#This Row],[6]])</f>
        <v>0.9</v>
      </c>
      <c r="N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" s="52">
        <f>IF(Tabla15[[#This Row],[8]]="",0,VLOOKUP(TRAMOS!$H$2,Tabla5[#All],3,FALSE)*Tabla15[[#This Row],[9]])</f>
        <v>0</v>
      </c>
      <c r="Q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3"</v>
      </c>
      <c r="R6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6" s="52">
        <f>IF(Tabla15[[#This Row],[11]]="",0,VLOOKUP(TRAMOS!$Q$2,Tabla5[#All],3,FALSE)*Tabla15[[#This Row],[12]])</f>
        <v>0.9</v>
      </c>
      <c r="T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" s="52">
        <f>IF(Tabla15[[#This Row],[20]]="",0,VLOOKUP("VRP",Tabla5[#All],3,FALSE)*Tabla15[[#This Row],[21]])</f>
        <v>0</v>
      </c>
      <c r="AC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" s="52">
        <f>IF(Tabla15[[#This Row],[23]]="",0,VLOOKUP("VC",Tabla5[#All],3,FALSE)*Tabla15[[#This Row],[24]])</f>
        <v>0</v>
      </c>
      <c r="AF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" s="52">
        <f>IF(Tabla15[[#This Row],[26]]="",0,VLOOKUP(TRAMOS!$K$2,Tabla5[#All],3,FALSE)*Tabla15[[#This Row],[27]])</f>
        <v>0</v>
      </c>
      <c r="AI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1.8</v>
      </c>
    </row>
    <row r="7" spans="2:41" x14ac:dyDescent="0.25">
      <c r="B7" s="58" t="str">
        <f>Tabla1[[#This Row],[nudo inicial]]</f>
        <v>N1</v>
      </c>
      <c r="C7" s="58" t="str">
        <f>Tabla1[[#This Row],[nudo final]]</f>
        <v>TP1</v>
      </c>
      <c r="D7" s="51">
        <f>Tabla1[[#This Row],[longitud]]</f>
        <v>48.98</v>
      </c>
      <c r="E7" s="51" t="str">
        <f>Tabla1[[#This Row],[diametro]]</f>
        <v>2"</v>
      </c>
      <c r="F7" s="51" t="str">
        <f>Tabla1[[#This Row],[material]]</f>
        <v>PVC</v>
      </c>
      <c r="G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7" s="52" t="str">
        <f>IF(Tabla1[[#This Row],[5]]="TPD",Tabla1[[#This Row],[6]],"")</f>
        <v/>
      </c>
      <c r="I7" s="52" t="str">
        <f>IF(OR(Tabla1[[#This Row],[5]]="TPD"),Tabla1[[#This Row],[7]],"")</f>
        <v/>
      </c>
      <c r="J7" s="52">
        <f>IF(Tabla15[[#This Row],[2]]="",0,VLOOKUP(TRAMOS!$H$2,Tabla5[#All],3,FALSE)*Tabla15[[#This Row],[3]])</f>
        <v>0</v>
      </c>
      <c r="K7" s="52" t="str">
        <f>IF(Tabla1[[#This Row],[5]]="TPL",Tabla1[[#This Row],[6]],"")</f>
        <v>3"</v>
      </c>
      <c r="L7" s="52">
        <f>IF(OR(Tabla1[[#This Row],[5]]="TPL"),Tabla1[[#This Row],[7]],"")</f>
        <v>1</v>
      </c>
      <c r="M7" s="52">
        <f>IF(Tabla15[[#This Row],[5]]="",0,VLOOKUP(TRAMOS!$K$2,Tabla5[#All],3,FALSE)*Tabla15[[#This Row],[6]])</f>
        <v>0.9</v>
      </c>
      <c r="N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" s="52">
        <f>IF(Tabla15[[#This Row],[8]]="",0,VLOOKUP(TRAMOS!$H$2,Tabla5[#All],3,FALSE)*Tabla15[[#This Row],[9]])</f>
        <v>0</v>
      </c>
      <c r="Q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" s="52">
        <f>IF(Tabla15[[#This Row],[11]]="",0,VLOOKUP(TRAMOS!$Q$2,Tabla5[#All],3,FALSE)*Tabla15[[#This Row],[12]])</f>
        <v>0</v>
      </c>
      <c r="T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7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" s="52">
        <f>IF(Tabla15[[#This Row],[20]]="",0,VLOOKUP("VRP",Tabla5[#All],3,FALSE)*Tabla15[[#This Row],[21]])</f>
        <v>0</v>
      </c>
      <c r="AC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" s="52">
        <f>IF(Tabla15[[#This Row],[23]]="",0,VLOOKUP("VC",Tabla5[#All],3,FALSE)*Tabla15[[#This Row],[24]])</f>
        <v>0</v>
      </c>
      <c r="AF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" s="52">
        <f>IF(Tabla15[[#This Row],[26]]="",0,VLOOKUP(TRAMOS!$K$2,Tabla5[#All],3,FALSE)*Tabla15[[#This Row],[27]])</f>
        <v>0</v>
      </c>
      <c r="AI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7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8" spans="2:41" x14ac:dyDescent="0.25">
      <c r="B8" s="58" t="str">
        <f>Tabla1[[#This Row],[nudo inicial]]</f>
        <v>N1</v>
      </c>
      <c r="C8" s="58" t="str">
        <f>Tabla1[[#This Row],[nudo final]]</f>
        <v>N2</v>
      </c>
      <c r="D8" s="51">
        <f>Tabla1[[#This Row],[longitud]]</f>
        <v>17.57</v>
      </c>
      <c r="E8" s="51" t="str">
        <f>Tabla1[[#This Row],[diametro]]</f>
        <v>3"</v>
      </c>
      <c r="F8" s="51" t="str">
        <f>Tabla1[[#This Row],[material]]</f>
        <v>PVC</v>
      </c>
      <c r="G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8" s="52" t="str">
        <f>IF(Tabla1[[#This Row],[5]]="TPD",Tabla1[[#This Row],[6]],"")</f>
        <v>3"</v>
      </c>
      <c r="I8" s="52">
        <f>IF(OR(Tabla1[[#This Row],[5]]="TPD"),Tabla1[[#This Row],[7]],"")</f>
        <v>1</v>
      </c>
      <c r="J8" s="52">
        <f>IF(Tabla15[[#This Row],[2]]="",0,VLOOKUP(TRAMOS!$H$2,Tabla5[#All],3,FALSE)*Tabla15[[#This Row],[3]])</f>
        <v>0.15</v>
      </c>
      <c r="K8" s="52" t="str">
        <f>IF(Tabla1[[#This Row],[5]]="TPL",Tabla1[[#This Row],[6]],"")</f>
        <v/>
      </c>
      <c r="L8" s="52" t="str">
        <f>IF(OR(Tabla1[[#This Row],[5]]="TPL"),Tabla1[[#This Row],[7]],"")</f>
        <v/>
      </c>
      <c r="M8" s="52">
        <f>IF(Tabla15[[#This Row],[5]]="",0,VLOOKUP(TRAMOS!$K$2,Tabla5[#All],3,FALSE)*Tabla15[[#This Row],[6]])</f>
        <v>0</v>
      </c>
      <c r="N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" s="52">
        <f>IF(Tabla15[[#This Row],[8]]="",0,VLOOKUP(TRAMOS!$H$2,Tabla5[#All],3,FALSE)*Tabla15[[#This Row],[9]])</f>
        <v>0</v>
      </c>
      <c r="Q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" s="52">
        <f>IF(Tabla15[[#This Row],[11]]="",0,VLOOKUP(TRAMOS!$Q$2,Tabla5[#All],3,FALSE)*Tabla15[[#This Row],[12]])</f>
        <v>0</v>
      </c>
      <c r="T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" s="52">
        <f>IF(Tabla15[[#This Row],[20]]="",0,VLOOKUP("VRP",Tabla5[#All],3,FALSE)*Tabla15[[#This Row],[21]])</f>
        <v>0</v>
      </c>
      <c r="AC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" s="52">
        <f>IF(Tabla15[[#This Row],[23]]="",0,VLOOKUP("VC",Tabla5[#All],3,FALSE)*Tabla15[[#This Row],[24]])</f>
        <v>0</v>
      </c>
      <c r="AF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" s="52">
        <f>IF(Tabla15[[#This Row],[26]]="",0,VLOOKUP(TRAMOS!$K$2,Tabla5[#All],3,FALSE)*Tabla15[[#This Row],[27]])</f>
        <v>0</v>
      </c>
      <c r="AI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9" spans="2:41" x14ac:dyDescent="0.25">
      <c r="B9" s="58" t="str">
        <f>Tabla1[[#This Row],[nudo inicial]]</f>
        <v>N2</v>
      </c>
      <c r="C9" s="58" t="str">
        <f>Tabla1[[#This Row],[nudo final]]</f>
        <v>TP2</v>
      </c>
      <c r="D9" s="51">
        <f>Tabla1[[#This Row],[longitud]]</f>
        <v>71.349999999999994</v>
      </c>
      <c r="E9" s="51" t="str">
        <f>Tabla1[[#This Row],[diametro]]</f>
        <v>2"</v>
      </c>
      <c r="F9" s="51" t="str">
        <f>Tabla1[[#This Row],[material]]</f>
        <v>PVC</v>
      </c>
      <c r="G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9" s="52" t="str">
        <f>IF(Tabla1[[#This Row],[5]]="TPD",Tabla1[[#This Row],[6]],"")</f>
        <v/>
      </c>
      <c r="I9" s="52" t="str">
        <f>IF(OR(Tabla1[[#This Row],[5]]="TPD"),Tabla1[[#This Row],[7]],"")</f>
        <v/>
      </c>
      <c r="J9" s="52">
        <f>IF(Tabla15[[#This Row],[2]]="",0,VLOOKUP(TRAMOS!$H$2,Tabla5[#All],3,FALSE)*Tabla15[[#This Row],[3]])</f>
        <v>0</v>
      </c>
      <c r="K9" s="52" t="str">
        <f>IF(Tabla1[[#This Row],[5]]="TPL",Tabla1[[#This Row],[6]],"")</f>
        <v>3"</v>
      </c>
      <c r="L9" s="52">
        <f>IF(OR(Tabla1[[#This Row],[5]]="TPL"),Tabla1[[#This Row],[7]],"")</f>
        <v>1</v>
      </c>
      <c r="M9" s="52">
        <f>IF(Tabla15[[#This Row],[5]]="",0,VLOOKUP(TRAMOS!$K$2,Tabla5[#All],3,FALSE)*Tabla15[[#This Row],[6]])</f>
        <v>0.9</v>
      </c>
      <c r="N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" s="52">
        <f>IF(Tabla15[[#This Row],[8]]="",0,VLOOKUP(TRAMOS!$H$2,Tabla5[#All],3,FALSE)*Tabla15[[#This Row],[9]])</f>
        <v>0</v>
      </c>
      <c r="Q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" s="52">
        <f>IF(Tabla15[[#This Row],[11]]="",0,VLOOKUP(TRAMOS!$Q$2,Tabla5[#All],3,FALSE)*Tabla15[[#This Row],[12]])</f>
        <v>0</v>
      </c>
      <c r="T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9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" s="52">
        <f>IF(Tabla15[[#This Row],[20]]="",0,VLOOKUP("VRP",Tabla5[#All],3,FALSE)*Tabla15[[#This Row],[21]])</f>
        <v>0</v>
      </c>
      <c r="AC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" s="52">
        <f>IF(Tabla15[[#This Row],[23]]="",0,VLOOKUP("VC",Tabla5[#All],3,FALSE)*Tabla15[[#This Row],[24]])</f>
        <v>0</v>
      </c>
      <c r="AF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" s="52">
        <f>IF(Tabla15[[#This Row],[26]]="",0,VLOOKUP(TRAMOS!$K$2,Tabla5[#All],3,FALSE)*Tabla15[[#This Row],[27]])</f>
        <v>0</v>
      </c>
      <c r="AI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9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10" spans="2:41" x14ac:dyDescent="0.25">
      <c r="B10" s="58" t="str">
        <f>Tabla1[[#This Row],[nudo inicial]]</f>
        <v>N2</v>
      </c>
      <c r="C10" s="58" t="str">
        <f>Tabla1[[#This Row],[nudo final]]</f>
        <v>N3</v>
      </c>
      <c r="D10" s="51">
        <f>Tabla1[[#This Row],[longitud]]</f>
        <v>19.600000000000001</v>
      </c>
      <c r="E10" s="51" t="str">
        <f>Tabla1[[#This Row],[diametro]]</f>
        <v>3"</v>
      </c>
      <c r="F10" s="51" t="str">
        <f>Tabla1[[#This Row],[material]]</f>
        <v>PVC</v>
      </c>
      <c r="G1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0" s="52" t="str">
        <f>IF(Tabla1[[#This Row],[5]]="TPD",Tabla1[[#This Row],[6]],"")</f>
        <v>3"</v>
      </c>
      <c r="I10" s="52">
        <f>IF(OR(Tabla1[[#This Row],[5]]="TPD"),Tabla1[[#This Row],[7]],"")</f>
        <v>1</v>
      </c>
      <c r="J10" s="52">
        <f>IF(Tabla15[[#This Row],[2]]="",0,VLOOKUP(TRAMOS!$H$2,Tabla5[#All],3,FALSE)*Tabla15[[#This Row],[3]])</f>
        <v>0.15</v>
      </c>
      <c r="K10" s="52" t="str">
        <f>IF(Tabla1[[#This Row],[5]]="TPL",Tabla1[[#This Row],[6]],"")</f>
        <v/>
      </c>
      <c r="L10" s="52" t="str">
        <f>IF(OR(Tabla1[[#This Row],[5]]="TPL"),Tabla1[[#This Row],[7]],"")</f>
        <v/>
      </c>
      <c r="M10" s="52">
        <f>IF(Tabla15[[#This Row],[5]]="",0,VLOOKUP(TRAMOS!$K$2,Tabla5[#All],3,FALSE)*Tabla15[[#This Row],[6]])</f>
        <v>0</v>
      </c>
      <c r="N1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" s="52">
        <f>IF(Tabla15[[#This Row],[8]]="",0,VLOOKUP(TRAMOS!$H$2,Tabla5[#All],3,FALSE)*Tabla15[[#This Row],[9]])</f>
        <v>0</v>
      </c>
      <c r="Q1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" s="52">
        <f>IF(Tabla15[[#This Row],[11]]="",0,VLOOKUP(TRAMOS!$Q$2,Tabla5[#All],3,FALSE)*Tabla15[[#This Row],[12]])</f>
        <v>0</v>
      </c>
      <c r="T1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" s="52">
        <f>IF(Tabla15[[#This Row],[20]]="",0,VLOOKUP("VRP",Tabla5[#All],3,FALSE)*Tabla15[[#This Row],[21]])</f>
        <v>0</v>
      </c>
      <c r="AC1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" s="52">
        <f>IF(Tabla15[[#This Row],[23]]="",0,VLOOKUP("VC",Tabla5[#All],3,FALSE)*Tabla15[[#This Row],[24]])</f>
        <v>0</v>
      </c>
      <c r="AF1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" s="52">
        <f>IF(Tabla15[[#This Row],[26]]="",0,VLOOKUP(TRAMOS!$K$2,Tabla5[#All],3,FALSE)*Tabla15[[#This Row],[27]])</f>
        <v>0</v>
      </c>
      <c r="AI1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1" spans="2:41" x14ac:dyDescent="0.25">
      <c r="B11" s="58" t="str">
        <f>Tabla1[[#This Row],[nudo inicial]]</f>
        <v>N3</v>
      </c>
      <c r="C11" s="58" t="str">
        <f>Tabla1[[#This Row],[nudo final]]</f>
        <v>N4</v>
      </c>
      <c r="D11" s="51">
        <f>Tabla1[[#This Row],[longitud]]</f>
        <v>184.14999999999998</v>
      </c>
      <c r="E11" s="51" t="str">
        <f>Tabla1[[#This Row],[diametro]]</f>
        <v>3"</v>
      </c>
      <c r="F11" s="51" t="str">
        <f>Tabla1[[#This Row],[material]]</f>
        <v>PVC</v>
      </c>
      <c r="G1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1" s="52" t="str">
        <f>IF(Tabla1[[#This Row],[5]]="TPD",Tabla1[[#This Row],[6]],"")</f>
        <v/>
      </c>
      <c r="I11" s="52" t="str">
        <f>IF(OR(Tabla1[[#This Row],[5]]="TPD"),Tabla1[[#This Row],[7]],"")</f>
        <v/>
      </c>
      <c r="J11" s="52">
        <f>IF(Tabla15[[#This Row],[2]]="",0,VLOOKUP(TRAMOS!$H$2,Tabla5[#All],3,FALSE)*Tabla15[[#This Row],[3]])</f>
        <v>0</v>
      </c>
      <c r="K11" s="52" t="str">
        <f>IF(Tabla1[[#This Row],[5]]="TPL",Tabla1[[#This Row],[6]],"")</f>
        <v>3"</v>
      </c>
      <c r="L11" s="52">
        <f>IF(OR(Tabla1[[#This Row],[5]]="TPL"),Tabla1[[#This Row],[7]],"")</f>
        <v>1</v>
      </c>
      <c r="M11" s="52">
        <f>IF(Tabla15[[#This Row],[5]]="",0,VLOOKUP(TRAMOS!$K$2,Tabla5[#All],3,FALSE)*Tabla15[[#This Row],[6]])</f>
        <v>0.9</v>
      </c>
      <c r="N1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" s="52">
        <f>IF(Tabla15[[#This Row],[8]]="",0,VLOOKUP(TRAMOS!$H$2,Tabla5[#All],3,FALSE)*Tabla15[[#This Row],[9]])</f>
        <v>0</v>
      </c>
      <c r="Q1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" s="52">
        <f>IF(Tabla15[[#This Row],[11]]="",0,VLOOKUP(TRAMOS!$Q$2,Tabla5[#All],3,FALSE)*Tabla15[[#This Row],[12]])</f>
        <v>0</v>
      </c>
      <c r="T1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" s="52">
        <f>IF(Tabla15[[#This Row],[20]]="",0,VLOOKUP("VRP",Tabla5[#All],3,FALSE)*Tabla15[[#This Row],[21]])</f>
        <v>0</v>
      </c>
      <c r="AC1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" s="52">
        <f>IF(Tabla15[[#This Row],[23]]="",0,VLOOKUP("VC",Tabla5[#All],3,FALSE)*Tabla15[[#This Row],[24]])</f>
        <v>0</v>
      </c>
      <c r="AF1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" s="52">
        <f>IF(Tabla15[[#This Row],[26]]="",0,VLOOKUP(TRAMOS!$K$2,Tabla5[#All],3,FALSE)*Tabla15[[#This Row],[27]])</f>
        <v>0</v>
      </c>
      <c r="AI1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2" spans="2:41" x14ac:dyDescent="0.25">
      <c r="B12" s="58" t="str">
        <f>Tabla1[[#This Row],[nudo inicial]]</f>
        <v>N4</v>
      </c>
      <c r="C12" s="58" t="str">
        <f>Tabla1[[#This Row],[nudo final]]</f>
        <v>TP3</v>
      </c>
      <c r="D12" s="51">
        <f>Tabla1[[#This Row],[longitud]]</f>
        <v>101.48</v>
      </c>
      <c r="E12" s="51" t="str">
        <f>Tabla1[[#This Row],[diametro]]</f>
        <v>2"</v>
      </c>
      <c r="F12" s="51" t="str">
        <f>Tabla1[[#This Row],[material]]</f>
        <v>PVC</v>
      </c>
      <c r="G1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2" s="52" t="str">
        <f>IF(Tabla1[[#This Row],[5]]="TPD",Tabla1[[#This Row],[6]],"")</f>
        <v/>
      </c>
      <c r="I12" s="52" t="str">
        <f>IF(OR(Tabla1[[#This Row],[5]]="TPD"),Tabla1[[#This Row],[7]],"")</f>
        <v/>
      </c>
      <c r="J12" s="52">
        <f>IF(Tabla15[[#This Row],[2]]="",0,VLOOKUP(TRAMOS!$H$2,Tabla5[#All],3,FALSE)*Tabla15[[#This Row],[3]])</f>
        <v>0</v>
      </c>
      <c r="K12" s="52" t="str">
        <f>IF(Tabla1[[#This Row],[5]]="TPL",Tabla1[[#This Row],[6]],"")</f>
        <v>2"</v>
      </c>
      <c r="L12" s="52">
        <f>IF(OR(Tabla1[[#This Row],[5]]="TPL"),Tabla1[[#This Row],[7]],"")</f>
        <v>1</v>
      </c>
      <c r="M12" s="52">
        <f>IF(Tabla15[[#This Row],[5]]="",0,VLOOKUP(TRAMOS!$K$2,Tabla5[#All],3,FALSE)*Tabla15[[#This Row],[6]])</f>
        <v>0.9</v>
      </c>
      <c r="N1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2" s="52">
        <f>IF(Tabla15[[#This Row],[8]]="",0,VLOOKUP(TRAMOS!$H$2,Tabla5[#All],3,FALSE)*Tabla15[[#This Row],[9]])</f>
        <v>0</v>
      </c>
      <c r="Q1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2" s="52">
        <f>IF(Tabla15[[#This Row],[11]]="",0,VLOOKUP(TRAMOS!$Q$2,Tabla5[#All],3,FALSE)*Tabla15[[#This Row],[12]])</f>
        <v>0</v>
      </c>
      <c r="T1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2" s="52">
        <f>IF(Tabla15[[#This Row],[20]]="",0,VLOOKUP("VRP",Tabla5[#All],3,FALSE)*Tabla15[[#This Row],[21]])</f>
        <v>0</v>
      </c>
      <c r="AC1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2" s="52">
        <f>IF(Tabla15[[#This Row],[23]]="",0,VLOOKUP("VC",Tabla5[#All],3,FALSE)*Tabla15[[#This Row],[24]])</f>
        <v>0</v>
      </c>
      <c r="AF1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2" s="52">
        <f>IF(Tabla15[[#This Row],[26]]="",0,VLOOKUP(TRAMOS!$K$2,Tabla5[#All],3,FALSE)*Tabla15[[#This Row],[27]])</f>
        <v>0</v>
      </c>
      <c r="AI1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2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3" spans="2:41" x14ac:dyDescent="0.25">
      <c r="B13" s="58" t="str">
        <f>Tabla1[[#This Row],[nudo inicial]]</f>
        <v>N4</v>
      </c>
      <c r="C13" s="58" t="str">
        <f>Tabla1[[#This Row],[nudo final]]</f>
        <v>N5</v>
      </c>
      <c r="D13" s="51">
        <f>Tabla1[[#This Row],[longitud]]</f>
        <v>20.43</v>
      </c>
      <c r="E13" s="51" t="str">
        <f>Tabla1[[#This Row],[diametro]]</f>
        <v>2"</v>
      </c>
      <c r="F13" s="51" t="str">
        <f>Tabla1[[#This Row],[material]]</f>
        <v>PVC</v>
      </c>
      <c r="G1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3" s="52" t="str">
        <f>IF(Tabla1[[#This Row],[5]]="TPD",Tabla1[[#This Row],[6]],"")</f>
        <v>2"</v>
      </c>
      <c r="I13" s="52">
        <f>IF(OR(Tabla1[[#This Row],[5]]="TPD"),Tabla1[[#This Row],[7]],"")</f>
        <v>1</v>
      </c>
      <c r="J13" s="52">
        <f>IF(Tabla15[[#This Row],[2]]="",0,VLOOKUP(TRAMOS!$H$2,Tabla5[#All],3,FALSE)*Tabla15[[#This Row],[3]])</f>
        <v>0.15</v>
      </c>
      <c r="K13" s="52" t="str">
        <f>IF(Tabla1[[#This Row],[5]]="TPL",Tabla1[[#This Row],[6]],"")</f>
        <v/>
      </c>
      <c r="L13" s="52" t="str">
        <f>IF(OR(Tabla1[[#This Row],[5]]="TPL"),Tabla1[[#This Row],[7]],"")</f>
        <v/>
      </c>
      <c r="M13" s="52">
        <f>IF(Tabla15[[#This Row],[5]]="",0,VLOOKUP(TRAMOS!$K$2,Tabla5[#All],3,FALSE)*Tabla15[[#This Row],[6]])</f>
        <v>0</v>
      </c>
      <c r="N1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3" s="52">
        <f>IF(Tabla15[[#This Row],[8]]="",0,VLOOKUP(TRAMOS!$H$2,Tabla5[#All],3,FALSE)*Tabla15[[#This Row],[9]])</f>
        <v>0</v>
      </c>
      <c r="Q1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3" s="52">
        <f>IF(Tabla15[[#This Row],[11]]="",0,VLOOKUP(TRAMOS!$Q$2,Tabla5[#All],3,FALSE)*Tabla15[[#This Row],[12]])</f>
        <v>0</v>
      </c>
      <c r="T1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3" s="52">
        <f>IF(Tabla15[[#This Row],[20]]="",0,VLOOKUP("VRP",Tabla5[#All],3,FALSE)*Tabla15[[#This Row],[21]])</f>
        <v>0</v>
      </c>
      <c r="AC1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3" s="52">
        <f>IF(Tabla15[[#This Row],[23]]="",0,VLOOKUP("VC",Tabla5[#All],3,FALSE)*Tabla15[[#This Row],[24]])</f>
        <v>0</v>
      </c>
      <c r="AF1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3" s="52">
        <f>IF(Tabla15[[#This Row],[26]]="",0,VLOOKUP(TRAMOS!$K$2,Tabla5[#All],3,FALSE)*Tabla15[[#This Row],[27]])</f>
        <v>0</v>
      </c>
      <c r="AI1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4" spans="2:41" x14ac:dyDescent="0.25">
      <c r="B14" s="58" t="str">
        <f>Tabla1[[#This Row],[nudo inicial]]</f>
        <v>N5</v>
      </c>
      <c r="C14" s="58" t="str">
        <f>Tabla1[[#This Row],[nudo final]]</f>
        <v>TP4</v>
      </c>
      <c r="D14" s="51">
        <f>Tabla1[[#This Row],[longitud]]</f>
        <v>33.35</v>
      </c>
      <c r="E14" s="51" t="str">
        <f>Tabla1[[#This Row],[diametro]]</f>
        <v>2"</v>
      </c>
      <c r="F14" s="51" t="str">
        <f>Tabla1[[#This Row],[material]]</f>
        <v>PVC</v>
      </c>
      <c r="G1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4" s="52" t="str">
        <f>IF(Tabla1[[#This Row],[5]]="TPD",Tabla1[[#This Row],[6]],"")</f>
        <v/>
      </c>
      <c r="I14" s="52" t="str">
        <f>IF(OR(Tabla1[[#This Row],[5]]="TPD"),Tabla1[[#This Row],[7]],"")</f>
        <v/>
      </c>
      <c r="J14" s="52">
        <f>IF(Tabla15[[#This Row],[2]]="",0,VLOOKUP(TRAMOS!$H$2,Tabla5[#All],3,FALSE)*Tabla15[[#This Row],[3]])</f>
        <v>0</v>
      </c>
      <c r="K14" s="52" t="str">
        <f>IF(Tabla1[[#This Row],[5]]="TPL",Tabla1[[#This Row],[6]],"")</f>
        <v>2"</v>
      </c>
      <c r="L14" s="52">
        <f>IF(OR(Tabla1[[#This Row],[5]]="TPL"),Tabla1[[#This Row],[7]],"")</f>
        <v>1</v>
      </c>
      <c r="M14" s="52">
        <f>IF(Tabla15[[#This Row],[5]]="",0,VLOOKUP(TRAMOS!$K$2,Tabla5[#All],3,FALSE)*Tabla15[[#This Row],[6]])</f>
        <v>0.9</v>
      </c>
      <c r="N1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4" s="52">
        <f>IF(Tabla15[[#This Row],[8]]="",0,VLOOKUP(TRAMOS!$H$2,Tabla5[#All],3,FALSE)*Tabla15[[#This Row],[9]])</f>
        <v>0</v>
      </c>
      <c r="Q1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4" s="52">
        <f>IF(Tabla15[[#This Row],[11]]="",0,VLOOKUP(TRAMOS!$Q$2,Tabla5[#All],3,FALSE)*Tabla15[[#This Row],[12]])</f>
        <v>0</v>
      </c>
      <c r="T1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4" s="52">
        <f>IF(Tabla15[[#This Row],[20]]="",0,VLOOKUP("VRP",Tabla5[#All],3,FALSE)*Tabla15[[#This Row],[21]])</f>
        <v>0</v>
      </c>
      <c r="AC1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4" s="52">
        <f>IF(Tabla15[[#This Row],[23]]="",0,VLOOKUP("VC",Tabla5[#All],3,FALSE)*Tabla15[[#This Row],[24]])</f>
        <v>0</v>
      </c>
      <c r="AF1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4" s="52">
        <f>IF(Tabla15[[#This Row],[26]]="",0,VLOOKUP(TRAMOS!$K$2,Tabla5[#All],3,FALSE)*Tabla15[[#This Row],[27]])</f>
        <v>0</v>
      </c>
      <c r="AI1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4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5" spans="2:41" x14ac:dyDescent="0.25">
      <c r="B15" s="58" t="str">
        <f>Tabla1[[#This Row],[nudo inicial]]</f>
        <v>N5</v>
      </c>
      <c r="C15" s="58" t="str">
        <f>Tabla1[[#This Row],[nudo final]]</f>
        <v>N6</v>
      </c>
      <c r="D15" s="51">
        <f>Tabla1[[#This Row],[longitud]]</f>
        <v>10.85</v>
      </c>
      <c r="E15" s="51" t="str">
        <f>Tabla1[[#This Row],[diametro]]</f>
        <v>2"</v>
      </c>
      <c r="F15" s="51" t="str">
        <f>Tabla1[[#This Row],[material]]</f>
        <v>PVC</v>
      </c>
      <c r="G1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5" s="52" t="str">
        <f>IF(Tabla1[[#This Row],[5]]="TPD",Tabla1[[#This Row],[6]],"")</f>
        <v>2"</v>
      </c>
      <c r="I15" s="52">
        <f>IF(OR(Tabla1[[#This Row],[5]]="TPD"),Tabla1[[#This Row],[7]],"")</f>
        <v>1</v>
      </c>
      <c r="J15" s="52">
        <f>IF(Tabla15[[#This Row],[2]]="",0,VLOOKUP(TRAMOS!$H$2,Tabla5[#All],3,FALSE)*Tabla15[[#This Row],[3]])</f>
        <v>0.15</v>
      </c>
      <c r="K15" s="52" t="str">
        <f>IF(Tabla1[[#This Row],[5]]="TPL",Tabla1[[#This Row],[6]],"")</f>
        <v/>
      </c>
      <c r="L15" s="52" t="str">
        <f>IF(OR(Tabla1[[#This Row],[5]]="TPL"),Tabla1[[#This Row],[7]],"")</f>
        <v/>
      </c>
      <c r="M15" s="52">
        <f>IF(Tabla15[[#This Row],[5]]="",0,VLOOKUP(TRAMOS!$K$2,Tabla5[#All],3,FALSE)*Tabla15[[#This Row],[6]])</f>
        <v>0</v>
      </c>
      <c r="N1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5" s="52">
        <f>IF(Tabla15[[#This Row],[8]]="",0,VLOOKUP(TRAMOS!$H$2,Tabla5[#All],3,FALSE)*Tabla15[[#This Row],[9]])</f>
        <v>0</v>
      </c>
      <c r="Q1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5" s="52">
        <f>IF(Tabla15[[#This Row],[11]]="",0,VLOOKUP(TRAMOS!$Q$2,Tabla5[#All],3,FALSE)*Tabla15[[#This Row],[12]])</f>
        <v>0</v>
      </c>
      <c r="T1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5" s="52">
        <f>IF(Tabla15[[#This Row],[20]]="",0,VLOOKUP("VRP",Tabla5[#All],3,FALSE)*Tabla15[[#This Row],[21]])</f>
        <v>0</v>
      </c>
      <c r="AC1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5" s="52">
        <f>IF(Tabla15[[#This Row],[23]]="",0,VLOOKUP("VC",Tabla5[#All],3,FALSE)*Tabla15[[#This Row],[24]])</f>
        <v>0</v>
      </c>
      <c r="AF1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5" s="52">
        <f>IF(Tabla15[[#This Row],[26]]="",0,VLOOKUP(TRAMOS!$K$2,Tabla5[#All],3,FALSE)*Tabla15[[#This Row],[27]])</f>
        <v>0</v>
      </c>
      <c r="AI1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6" spans="2:41" x14ac:dyDescent="0.25">
      <c r="B16" s="58" t="str">
        <f>Tabla1[[#This Row],[nudo inicial]]</f>
        <v>N6</v>
      </c>
      <c r="C16" s="58" t="str">
        <f>Tabla1[[#This Row],[nudo final]]</f>
        <v>N7</v>
      </c>
      <c r="D16" s="51">
        <f>Tabla1[[#This Row],[longitud]]</f>
        <v>12.56</v>
      </c>
      <c r="E16" s="51" t="str">
        <f>Tabla1[[#This Row],[diametro]]</f>
        <v>2"</v>
      </c>
      <c r="F16" s="51" t="str">
        <f>Tabla1[[#This Row],[material]]</f>
        <v>PVC</v>
      </c>
      <c r="G1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6" s="52" t="str">
        <f>IF(Tabla1[[#This Row],[5]]="TPD",Tabla1[[#This Row],[6]],"")</f>
        <v>2"</v>
      </c>
      <c r="I16" s="52">
        <f>IF(OR(Tabla1[[#This Row],[5]]="TPD"),Tabla1[[#This Row],[7]],"")</f>
        <v>1</v>
      </c>
      <c r="J16" s="52">
        <f>IF(Tabla15[[#This Row],[2]]="",0,VLOOKUP(TRAMOS!$H$2,Tabla5[#All],3,FALSE)*Tabla15[[#This Row],[3]])</f>
        <v>0.15</v>
      </c>
      <c r="K16" s="52" t="str">
        <f>IF(Tabla1[[#This Row],[5]]="TPL",Tabla1[[#This Row],[6]],"")</f>
        <v/>
      </c>
      <c r="L16" s="52" t="str">
        <f>IF(OR(Tabla1[[#This Row],[5]]="TPL"),Tabla1[[#This Row],[7]],"")</f>
        <v/>
      </c>
      <c r="M16" s="52">
        <f>IF(Tabla15[[#This Row],[5]]="",0,VLOOKUP(TRAMOS!$K$2,Tabla5[#All],3,FALSE)*Tabla15[[#This Row],[6]])</f>
        <v>0</v>
      </c>
      <c r="N1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6" s="52">
        <f>IF(Tabla15[[#This Row],[8]]="",0,VLOOKUP(TRAMOS!$H$2,Tabla5[#All],3,FALSE)*Tabla15[[#This Row],[9]])</f>
        <v>0</v>
      </c>
      <c r="Q1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6" s="52">
        <f>IF(Tabla15[[#This Row],[11]]="",0,VLOOKUP(TRAMOS!$Q$2,Tabla5[#All],3,FALSE)*Tabla15[[#This Row],[12]])</f>
        <v>0</v>
      </c>
      <c r="T1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6" s="52">
        <f>IF(Tabla15[[#This Row],[20]]="",0,VLOOKUP("VRP",Tabla5[#All],3,FALSE)*Tabla15[[#This Row],[21]])</f>
        <v>0</v>
      </c>
      <c r="AC1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6" s="52">
        <f>IF(Tabla15[[#This Row],[23]]="",0,VLOOKUP("VC",Tabla5[#All],3,FALSE)*Tabla15[[#This Row],[24]])</f>
        <v>0</v>
      </c>
      <c r="AF1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6" s="52">
        <f>IF(Tabla15[[#This Row],[26]]="",0,VLOOKUP(TRAMOS!$K$2,Tabla5[#All],3,FALSE)*Tabla15[[#This Row],[27]])</f>
        <v>0</v>
      </c>
      <c r="AI1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7" spans="2:41" x14ac:dyDescent="0.25">
      <c r="B17" s="58" t="str">
        <f>Tabla1[[#This Row],[nudo inicial]]</f>
        <v>N7</v>
      </c>
      <c r="C17" s="58" t="str">
        <f>Tabla1[[#This Row],[nudo final]]</f>
        <v>TP5</v>
      </c>
      <c r="D17" s="51">
        <f>Tabla1[[#This Row],[longitud]]</f>
        <v>79.92</v>
      </c>
      <c r="E17" s="51" t="str">
        <f>Tabla1[[#This Row],[diametro]]</f>
        <v>2"</v>
      </c>
      <c r="F17" s="51" t="str">
        <f>Tabla1[[#This Row],[material]]</f>
        <v>PVC</v>
      </c>
      <c r="G1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7" s="52" t="str">
        <f>IF(Tabla1[[#This Row],[5]]="TPD",Tabla1[[#This Row],[6]],"")</f>
        <v>2"</v>
      </c>
      <c r="I17" s="52">
        <f>IF(OR(Tabla1[[#This Row],[5]]="TPD"),Tabla1[[#This Row],[7]],"")</f>
        <v>1</v>
      </c>
      <c r="J17" s="52">
        <f>IF(Tabla15[[#This Row],[2]]="",0,VLOOKUP(TRAMOS!$H$2,Tabla5[#All],3,FALSE)*Tabla15[[#This Row],[3]])</f>
        <v>0.15</v>
      </c>
      <c r="K17" s="52" t="str">
        <f>IF(Tabla1[[#This Row],[5]]="TPL",Tabla1[[#This Row],[6]],"")</f>
        <v/>
      </c>
      <c r="L17" s="52" t="str">
        <f>IF(OR(Tabla1[[#This Row],[5]]="TPL"),Tabla1[[#This Row],[7]],"")</f>
        <v/>
      </c>
      <c r="M17" s="52">
        <f>IF(Tabla15[[#This Row],[5]]="",0,VLOOKUP(TRAMOS!$K$2,Tabla5[#All],3,FALSE)*Tabla15[[#This Row],[6]])</f>
        <v>0</v>
      </c>
      <c r="N1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7" s="52">
        <f>IF(Tabla15[[#This Row],[8]]="",0,VLOOKUP(TRAMOS!$H$2,Tabla5[#All],3,FALSE)*Tabla15[[#This Row],[9]])</f>
        <v>0</v>
      </c>
      <c r="Q1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17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17" s="52">
        <f>IF(Tabla15[[#This Row],[11]]="",0,VLOOKUP(TRAMOS!$Q$2,Tabla5[#All],3,FALSE)*Tabla15[[#This Row],[12]])</f>
        <v>0.9</v>
      </c>
      <c r="T1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7" s="52">
        <f>IF(Tabla15[[#This Row],[20]]="",0,VLOOKUP("VRP",Tabla5[#All],3,FALSE)*Tabla15[[#This Row],[21]])</f>
        <v>0</v>
      </c>
      <c r="AC1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7" s="52">
        <f>IF(Tabla15[[#This Row],[23]]="",0,VLOOKUP("VC",Tabla5[#All],3,FALSE)*Tabla15[[#This Row],[24]])</f>
        <v>0</v>
      </c>
      <c r="AF1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7" s="52">
        <f>IF(Tabla15[[#This Row],[26]]="",0,VLOOKUP(TRAMOS!$K$2,Tabla5[#All],3,FALSE)*Tabla15[[#This Row],[27]])</f>
        <v>0</v>
      </c>
      <c r="AI1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7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18" spans="2:41" x14ac:dyDescent="0.25">
      <c r="B18" s="58" t="str">
        <f>Tabla1[[#This Row],[nudo inicial]]</f>
        <v>N7</v>
      </c>
      <c r="C18" s="58" t="str">
        <f>Tabla1[[#This Row],[nudo final]]</f>
        <v>N8</v>
      </c>
      <c r="D18" s="51">
        <f>Tabla1[[#This Row],[longitud]]</f>
        <v>24.97</v>
      </c>
      <c r="E18" s="51" t="str">
        <f>Tabla1[[#This Row],[diametro]]</f>
        <v>2"</v>
      </c>
      <c r="F18" s="51" t="str">
        <f>Tabla1[[#This Row],[material]]</f>
        <v>PVC</v>
      </c>
      <c r="G1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8" s="52" t="str">
        <f>IF(Tabla1[[#This Row],[5]]="TPD",Tabla1[[#This Row],[6]],"")</f>
        <v/>
      </c>
      <c r="I18" s="52" t="str">
        <f>IF(OR(Tabla1[[#This Row],[5]]="TPD"),Tabla1[[#This Row],[7]],"")</f>
        <v/>
      </c>
      <c r="J18" s="52">
        <f>IF(Tabla15[[#This Row],[2]]="",0,VLOOKUP(TRAMOS!$H$2,Tabla5[#All],3,FALSE)*Tabla15[[#This Row],[3]])</f>
        <v>0</v>
      </c>
      <c r="K18" s="52" t="str">
        <f>IF(Tabla1[[#This Row],[5]]="TPL",Tabla1[[#This Row],[6]],"")</f>
        <v>2"</v>
      </c>
      <c r="L18" s="52">
        <f>IF(OR(Tabla1[[#This Row],[5]]="TPL"),Tabla1[[#This Row],[7]],"")</f>
        <v>1</v>
      </c>
      <c r="M18" s="52">
        <f>IF(Tabla15[[#This Row],[5]]="",0,VLOOKUP(TRAMOS!$K$2,Tabla5[#All],3,FALSE)*Tabla15[[#This Row],[6]])</f>
        <v>0.9</v>
      </c>
      <c r="N1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8" s="52">
        <f>IF(Tabla15[[#This Row],[8]]="",0,VLOOKUP(TRAMOS!$H$2,Tabla5[#All],3,FALSE)*Tabla15[[#This Row],[9]])</f>
        <v>0</v>
      </c>
      <c r="Q1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8" s="52">
        <f>IF(Tabla15[[#This Row],[11]]="",0,VLOOKUP(TRAMOS!$Q$2,Tabla5[#All],3,FALSE)*Tabla15[[#This Row],[12]])</f>
        <v>0</v>
      </c>
      <c r="T1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8" s="52">
        <f>IF(Tabla15[[#This Row],[20]]="",0,VLOOKUP("VRP",Tabla5[#All],3,FALSE)*Tabla15[[#This Row],[21]])</f>
        <v>0</v>
      </c>
      <c r="AC1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8" s="52">
        <f>IF(Tabla15[[#This Row],[23]]="",0,VLOOKUP("VC",Tabla5[#All],3,FALSE)*Tabla15[[#This Row],[24]])</f>
        <v>0</v>
      </c>
      <c r="AF1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8" s="52">
        <f>IF(Tabla15[[#This Row],[26]]="",0,VLOOKUP(TRAMOS!$K$2,Tabla5[#All],3,FALSE)*Tabla15[[#This Row],[27]])</f>
        <v>0</v>
      </c>
      <c r="AI1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9" spans="2:41" x14ac:dyDescent="0.25">
      <c r="B19" s="58" t="str">
        <f>Tabla1[[#This Row],[nudo inicial]]</f>
        <v>N8</v>
      </c>
      <c r="C19" s="58" t="str">
        <f>Tabla1[[#This Row],[nudo final]]</f>
        <v>TP6</v>
      </c>
      <c r="D19" s="51">
        <f>Tabla1[[#This Row],[longitud]]</f>
        <v>18.55</v>
      </c>
      <c r="E19" s="51" t="str">
        <f>Tabla1[[#This Row],[diametro]]</f>
        <v>2"</v>
      </c>
      <c r="F19" s="51" t="str">
        <f>Tabla1[[#This Row],[material]]</f>
        <v>PVC</v>
      </c>
      <c r="G1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9" s="52" t="str">
        <f>IF(Tabla1[[#This Row],[5]]="TPD",Tabla1[[#This Row],[6]],"")</f>
        <v>2"</v>
      </c>
      <c r="I19" s="52">
        <f>IF(OR(Tabla1[[#This Row],[5]]="TPD"),Tabla1[[#This Row],[7]],"")</f>
        <v>1</v>
      </c>
      <c r="J19" s="52">
        <f>IF(Tabla15[[#This Row],[2]]="",0,VLOOKUP(TRAMOS!$H$2,Tabla5[#All],3,FALSE)*Tabla15[[#This Row],[3]])</f>
        <v>0.15</v>
      </c>
      <c r="K19" s="52" t="str">
        <f>IF(Tabla1[[#This Row],[5]]="TPL",Tabla1[[#This Row],[6]],"")</f>
        <v/>
      </c>
      <c r="L19" s="52" t="str">
        <f>IF(OR(Tabla1[[#This Row],[5]]="TPL"),Tabla1[[#This Row],[7]],"")</f>
        <v/>
      </c>
      <c r="M19" s="52">
        <f>IF(Tabla15[[#This Row],[5]]="",0,VLOOKUP(TRAMOS!$K$2,Tabla5[#All],3,FALSE)*Tabla15[[#This Row],[6]])</f>
        <v>0</v>
      </c>
      <c r="N1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9" s="52">
        <f>IF(Tabla15[[#This Row],[8]]="",0,VLOOKUP(TRAMOS!$H$2,Tabla5[#All],3,FALSE)*Tabla15[[#This Row],[9]])</f>
        <v>0</v>
      </c>
      <c r="Q1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9" s="52">
        <f>IF(Tabla15[[#This Row],[11]]="",0,VLOOKUP(TRAMOS!$Q$2,Tabla5[#All],3,FALSE)*Tabla15[[#This Row],[12]])</f>
        <v>0</v>
      </c>
      <c r="T1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9" s="52">
        <f>IF(Tabla15[[#This Row],[20]]="",0,VLOOKUP("VRP",Tabla5[#All],3,FALSE)*Tabla15[[#This Row],[21]])</f>
        <v>0</v>
      </c>
      <c r="AC1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9" s="52">
        <f>IF(Tabla15[[#This Row],[23]]="",0,VLOOKUP("VC",Tabla5[#All],3,FALSE)*Tabla15[[#This Row],[24]])</f>
        <v>0</v>
      </c>
      <c r="AF1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9" s="52">
        <f>IF(Tabla15[[#This Row],[26]]="",0,VLOOKUP(TRAMOS!$K$2,Tabla5[#All],3,FALSE)*Tabla15[[#This Row],[27]])</f>
        <v>0</v>
      </c>
      <c r="AI1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9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20" spans="2:41" x14ac:dyDescent="0.25">
      <c r="B20" s="58" t="str">
        <f>Tabla1[[#This Row],[nudo inicial]]</f>
        <v>N8</v>
      </c>
      <c r="C20" s="58" t="str">
        <f>Tabla1[[#This Row],[nudo final]]</f>
        <v>N9</v>
      </c>
      <c r="D20" s="51">
        <f>Tabla1[[#This Row],[longitud]]</f>
        <v>12.45</v>
      </c>
      <c r="E20" s="51" t="str">
        <f>Tabla1[[#This Row],[diametro]]</f>
        <v>2"</v>
      </c>
      <c r="F20" s="51" t="str">
        <f>Tabla1[[#This Row],[material]]</f>
        <v>PVC</v>
      </c>
      <c r="G2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20" s="52" t="str">
        <f>IF(Tabla1[[#This Row],[5]]="TPD",Tabla1[[#This Row],[6]],"")</f>
        <v/>
      </c>
      <c r="I20" s="52" t="str">
        <f>IF(OR(Tabla1[[#This Row],[5]]="TPD"),Tabla1[[#This Row],[7]],"")</f>
        <v/>
      </c>
      <c r="J20" s="52">
        <f>IF(Tabla15[[#This Row],[2]]="",0,VLOOKUP(TRAMOS!$H$2,Tabla5[#All],3,FALSE)*Tabla15[[#This Row],[3]])</f>
        <v>0</v>
      </c>
      <c r="K20" s="52" t="str">
        <f>IF(Tabla1[[#This Row],[5]]="TPL",Tabla1[[#This Row],[6]],"")</f>
        <v>2"</v>
      </c>
      <c r="L20" s="52">
        <f>IF(OR(Tabla1[[#This Row],[5]]="TPL"),Tabla1[[#This Row],[7]],"")</f>
        <v>1</v>
      </c>
      <c r="M20" s="52">
        <f>IF(Tabla15[[#This Row],[5]]="",0,VLOOKUP(TRAMOS!$K$2,Tabla5[#All],3,FALSE)*Tabla15[[#This Row],[6]])</f>
        <v>0.9</v>
      </c>
      <c r="N2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0" s="52">
        <f>IF(Tabla15[[#This Row],[8]]="",0,VLOOKUP(TRAMOS!$H$2,Tabla5[#All],3,FALSE)*Tabla15[[#This Row],[9]])</f>
        <v>0</v>
      </c>
      <c r="Q2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0" s="52">
        <f>IF(Tabla15[[#This Row],[11]]="",0,VLOOKUP(TRAMOS!$Q$2,Tabla5[#All],3,FALSE)*Tabla15[[#This Row],[12]])</f>
        <v>0</v>
      </c>
      <c r="T2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0" s="52">
        <f>IF(Tabla15[[#This Row],[20]]="",0,VLOOKUP("VRP",Tabla5[#All],3,FALSE)*Tabla15[[#This Row],[21]])</f>
        <v>0</v>
      </c>
      <c r="AC2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0" s="52">
        <f>IF(Tabla15[[#This Row],[23]]="",0,VLOOKUP("VC",Tabla5[#All],3,FALSE)*Tabla15[[#This Row],[24]])</f>
        <v>0</v>
      </c>
      <c r="AF2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0" s="52">
        <f>IF(Tabla15[[#This Row],[26]]="",0,VLOOKUP(TRAMOS!$K$2,Tabla5[#All],3,FALSE)*Tabla15[[#This Row],[27]])</f>
        <v>0</v>
      </c>
      <c r="AI2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21" spans="2:41" x14ac:dyDescent="0.25">
      <c r="B21" s="58" t="str">
        <f>Tabla1[[#This Row],[nudo inicial]]</f>
        <v>N9</v>
      </c>
      <c r="C21" s="58" t="str">
        <f>Tabla1[[#This Row],[nudo final]]</f>
        <v>TP7</v>
      </c>
      <c r="D21" s="51">
        <f>Tabla1[[#This Row],[longitud]]</f>
        <v>13.77</v>
      </c>
      <c r="E21" s="51" t="str">
        <f>Tabla1[[#This Row],[diametro]]</f>
        <v>2"</v>
      </c>
      <c r="F21" s="51" t="str">
        <f>Tabla1[[#This Row],[material]]</f>
        <v>PVC</v>
      </c>
      <c r="G2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21" s="52" t="str">
        <f>IF(Tabla1[[#This Row],[5]]="TPD",Tabla1[[#This Row],[6]],"")</f>
        <v/>
      </c>
      <c r="I21" s="52" t="str">
        <f>IF(OR(Tabla1[[#This Row],[5]]="TPD"),Tabla1[[#This Row],[7]],"")</f>
        <v/>
      </c>
      <c r="J21" s="52">
        <f>IF(Tabla15[[#This Row],[2]]="",0,VLOOKUP(TRAMOS!$H$2,Tabla5[#All],3,FALSE)*Tabla15[[#This Row],[3]])</f>
        <v>0</v>
      </c>
      <c r="K21" s="52" t="str">
        <f>IF(Tabla1[[#This Row],[5]]="TPL",Tabla1[[#This Row],[6]],"")</f>
        <v>2"</v>
      </c>
      <c r="L21" s="52">
        <f>IF(OR(Tabla1[[#This Row],[5]]="TPL"),Tabla1[[#This Row],[7]],"")</f>
        <v>1</v>
      </c>
      <c r="M21" s="52">
        <f>IF(Tabla15[[#This Row],[5]]="",0,VLOOKUP(TRAMOS!$K$2,Tabla5[#All],3,FALSE)*Tabla15[[#This Row],[6]])</f>
        <v>0.9</v>
      </c>
      <c r="N2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1" s="52">
        <f>IF(Tabla15[[#This Row],[8]]="",0,VLOOKUP(TRAMOS!$H$2,Tabla5[#All],3,FALSE)*Tabla15[[#This Row],[9]])</f>
        <v>0</v>
      </c>
      <c r="Q2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1" s="52">
        <f>IF(Tabla15[[#This Row],[11]]="",0,VLOOKUP(TRAMOS!$Q$2,Tabla5[#All],3,FALSE)*Tabla15[[#This Row],[12]])</f>
        <v>0</v>
      </c>
      <c r="T2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1" s="52">
        <f>IF(Tabla15[[#This Row],[20]]="",0,VLOOKUP("VRP",Tabla5[#All],3,FALSE)*Tabla15[[#This Row],[21]])</f>
        <v>0</v>
      </c>
      <c r="AC2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1" s="52">
        <f>IF(Tabla15[[#This Row],[23]]="",0,VLOOKUP("VC",Tabla5[#All],3,FALSE)*Tabla15[[#This Row],[24]])</f>
        <v>0</v>
      </c>
      <c r="AF2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1" s="52">
        <f>IF(Tabla15[[#This Row],[26]]="",0,VLOOKUP(TRAMOS!$K$2,Tabla5[#All],3,FALSE)*Tabla15[[#This Row],[27]])</f>
        <v>0</v>
      </c>
      <c r="AI2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21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2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22" spans="2:41" x14ac:dyDescent="0.25">
      <c r="B22" s="58" t="str">
        <f>Tabla1[[#This Row],[nudo inicial]]</f>
        <v>N9</v>
      </c>
      <c r="C22" s="58" t="str">
        <f>Tabla1[[#This Row],[nudo final]]</f>
        <v>TP8</v>
      </c>
      <c r="D22" s="51">
        <f>Tabla1[[#This Row],[longitud]]</f>
        <v>12.3</v>
      </c>
      <c r="E22" s="51" t="str">
        <f>Tabla1[[#This Row],[diametro]]</f>
        <v>2"</v>
      </c>
      <c r="F22" s="51" t="str">
        <f>Tabla1[[#This Row],[material]]</f>
        <v>PVC</v>
      </c>
      <c r="G2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22" s="52" t="str">
        <f>IF(Tabla1[[#This Row],[5]]="TPD",Tabla1[[#This Row],[6]],"")</f>
        <v/>
      </c>
      <c r="I22" s="52" t="str">
        <f>IF(OR(Tabla1[[#This Row],[5]]="TPD"),Tabla1[[#This Row],[7]],"")</f>
        <v/>
      </c>
      <c r="J22" s="52">
        <f>IF(Tabla15[[#This Row],[2]]="",0,VLOOKUP(TRAMOS!$H$2,Tabla5[#All],3,FALSE)*Tabla15[[#This Row],[3]])</f>
        <v>0</v>
      </c>
      <c r="K22" s="52" t="str">
        <f>IF(Tabla1[[#This Row],[5]]="TPL",Tabla1[[#This Row],[6]],"")</f>
        <v>2"</v>
      </c>
      <c r="L22" s="52">
        <f>IF(OR(Tabla1[[#This Row],[5]]="TPL"),Tabla1[[#This Row],[7]],"")</f>
        <v>1</v>
      </c>
      <c r="M22" s="52">
        <f>IF(Tabla15[[#This Row],[5]]="",0,VLOOKUP(TRAMOS!$K$2,Tabla5[#All],3,FALSE)*Tabla15[[#This Row],[6]])</f>
        <v>0.9</v>
      </c>
      <c r="N2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2" s="52">
        <f>IF(Tabla15[[#This Row],[8]]="",0,VLOOKUP(TRAMOS!$H$2,Tabla5[#All],3,FALSE)*Tabla15[[#This Row],[9]])</f>
        <v>0</v>
      </c>
      <c r="Q2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2" s="52">
        <f>IF(Tabla15[[#This Row],[11]]="",0,VLOOKUP(TRAMOS!$Q$2,Tabla5[#All],3,FALSE)*Tabla15[[#This Row],[12]])</f>
        <v>0</v>
      </c>
      <c r="T2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2" s="52">
        <f>IF(Tabla15[[#This Row],[20]]="",0,VLOOKUP("VRP",Tabla5[#All],3,FALSE)*Tabla15[[#This Row],[21]])</f>
        <v>0</v>
      </c>
      <c r="AC2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2" s="52">
        <f>IF(Tabla15[[#This Row],[23]]="",0,VLOOKUP("VC",Tabla5[#All],3,FALSE)*Tabla15[[#This Row],[24]])</f>
        <v>0</v>
      </c>
      <c r="AF2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2" s="52">
        <f>IF(Tabla15[[#This Row],[26]]="",0,VLOOKUP(TRAMOS!$K$2,Tabla5[#All],3,FALSE)*Tabla15[[#This Row],[27]])</f>
        <v>0</v>
      </c>
      <c r="AI2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22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2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23" spans="2:41" x14ac:dyDescent="0.25">
      <c r="B23" s="58" t="str">
        <f>Tabla1[[#This Row],[nudo inicial]]</f>
        <v>N9</v>
      </c>
      <c r="C23" s="58" t="str">
        <f>Tabla1[[#This Row],[nudo final]]</f>
        <v>TP9</v>
      </c>
      <c r="D23" s="51">
        <f>Tabla1[[#This Row],[longitud]]</f>
        <v>34.11</v>
      </c>
      <c r="E23" s="51" t="str">
        <f>Tabla1[[#This Row],[diametro]]</f>
        <v>2"</v>
      </c>
      <c r="F23" s="51" t="str">
        <f>Tabla1[[#This Row],[material]]</f>
        <v>PVC</v>
      </c>
      <c r="G2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23" s="52" t="str">
        <f>IF(Tabla1[[#This Row],[5]]="TPD",Tabla1[[#This Row],[6]],"")</f>
        <v>2"</v>
      </c>
      <c r="I23" s="52">
        <f>IF(OR(Tabla1[[#This Row],[5]]="TPD"),Tabla1[[#This Row],[7]],"")</f>
        <v>1</v>
      </c>
      <c r="J23" s="52">
        <f>IF(Tabla15[[#This Row],[2]]="",0,VLOOKUP(TRAMOS!$H$2,Tabla5[#All],3,FALSE)*Tabla15[[#This Row],[3]])</f>
        <v>0.15</v>
      </c>
      <c r="K23" s="52" t="str">
        <f>IF(Tabla1[[#This Row],[5]]="TPL",Tabla1[[#This Row],[6]],"")</f>
        <v/>
      </c>
      <c r="L23" s="52" t="str">
        <f>IF(OR(Tabla1[[#This Row],[5]]="TPL"),Tabla1[[#This Row],[7]],"")</f>
        <v/>
      </c>
      <c r="M23" s="52">
        <f>IF(Tabla15[[#This Row],[5]]="",0,VLOOKUP(TRAMOS!$K$2,Tabla5[#All],3,FALSE)*Tabla15[[#This Row],[6]])</f>
        <v>0</v>
      </c>
      <c r="N2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3" s="52">
        <f>IF(Tabla15[[#This Row],[8]]="",0,VLOOKUP(TRAMOS!$H$2,Tabla5[#All],3,FALSE)*Tabla15[[#This Row],[9]])</f>
        <v>0</v>
      </c>
      <c r="Q2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23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23" s="52">
        <f>IF(Tabla15[[#This Row],[11]]="",0,VLOOKUP(TRAMOS!$Q$2,Tabla5[#All],3,FALSE)*Tabla15[[#This Row],[12]])</f>
        <v>0.9</v>
      </c>
      <c r="T2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3" s="52">
        <f>IF(Tabla15[[#This Row],[20]]="",0,VLOOKUP("VRP",Tabla5[#All],3,FALSE)*Tabla15[[#This Row],[21]])</f>
        <v>0</v>
      </c>
      <c r="AC2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3" s="52">
        <f>IF(Tabla15[[#This Row],[23]]="",0,VLOOKUP("VC",Tabla5[#All],3,FALSE)*Tabla15[[#This Row],[24]])</f>
        <v>0</v>
      </c>
      <c r="AF2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3" s="52">
        <f>IF(Tabla15[[#This Row],[26]]="",0,VLOOKUP(TRAMOS!$K$2,Tabla5[#All],3,FALSE)*Tabla15[[#This Row],[27]])</f>
        <v>0</v>
      </c>
      <c r="AI2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23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2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24" spans="2:41" x14ac:dyDescent="0.25">
      <c r="B24" s="58" t="str">
        <f>Tabla1[[#This Row],[nudo inicial]]</f>
        <v>N6</v>
      </c>
      <c r="C24" s="58" t="str">
        <f>Tabla1[[#This Row],[nudo final]]</f>
        <v>N10</v>
      </c>
      <c r="D24" s="51">
        <f>Tabla1[[#This Row],[longitud]]</f>
        <v>359.44</v>
      </c>
      <c r="E24" s="51" t="str">
        <f>Tabla1[[#This Row],[diametro]]</f>
        <v>2"</v>
      </c>
      <c r="F24" s="51" t="str">
        <f>Tabla1[[#This Row],[material]]</f>
        <v>PVC</v>
      </c>
      <c r="G2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24" s="52" t="str">
        <f>IF(Tabla1[[#This Row],[5]]="TPD",Tabla1[[#This Row],[6]],"")</f>
        <v/>
      </c>
      <c r="I24" s="52" t="str">
        <f>IF(OR(Tabla1[[#This Row],[5]]="TPD"),Tabla1[[#This Row],[7]],"")</f>
        <v/>
      </c>
      <c r="J24" s="52">
        <f>IF(Tabla15[[#This Row],[2]]="",0,VLOOKUP(TRAMOS!$H$2,Tabla5[#All],3,FALSE)*Tabla15[[#This Row],[3]])</f>
        <v>0</v>
      </c>
      <c r="K24" s="52" t="str">
        <f>IF(Tabla1[[#This Row],[5]]="TPL",Tabla1[[#This Row],[6]],"")</f>
        <v>2"</v>
      </c>
      <c r="L24" s="52">
        <f>IF(OR(Tabla1[[#This Row],[5]]="TPL"),Tabla1[[#This Row],[7]],"")</f>
        <v>1</v>
      </c>
      <c r="M24" s="52">
        <f>IF(Tabla15[[#This Row],[5]]="",0,VLOOKUP(TRAMOS!$K$2,Tabla5[#All],3,FALSE)*Tabla15[[#This Row],[6]])</f>
        <v>0.9</v>
      </c>
      <c r="N2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4" s="52">
        <f>IF(Tabla15[[#This Row],[8]]="",0,VLOOKUP(TRAMOS!$H$2,Tabla5[#All],3,FALSE)*Tabla15[[#This Row],[9]])</f>
        <v>0</v>
      </c>
      <c r="Q2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4" s="52">
        <f>IF(Tabla15[[#This Row],[11]]="",0,VLOOKUP(TRAMOS!$Q$2,Tabla5[#All],3,FALSE)*Tabla15[[#This Row],[12]])</f>
        <v>0</v>
      </c>
      <c r="T2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4" s="52">
        <f>IF(Tabla15[[#This Row],[20]]="",0,VLOOKUP("VRP",Tabla5[#All],3,FALSE)*Tabla15[[#This Row],[21]])</f>
        <v>0</v>
      </c>
      <c r="AC2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4" s="52">
        <f>IF(Tabla15[[#This Row],[23]]="",0,VLOOKUP("VC",Tabla5[#All],3,FALSE)*Tabla15[[#This Row],[24]])</f>
        <v>0</v>
      </c>
      <c r="AF2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4" s="52">
        <f>IF(Tabla15[[#This Row],[26]]="",0,VLOOKUP(TRAMOS!$K$2,Tabla5[#All],3,FALSE)*Tabla15[[#This Row],[27]])</f>
        <v>0</v>
      </c>
      <c r="AI2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25" spans="2:41" x14ac:dyDescent="0.25">
      <c r="B25" s="58" t="str">
        <f>Tabla1[[#This Row],[nudo inicial]]</f>
        <v>N10</v>
      </c>
      <c r="C25" s="58" t="str">
        <f>Tabla1[[#This Row],[nudo final]]</f>
        <v>TP10</v>
      </c>
      <c r="D25" s="51">
        <f>Tabla1[[#This Row],[longitud]]</f>
        <v>62.04</v>
      </c>
      <c r="E25" s="51" t="str">
        <f>Tabla1[[#This Row],[diametro]]</f>
        <v>2"</v>
      </c>
      <c r="F25" s="51" t="str">
        <f>Tabla1[[#This Row],[material]]</f>
        <v>PVC</v>
      </c>
      <c r="G2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25" s="52" t="str">
        <f>IF(Tabla1[[#This Row],[5]]="TPD",Tabla1[[#This Row],[6]],"")</f>
        <v/>
      </c>
      <c r="I25" s="52" t="str">
        <f>IF(OR(Tabla1[[#This Row],[5]]="TPD"),Tabla1[[#This Row],[7]],"")</f>
        <v/>
      </c>
      <c r="J25" s="52">
        <f>IF(Tabla15[[#This Row],[2]]="",0,VLOOKUP(TRAMOS!$H$2,Tabla5[#All],3,FALSE)*Tabla15[[#This Row],[3]])</f>
        <v>0</v>
      </c>
      <c r="K25" s="52" t="str">
        <f>IF(Tabla1[[#This Row],[5]]="TPL",Tabla1[[#This Row],[6]],"")</f>
        <v>2"</v>
      </c>
      <c r="L25" s="52">
        <f>IF(OR(Tabla1[[#This Row],[5]]="TPL"),Tabla1[[#This Row],[7]],"")</f>
        <v>1</v>
      </c>
      <c r="M25" s="52">
        <f>IF(Tabla15[[#This Row],[5]]="",0,VLOOKUP(TRAMOS!$K$2,Tabla5[#All],3,FALSE)*Tabla15[[#This Row],[6]])</f>
        <v>0.9</v>
      </c>
      <c r="N2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5" s="52">
        <f>IF(Tabla15[[#This Row],[8]]="",0,VLOOKUP(TRAMOS!$H$2,Tabla5[#All],3,FALSE)*Tabla15[[#This Row],[9]])</f>
        <v>0</v>
      </c>
      <c r="Q2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5" s="52">
        <f>IF(Tabla15[[#This Row],[11]]="",0,VLOOKUP(TRAMOS!$Q$2,Tabla5[#All],3,FALSE)*Tabla15[[#This Row],[12]])</f>
        <v>0</v>
      </c>
      <c r="T2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5" s="52">
        <f>IF(Tabla15[[#This Row],[20]]="",0,VLOOKUP("VRP",Tabla5[#All],3,FALSE)*Tabla15[[#This Row],[21]])</f>
        <v>0</v>
      </c>
      <c r="AC2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5" s="52">
        <f>IF(Tabla15[[#This Row],[23]]="",0,VLOOKUP("VC",Tabla5[#All],3,FALSE)*Tabla15[[#This Row],[24]])</f>
        <v>0</v>
      </c>
      <c r="AF2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5" s="52">
        <f>IF(Tabla15[[#This Row],[26]]="",0,VLOOKUP(TRAMOS!$K$2,Tabla5[#All],3,FALSE)*Tabla15[[#This Row],[27]])</f>
        <v>0</v>
      </c>
      <c r="AI2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25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2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26" spans="2:41" x14ac:dyDescent="0.25">
      <c r="B26" s="58" t="str">
        <f>Tabla1[[#This Row],[nudo inicial]]</f>
        <v>N10</v>
      </c>
      <c r="C26" s="58" t="str">
        <f>Tabla1[[#This Row],[nudo final]]</f>
        <v>TP11</v>
      </c>
      <c r="D26" s="51">
        <f>Tabla1[[#This Row],[longitud]]</f>
        <v>55.35</v>
      </c>
      <c r="E26" s="51" t="str">
        <f>Tabla1[[#This Row],[diametro]]</f>
        <v>2"</v>
      </c>
      <c r="F26" s="51" t="str">
        <f>Tabla1[[#This Row],[material]]</f>
        <v>PVC</v>
      </c>
      <c r="G2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26" s="52" t="str">
        <f>IF(Tabla1[[#This Row],[5]]="TPD",Tabla1[[#This Row],[6]],"")</f>
        <v>2"</v>
      </c>
      <c r="I26" s="52">
        <f>IF(OR(Tabla1[[#This Row],[5]]="TPD"),Tabla1[[#This Row],[7]],"")</f>
        <v>1</v>
      </c>
      <c r="J26" s="52">
        <f>IF(Tabla15[[#This Row],[2]]="",0,VLOOKUP(TRAMOS!$H$2,Tabla5[#All],3,FALSE)*Tabla15[[#This Row],[3]])</f>
        <v>0.15</v>
      </c>
      <c r="K26" s="52" t="str">
        <f>IF(Tabla1[[#This Row],[5]]="TPL",Tabla1[[#This Row],[6]],"")</f>
        <v/>
      </c>
      <c r="L26" s="52" t="str">
        <f>IF(OR(Tabla1[[#This Row],[5]]="TPL"),Tabla1[[#This Row],[7]],"")</f>
        <v/>
      </c>
      <c r="M26" s="52">
        <f>IF(Tabla15[[#This Row],[5]]="",0,VLOOKUP(TRAMOS!$K$2,Tabla5[#All],3,FALSE)*Tabla15[[#This Row],[6]])</f>
        <v>0</v>
      </c>
      <c r="N2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6" s="52">
        <f>IF(Tabla15[[#This Row],[8]]="",0,VLOOKUP(TRAMOS!$H$2,Tabla5[#All],3,FALSE)*Tabla15[[#This Row],[9]])</f>
        <v>0</v>
      </c>
      <c r="Q2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6" s="52">
        <f>IF(Tabla15[[#This Row],[11]]="",0,VLOOKUP(TRAMOS!$Q$2,Tabla5[#All],3,FALSE)*Tabla15[[#This Row],[12]])</f>
        <v>0</v>
      </c>
      <c r="T2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6" s="52">
        <f>IF(Tabla15[[#This Row],[20]]="",0,VLOOKUP("VRP",Tabla5[#All],3,FALSE)*Tabla15[[#This Row],[21]])</f>
        <v>0</v>
      </c>
      <c r="AC2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6" s="52">
        <f>IF(Tabla15[[#This Row],[23]]="",0,VLOOKUP("VC",Tabla5[#All],3,FALSE)*Tabla15[[#This Row],[24]])</f>
        <v>0</v>
      </c>
      <c r="AF2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6" s="52">
        <f>IF(Tabla15[[#This Row],[26]]="",0,VLOOKUP(TRAMOS!$K$2,Tabla5[#All],3,FALSE)*Tabla15[[#This Row],[27]])</f>
        <v>0</v>
      </c>
      <c r="AI2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2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2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27" spans="2:41" x14ac:dyDescent="0.25">
      <c r="B27" s="58" t="str">
        <f>Tabla1[[#This Row],[nudo inicial]]</f>
        <v>N3</v>
      </c>
      <c r="C27" s="58" t="str">
        <f>Tabla1[[#This Row],[nudo final]]</f>
        <v>N11</v>
      </c>
      <c r="D27" s="51">
        <f>Tabla1[[#This Row],[longitud]]</f>
        <v>329.06</v>
      </c>
      <c r="E27" s="51" t="str">
        <f>Tabla1[[#This Row],[diametro]]</f>
        <v>3"</v>
      </c>
      <c r="F27" s="51" t="str">
        <f>Tabla1[[#This Row],[material]]</f>
        <v>PVC</v>
      </c>
      <c r="G2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7" s="52" t="str">
        <f>IF(Tabla1[[#This Row],[5]]="TPD",Tabla1[[#This Row],[6]],"")</f>
        <v/>
      </c>
      <c r="I27" s="52" t="str">
        <f>IF(OR(Tabla1[[#This Row],[5]]="TPD"),Tabla1[[#This Row],[7]],"")</f>
        <v/>
      </c>
      <c r="J27" s="52">
        <f>IF(Tabla15[[#This Row],[2]]="",0,VLOOKUP(TRAMOS!$H$2,Tabla5[#All],3,FALSE)*Tabla15[[#This Row],[3]])</f>
        <v>0</v>
      </c>
      <c r="K27" s="52" t="str">
        <f>IF(Tabla1[[#This Row],[5]]="TPL",Tabla1[[#This Row],[6]],"")</f>
        <v>3"</v>
      </c>
      <c r="L27" s="52">
        <f>IF(OR(Tabla1[[#This Row],[5]]="TPL"),Tabla1[[#This Row],[7]],"")</f>
        <v>1</v>
      </c>
      <c r="M27" s="52">
        <f>IF(Tabla15[[#This Row],[5]]="",0,VLOOKUP(TRAMOS!$K$2,Tabla5[#All],3,FALSE)*Tabla15[[#This Row],[6]])</f>
        <v>0.9</v>
      </c>
      <c r="N2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7" s="52">
        <f>IF(Tabla15[[#This Row],[8]]="",0,VLOOKUP(TRAMOS!$H$2,Tabla5[#All],3,FALSE)*Tabla15[[#This Row],[9]])</f>
        <v>0</v>
      </c>
      <c r="Q2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7" s="52">
        <f>IF(Tabla15[[#This Row],[11]]="",0,VLOOKUP(TRAMOS!$Q$2,Tabla5[#All],3,FALSE)*Tabla15[[#This Row],[12]])</f>
        <v>0</v>
      </c>
      <c r="T2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7" s="52">
        <f>IF(Tabla15[[#This Row],[20]]="",0,VLOOKUP("VRP",Tabla5[#All],3,FALSE)*Tabla15[[#This Row],[21]])</f>
        <v>0</v>
      </c>
      <c r="AC2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7" s="52">
        <f>IF(Tabla15[[#This Row],[23]]="",0,VLOOKUP("VC",Tabla5[#All],3,FALSE)*Tabla15[[#This Row],[24]])</f>
        <v>0</v>
      </c>
      <c r="AF2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7" s="52">
        <f>IF(Tabla15[[#This Row],[26]]="",0,VLOOKUP(TRAMOS!$K$2,Tabla5[#All],3,FALSE)*Tabla15[[#This Row],[27]])</f>
        <v>0</v>
      </c>
      <c r="AI2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28" spans="2:41" x14ac:dyDescent="0.25">
      <c r="B28" s="58" t="str">
        <f>Tabla1[[#This Row],[nudo inicial]]</f>
        <v>PTAP2</v>
      </c>
      <c r="C28" s="58" t="str">
        <f>Tabla1[[#This Row],[nudo final]]</f>
        <v>N50</v>
      </c>
      <c r="D28" s="51">
        <f>Tabla1[[#This Row],[longitud]]</f>
        <v>2580</v>
      </c>
      <c r="E28" s="51" t="str">
        <f>Tabla1[[#This Row],[diametro]]</f>
        <v>8"</v>
      </c>
      <c r="F28" s="51" t="str">
        <f>Tabla1[[#This Row],[material]]</f>
        <v>PVC</v>
      </c>
      <c r="G2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28" s="52" t="str">
        <f>IF(Tabla1[[#This Row],[5]]="TPD",Tabla1[[#This Row],[6]],"")</f>
        <v>8"</v>
      </c>
      <c r="I28" s="52">
        <f>IF(OR(Tabla1[[#This Row],[5]]="TPD"),Tabla1[[#This Row],[7]],"")</f>
        <v>1</v>
      </c>
      <c r="J28" s="52">
        <f>IF(Tabla15[[#This Row],[2]]="",0,VLOOKUP(TRAMOS!$H$2,Tabla5[#All],3,FALSE)*Tabla15[[#This Row],[3]])</f>
        <v>0.15</v>
      </c>
      <c r="K28" s="52" t="str">
        <f>IF(Tabla1[[#This Row],[5]]="TPL",Tabla1[[#This Row],[6]],"")</f>
        <v/>
      </c>
      <c r="L28" s="52" t="str">
        <f>IF(OR(Tabla1[[#This Row],[5]]="TPL"),Tabla1[[#This Row],[7]],"")</f>
        <v/>
      </c>
      <c r="M28" s="52">
        <f>IF(Tabla15[[#This Row],[5]]="",0,VLOOKUP(TRAMOS!$K$2,Tabla5[#All],3,FALSE)*Tabla15[[#This Row],[6]])</f>
        <v>0</v>
      </c>
      <c r="N2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8" s="52">
        <f>IF(Tabla15[[#This Row],[8]]="",0,VLOOKUP(TRAMOS!$H$2,Tabla5[#All],3,FALSE)*Tabla15[[#This Row],[9]])</f>
        <v>0</v>
      </c>
      <c r="Q2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8" s="52">
        <f>IF(Tabla15[[#This Row],[11]]="",0,VLOOKUP(TRAMOS!$Q$2,Tabla5[#All],3,FALSE)*Tabla15[[#This Row],[12]])</f>
        <v>0</v>
      </c>
      <c r="T2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>8"</v>
      </c>
      <c r="AA28" s="52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>3</v>
      </c>
      <c r="AB28" s="52">
        <f>IF(Tabla15[[#This Row],[20]]="",0,VLOOKUP("VRP",Tabla5[#All],3,FALSE)*Tabla15[[#This Row],[21]])</f>
        <v>30</v>
      </c>
      <c r="AC2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8"</v>
      </c>
      <c r="AD28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28" s="52">
        <f>IF(Tabla15[[#This Row],[23]]="",0,VLOOKUP("VC",Tabla5[#All],3,FALSE)*Tabla15[[#This Row],[24]])</f>
        <v>0.25</v>
      </c>
      <c r="AF2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8" s="52">
        <f>IF(Tabla15[[#This Row],[26]]="",0,VLOOKUP(TRAMOS!$K$2,Tabla5[#All],3,FALSE)*Tabla15[[#This Row],[27]])</f>
        <v>0</v>
      </c>
      <c r="AI2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30.4</v>
      </c>
    </row>
    <row r="29" spans="2:41" x14ac:dyDescent="0.25">
      <c r="B29" s="58" t="str">
        <f>Tabla1[[#This Row],[nudo inicial]]</f>
        <v>PTAP2</v>
      </c>
      <c r="C29" s="58" t="str">
        <f>Tabla1[[#This Row],[nudo final]]</f>
        <v>CQ1</v>
      </c>
      <c r="D29" s="51">
        <f>Tabla1[[#This Row],[longitud]]</f>
        <v>254</v>
      </c>
      <c r="E29" s="51" t="str">
        <f>Tabla1[[#This Row],[diametro]]</f>
        <v>8"</v>
      </c>
      <c r="F29" s="51" t="str">
        <f>Tabla1[[#This Row],[material]]</f>
        <v>PVC</v>
      </c>
      <c r="G2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29" s="52" t="str">
        <f>IF(Tabla1[[#This Row],[5]]="TPD",Tabla1[[#This Row],[6]],"")</f>
        <v/>
      </c>
      <c r="I29" s="52" t="str">
        <f>IF(OR(Tabla1[[#This Row],[5]]="TPD"),Tabla1[[#This Row],[7]],"")</f>
        <v/>
      </c>
      <c r="J29" s="52">
        <f>IF(Tabla15[[#This Row],[2]]="",0,VLOOKUP(TRAMOS!$H$2,Tabla5[#All],3,FALSE)*Tabla15[[#This Row],[3]])</f>
        <v>0</v>
      </c>
      <c r="K29" s="52" t="str">
        <f>IF(Tabla1[[#This Row],[5]]="TPL",Tabla1[[#This Row],[6]],"")</f>
        <v/>
      </c>
      <c r="L29" s="52" t="str">
        <f>IF(OR(Tabla1[[#This Row],[5]]="TPL"),Tabla1[[#This Row],[7]],"")</f>
        <v/>
      </c>
      <c r="M29" s="52">
        <f>IF(Tabla15[[#This Row],[5]]="",0,VLOOKUP(TRAMOS!$K$2,Tabla5[#All],3,FALSE)*Tabla15[[#This Row],[6]])</f>
        <v>0</v>
      </c>
      <c r="N2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9" s="52">
        <f>IF(Tabla15[[#This Row],[8]]="",0,VLOOKUP(TRAMOS!$H$2,Tabla5[#All],3,FALSE)*Tabla15[[#This Row],[9]])</f>
        <v>0</v>
      </c>
      <c r="Q2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9" s="52">
        <f>IF(Tabla15[[#This Row],[11]]="",0,VLOOKUP(TRAMOS!$Q$2,Tabla5[#All],3,FALSE)*Tabla15[[#This Row],[12]])</f>
        <v>0</v>
      </c>
      <c r="T2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9" s="52">
        <f>IF(Tabla15[[#This Row],[20]]="",0,VLOOKUP("VRP",Tabla5[#All],3,FALSE)*Tabla15[[#This Row],[21]])</f>
        <v>0</v>
      </c>
      <c r="AC2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9" s="52">
        <f>IF(Tabla15[[#This Row],[23]]="",0,VLOOKUP("VC",Tabla5[#All],3,FALSE)*Tabla15[[#This Row],[24]])</f>
        <v>0</v>
      </c>
      <c r="AF2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9" s="52">
        <f>IF(Tabla15[[#This Row],[26]]="",0,VLOOKUP(TRAMOS!$K$2,Tabla5[#All],3,FALSE)*Tabla15[[#This Row],[27]])</f>
        <v>0</v>
      </c>
      <c r="AI2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</v>
      </c>
    </row>
    <row r="30" spans="2:41" x14ac:dyDescent="0.25">
      <c r="B30" s="58" t="str">
        <f>Tabla1[[#This Row],[nudo inicial]]</f>
        <v>CQ1</v>
      </c>
      <c r="C30" s="58" t="str">
        <f>Tabla1[[#This Row],[nudo final]]</f>
        <v>PTAP1</v>
      </c>
      <c r="D30" s="51">
        <f>Tabla1[[#This Row],[longitud]]</f>
        <v>2252.69</v>
      </c>
      <c r="E30" s="51" t="str">
        <f>Tabla1[[#This Row],[diametro]]</f>
        <v>8"</v>
      </c>
      <c r="F30" s="51" t="str">
        <f>Tabla1[[#This Row],[material]]</f>
        <v>PVC</v>
      </c>
      <c r="G3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30" s="52" t="str">
        <f>IF(Tabla1[[#This Row],[5]]="TPD",Tabla1[[#This Row],[6]],"")</f>
        <v/>
      </c>
      <c r="I30" s="52" t="str">
        <f>IF(OR(Tabla1[[#This Row],[5]]="TPD"),Tabla1[[#This Row],[7]],"")</f>
        <v/>
      </c>
      <c r="J30" s="52">
        <f>IF(Tabla15[[#This Row],[2]]="",0,VLOOKUP(TRAMOS!$H$2,Tabla5[#All],3,FALSE)*Tabla15[[#This Row],[3]])</f>
        <v>0</v>
      </c>
      <c r="K30" s="52" t="str">
        <f>IF(Tabla1[[#This Row],[5]]="TPL",Tabla1[[#This Row],[6]],"")</f>
        <v/>
      </c>
      <c r="L30" s="52" t="str">
        <f>IF(OR(Tabla1[[#This Row],[5]]="TPL"),Tabla1[[#This Row],[7]],"")</f>
        <v/>
      </c>
      <c r="M30" s="52">
        <f>IF(Tabla15[[#This Row],[5]]="",0,VLOOKUP(TRAMOS!$K$2,Tabla5[#All],3,FALSE)*Tabla15[[#This Row],[6]])</f>
        <v>0</v>
      </c>
      <c r="N3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0" s="52">
        <f>IF(Tabla15[[#This Row],[8]]="",0,VLOOKUP(TRAMOS!$H$2,Tabla5[#All],3,FALSE)*Tabla15[[#This Row],[9]])</f>
        <v>0</v>
      </c>
      <c r="Q3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0" s="52">
        <f>IF(Tabla15[[#This Row],[11]]="",0,VLOOKUP(TRAMOS!$Q$2,Tabla5[#All],3,FALSE)*Tabla15[[#This Row],[12]])</f>
        <v>0</v>
      </c>
      <c r="T3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0" s="52">
        <f>IF(Tabla15[[#This Row],[20]]="",0,VLOOKUP("VRP",Tabla5[#All],3,FALSE)*Tabla15[[#This Row],[21]])</f>
        <v>0</v>
      </c>
      <c r="AC3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0" s="52">
        <f>IF(Tabla15[[#This Row],[23]]="",0,VLOOKUP("VC",Tabla5[#All],3,FALSE)*Tabla15[[#This Row],[24]])</f>
        <v>0</v>
      </c>
      <c r="AF3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0" s="52">
        <f>IF(Tabla15[[#This Row],[26]]="",0,VLOOKUP(TRAMOS!$K$2,Tabla5[#All],3,FALSE)*Tabla15[[#This Row],[27]])</f>
        <v>0</v>
      </c>
      <c r="AI3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</v>
      </c>
    </row>
    <row r="31" spans="2:41" x14ac:dyDescent="0.25">
      <c r="B31" s="58" t="str">
        <f>Tabla1[[#This Row],[nudo inicial]]</f>
        <v>N11</v>
      </c>
      <c r="C31" s="58" t="str">
        <f>Tabla1[[#This Row],[nudo final]]</f>
        <v>N19</v>
      </c>
      <c r="D31" s="51">
        <f>Tabla1[[#This Row],[longitud]]</f>
        <v>1.87</v>
      </c>
      <c r="E31" s="51" t="str">
        <f>Tabla1[[#This Row],[diametro]]</f>
        <v>3"</v>
      </c>
      <c r="F31" s="51" t="str">
        <f>Tabla1[[#This Row],[material]]</f>
        <v>PVC</v>
      </c>
      <c r="G3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31" s="52" t="str">
        <f>IF(Tabla1[[#This Row],[5]]="TPD",Tabla1[[#This Row],[6]],"")</f>
        <v/>
      </c>
      <c r="I31" s="52" t="str">
        <f>IF(OR(Tabla1[[#This Row],[5]]="TPD"),Tabla1[[#This Row],[7]],"")</f>
        <v/>
      </c>
      <c r="J31" s="52">
        <f>IF(Tabla15[[#This Row],[2]]="",0,VLOOKUP(TRAMOS!$H$2,Tabla5[#All],3,FALSE)*Tabla15[[#This Row],[3]])</f>
        <v>0</v>
      </c>
      <c r="K31" s="52" t="str">
        <f>IF(Tabla1[[#This Row],[5]]="TPL",Tabla1[[#This Row],[6]],"")</f>
        <v/>
      </c>
      <c r="L31" s="52" t="str">
        <f>IF(OR(Tabla1[[#This Row],[5]]="TPL"),Tabla1[[#This Row],[7]],"")</f>
        <v/>
      </c>
      <c r="M31" s="52">
        <f>IF(Tabla15[[#This Row],[5]]="",0,VLOOKUP(TRAMOS!$K$2,Tabla5[#All],3,FALSE)*Tabla15[[#This Row],[6]])</f>
        <v>0</v>
      </c>
      <c r="N3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1" s="52">
        <f>IF(Tabla15[[#This Row],[8]]="",0,VLOOKUP(TRAMOS!$H$2,Tabla5[#All],3,FALSE)*Tabla15[[#This Row],[9]])</f>
        <v>0</v>
      </c>
      <c r="Q3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1" s="52">
        <f>IF(Tabla15[[#This Row],[11]]="",0,VLOOKUP(TRAMOS!$Q$2,Tabla5[#All],3,FALSE)*Tabla15[[#This Row],[12]])</f>
        <v>0</v>
      </c>
      <c r="T3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1" s="52">
        <f>IF(Tabla15[[#This Row],[20]]="",0,VLOOKUP("VRP",Tabla5[#All],3,FALSE)*Tabla15[[#This Row],[21]])</f>
        <v>0</v>
      </c>
      <c r="AC3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1" s="52">
        <f>IF(Tabla15[[#This Row],[23]]="",0,VLOOKUP("VC",Tabla5[#All],3,FALSE)*Tabla15[[#This Row],[24]])</f>
        <v>0</v>
      </c>
      <c r="AF3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>3"</v>
      </c>
      <c r="AG31" s="52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>1</v>
      </c>
      <c r="AH31" s="52">
        <f>IF(Tabla15[[#This Row],[26]]="",0,VLOOKUP(TRAMOS!$K$2,Tabla5[#All],3,FALSE)*Tabla15[[#This Row],[27]])</f>
        <v>0.9</v>
      </c>
      <c r="AI3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32" spans="2:41" x14ac:dyDescent="0.25">
      <c r="B32" s="58" t="str">
        <f>Tabla1[[#This Row],[nudo inicial]]</f>
        <v>N19</v>
      </c>
      <c r="C32" s="58" t="str">
        <f>Tabla1[[#This Row],[nudo final]]</f>
        <v>T. CARIONGO</v>
      </c>
      <c r="D32" s="51">
        <f>Tabla1[[#This Row],[longitud]]</f>
        <v>34.119999999999997</v>
      </c>
      <c r="E32" s="51" t="str">
        <f>Tabla1[[#This Row],[diametro]]</f>
        <v>3"</v>
      </c>
      <c r="F32" s="51" t="str">
        <f>Tabla1[[#This Row],[material]]</f>
        <v>PVC</v>
      </c>
      <c r="G3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32" s="52" t="str">
        <f>IF(Tabla1[[#This Row],[5]]="TPD",Tabla1[[#This Row],[6]],"")</f>
        <v/>
      </c>
      <c r="I32" s="52" t="str">
        <f>IF(OR(Tabla1[[#This Row],[5]]="TPD"),Tabla1[[#This Row],[7]],"")</f>
        <v/>
      </c>
      <c r="J32" s="52">
        <f>IF(Tabla15[[#This Row],[2]]="",0,VLOOKUP(TRAMOS!$H$2,Tabla5[#All],3,FALSE)*Tabla15[[#This Row],[3]])</f>
        <v>0</v>
      </c>
      <c r="K32" s="52" t="str">
        <f>IF(Tabla1[[#This Row],[5]]="TPL",Tabla1[[#This Row],[6]],"")</f>
        <v>3"</v>
      </c>
      <c r="L32" s="52">
        <f>IF(OR(Tabla1[[#This Row],[5]]="TPL"),Tabla1[[#This Row],[7]],"")</f>
        <v>1</v>
      </c>
      <c r="M32" s="52">
        <f>IF(Tabla15[[#This Row],[5]]="",0,VLOOKUP(TRAMOS!$K$2,Tabla5[#All],3,FALSE)*Tabla15[[#This Row],[6]])</f>
        <v>0.9</v>
      </c>
      <c r="N3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2" s="52">
        <f>IF(Tabla15[[#This Row],[8]]="",0,VLOOKUP(TRAMOS!$H$2,Tabla5[#All],3,FALSE)*Tabla15[[#This Row],[9]])</f>
        <v>0</v>
      </c>
      <c r="Q3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2" s="52">
        <f>IF(Tabla15[[#This Row],[11]]="",0,VLOOKUP(TRAMOS!$Q$2,Tabla5[#All],3,FALSE)*Tabla15[[#This Row],[12]])</f>
        <v>0</v>
      </c>
      <c r="T3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2" s="52">
        <f>IF(Tabla15[[#This Row],[20]]="",0,VLOOKUP("VRP",Tabla5[#All],3,FALSE)*Tabla15[[#This Row],[21]])</f>
        <v>0</v>
      </c>
      <c r="AC3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32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32" s="52">
        <f>IF(Tabla15[[#This Row],[23]]="",0,VLOOKUP("VC",Tabla5[#All],3,FALSE)*Tabla15[[#This Row],[24]])</f>
        <v>0.25</v>
      </c>
      <c r="AF3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2" s="52">
        <f>IF(Tabla15[[#This Row],[26]]="",0,VLOOKUP(TRAMOS!$K$2,Tabla5[#All],3,FALSE)*Tabla15[[#This Row],[27]])</f>
        <v>0</v>
      </c>
      <c r="AI3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1.1499999999999999</v>
      </c>
    </row>
    <row r="33" spans="2:43" x14ac:dyDescent="0.25">
      <c r="B33" s="58" t="str">
        <f>Tabla1[[#This Row],[nudo inicial]]</f>
        <v>N11</v>
      </c>
      <c r="C33" s="58" t="str">
        <f>Tabla1[[#This Row],[nudo final]]</f>
        <v>PTAP1</v>
      </c>
      <c r="D33" s="51">
        <f>Tabla1[[#This Row],[longitud]]</f>
        <v>19</v>
      </c>
      <c r="E33" s="51" t="str">
        <f>Tabla1[[#This Row],[diametro]]</f>
        <v>3"</v>
      </c>
      <c r="F33" s="51" t="str">
        <f>Tabla1[[#This Row],[material]]</f>
        <v>PVC</v>
      </c>
      <c r="G3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33" s="52" t="str">
        <f>IF(Tabla1[[#This Row],[5]]="TPD",Tabla1[[#This Row],[6]],"")</f>
        <v/>
      </c>
      <c r="I33" s="52" t="str">
        <f>IF(OR(Tabla1[[#This Row],[5]]="TPD"),Tabla1[[#This Row],[7]],"")</f>
        <v/>
      </c>
      <c r="J33" s="52">
        <f>IF(Tabla15[[#This Row],[2]]="",0,VLOOKUP(TRAMOS!$H$2,Tabla5[#All],3,FALSE)*Tabla15[[#This Row],[3]])</f>
        <v>0</v>
      </c>
      <c r="K33" s="52" t="str">
        <f>IF(Tabla1[[#This Row],[5]]="TPL",Tabla1[[#This Row],[6]],"")</f>
        <v/>
      </c>
      <c r="L33" s="52" t="str">
        <f>IF(OR(Tabla1[[#This Row],[5]]="TPL"),Tabla1[[#This Row],[7]],"")</f>
        <v/>
      </c>
      <c r="M33" s="52">
        <f>IF(Tabla15[[#This Row],[5]]="",0,VLOOKUP(TRAMOS!$K$2,Tabla5[#All],3,FALSE)*Tabla15[[#This Row],[6]])</f>
        <v>0</v>
      </c>
      <c r="N3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3" s="52">
        <f>IF(Tabla15[[#This Row],[8]]="",0,VLOOKUP(TRAMOS!$H$2,Tabla5[#All],3,FALSE)*Tabla15[[#This Row],[9]])</f>
        <v>0</v>
      </c>
      <c r="Q3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3" s="52">
        <f>IF(Tabla15[[#This Row],[11]]="",0,VLOOKUP(TRAMOS!$Q$2,Tabla5[#All],3,FALSE)*Tabla15[[#This Row],[12]])</f>
        <v>0</v>
      </c>
      <c r="T3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3" s="52">
        <f>IF(Tabla15[[#This Row],[20]]="",0,VLOOKUP("VRP",Tabla5[#All],3,FALSE)*Tabla15[[#This Row],[21]])</f>
        <v>0</v>
      </c>
      <c r="AC3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3" s="52">
        <f>IF(Tabla15[[#This Row],[23]]="",0,VLOOKUP("VC",Tabla5[#All],3,FALSE)*Tabla15[[#This Row],[24]])</f>
        <v>0</v>
      </c>
      <c r="AF3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>8"</v>
      </c>
      <c r="AG33" s="52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>1</v>
      </c>
      <c r="AH33" s="52">
        <f>IF(Tabla15[[#This Row],[26]]="",0,VLOOKUP(TRAMOS!$K$2,Tabla5[#All],3,FALSE)*Tabla15[[#This Row],[27]])</f>
        <v>0.9</v>
      </c>
      <c r="AI3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34" spans="2:43" x14ac:dyDescent="0.25">
      <c r="B34" s="58" t="str">
        <f>Tabla1[[#This Row],[nudo inicial]]</f>
        <v>T. CARIONGO</v>
      </c>
      <c r="C34" s="58" t="str">
        <f>Tabla1[[#This Row],[nudo final]]</f>
        <v>E.B.1</v>
      </c>
      <c r="D34" s="51">
        <f>Tabla1[[#This Row],[longitud]]</f>
        <v>143.19999999999999</v>
      </c>
      <c r="E34" s="51" t="str">
        <f>Tabla1[[#This Row],[diametro]]</f>
        <v>10"</v>
      </c>
      <c r="F34" s="51" t="str">
        <f>Tabla1[[#This Row],[material]]</f>
        <v>PVC</v>
      </c>
      <c r="G3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34" s="52" t="str">
        <f>IF(Tabla1[[#This Row],[5]]="TPD",Tabla1[[#This Row],[6]],"")</f>
        <v/>
      </c>
      <c r="I34" s="52" t="str">
        <f>IF(OR(Tabla1[[#This Row],[5]]="TPD"),Tabla1[[#This Row],[7]],"")</f>
        <v/>
      </c>
      <c r="J34" s="52">
        <f>IF(Tabla15[[#This Row],[2]]="",0,VLOOKUP(TRAMOS!$H$2,Tabla5[#All],3,FALSE)*Tabla15[[#This Row],[3]])</f>
        <v>0</v>
      </c>
      <c r="K34" s="52" t="str">
        <f>IF(Tabla1[[#This Row],[5]]="TPL",Tabla1[[#This Row],[6]],"")</f>
        <v/>
      </c>
      <c r="L34" s="52" t="str">
        <f>IF(OR(Tabla1[[#This Row],[5]]="TPL"),Tabla1[[#This Row],[7]],"")</f>
        <v/>
      </c>
      <c r="M34" s="52">
        <f>IF(Tabla15[[#This Row],[5]]="",0,VLOOKUP(TRAMOS!$K$2,Tabla5[#All],3,FALSE)*Tabla15[[#This Row],[6]])</f>
        <v>0</v>
      </c>
      <c r="N3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4" s="52">
        <f>IF(Tabla15[[#This Row],[8]]="",0,VLOOKUP(TRAMOS!$H$2,Tabla5[#All],3,FALSE)*Tabla15[[#This Row],[9]])</f>
        <v>0</v>
      </c>
      <c r="Q3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4" s="52">
        <f>IF(Tabla15[[#This Row],[11]]="",0,VLOOKUP(TRAMOS!$Q$2,Tabla5[#All],3,FALSE)*Tabla15[[#This Row],[12]])</f>
        <v>0</v>
      </c>
      <c r="T3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4" s="52">
        <f>IF(Tabla15[[#This Row],[20]]="",0,VLOOKUP("VRP",Tabla5[#All],3,FALSE)*Tabla15[[#This Row],[21]])</f>
        <v>0</v>
      </c>
      <c r="AC3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4" s="52">
        <f>IF(Tabla15[[#This Row],[23]]="",0,VLOOKUP("VC",Tabla5[#All],3,FALSE)*Tabla15[[#This Row],[24]])</f>
        <v>0</v>
      </c>
      <c r="AF3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4" s="52">
        <f>IF(Tabla15[[#This Row],[26]]="",0,VLOOKUP(TRAMOS!$K$2,Tabla5[#All],3,FALSE)*Tabla15[[#This Row],[27]])</f>
        <v>0</v>
      </c>
      <c r="AI3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</v>
      </c>
    </row>
    <row r="35" spans="2:43" x14ac:dyDescent="0.25">
      <c r="B35" s="58" t="str">
        <f>Tabla1[[#This Row],[nudo inicial]]</f>
        <v>PTAP1</v>
      </c>
      <c r="C35" s="58" t="str">
        <f>Tabla1[[#This Row],[nudo final]]</f>
        <v>T.1</v>
      </c>
      <c r="D35" s="51">
        <f>Tabla1[[#This Row],[longitud]]</f>
        <v>73</v>
      </c>
      <c r="E35" s="51" t="str">
        <f>Tabla1[[#This Row],[diametro]]</f>
        <v>12"</v>
      </c>
      <c r="F35" s="51" t="str">
        <f>Tabla1[[#This Row],[material]]</f>
        <v>HF</v>
      </c>
      <c r="G3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35" s="52" t="str">
        <f>IF(Tabla1[[#This Row],[5]]="TPD",Tabla1[[#This Row],[6]],"")</f>
        <v/>
      </c>
      <c r="I35" s="52" t="str">
        <f>IF(OR(Tabla1[[#This Row],[5]]="TPD"),Tabla1[[#This Row],[7]],"")</f>
        <v/>
      </c>
      <c r="J35" s="52">
        <f>IF(Tabla15[[#This Row],[2]]="",0,VLOOKUP(TRAMOS!$H$2,Tabla5[#All],3,FALSE)*Tabla15[[#This Row],[3]])</f>
        <v>0</v>
      </c>
      <c r="K35" s="52" t="str">
        <f>IF(Tabla1[[#This Row],[5]]="TPL",Tabla1[[#This Row],[6]],"")</f>
        <v/>
      </c>
      <c r="L35" s="52" t="str">
        <f>IF(OR(Tabla1[[#This Row],[5]]="TPL"),Tabla1[[#This Row],[7]],"")</f>
        <v/>
      </c>
      <c r="M35" s="52">
        <f>IF(Tabla15[[#This Row],[5]]="",0,VLOOKUP(TRAMOS!$K$2,Tabla5[#All],3,FALSE)*Tabla15[[#This Row],[6]])</f>
        <v>0</v>
      </c>
      <c r="N3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5" s="52">
        <f>IF(Tabla15[[#This Row],[8]]="",0,VLOOKUP(TRAMOS!$H$2,Tabla5[#All],3,FALSE)*Tabla15[[#This Row],[9]])</f>
        <v>0</v>
      </c>
      <c r="Q3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5" s="52">
        <f>IF(Tabla15[[#This Row],[11]]="",0,VLOOKUP(TRAMOS!$Q$2,Tabla5[#All],3,FALSE)*Tabla15[[#This Row],[12]])</f>
        <v>0</v>
      </c>
      <c r="T3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5" s="52">
        <f>IF(Tabla15[[#This Row],[20]]="",0,VLOOKUP("VRP",Tabla5[#All],3,FALSE)*Tabla15[[#This Row],[21]])</f>
        <v>0</v>
      </c>
      <c r="AC3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5" s="52">
        <f>IF(Tabla15[[#This Row],[23]]="",0,VLOOKUP("VC",Tabla5[#All],3,FALSE)*Tabla15[[#This Row],[24]])</f>
        <v>0</v>
      </c>
      <c r="AF3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5" s="52">
        <f>IF(Tabla15[[#This Row],[26]]="",0,VLOOKUP(TRAMOS!$K$2,Tabla5[#All],3,FALSE)*Tabla15[[#This Row],[27]])</f>
        <v>0</v>
      </c>
      <c r="AI3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</v>
      </c>
    </row>
    <row r="36" spans="2:43" x14ac:dyDescent="0.25">
      <c r="B36" s="58" t="str">
        <f>Tabla1[[#This Row],[nudo inicial]]</f>
        <v>PTAP1</v>
      </c>
      <c r="C36" s="58" t="str">
        <f>Tabla1[[#This Row],[nudo final]]</f>
        <v>N13</v>
      </c>
      <c r="D36" s="51">
        <f>Tabla1[[#This Row],[longitud]]</f>
        <v>64.88</v>
      </c>
      <c r="E36" s="51" t="str">
        <f>Tabla1[[#This Row],[diametro]]</f>
        <v>8"</v>
      </c>
      <c r="F36" s="51" t="str">
        <f>Tabla1[[#This Row],[material]]</f>
        <v>AC</v>
      </c>
      <c r="G3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36" s="52" t="str">
        <f>IF(Tabla1[[#This Row],[5]]="TPD",Tabla1[[#This Row],[6]],"")</f>
        <v/>
      </c>
      <c r="I36" s="52" t="str">
        <f>IF(OR(Tabla1[[#This Row],[5]]="TPD"),Tabla1[[#This Row],[7]],"")</f>
        <v/>
      </c>
      <c r="J36" s="52">
        <f>IF(Tabla15[[#This Row],[2]]="",0,VLOOKUP(TRAMOS!$H$2,Tabla5[#All],3,FALSE)*Tabla15[[#This Row],[3]])</f>
        <v>0</v>
      </c>
      <c r="K36" s="52" t="str">
        <f>IF(Tabla1[[#This Row],[5]]="TPL",Tabla1[[#This Row],[6]],"")</f>
        <v/>
      </c>
      <c r="L36" s="52" t="str">
        <f>IF(OR(Tabla1[[#This Row],[5]]="TPL"),Tabla1[[#This Row],[7]],"")</f>
        <v/>
      </c>
      <c r="M36" s="52">
        <f>IF(Tabla15[[#This Row],[5]]="",0,VLOOKUP(TRAMOS!$K$2,Tabla5[#All],3,FALSE)*Tabla15[[#This Row],[6]])</f>
        <v>0</v>
      </c>
      <c r="N3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6" s="52">
        <f>IF(Tabla15[[#This Row],[8]]="",0,VLOOKUP(TRAMOS!$H$2,Tabla5[#All],3,FALSE)*Tabla15[[#This Row],[9]])</f>
        <v>0</v>
      </c>
      <c r="Q3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6" s="52">
        <f>IF(Tabla15[[#This Row],[11]]="",0,VLOOKUP(TRAMOS!$Q$2,Tabla5[#All],3,FALSE)*Tabla15[[#This Row],[12]])</f>
        <v>0</v>
      </c>
      <c r="T3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6" s="52">
        <f>IF(Tabla15[[#This Row],[20]]="",0,VLOOKUP("VRP",Tabla5[#All],3,FALSE)*Tabla15[[#This Row],[21]])</f>
        <v>0</v>
      </c>
      <c r="AC3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6" s="52">
        <f>IF(Tabla15[[#This Row],[23]]="",0,VLOOKUP("VC",Tabla5[#All],3,FALSE)*Tabla15[[#This Row],[24]])</f>
        <v>0</v>
      </c>
      <c r="AF3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6" s="52">
        <f>IF(Tabla15[[#This Row],[26]]="",0,VLOOKUP(TRAMOS!$K$2,Tabla5[#All],3,FALSE)*Tabla15[[#This Row],[27]])</f>
        <v>0</v>
      </c>
      <c r="AI3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</v>
      </c>
    </row>
    <row r="37" spans="2:43" x14ac:dyDescent="0.25">
      <c r="B37" s="58" t="str">
        <f>Tabla1[[#This Row],[nudo inicial]]</f>
        <v>N13</v>
      </c>
      <c r="C37" s="58" t="str">
        <f>Tabla1[[#This Row],[nudo final]]</f>
        <v>T.2</v>
      </c>
      <c r="D37" s="51">
        <f>Tabla1[[#This Row],[longitud]]</f>
        <v>16.21</v>
      </c>
      <c r="E37" s="51" t="str">
        <f>Tabla1[[#This Row],[diametro]]</f>
        <v>8"</v>
      </c>
      <c r="F37" s="51" t="str">
        <f>Tabla1[[#This Row],[material]]</f>
        <v>AC</v>
      </c>
      <c r="G3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37" s="52" t="str">
        <f>IF(Tabla1[[#This Row],[5]]="TPD",Tabla1[[#This Row],[6]],"")</f>
        <v/>
      </c>
      <c r="I37" s="52" t="str">
        <f>IF(OR(Tabla1[[#This Row],[5]]="TPD"),Tabla1[[#This Row],[7]],"")</f>
        <v/>
      </c>
      <c r="J37" s="52">
        <f>IF(Tabla15[[#This Row],[2]]="",0,VLOOKUP(TRAMOS!$H$2,Tabla5[#All],3,FALSE)*Tabla15[[#This Row],[3]])</f>
        <v>0</v>
      </c>
      <c r="K37" s="52" t="str">
        <f>IF(Tabla1[[#This Row],[5]]="TPL",Tabla1[[#This Row],[6]],"")</f>
        <v>8"</v>
      </c>
      <c r="L37" s="52">
        <f>IF(OR(Tabla1[[#This Row],[5]]="TPL"),Tabla1[[#This Row],[7]],"")</f>
        <v>1</v>
      </c>
      <c r="M37" s="52">
        <f>IF(Tabla15[[#This Row],[5]]="",0,VLOOKUP(TRAMOS!$K$2,Tabla5[#All],3,FALSE)*Tabla15[[#This Row],[6]])</f>
        <v>0.9</v>
      </c>
      <c r="N3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7" s="52">
        <f>IF(Tabla15[[#This Row],[8]]="",0,VLOOKUP(TRAMOS!$H$2,Tabla5[#All],3,FALSE)*Tabla15[[#This Row],[9]])</f>
        <v>0</v>
      </c>
      <c r="Q3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8"</v>
      </c>
      <c r="R37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37" s="52">
        <f>IF(Tabla15[[#This Row],[11]]="",0,VLOOKUP(TRAMOS!$Q$2,Tabla5[#All],3,FALSE)*Tabla15[[#This Row],[12]])</f>
        <v>0.9</v>
      </c>
      <c r="T3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7" s="52">
        <f>IF(Tabla15[[#This Row],[20]]="",0,VLOOKUP("VRP",Tabla5[#All],3,FALSE)*Tabla15[[#This Row],[21]])</f>
        <v>0</v>
      </c>
      <c r="AC3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7" s="52">
        <f>IF(Tabla15[[#This Row],[23]]="",0,VLOOKUP("VC",Tabla5[#All],3,FALSE)*Tabla15[[#This Row],[24]])</f>
        <v>0</v>
      </c>
      <c r="AF3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7" s="52">
        <f>IF(Tabla15[[#This Row],[26]]="",0,VLOOKUP(TRAMOS!$K$2,Tabla5[#All],3,FALSE)*Tabla15[[#This Row],[27]])</f>
        <v>0</v>
      </c>
      <c r="AI3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1.8</v>
      </c>
    </row>
    <row r="38" spans="2:43" x14ac:dyDescent="0.25">
      <c r="B38" s="58" t="str">
        <f>Tabla1[[#This Row],[nudo inicial]]</f>
        <v>PTAP1</v>
      </c>
      <c r="C38" s="58" t="str">
        <f>Tabla1[[#This Row],[nudo final]]</f>
        <v>N14</v>
      </c>
      <c r="D38" s="51">
        <f>Tabla1[[#This Row],[longitud]]</f>
        <v>66.099999999999994</v>
      </c>
      <c r="E38" s="51" t="str">
        <f>Tabla1[[#This Row],[diametro]]</f>
        <v>16"</v>
      </c>
      <c r="F38" s="51" t="str">
        <f>Tabla1[[#This Row],[material]]</f>
        <v>AP</v>
      </c>
      <c r="G3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38" s="52" t="str">
        <f>IF(Tabla1[[#This Row],[5]]="TPD",Tabla1[[#This Row],[6]],"")</f>
        <v/>
      </c>
      <c r="I38" s="52" t="str">
        <f>IF(OR(Tabla1[[#This Row],[5]]="TPD"),Tabla1[[#This Row],[7]],"")</f>
        <v/>
      </c>
      <c r="J38" s="52">
        <f>IF(Tabla15[[#This Row],[2]]="",0,VLOOKUP(TRAMOS!$H$2,Tabla5[#All],3,FALSE)*Tabla15[[#This Row],[3]])</f>
        <v>0</v>
      </c>
      <c r="K38" s="52" t="str">
        <f>IF(Tabla1[[#This Row],[5]]="TPL",Tabla1[[#This Row],[6]],"")</f>
        <v/>
      </c>
      <c r="L38" s="52" t="str">
        <f>IF(OR(Tabla1[[#This Row],[5]]="TPL"),Tabla1[[#This Row],[7]],"")</f>
        <v/>
      </c>
      <c r="M38" s="52">
        <f>IF(Tabla15[[#This Row],[5]]="",0,VLOOKUP(TRAMOS!$K$2,Tabla5[#All],3,FALSE)*Tabla15[[#This Row],[6]])</f>
        <v>0</v>
      </c>
      <c r="N3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8" s="52">
        <f>IF(Tabla15[[#This Row],[8]]="",0,VLOOKUP(TRAMOS!$H$2,Tabla5[#All],3,FALSE)*Tabla15[[#This Row],[9]])</f>
        <v>0</v>
      </c>
      <c r="Q3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8" s="52">
        <f>IF(Tabla15[[#This Row],[11]]="",0,VLOOKUP(TRAMOS!$Q$2,Tabla5[#All],3,FALSE)*Tabla15[[#This Row],[12]])</f>
        <v>0</v>
      </c>
      <c r="T3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8" s="52">
        <f>IF(Tabla15[[#This Row],[20]]="",0,VLOOKUP("VRP",Tabla5[#All],3,FALSE)*Tabla15[[#This Row],[21]])</f>
        <v>0</v>
      </c>
      <c r="AC3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8" s="52">
        <f>IF(Tabla15[[#This Row],[23]]="",0,VLOOKUP("VC",Tabla5[#All],3,FALSE)*Tabla15[[#This Row],[24]])</f>
        <v>0</v>
      </c>
      <c r="AF3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8" s="52">
        <f>IF(Tabla15[[#This Row],[26]]="",0,VLOOKUP(TRAMOS!$K$2,Tabla5[#All],3,FALSE)*Tabla15[[#This Row],[27]])</f>
        <v>0</v>
      </c>
      <c r="AI3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</v>
      </c>
    </row>
    <row r="39" spans="2:43" x14ac:dyDescent="0.25">
      <c r="B39" s="58" t="str">
        <f>Tabla1[[#This Row],[nudo inicial]]</f>
        <v>N14</v>
      </c>
      <c r="C39" s="58" t="str">
        <f>Tabla1[[#This Row],[nudo final]]</f>
        <v>T.1</v>
      </c>
      <c r="D39" s="51">
        <f>Tabla1[[#This Row],[longitud]]</f>
        <v>6.95</v>
      </c>
      <c r="E39" s="51" t="str">
        <f>Tabla1[[#This Row],[diametro]]</f>
        <v>8"</v>
      </c>
      <c r="F39" s="51" t="str">
        <f>Tabla1[[#This Row],[material]]</f>
        <v>PVC</v>
      </c>
      <c r="G3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16"</v>
      </c>
      <c r="H39" s="52" t="str">
        <f>IF(Tabla1[[#This Row],[5]]="TPD",Tabla1[[#This Row],[6]],"")</f>
        <v/>
      </c>
      <c r="I39" s="52" t="str">
        <f>IF(OR(Tabla1[[#This Row],[5]]="TPD"),Tabla1[[#This Row],[7]],"")</f>
        <v/>
      </c>
      <c r="J39" s="52">
        <f>IF(Tabla15[[#This Row],[2]]="",0,VLOOKUP(TRAMOS!$H$2,Tabla5[#All],3,FALSE)*Tabla15[[#This Row],[3]])</f>
        <v>0</v>
      </c>
      <c r="K39" s="52" t="str">
        <f>IF(Tabla1[[#This Row],[5]]="TPL",Tabla1[[#This Row],[6]],"")</f>
        <v>16"</v>
      </c>
      <c r="L39" s="52">
        <f>IF(OR(Tabla1[[#This Row],[5]]="TPL"),Tabla1[[#This Row],[7]],"")</f>
        <v>1</v>
      </c>
      <c r="M39" s="52">
        <f>IF(Tabla15[[#This Row],[5]]="",0,VLOOKUP(TRAMOS!$K$2,Tabla5[#All],3,FALSE)*Tabla15[[#This Row],[6]])</f>
        <v>0.9</v>
      </c>
      <c r="N3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9" s="52">
        <f>IF(Tabla15[[#This Row],[8]]="",0,VLOOKUP(TRAMOS!$H$2,Tabla5[#All],3,FALSE)*Tabla15[[#This Row],[9]])</f>
        <v>0</v>
      </c>
      <c r="Q3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8"</v>
      </c>
      <c r="R39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39" s="52">
        <f>IF(Tabla15[[#This Row],[11]]="",0,VLOOKUP(TRAMOS!$Q$2,Tabla5[#All],3,FALSE)*Tabla15[[#This Row],[12]])</f>
        <v>0.9</v>
      </c>
      <c r="T3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8"</v>
      </c>
      <c r="U39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3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3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9" s="52">
        <f>IF(Tabla15[[#This Row],[20]]="",0,VLOOKUP("VRP",Tabla5[#All],3,FALSE)*Tabla15[[#This Row],[21]])</f>
        <v>0</v>
      </c>
      <c r="AC3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9" s="52">
        <f>IF(Tabla15[[#This Row],[23]]="",0,VLOOKUP("VC",Tabla5[#All],3,FALSE)*Tabla15[[#This Row],[24]])</f>
        <v>0</v>
      </c>
      <c r="AF3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9" s="52">
        <f>IF(Tabla15[[#This Row],[26]]="",0,VLOOKUP(TRAMOS!$K$2,Tabla5[#All],3,FALSE)*Tabla15[[#This Row],[27]])</f>
        <v>0</v>
      </c>
      <c r="AI3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2.17</v>
      </c>
      <c r="AQ39" s="52"/>
    </row>
    <row r="40" spans="2:43" x14ac:dyDescent="0.25">
      <c r="B40" s="58" t="str">
        <f>Tabla1[[#This Row],[nudo inicial]]</f>
        <v>N14</v>
      </c>
      <c r="C40" s="58" t="str">
        <f>Tabla1[[#This Row],[nudo final]]</f>
        <v>N15</v>
      </c>
      <c r="D40" s="51">
        <f>Tabla1[[#This Row],[longitud]]</f>
        <v>24</v>
      </c>
      <c r="E40" s="51" t="str">
        <f>Tabla1[[#This Row],[diametro]]</f>
        <v>8"</v>
      </c>
      <c r="F40" s="51" t="str">
        <f>Tabla1[[#This Row],[material]]</f>
        <v>PVC</v>
      </c>
      <c r="G4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16"</v>
      </c>
      <c r="H40" s="52" t="str">
        <f>IF(Tabla1[[#This Row],[5]]="TPD",Tabla1[[#This Row],[6]],"")</f>
        <v>16"</v>
      </c>
      <c r="I40" s="52">
        <f>IF(OR(Tabla1[[#This Row],[5]]="TPD"),Tabla1[[#This Row],[7]],"")</f>
        <v>1</v>
      </c>
      <c r="J40" s="52">
        <f>IF(Tabla15[[#This Row],[2]]="",0,VLOOKUP(TRAMOS!$H$2,Tabla5[#All],3,FALSE)*Tabla15[[#This Row],[3]])</f>
        <v>0.15</v>
      </c>
      <c r="K40" s="52" t="str">
        <f>IF(Tabla1[[#This Row],[5]]="TPL",Tabla1[[#This Row],[6]],"")</f>
        <v/>
      </c>
      <c r="L40" s="52" t="str">
        <f>IF(OR(Tabla1[[#This Row],[5]]="TPL"),Tabla1[[#This Row],[7]],"")</f>
        <v/>
      </c>
      <c r="M40" s="52">
        <f>IF(Tabla15[[#This Row],[5]]="",0,VLOOKUP(TRAMOS!$K$2,Tabla5[#All],3,FALSE)*Tabla15[[#This Row],[6]])</f>
        <v>0</v>
      </c>
      <c r="N4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0" s="52">
        <f>IF(Tabla15[[#This Row],[8]]="",0,VLOOKUP(TRAMOS!$H$2,Tabla5[#All],3,FALSE)*Tabla15[[#This Row],[9]])</f>
        <v>0</v>
      </c>
      <c r="Q4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8"</v>
      </c>
      <c r="R40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40" s="52">
        <f>IF(Tabla15[[#This Row],[11]]="",0,VLOOKUP(TRAMOS!$Q$2,Tabla5[#All],3,FALSE)*Tabla15[[#This Row],[12]])</f>
        <v>0.9</v>
      </c>
      <c r="T4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8"</v>
      </c>
      <c r="U40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2</v>
      </c>
      <c r="V4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0.74</v>
      </c>
      <c r="W4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0" s="52">
        <f>IF(Tabla15[[#This Row],[20]]="",0,VLOOKUP("VRP",Tabla5[#All],3,FALSE)*Tabla15[[#This Row],[21]])</f>
        <v>0</v>
      </c>
      <c r="AC4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0" s="52">
        <f>IF(Tabla15[[#This Row],[23]]="",0,VLOOKUP("VC",Tabla5[#All],3,FALSE)*Tabla15[[#This Row],[24]])</f>
        <v>0</v>
      </c>
      <c r="AF4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0" s="52">
        <f>IF(Tabla15[[#This Row],[26]]="",0,VLOOKUP(TRAMOS!$K$2,Tabla5[#All],3,FALSE)*Tabla15[[#This Row],[27]])</f>
        <v>0</v>
      </c>
      <c r="AI4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1.79</v>
      </c>
      <c r="AQ40" s="52"/>
    </row>
    <row r="41" spans="2:43" x14ac:dyDescent="0.25">
      <c r="B41" s="58" t="str">
        <f>Tabla1[[#This Row],[nudo inicial]]</f>
        <v>T.1</v>
      </c>
      <c r="C41" s="58" t="str">
        <f>Tabla1[[#This Row],[nudo final]]</f>
        <v>N15</v>
      </c>
      <c r="D41" s="51">
        <f>Tabla1[[#This Row],[longitud]]</f>
        <v>4.5</v>
      </c>
      <c r="E41" s="51" t="str">
        <f>Tabla1[[#This Row],[diametro]]</f>
        <v>16"</v>
      </c>
      <c r="F41" s="51" t="str">
        <f>Tabla1[[#This Row],[material]]</f>
        <v>AP</v>
      </c>
      <c r="G4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12"</v>
      </c>
      <c r="H41" s="52" t="str">
        <f>IF(Tabla1[[#This Row],[5]]="TPD",Tabla1[[#This Row],[6]],"")</f>
        <v/>
      </c>
      <c r="I41" s="52" t="str">
        <f>IF(OR(Tabla1[[#This Row],[5]]="TPD"),Tabla1[[#This Row],[7]],"")</f>
        <v/>
      </c>
      <c r="J41" s="52">
        <f>IF(Tabla15[[#This Row],[2]]="",0,VLOOKUP(TRAMOS!$H$2,Tabla5[#All],3,FALSE)*Tabla15[[#This Row],[3]])</f>
        <v>0</v>
      </c>
      <c r="K41" s="52" t="str">
        <f>IF(Tabla1[[#This Row],[5]]="TPL",Tabla1[[#This Row],[6]],"")</f>
        <v/>
      </c>
      <c r="L41" s="52" t="str">
        <f>IF(OR(Tabla1[[#This Row],[5]]="TPL"),Tabla1[[#This Row],[7]],"")</f>
        <v/>
      </c>
      <c r="M41" s="52">
        <f>IF(Tabla15[[#This Row],[5]]="",0,VLOOKUP(TRAMOS!$K$2,Tabla5[#All],3,FALSE)*Tabla15[[#This Row],[6]])</f>
        <v>0</v>
      </c>
      <c r="N4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1" s="52">
        <f>IF(Tabla15[[#This Row],[8]]="",0,VLOOKUP(TRAMOS!$H$2,Tabla5[#All],3,FALSE)*Tabla15[[#This Row],[9]])</f>
        <v>0</v>
      </c>
      <c r="Q4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1" s="52">
        <f>IF(Tabla15[[#This Row],[11]]="",0,VLOOKUP(TRAMOS!$Q$2,Tabla5[#All],3,FALSE)*Tabla15[[#This Row],[12]])</f>
        <v>0</v>
      </c>
      <c r="T4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1" s="52">
        <f>IF(Tabla15[[#This Row],[20]]="",0,VLOOKUP("VRP",Tabla5[#All],3,FALSE)*Tabla15[[#This Row],[21]])</f>
        <v>0</v>
      </c>
      <c r="AC4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1" s="52">
        <f>IF(Tabla15[[#This Row],[23]]="",0,VLOOKUP("VC",Tabla5[#All],3,FALSE)*Tabla15[[#This Row],[24]])</f>
        <v>0</v>
      </c>
      <c r="AF4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1" s="52">
        <f>IF(Tabla15[[#This Row],[26]]="",0,VLOOKUP(TRAMOS!$K$2,Tabla5[#All],3,FALSE)*Tabla15[[#This Row],[27]])</f>
        <v>0</v>
      </c>
      <c r="AI4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</v>
      </c>
    </row>
    <row r="42" spans="2:43" x14ac:dyDescent="0.25">
      <c r="B42" s="58" t="str">
        <f>Tabla1[[#This Row],[nudo inicial]]</f>
        <v>N15</v>
      </c>
      <c r="C42" s="58" t="str">
        <f>Tabla1[[#This Row],[nudo final]]</f>
        <v>N16</v>
      </c>
      <c r="D42" s="51">
        <f>Tabla1[[#This Row],[longitud]]</f>
        <v>7.95</v>
      </c>
      <c r="E42" s="51" t="str">
        <f>Tabla1[[#This Row],[diametro]]</f>
        <v>16"</v>
      </c>
      <c r="F42" s="51" t="str">
        <f>Tabla1[[#This Row],[material]]</f>
        <v>AP</v>
      </c>
      <c r="G4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16"</v>
      </c>
      <c r="H42" s="52" t="str">
        <f>IF(Tabla1[[#This Row],[5]]="TPD",Tabla1[[#This Row],[6]],"")</f>
        <v>16"</v>
      </c>
      <c r="I42" s="52">
        <f>IF(OR(Tabla1[[#This Row],[5]]="TPD"),Tabla1[[#This Row],[7]],"")</f>
        <v>1</v>
      </c>
      <c r="J42" s="52">
        <f>IF(Tabla15[[#This Row],[2]]="",0,VLOOKUP(TRAMOS!$H$2,Tabla5[#All],3,FALSE)*Tabla15[[#This Row],[3]])</f>
        <v>0.15</v>
      </c>
      <c r="K42" s="52" t="str">
        <f>IF(Tabla1[[#This Row],[5]]="TPL",Tabla1[[#This Row],[6]],"")</f>
        <v/>
      </c>
      <c r="L42" s="52" t="str">
        <f>IF(OR(Tabla1[[#This Row],[5]]="TPL"),Tabla1[[#This Row],[7]],"")</f>
        <v/>
      </c>
      <c r="M42" s="52">
        <f>IF(Tabla15[[#This Row],[5]]="",0,VLOOKUP(TRAMOS!$K$2,Tabla5[#All],3,FALSE)*Tabla15[[#This Row],[6]])</f>
        <v>0</v>
      </c>
      <c r="N4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2" s="52">
        <f>IF(Tabla15[[#This Row],[8]]="",0,VLOOKUP(TRAMOS!$H$2,Tabla5[#All],3,FALSE)*Tabla15[[#This Row],[9]])</f>
        <v>0</v>
      </c>
      <c r="Q4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2" s="52">
        <f>IF(Tabla15[[#This Row],[11]]="",0,VLOOKUP(TRAMOS!$Q$2,Tabla5[#All],3,FALSE)*Tabla15[[#This Row],[12]])</f>
        <v>0</v>
      </c>
      <c r="T4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2" s="52">
        <f>IF(Tabla15[[#This Row],[20]]="",0,VLOOKUP("VRP",Tabla5[#All],3,FALSE)*Tabla15[[#This Row],[21]])</f>
        <v>0</v>
      </c>
      <c r="AC4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2" s="52">
        <f>IF(Tabla15[[#This Row],[23]]="",0,VLOOKUP("VC",Tabla5[#All],3,FALSE)*Tabla15[[#This Row],[24]])</f>
        <v>0</v>
      </c>
      <c r="AF4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2" s="52">
        <f>IF(Tabla15[[#This Row],[26]]="",0,VLOOKUP(TRAMOS!$K$2,Tabla5[#All],3,FALSE)*Tabla15[[#This Row],[27]])</f>
        <v>0</v>
      </c>
      <c r="AI4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43" spans="2:43" x14ac:dyDescent="0.25">
      <c r="B43" s="58" t="str">
        <f>Tabla1[[#This Row],[nudo inicial]]</f>
        <v>T.1</v>
      </c>
      <c r="C43" s="58" t="str">
        <f>Tabla1[[#This Row],[nudo final]]</f>
        <v>N16</v>
      </c>
      <c r="D43" s="51">
        <f>Tabla1[[#This Row],[longitud]]</f>
        <v>11.42</v>
      </c>
      <c r="E43" s="51" t="str">
        <f>Tabla1[[#This Row],[diametro]]</f>
        <v>12"</v>
      </c>
      <c r="F43" s="51" t="str">
        <f>Tabla1[[#This Row],[material]]</f>
        <v>HF</v>
      </c>
      <c r="G4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12"</v>
      </c>
      <c r="H43" s="52" t="str">
        <f>IF(Tabla1[[#This Row],[5]]="TPD",Tabla1[[#This Row],[6]],"")</f>
        <v/>
      </c>
      <c r="I43" s="52" t="str">
        <f>IF(OR(Tabla1[[#This Row],[5]]="TPD"),Tabla1[[#This Row],[7]],"")</f>
        <v/>
      </c>
      <c r="J43" s="52">
        <f>IF(Tabla15[[#This Row],[2]]="",0,VLOOKUP(TRAMOS!$H$2,Tabla5[#All],3,FALSE)*Tabla15[[#This Row],[3]])</f>
        <v>0</v>
      </c>
      <c r="K43" s="52" t="str">
        <f>IF(Tabla1[[#This Row],[5]]="TPL",Tabla1[[#This Row],[6]],"")</f>
        <v/>
      </c>
      <c r="L43" s="52" t="str">
        <f>IF(OR(Tabla1[[#This Row],[5]]="TPL"),Tabla1[[#This Row],[7]],"")</f>
        <v/>
      </c>
      <c r="M43" s="52">
        <f>IF(Tabla15[[#This Row],[5]]="",0,VLOOKUP(TRAMOS!$K$2,Tabla5[#All],3,FALSE)*Tabla15[[#This Row],[6]])</f>
        <v>0</v>
      </c>
      <c r="N4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3" s="52">
        <f>IF(Tabla15[[#This Row],[8]]="",0,VLOOKUP(TRAMOS!$H$2,Tabla5[#All],3,FALSE)*Tabla15[[#This Row],[9]])</f>
        <v>0</v>
      </c>
      <c r="Q4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3" s="52">
        <f>IF(Tabla15[[#This Row],[11]]="",0,VLOOKUP(TRAMOS!$Q$2,Tabla5[#All],3,FALSE)*Tabla15[[#This Row],[12]])</f>
        <v>0</v>
      </c>
      <c r="T4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3" s="52">
        <f>IF(Tabla15[[#This Row],[20]]="",0,VLOOKUP("VRP",Tabla5[#All],3,FALSE)*Tabla15[[#This Row],[21]])</f>
        <v>0</v>
      </c>
      <c r="AC4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3" s="52">
        <f>IF(Tabla15[[#This Row],[23]]="",0,VLOOKUP("VC",Tabla5[#All],3,FALSE)*Tabla15[[#This Row],[24]])</f>
        <v>0</v>
      </c>
      <c r="AF4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3" s="52">
        <f>IF(Tabla15[[#This Row],[26]]="",0,VLOOKUP(TRAMOS!$K$2,Tabla5[#All],3,FALSE)*Tabla15[[#This Row],[27]])</f>
        <v>0</v>
      </c>
      <c r="AI4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</v>
      </c>
    </row>
    <row r="44" spans="2:43" x14ac:dyDescent="0.25">
      <c r="B44" s="58" t="str">
        <f>Tabla1[[#This Row],[nudo inicial]]</f>
        <v>T.1</v>
      </c>
      <c r="C44" s="58" t="str">
        <f>Tabla1[[#This Row],[nudo final]]</f>
        <v>T.2</v>
      </c>
      <c r="D44" s="51">
        <f>Tabla1[[#This Row],[longitud]]</f>
        <v>7.15</v>
      </c>
      <c r="E44" s="51" t="str">
        <f>Tabla1[[#This Row],[diametro]]</f>
        <v>8"</v>
      </c>
      <c r="F44" s="51" t="str">
        <f>Tabla1[[#This Row],[material]]</f>
        <v>PVC</v>
      </c>
      <c r="G4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12"</v>
      </c>
      <c r="H44" s="52" t="str">
        <f>IF(Tabla1[[#This Row],[5]]="TPD",Tabla1[[#This Row],[6]],"")</f>
        <v/>
      </c>
      <c r="I44" s="52" t="str">
        <f>IF(OR(Tabla1[[#This Row],[5]]="TPD"),Tabla1[[#This Row],[7]],"")</f>
        <v/>
      </c>
      <c r="J44" s="52">
        <f>IF(Tabla15[[#This Row],[2]]="",0,VLOOKUP(TRAMOS!$H$2,Tabla5[#All],3,FALSE)*Tabla15[[#This Row],[3]])</f>
        <v>0</v>
      </c>
      <c r="K44" s="52" t="str">
        <f>IF(Tabla1[[#This Row],[5]]="TPL",Tabla1[[#This Row],[6]],"")</f>
        <v/>
      </c>
      <c r="L44" s="52" t="str">
        <f>IF(OR(Tabla1[[#This Row],[5]]="TPL"),Tabla1[[#This Row],[7]],"")</f>
        <v/>
      </c>
      <c r="M44" s="52">
        <f>IF(Tabla15[[#This Row],[5]]="",0,VLOOKUP(TRAMOS!$K$2,Tabla5[#All],3,FALSE)*Tabla15[[#This Row],[6]])</f>
        <v>0</v>
      </c>
      <c r="N4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4" s="52">
        <f>IF(Tabla15[[#This Row],[8]]="",0,VLOOKUP(TRAMOS!$H$2,Tabla5[#All],3,FALSE)*Tabla15[[#This Row],[9]])</f>
        <v>0</v>
      </c>
      <c r="Q4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4" s="52">
        <f>IF(Tabla15[[#This Row],[11]]="",0,VLOOKUP(TRAMOS!$Q$2,Tabla5[#All],3,FALSE)*Tabla15[[#This Row],[12]])</f>
        <v>0</v>
      </c>
      <c r="T4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4" s="52">
        <f>IF(Tabla15[[#This Row],[20]]="",0,VLOOKUP("VRP",Tabla5[#All],3,FALSE)*Tabla15[[#This Row],[21]])</f>
        <v>0</v>
      </c>
      <c r="AC4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4" s="52">
        <f>IF(Tabla15[[#This Row],[23]]="",0,VLOOKUP("VC",Tabla5[#All],3,FALSE)*Tabla15[[#This Row],[24]])</f>
        <v>0</v>
      </c>
      <c r="AF4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4" s="52">
        <f>IF(Tabla15[[#This Row],[26]]="",0,VLOOKUP(TRAMOS!$K$2,Tabla5[#All],3,FALSE)*Tabla15[[#This Row],[27]])</f>
        <v>0</v>
      </c>
      <c r="AI4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</v>
      </c>
    </row>
    <row r="45" spans="2:43" x14ac:dyDescent="0.25">
      <c r="B45" s="58" t="str">
        <f>Tabla1[[#This Row],[nudo inicial]]</f>
        <v>T.2</v>
      </c>
      <c r="C45" s="58" t="str">
        <f>Tabla1[[#This Row],[nudo final]]</f>
        <v>N17</v>
      </c>
      <c r="D45" s="51">
        <f>Tabla1[[#This Row],[longitud]]</f>
        <v>16.82</v>
      </c>
      <c r="E45" s="51" t="str">
        <f>Tabla1[[#This Row],[diametro]]</f>
        <v>8"</v>
      </c>
      <c r="F45" s="51" t="str">
        <f>Tabla1[[#This Row],[material]]</f>
        <v>AC</v>
      </c>
      <c r="G4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45" s="52" t="str">
        <f>IF(Tabla1[[#This Row],[5]]="TPD",Tabla1[[#This Row],[6]],"")</f>
        <v/>
      </c>
      <c r="I45" s="52" t="str">
        <f>IF(OR(Tabla1[[#This Row],[5]]="TPD"),Tabla1[[#This Row],[7]],"")</f>
        <v/>
      </c>
      <c r="J45" s="52">
        <f>IF(Tabla15[[#This Row],[2]]="",0,VLOOKUP(TRAMOS!$H$2,Tabla5[#All],3,FALSE)*Tabla15[[#This Row],[3]])</f>
        <v>0</v>
      </c>
      <c r="K45" s="52" t="str">
        <f>IF(Tabla1[[#This Row],[5]]="TPL",Tabla1[[#This Row],[6]],"")</f>
        <v/>
      </c>
      <c r="L45" s="52" t="str">
        <f>IF(OR(Tabla1[[#This Row],[5]]="TPL"),Tabla1[[#This Row],[7]],"")</f>
        <v/>
      </c>
      <c r="M45" s="52">
        <f>IF(Tabla15[[#This Row],[5]]="",0,VLOOKUP(TRAMOS!$K$2,Tabla5[#All],3,FALSE)*Tabla15[[#This Row],[6]])</f>
        <v>0</v>
      </c>
      <c r="N4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5" s="52">
        <f>IF(Tabla15[[#This Row],[8]]="",0,VLOOKUP(TRAMOS!$H$2,Tabla5[#All],3,FALSE)*Tabla15[[#This Row],[9]])</f>
        <v>0</v>
      </c>
      <c r="Q4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8"</v>
      </c>
      <c r="R45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45" s="52">
        <f>IF(Tabla15[[#This Row],[11]]="",0,VLOOKUP(TRAMOS!$Q$2,Tabla5[#All],3,FALSE)*Tabla15[[#This Row],[12]])</f>
        <v>0.9</v>
      </c>
      <c r="T4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5" s="52">
        <f>IF(Tabla15[[#This Row],[20]]="",0,VLOOKUP("VRP",Tabla5[#All],3,FALSE)*Tabla15[[#This Row],[21]])</f>
        <v>0</v>
      </c>
      <c r="AC4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5" s="52">
        <f>IF(Tabla15[[#This Row],[23]]="",0,VLOOKUP("VC",Tabla5[#All],3,FALSE)*Tabla15[[#This Row],[24]])</f>
        <v>0</v>
      </c>
      <c r="AF4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5" s="52">
        <f>IF(Tabla15[[#This Row],[26]]="",0,VLOOKUP(TRAMOS!$K$2,Tabla5[#All],3,FALSE)*Tabla15[[#This Row],[27]])</f>
        <v>0</v>
      </c>
      <c r="AI4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46" spans="2:43" x14ac:dyDescent="0.25">
      <c r="B46" s="58" t="str">
        <f>Tabla1[[#This Row],[nudo inicial]]</f>
        <v>N17</v>
      </c>
      <c r="C46" s="58" t="str">
        <f>Tabla1[[#This Row],[nudo final]]</f>
        <v>N18</v>
      </c>
      <c r="D46" s="51">
        <f>Tabla1[[#This Row],[longitud]]</f>
        <v>6.68</v>
      </c>
      <c r="E46" s="51" t="str">
        <f>Tabla1[[#This Row],[diametro]]</f>
        <v>8"</v>
      </c>
      <c r="F46" s="51" t="str">
        <f>Tabla1[[#This Row],[material]]</f>
        <v>AC</v>
      </c>
      <c r="G4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46" s="52" t="str">
        <f>IF(Tabla1[[#This Row],[5]]="TPD",Tabla1[[#This Row],[6]],"")</f>
        <v>8"</v>
      </c>
      <c r="I46" s="52">
        <f>IF(OR(Tabla1[[#This Row],[5]]="TPD"),Tabla1[[#This Row],[7]],"")</f>
        <v>1</v>
      </c>
      <c r="J46" s="52">
        <f>IF(Tabla15[[#This Row],[2]]="",0,VLOOKUP(TRAMOS!$H$2,Tabla5[#All],3,FALSE)*Tabla15[[#This Row],[3]])</f>
        <v>0.15</v>
      </c>
      <c r="K46" s="52" t="str">
        <f>IF(Tabla1[[#This Row],[5]]="TPL",Tabla1[[#This Row],[6]],"")</f>
        <v/>
      </c>
      <c r="L46" s="52" t="str">
        <f>IF(OR(Tabla1[[#This Row],[5]]="TPL"),Tabla1[[#This Row],[7]],"")</f>
        <v/>
      </c>
      <c r="M46" s="52">
        <f>IF(Tabla15[[#This Row],[5]]="",0,VLOOKUP(TRAMOS!$K$2,Tabla5[#All],3,FALSE)*Tabla15[[#This Row],[6]])</f>
        <v>0</v>
      </c>
      <c r="N4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6" s="52">
        <f>IF(Tabla15[[#This Row],[8]]="",0,VLOOKUP(TRAMOS!$H$2,Tabla5[#All],3,FALSE)*Tabla15[[#This Row],[9]])</f>
        <v>0</v>
      </c>
      <c r="Q4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6" s="52">
        <f>IF(Tabla15[[#This Row],[11]]="",0,VLOOKUP(TRAMOS!$Q$2,Tabla5[#All],3,FALSE)*Tabla15[[#This Row],[12]])</f>
        <v>0</v>
      </c>
      <c r="T4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6" s="52">
        <f>IF(Tabla15[[#This Row],[20]]="",0,VLOOKUP("VRP",Tabla5[#All],3,FALSE)*Tabla15[[#This Row],[21]])</f>
        <v>0</v>
      </c>
      <c r="AC4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6" s="52">
        <f>IF(Tabla15[[#This Row],[23]]="",0,VLOOKUP("VC",Tabla5[#All],3,FALSE)*Tabla15[[#This Row],[24]])</f>
        <v>0</v>
      </c>
      <c r="AF4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6" s="52">
        <f>IF(Tabla15[[#This Row],[26]]="",0,VLOOKUP(TRAMOS!$K$2,Tabla5[#All],3,FALSE)*Tabla15[[#This Row],[27]])</f>
        <v>0</v>
      </c>
      <c r="AI4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47" spans="2:43" x14ac:dyDescent="0.25">
      <c r="B47" s="58" t="str">
        <f>Tabla1[[#This Row],[nudo inicial]]</f>
        <v>N18</v>
      </c>
      <c r="C47" s="58" t="str">
        <f>Tabla1[[#This Row],[nudo final]]</f>
        <v>N16</v>
      </c>
      <c r="D47" s="51">
        <f>Tabla1[[#This Row],[longitud]]</f>
        <v>7.32</v>
      </c>
      <c r="E47" s="51" t="str">
        <f>Tabla1[[#This Row],[diametro]]</f>
        <v>8"</v>
      </c>
      <c r="F47" s="51" t="str">
        <f>Tabla1[[#This Row],[material]]</f>
        <v>AC</v>
      </c>
      <c r="G4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47" s="52" t="str">
        <f>IF(Tabla1[[#This Row],[5]]="TPD",Tabla1[[#This Row],[6]],"")</f>
        <v/>
      </c>
      <c r="I47" s="52" t="str">
        <f>IF(OR(Tabla1[[#This Row],[5]]="TPD"),Tabla1[[#This Row],[7]],"")</f>
        <v/>
      </c>
      <c r="J47" s="52">
        <f>IF(Tabla15[[#This Row],[2]]="",0,VLOOKUP(TRAMOS!$H$2,Tabla5[#All],3,FALSE)*Tabla15[[#This Row],[3]])</f>
        <v>0</v>
      </c>
      <c r="K47" s="52" t="str">
        <f>IF(Tabla1[[#This Row],[5]]="TPL",Tabla1[[#This Row],[6]],"")</f>
        <v>8"</v>
      </c>
      <c r="L47" s="52">
        <f>IF(OR(Tabla1[[#This Row],[5]]="TPL"),Tabla1[[#This Row],[7]],"")</f>
        <v>1</v>
      </c>
      <c r="M47" s="52">
        <f>IF(Tabla15[[#This Row],[5]]="",0,VLOOKUP(TRAMOS!$K$2,Tabla5[#All],3,FALSE)*Tabla15[[#This Row],[6]])</f>
        <v>0.9</v>
      </c>
      <c r="N4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7" s="52">
        <f>IF(Tabla15[[#This Row],[8]]="",0,VLOOKUP(TRAMOS!$H$2,Tabla5[#All],3,FALSE)*Tabla15[[#This Row],[9]])</f>
        <v>0</v>
      </c>
      <c r="Q4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7" s="52">
        <f>IF(Tabla15[[#This Row],[11]]="",0,VLOOKUP(TRAMOS!$Q$2,Tabla5[#All],3,FALSE)*Tabla15[[#This Row],[12]])</f>
        <v>0</v>
      </c>
      <c r="T4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7" s="52">
        <f>IF(Tabla15[[#This Row],[20]]="",0,VLOOKUP("VRP",Tabla5[#All],3,FALSE)*Tabla15[[#This Row],[21]])</f>
        <v>0</v>
      </c>
      <c r="AC4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7" s="52">
        <f>IF(Tabla15[[#This Row],[23]]="",0,VLOOKUP("VC",Tabla5[#All],3,FALSE)*Tabla15[[#This Row],[24]])</f>
        <v>0</v>
      </c>
      <c r="AF4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7" s="52">
        <f>IF(Tabla15[[#This Row],[26]]="",0,VLOOKUP(TRAMOS!$K$2,Tabla5[#All],3,FALSE)*Tabla15[[#This Row],[27]])</f>
        <v>0</v>
      </c>
      <c r="AI4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48" spans="2:43" x14ac:dyDescent="0.25">
      <c r="B48" s="58" t="str">
        <f>Tabla1[[#This Row],[nudo inicial]]</f>
        <v>N19</v>
      </c>
      <c r="C48" s="58" t="str">
        <f>Tabla1[[#This Row],[nudo final]]</f>
        <v>N20</v>
      </c>
      <c r="D48" s="51">
        <f>Tabla1[[#This Row],[longitud]]</f>
        <v>914.17</v>
      </c>
      <c r="E48" s="51" t="str">
        <f>Tabla1[[#This Row],[diametro]]</f>
        <v>3"</v>
      </c>
      <c r="F48" s="51" t="str">
        <f>Tabla1[[#This Row],[material]]</f>
        <v>PVC</v>
      </c>
      <c r="G4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8" s="52" t="str">
        <f>IF(Tabla1[[#This Row],[5]]="TPD",Tabla1[[#This Row],[6]],"")</f>
        <v>3"</v>
      </c>
      <c r="I48" s="52">
        <f>IF(OR(Tabla1[[#This Row],[5]]="TPD"),Tabla1[[#This Row],[7]],"")</f>
        <v>1</v>
      </c>
      <c r="J48" s="52">
        <f>IF(Tabla15[[#This Row],[2]]="",0,VLOOKUP(TRAMOS!$H$2,Tabla5[#All],3,FALSE)*Tabla15[[#This Row],[3]])</f>
        <v>0.15</v>
      </c>
      <c r="K48" s="52" t="str">
        <f>IF(Tabla1[[#This Row],[5]]="TPL",Tabla1[[#This Row],[6]],"")</f>
        <v/>
      </c>
      <c r="L48" s="52" t="str">
        <f>IF(OR(Tabla1[[#This Row],[5]]="TPL"),Tabla1[[#This Row],[7]],"")</f>
        <v/>
      </c>
      <c r="M48" s="52">
        <f>IF(Tabla15[[#This Row],[5]]="",0,VLOOKUP(TRAMOS!$K$2,Tabla5[#All],3,FALSE)*Tabla15[[#This Row],[6]])</f>
        <v>0</v>
      </c>
      <c r="N4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8" s="52">
        <f>IF(Tabla15[[#This Row],[8]]="",0,VLOOKUP(TRAMOS!$H$2,Tabla5[#All],3,FALSE)*Tabla15[[#This Row],[9]])</f>
        <v>0</v>
      </c>
      <c r="Q4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8" s="52">
        <f>IF(Tabla15[[#This Row],[11]]="",0,VLOOKUP(TRAMOS!$Q$2,Tabla5[#All],3,FALSE)*Tabla15[[#This Row],[12]])</f>
        <v>0</v>
      </c>
      <c r="T4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>3"</v>
      </c>
      <c r="AA48" s="52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>1</v>
      </c>
      <c r="AB48" s="52">
        <f>IF(Tabla15[[#This Row],[20]]="",0,VLOOKUP("VRP",Tabla5[#All],3,FALSE)*Tabla15[[#This Row],[21]])</f>
        <v>10</v>
      </c>
      <c r="AC4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8" s="52">
        <f>IF(Tabla15[[#This Row],[23]]="",0,VLOOKUP("VC",Tabla5[#All],3,FALSE)*Tabla15[[#This Row],[24]])</f>
        <v>0</v>
      </c>
      <c r="AF4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8" s="52">
        <f>IF(Tabla15[[#This Row],[26]]="",0,VLOOKUP(TRAMOS!$K$2,Tabla5[#All],3,FALSE)*Tabla15[[#This Row],[27]])</f>
        <v>0</v>
      </c>
      <c r="AI4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10.15</v>
      </c>
    </row>
    <row r="49" spans="2:41" x14ac:dyDescent="0.25">
      <c r="B49" s="58" t="str">
        <f>Tabla1[[#This Row],[nudo inicial]]</f>
        <v>N20</v>
      </c>
      <c r="C49" s="58" t="str">
        <f>Tabla1[[#This Row],[nudo final]]</f>
        <v>N21</v>
      </c>
      <c r="D49" s="51">
        <f>Tabla1[[#This Row],[longitud]]</f>
        <v>52.82</v>
      </c>
      <c r="E49" s="51" t="str">
        <f>Tabla1[[#This Row],[diametro]]</f>
        <v>3"</v>
      </c>
      <c r="F49" s="51" t="str">
        <f>Tabla1[[#This Row],[material]]</f>
        <v>PVC</v>
      </c>
      <c r="G4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9" s="52" t="str">
        <f>IF(Tabla1[[#This Row],[5]]="TPD",Tabla1[[#This Row],[6]],"")</f>
        <v/>
      </c>
      <c r="I49" s="52" t="str">
        <f>IF(OR(Tabla1[[#This Row],[5]]="TPD"),Tabla1[[#This Row],[7]],"")</f>
        <v/>
      </c>
      <c r="J49" s="52">
        <f>IF(Tabla15[[#This Row],[2]]="",0,VLOOKUP(TRAMOS!$H$2,Tabla5[#All],3,FALSE)*Tabla15[[#This Row],[3]])</f>
        <v>0</v>
      </c>
      <c r="K49" s="52" t="str">
        <f>IF(Tabla1[[#This Row],[5]]="TPL",Tabla1[[#This Row],[6]],"")</f>
        <v>3"</v>
      </c>
      <c r="L49" s="52">
        <f>IF(OR(Tabla1[[#This Row],[5]]="TPL"),Tabla1[[#This Row],[7]],"")</f>
        <v>1</v>
      </c>
      <c r="M49" s="52">
        <f>IF(Tabla15[[#This Row],[5]]="",0,VLOOKUP(TRAMOS!$K$2,Tabla5[#All],3,FALSE)*Tabla15[[#This Row],[6]])</f>
        <v>0.9</v>
      </c>
      <c r="N4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9" s="52">
        <f>IF(Tabla15[[#This Row],[8]]="",0,VLOOKUP(TRAMOS!$H$2,Tabla5[#All],3,FALSE)*Tabla15[[#This Row],[9]])</f>
        <v>0</v>
      </c>
      <c r="Q4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9" s="52">
        <f>IF(Tabla15[[#This Row],[11]]="",0,VLOOKUP(TRAMOS!$Q$2,Tabla5[#All],3,FALSE)*Tabla15[[#This Row],[12]])</f>
        <v>0</v>
      </c>
      <c r="T4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9" s="52">
        <f>IF(Tabla15[[#This Row],[20]]="",0,VLOOKUP("VRP",Tabla5[#All],3,FALSE)*Tabla15[[#This Row],[21]])</f>
        <v>0</v>
      </c>
      <c r="AC4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9" s="52">
        <f>IF(Tabla15[[#This Row],[23]]="",0,VLOOKUP("VC",Tabla5[#All],3,FALSE)*Tabla15[[#This Row],[24]])</f>
        <v>0</v>
      </c>
      <c r="AF4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9" s="52">
        <f>IF(Tabla15[[#This Row],[26]]="",0,VLOOKUP(TRAMOS!$K$2,Tabla5[#All],3,FALSE)*Tabla15[[#This Row],[27]])</f>
        <v>0</v>
      </c>
      <c r="AI4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50" spans="2:41" x14ac:dyDescent="0.25">
      <c r="B50" s="58" t="str">
        <f>Tabla1[[#This Row],[nudo inicial]]</f>
        <v>N21</v>
      </c>
      <c r="C50" s="58" t="str">
        <f>Tabla1[[#This Row],[nudo final]]</f>
        <v>N22</v>
      </c>
      <c r="D50" s="51">
        <f>Tabla1[[#This Row],[longitud]]</f>
        <v>36.78</v>
      </c>
      <c r="E50" s="51" t="str">
        <f>Tabla1[[#This Row],[diametro]]</f>
        <v>3"</v>
      </c>
      <c r="F50" s="51" t="str">
        <f>Tabla1[[#This Row],[material]]</f>
        <v>PVC</v>
      </c>
      <c r="G5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50" s="52" t="str">
        <f>IF(Tabla1[[#This Row],[5]]="TPD",Tabla1[[#This Row],[6]],"")</f>
        <v/>
      </c>
      <c r="I50" s="52" t="str">
        <f>IF(OR(Tabla1[[#This Row],[5]]="TPD"),Tabla1[[#This Row],[7]],"")</f>
        <v/>
      </c>
      <c r="J50" s="52">
        <f>IF(Tabla15[[#This Row],[2]]="",0,VLOOKUP(TRAMOS!$H$2,Tabla5[#All],3,FALSE)*Tabla15[[#This Row],[3]])</f>
        <v>0</v>
      </c>
      <c r="K50" s="52" t="str">
        <f>IF(Tabla1[[#This Row],[5]]="TPL",Tabla1[[#This Row],[6]],"")</f>
        <v>3"</v>
      </c>
      <c r="L50" s="52">
        <f>IF(OR(Tabla1[[#This Row],[5]]="TPL"),Tabla1[[#This Row],[7]],"")</f>
        <v>1</v>
      </c>
      <c r="M50" s="52">
        <f>IF(Tabla15[[#This Row],[5]]="",0,VLOOKUP(TRAMOS!$K$2,Tabla5[#All],3,FALSE)*Tabla15[[#This Row],[6]])</f>
        <v>0.9</v>
      </c>
      <c r="N5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0" s="52">
        <f>IF(Tabla15[[#This Row],[8]]="",0,VLOOKUP(TRAMOS!$H$2,Tabla5[#All],3,FALSE)*Tabla15[[#This Row],[9]])</f>
        <v>0</v>
      </c>
      <c r="Q5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0" s="52">
        <f>IF(Tabla15[[#This Row],[11]]="",0,VLOOKUP(TRAMOS!$Q$2,Tabla5[#All],3,FALSE)*Tabla15[[#This Row],[12]])</f>
        <v>0</v>
      </c>
      <c r="T5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0" s="52">
        <f>IF(Tabla15[[#This Row],[20]]="",0,VLOOKUP("VRP",Tabla5[#All],3,FALSE)*Tabla15[[#This Row],[21]])</f>
        <v>0</v>
      </c>
      <c r="AC5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0" s="52">
        <f>IF(Tabla15[[#This Row],[23]]="",0,VLOOKUP("VC",Tabla5[#All],3,FALSE)*Tabla15[[#This Row],[24]])</f>
        <v>0</v>
      </c>
      <c r="AF5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0" s="52">
        <f>IF(Tabla15[[#This Row],[26]]="",0,VLOOKUP(TRAMOS!$K$2,Tabla5[#All],3,FALSE)*Tabla15[[#This Row],[27]])</f>
        <v>0</v>
      </c>
      <c r="AI5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51" spans="2:41" x14ac:dyDescent="0.25">
      <c r="B51" s="58" t="str">
        <f>Tabla1[[#This Row],[nudo inicial]]</f>
        <v>N22</v>
      </c>
      <c r="C51" s="58" t="str">
        <f>Tabla1[[#This Row],[nudo final]]</f>
        <v>N24</v>
      </c>
      <c r="D51" s="51">
        <f>Tabla1[[#This Row],[longitud]]</f>
        <v>74.11</v>
      </c>
      <c r="E51" s="51" t="str">
        <f>Tabla1[[#This Row],[diametro]]</f>
        <v>3"</v>
      </c>
      <c r="F51" s="51" t="str">
        <f>Tabla1[[#This Row],[material]]</f>
        <v>PVC</v>
      </c>
      <c r="G5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51" s="52" t="str">
        <f>IF(Tabla1[[#This Row],[5]]="TPD",Tabla1[[#This Row],[6]],"")</f>
        <v/>
      </c>
      <c r="I51" s="52" t="str">
        <f>IF(OR(Tabla1[[#This Row],[5]]="TPD"),Tabla1[[#This Row],[7]],"")</f>
        <v/>
      </c>
      <c r="J51" s="52">
        <f>IF(Tabla15[[#This Row],[2]]="",0,VLOOKUP(TRAMOS!$H$2,Tabla5[#All],3,FALSE)*Tabla15[[#This Row],[3]])</f>
        <v>0</v>
      </c>
      <c r="K51" s="52" t="str">
        <f>IF(Tabla1[[#This Row],[5]]="TPL",Tabla1[[#This Row],[6]],"")</f>
        <v>3"</v>
      </c>
      <c r="L51" s="52">
        <f>IF(OR(Tabla1[[#This Row],[5]]="TPL"),Tabla1[[#This Row],[7]],"")</f>
        <v>1</v>
      </c>
      <c r="M51" s="52">
        <f>IF(Tabla15[[#This Row],[5]]="",0,VLOOKUP(TRAMOS!$K$2,Tabla5[#All],3,FALSE)*Tabla15[[#This Row],[6]])</f>
        <v>0.9</v>
      </c>
      <c r="N5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1" s="52">
        <f>IF(Tabla15[[#This Row],[8]]="",0,VLOOKUP(TRAMOS!$H$2,Tabla5[#All],3,FALSE)*Tabla15[[#This Row],[9]])</f>
        <v>0</v>
      </c>
      <c r="Q5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1" s="52">
        <f>IF(Tabla15[[#This Row],[11]]="",0,VLOOKUP(TRAMOS!$Q$2,Tabla5[#All],3,FALSE)*Tabla15[[#This Row],[12]])</f>
        <v>0</v>
      </c>
      <c r="T5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1" s="52">
        <f>IF(Tabla15[[#This Row],[20]]="",0,VLOOKUP("VRP",Tabla5[#All],3,FALSE)*Tabla15[[#This Row],[21]])</f>
        <v>0</v>
      </c>
      <c r="AC5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1" s="52">
        <f>IF(Tabla15[[#This Row],[23]]="",0,VLOOKUP("VC",Tabla5[#All],3,FALSE)*Tabla15[[#This Row],[24]])</f>
        <v>0</v>
      </c>
      <c r="AF5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1" s="52">
        <f>IF(Tabla15[[#This Row],[26]]="",0,VLOOKUP(TRAMOS!$K$2,Tabla5[#All],3,FALSE)*Tabla15[[#This Row],[27]])</f>
        <v>0</v>
      </c>
      <c r="AI5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52" spans="2:41" x14ac:dyDescent="0.25">
      <c r="B52" s="58" t="str">
        <f>Tabla1[[#This Row],[nudo inicial]]</f>
        <v>N24</v>
      </c>
      <c r="C52" s="58" t="str">
        <f>Tabla1[[#This Row],[nudo final]]</f>
        <v>TP12</v>
      </c>
      <c r="D52" s="51">
        <f>Tabla1[[#This Row],[longitud]]</f>
        <v>16.75</v>
      </c>
      <c r="E52" s="51" t="str">
        <f>Tabla1[[#This Row],[diametro]]</f>
        <v>3"</v>
      </c>
      <c r="F52" s="51" t="str">
        <f>Tabla1[[#This Row],[material]]</f>
        <v>PVC</v>
      </c>
      <c r="G5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52" s="52" t="str">
        <f>IF(Tabla1[[#This Row],[5]]="TPD",Tabla1[[#This Row],[6]],"")</f>
        <v>3"</v>
      </c>
      <c r="I52" s="52">
        <f>IF(OR(Tabla1[[#This Row],[5]]="TPD"),Tabla1[[#This Row],[7]],"")</f>
        <v>1</v>
      </c>
      <c r="J52" s="52">
        <f>IF(Tabla15[[#This Row],[2]]="",0,VLOOKUP(TRAMOS!$H$2,Tabla5[#All],3,FALSE)*Tabla15[[#This Row],[3]])</f>
        <v>0.15</v>
      </c>
      <c r="K52" s="52" t="str">
        <f>IF(Tabla1[[#This Row],[5]]="TPL",Tabla1[[#This Row],[6]],"")</f>
        <v/>
      </c>
      <c r="L52" s="52" t="str">
        <f>IF(OR(Tabla1[[#This Row],[5]]="TPL"),Tabla1[[#This Row],[7]],"")</f>
        <v/>
      </c>
      <c r="M52" s="52">
        <f>IF(Tabla15[[#This Row],[5]]="",0,VLOOKUP(TRAMOS!$K$2,Tabla5[#All],3,FALSE)*Tabla15[[#This Row],[6]])</f>
        <v>0</v>
      </c>
      <c r="N5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2" s="52">
        <f>IF(Tabla15[[#This Row],[8]]="",0,VLOOKUP(TRAMOS!$H$2,Tabla5[#All],3,FALSE)*Tabla15[[#This Row],[9]])</f>
        <v>0</v>
      </c>
      <c r="Q5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2" s="52">
        <f>IF(Tabla15[[#This Row],[11]]="",0,VLOOKUP(TRAMOS!$Q$2,Tabla5[#All],3,FALSE)*Tabla15[[#This Row],[12]])</f>
        <v>0</v>
      </c>
      <c r="T5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2" s="52">
        <f>IF(Tabla15[[#This Row],[20]]="",0,VLOOKUP("VRP",Tabla5[#All],3,FALSE)*Tabla15[[#This Row],[21]])</f>
        <v>0</v>
      </c>
      <c r="AC5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2" s="52">
        <f>IF(Tabla15[[#This Row],[23]]="",0,VLOOKUP("VC",Tabla5[#All],3,FALSE)*Tabla15[[#This Row],[24]])</f>
        <v>0</v>
      </c>
      <c r="AF5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2" s="52">
        <f>IF(Tabla15[[#This Row],[26]]="",0,VLOOKUP(TRAMOS!$K$2,Tabla5[#All],3,FALSE)*Tabla15[[#This Row],[27]])</f>
        <v>0</v>
      </c>
      <c r="AI5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2" s="52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0</v>
      </c>
      <c r="AN52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0</v>
      </c>
      <c r="AO5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53" spans="2:41" x14ac:dyDescent="0.25">
      <c r="B53" s="58" t="str">
        <f>Tabla1[[#This Row],[nudo inicial]]</f>
        <v>N22</v>
      </c>
      <c r="C53" s="58" t="str">
        <f>Tabla1[[#This Row],[nudo final]]</f>
        <v>N23</v>
      </c>
      <c r="D53" s="51">
        <f>Tabla1[[#This Row],[longitud]]</f>
        <v>4.9800000000000004</v>
      </c>
      <c r="E53" s="51" t="str">
        <f>Tabla1[[#This Row],[diametro]]</f>
        <v>3"</v>
      </c>
      <c r="F53" s="51" t="str">
        <f>Tabla1[[#This Row],[material]]</f>
        <v>PVC</v>
      </c>
      <c r="G5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53" s="52" t="str">
        <f>IF(Tabla1[[#This Row],[5]]="TPD",Tabla1[[#This Row],[6]],"")</f>
        <v>3"</v>
      </c>
      <c r="I53" s="52">
        <f>IF(OR(Tabla1[[#This Row],[5]]="TPD"),Tabla1[[#This Row],[7]],"")</f>
        <v>1</v>
      </c>
      <c r="J53" s="52">
        <f>IF(Tabla15[[#This Row],[2]]="",0,VLOOKUP(TRAMOS!$H$2,Tabla5[#All],3,FALSE)*Tabla15[[#This Row],[3]])</f>
        <v>0.15</v>
      </c>
      <c r="K53" s="52" t="str">
        <f>IF(Tabla1[[#This Row],[5]]="TPL",Tabla1[[#This Row],[6]],"")</f>
        <v/>
      </c>
      <c r="L53" s="52" t="str">
        <f>IF(OR(Tabla1[[#This Row],[5]]="TPL"),Tabla1[[#This Row],[7]],"")</f>
        <v/>
      </c>
      <c r="M53" s="52">
        <f>IF(Tabla15[[#This Row],[5]]="",0,VLOOKUP(TRAMOS!$K$2,Tabla5[#All],3,FALSE)*Tabla15[[#This Row],[6]])</f>
        <v>0</v>
      </c>
      <c r="N5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3" s="52">
        <f>IF(Tabla15[[#This Row],[8]]="",0,VLOOKUP(TRAMOS!$H$2,Tabla5[#All],3,FALSE)*Tabla15[[#This Row],[9]])</f>
        <v>0</v>
      </c>
      <c r="Q5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3" s="52">
        <f>IF(Tabla15[[#This Row],[11]]="",0,VLOOKUP(TRAMOS!$Q$2,Tabla5[#All],3,FALSE)*Tabla15[[#This Row],[12]])</f>
        <v>0</v>
      </c>
      <c r="T5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3" s="52">
        <f>IF(Tabla15[[#This Row],[20]]="",0,VLOOKUP("VRP",Tabla5[#All],3,FALSE)*Tabla15[[#This Row],[21]])</f>
        <v>0</v>
      </c>
      <c r="AC5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3" s="52">
        <f>IF(Tabla15[[#This Row],[23]]="",0,VLOOKUP("VC",Tabla5[#All],3,FALSE)*Tabla15[[#This Row],[24]])</f>
        <v>0</v>
      </c>
      <c r="AF5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3" s="52">
        <f>IF(Tabla15[[#This Row],[26]]="",0,VLOOKUP(TRAMOS!$K$2,Tabla5[#All],3,FALSE)*Tabla15[[#This Row],[27]])</f>
        <v>0</v>
      </c>
      <c r="AI5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54" spans="2:41" x14ac:dyDescent="0.25">
      <c r="B54" s="58" t="str">
        <f>Tabla1[[#This Row],[nudo inicial]]</f>
        <v>N23</v>
      </c>
      <c r="C54" s="58" t="str">
        <f>Tabla1[[#This Row],[nudo final]]</f>
        <v>TP13</v>
      </c>
      <c r="D54" s="51">
        <f>Tabla1[[#This Row],[longitud]]</f>
        <v>26.33</v>
      </c>
      <c r="E54" s="51" t="str">
        <f>Tabla1[[#This Row],[diametro]]</f>
        <v>3"</v>
      </c>
      <c r="F54" s="51" t="str">
        <f>Tabla1[[#This Row],[material]]</f>
        <v>PVC</v>
      </c>
      <c r="G5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54" s="52" t="str">
        <f>IF(Tabla1[[#This Row],[5]]="TPD",Tabla1[[#This Row],[6]],"")</f>
        <v>3"</v>
      </c>
      <c r="I54" s="52">
        <f>IF(OR(Tabla1[[#This Row],[5]]="TPD"),Tabla1[[#This Row],[7]],"")</f>
        <v>1</v>
      </c>
      <c r="J54" s="52">
        <f>IF(Tabla15[[#This Row],[2]]="",0,VLOOKUP(TRAMOS!$H$2,Tabla5[#All],3,FALSE)*Tabla15[[#This Row],[3]])</f>
        <v>0.15</v>
      </c>
      <c r="K54" s="52" t="str">
        <f>IF(Tabla1[[#This Row],[5]]="TPL",Tabla1[[#This Row],[6]],"")</f>
        <v/>
      </c>
      <c r="L54" s="52" t="str">
        <f>IF(OR(Tabla1[[#This Row],[5]]="TPL"),Tabla1[[#This Row],[7]],"")</f>
        <v/>
      </c>
      <c r="M54" s="52">
        <f>IF(Tabla15[[#This Row],[5]]="",0,VLOOKUP(TRAMOS!$K$2,Tabla5[#All],3,FALSE)*Tabla15[[#This Row],[6]])</f>
        <v>0</v>
      </c>
      <c r="N5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4" s="52">
        <f>IF(Tabla15[[#This Row],[8]]="",0,VLOOKUP(TRAMOS!$H$2,Tabla5[#All],3,FALSE)*Tabla15[[#This Row],[9]])</f>
        <v>0</v>
      </c>
      <c r="Q5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4" s="52">
        <f>IF(Tabla15[[#This Row],[11]]="",0,VLOOKUP(TRAMOS!$Q$2,Tabla5[#All],3,FALSE)*Tabla15[[#This Row],[12]])</f>
        <v>0</v>
      </c>
      <c r="T5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4" s="52">
        <f>IF(Tabla15[[#This Row],[20]]="",0,VLOOKUP("VRP",Tabla5[#All],3,FALSE)*Tabla15[[#This Row],[21]])</f>
        <v>0</v>
      </c>
      <c r="AC5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4" s="52">
        <f>IF(Tabla15[[#This Row],[23]]="",0,VLOOKUP("VC",Tabla5[#All],3,FALSE)*Tabla15[[#This Row],[24]])</f>
        <v>0</v>
      </c>
      <c r="AF5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4" s="52">
        <f>IF(Tabla15[[#This Row],[26]]="",0,VLOOKUP(TRAMOS!$K$2,Tabla5[#All],3,FALSE)*Tabla15[[#This Row],[27]])</f>
        <v>0</v>
      </c>
      <c r="AI5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54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5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55" spans="2:41" x14ac:dyDescent="0.25">
      <c r="B55" s="58" t="str">
        <f>Tabla1[[#This Row],[nudo inicial]]</f>
        <v>N23</v>
      </c>
      <c r="C55" s="58" t="str">
        <f>Tabla1[[#This Row],[nudo final]]</f>
        <v>N25</v>
      </c>
      <c r="D55" s="51">
        <f>Tabla1[[#This Row],[longitud]]</f>
        <v>66.52</v>
      </c>
      <c r="E55" s="51" t="str">
        <f>Tabla1[[#This Row],[diametro]]</f>
        <v>3"</v>
      </c>
      <c r="F55" s="51" t="str">
        <f>Tabla1[[#This Row],[material]]</f>
        <v>PVC</v>
      </c>
      <c r="G5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55" s="52" t="str">
        <f>IF(Tabla1[[#This Row],[5]]="TPD",Tabla1[[#This Row],[6]],"")</f>
        <v/>
      </c>
      <c r="I55" s="52" t="str">
        <f>IF(OR(Tabla1[[#This Row],[5]]="TPD"),Tabla1[[#This Row],[7]],"")</f>
        <v/>
      </c>
      <c r="J55" s="52">
        <f>IF(Tabla15[[#This Row],[2]]="",0,VLOOKUP(TRAMOS!$H$2,Tabla5[#All],3,FALSE)*Tabla15[[#This Row],[3]])</f>
        <v>0</v>
      </c>
      <c r="K55" s="52" t="str">
        <f>IF(Tabla1[[#This Row],[5]]="TPL",Tabla1[[#This Row],[6]],"")</f>
        <v>3"</v>
      </c>
      <c r="L55" s="52">
        <f>IF(OR(Tabla1[[#This Row],[5]]="TPL"),Tabla1[[#This Row],[7]],"")</f>
        <v>1</v>
      </c>
      <c r="M55" s="52">
        <f>IF(Tabla15[[#This Row],[5]]="",0,VLOOKUP(TRAMOS!$K$2,Tabla5[#All],3,FALSE)*Tabla15[[#This Row],[6]])</f>
        <v>0.9</v>
      </c>
      <c r="N5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5" s="52">
        <f>IF(Tabla15[[#This Row],[8]]="",0,VLOOKUP(TRAMOS!$H$2,Tabla5[#All],3,FALSE)*Tabla15[[#This Row],[9]])</f>
        <v>0</v>
      </c>
      <c r="Q5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5" s="52">
        <f>IF(Tabla15[[#This Row],[11]]="",0,VLOOKUP(TRAMOS!$Q$2,Tabla5[#All],3,FALSE)*Tabla15[[#This Row],[12]])</f>
        <v>0</v>
      </c>
      <c r="T5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5" s="52">
        <f>IF(Tabla15[[#This Row],[20]]="",0,VLOOKUP("VRP",Tabla5[#All],3,FALSE)*Tabla15[[#This Row],[21]])</f>
        <v>0</v>
      </c>
      <c r="AC5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5" s="52">
        <f>IF(Tabla15[[#This Row],[23]]="",0,VLOOKUP("VC",Tabla5[#All],3,FALSE)*Tabla15[[#This Row],[24]])</f>
        <v>0</v>
      </c>
      <c r="AF5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5" s="52">
        <f>IF(Tabla15[[#This Row],[26]]="",0,VLOOKUP(TRAMOS!$K$2,Tabla5[#All],3,FALSE)*Tabla15[[#This Row],[27]])</f>
        <v>0</v>
      </c>
      <c r="AI5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56" spans="2:41" x14ac:dyDescent="0.25">
      <c r="B56" s="58" t="str">
        <f>Tabla1[[#This Row],[nudo inicial]]</f>
        <v>N25</v>
      </c>
      <c r="C56" s="58" t="str">
        <f>Tabla1[[#This Row],[nudo final]]</f>
        <v>TP14</v>
      </c>
      <c r="D56" s="51">
        <f>Tabla1[[#This Row],[longitud]]</f>
        <v>33.57</v>
      </c>
      <c r="E56" s="51" t="str">
        <f>Tabla1[[#This Row],[diametro]]</f>
        <v>3"</v>
      </c>
      <c r="F56" s="51" t="str">
        <f>Tabla1[[#This Row],[material]]</f>
        <v>PVC</v>
      </c>
      <c r="G5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56" s="52" t="str">
        <f>IF(Tabla1[[#This Row],[5]]="TPD",Tabla1[[#This Row],[6]],"")</f>
        <v>3"</v>
      </c>
      <c r="I56" s="52">
        <f>IF(OR(Tabla1[[#This Row],[5]]="TPD"),Tabla1[[#This Row],[7]],"")</f>
        <v>1</v>
      </c>
      <c r="J56" s="52">
        <f>IF(Tabla15[[#This Row],[2]]="",0,VLOOKUP(TRAMOS!$H$2,Tabla5[#All],3,FALSE)*Tabla15[[#This Row],[3]])</f>
        <v>0.15</v>
      </c>
      <c r="K56" s="52" t="str">
        <f>IF(Tabla1[[#This Row],[5]]="TPL",Tabla1[[#This Row],[6]],"")</f>
        <v/>
      </c>
      <c r="L56" s="52" t="str">
        <f>IF(OR(Tabla1[[#This Row],[5]]="TPL"),Tabla1[[#This Row],[7]],"")</f>
        <v/>
      </c>
      <c r="M56" s="52">
        <f>IF(Tabla15[[#This Row],[5]]="",0,VLOOKUP(TRAMOS!$K$2,Tabla5[#All],3,FALSE)*Tabla15[[#This Row],[6]])</f>
        <v>0</v>
      </c>
      <c r="N5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6" s="52">
        <f>IF(Tabla15[[#This Row],[8]]="",0,VLOOKUP(TRAMOS!$H$2,Tabla5[#All],3,FALSE)*Tabla15[[#This Row],[9]])</f>
        <v>0</v>
      </c>
      <c r="Q5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6" s="52">
        <f>IF(Tabla15[[#This Row],[11]]="",0,VLOOKUP(TRAMOS!$Q$2,Tabla5[#All],3,FALSE)*Tabla15[[#This Row],[12]])</f>
        <v>0</v>
      </c>
      <c r="T5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6" s="52">
        <f>IF(Tabla15[[#This Row],[20]]="",0,VLOOKUP("VRP",Tabla5[#All],3,FALSE)*Tabla15[[#This Row],[21]])</f>
        <v>0</v>
      </c>
      <c r="AC5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6" s="52">
        <f>IF(Tabla15[[#This Row],[23]]="",0,VLOOKUP("VC",Tabla5[#All],3,FALSE)*Tabla15[[#This Row],[24]])</f>
        <v>0</v>
      </c>
      <c r="AF5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6" s="52">
        <f>IF(Tabla15[[#This Row],[26]]="",0,VLOOKUP(TRAMOS!$K$2,Tabla5[#All],3,FALSE)*Tabla15[[#This Row],[27]])</f>
        <v>0</v>
      </c>
      <c r="AI5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5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5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57" spans="2:41" x14ac:dyDescent="0.25">
      <c r="B57" s="58" t="str">
        <f>Tabla1[[#This Row],[nudo inicial]]</f>
        <v>N25</v>
      </c>
      <c r="C57" s="58" t="str">
        <f>Tabla1[[#This Row],[nudo final]]</f>
        <v>TP15</v>
      </c>
      <c r="D57" s="51">
        <f>Tabla1[[#This Row],[longitud]]</f>
        <v>33.83</v>
      </c>
      <c r="E57" s="51" t="str">
        <f>Tabla1[[#This Row],[diametro]]</f>
        <v>3"</v>
      </c>
      <c r="F57" s="51" t="str">
        <f>Tabla1[[#This Row],[material]]</f>
        <v>PVC</v>
      </c>
      <c r="G5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57" s="52" t="str">
        <f>IF(Tabla1[[#This Row],[5]]="TPD",Tabla1[[#This Row],[6]],"")</f>
        <v/>
      </c>
      <c r="I57" s="52" t="str">
        <f>IF(OR(Tabla1[[#This Row],[5]]="TPD"),Tabla1[[#This Row],[7]],"")</f>
        <v/>
      </c>
      <c r="J57" s="52">
        <f>IF(Tabla15[[#This Row],[2]]="",0,VLOOKUP(TRAMOS!$H$2,Tabla5[#All],3,FALSE)*Tabla15[[#This Row],[3]])</f>
        <v>0</v>
      </c>
      <c r="K57" s="52" t="str">
        <f>IF(Tabla1[[#This Row],[5]]="TPL",Tabla1[[#This Row],[6]],"")</f>
        <v>3"</v>
      </c>
      <c r="L57" s="52">
        <f>IF(OR(Tabla1[[#This Row],[5]]="TPL"),Tabla1[[#This Row],[7]],"")</f>
        <v>1</v>
      </c>
      <c r="M57" s="52">
        <f>IF(Tabla15[[#This Row],[5]]="",0,VLOOKUP(TRAMOS!$K$2,Tabla5[#All],3,FALSE)*Tabla15[[#This Row],[6]])</f>
        <v>0.9</v>
      </c>
      <c r="N5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7" s="52">
        <f>IF(Tabla15[[#This Row],[8]]="",0,VLOOKUP(TRAMOS!$H$2,Tabla5[#All],3,FALSE)*Tabla15[[#This Row],[9]])</f>
        <v>0</v>
      </c>
      <c r="Q5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7" s="52">
        <f>IF(Tabla15[[#This Row],[11]]="",0,VLOOKUP(TRAMOS!$Q$2,Tabla5[#All],3,FALSE)*Tabla15[[#This Row],[12]])</f>
        <v>0</v>
      </c>
      <c r="T5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7" s="52">
        <f>IF(Tabla15[[#This Row],[20]]="",0,VLOOKUP("VRP",Tabla5[#All],3,FALSE)*Tabla15[[#This Row],[21]])</f>
        <v>0</v>
      </c>
      <c r="AC5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7" s="52">
        <f>IF(Tabla15[[#This Row],[23]]="",0,VLOOKUP("VC",Tabla5[#All],3,FALSE)*Tabla15[[#This Row],[24]])</f>
        <v>0</v>
      </c>
      <c r="AF5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7" s="52">
        <f>IF(Tabla15[[#This Row],[26]]="",0,VLOOKUP(TRAMOS!$K$2,Tabla5[#All],3,FALSE)*Tabla15[[#This Row],[27]])</f>
        <v>0</v>
      </c>
      <c r="AI5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57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5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58" spans="2:41" x14ac:dyDescent="0.25">
      <c r="B58" s="58" t="str">
        <f>Tabla1[[#This Row],[nudo inicial]]</f>
        <v>N21</v>
      </c>
      <c r="C58" s="58" t="str">
        <f>Tabla1[[#This Row],[nudo final]]</f>
        <v>N26</v>
      </c>
      <c r="D58" s="51">
        <f>Tabla1[[#This Row],[longitud]]</f>
        <v>104.34</v>
      </c>
      <c r="E58" s="51" t="str">
        <f>Tabla1[[#This Row],[diametro]]</f>
        <v>3"</v>
      </c>
      <c r="F58" s="51" t="str">
        <f>Tabla1[[#This Row],[material]]</f>
        <v>PVC</v>
      </c>
      <c r="G5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58" s="52" t="str">
        <f>IF(Tabla1[[#This Row],[5]]="TPD",Tabla1[[#This Row],[6]],"")</f>
        <v>3"</v>
      </c>
      <c r="I58" s="52">
        <f>IF(OR(Tabla1[[#This Row],[5]]="TPD"),Tabla1[[#This Row],[7]],"")</f>
        <v>0</v>
      </c>
      <c r="J58" s="52">
        <f>IF(Tabla15[[#This Row],[2]]="",0,VLOOKUP(TRAMOS!$H$2,Tabla5[#All],3,FALSE)*Tabla15[[#This Row],[3]])</f>
        <v>0</v>
      </c>
      <c r="K58" s="52" t="str">
        <f>IF(Tabla1[[#This Row],[5]]="TPL",Tabla1[[#This Row],[6]],"")</f>
        <v/>
      </c>
      <c r="L58" s="52" t="str">
        <f>IF(OR(Tabla1[[#This Row],[5]]="TPL"),Tabla1[[#This Row],[7]],"")</f>
        <v/>
      </c>
      <c r="M58" s="52">
        <f>IF(Tabla15[[#This Row],[5]]="",0,VLOOKUP(TRAMOS!$K$2,Tabla5[#All],3,FALSE)*Tabla15[[#This Row],[6]])</f>
        <v>0</v>
      </c>
      <c r="N5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8" s="52">
        <f>IF(Tabla15[[#This Row],[8]]="",0,VLOOKUP(TRAMOS!$H$2,Tabla5[#All],3,FALSE)*Tabla15[[#This Row],[9]])</f>
        <v>0</v>
      </c>
      <c r="Q5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8" s="52">
        <f>IF(Tabla15[[#This Row],[11]]="",0,VLOOKUP(TRAMOS!$Q$2,Tabla5[#All],3,FALSE)*Tabla15[[#This Row],[12]])</f>
        <v>0</v>
      </c>
      <c r="T5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8" s="52">
        <f>IF(Tabla15[[#This Row],[20]]="",0,VLOOKUP("VRP",Tabla5[#All],3,FALSE)*Tabla15[[#This Row],[21]])</f>
        <v>0</v>
      </c>
      <c r="AC5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8" s="52">
        <f>IF(Tabla15[[#This Row],[23]]="",0,VLOOKUP("VC",Tabla5[#All],3,FALSE)*Tabla15[[#This Row],[24]])</f>
        <v>0</v>
      </c>
      <c r="AF5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8" s="52">
        <f>IF(Tabla15[[#This Row],[26]]="",0,VLOOKUP(TRAMOS!$K$2,Tabla5[#All],3,FALSE)*Tabla15[[#This Row],[27]])</f>
        <v>0</v>
      </c>
      <c r="AI5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</v>
      </c>
    </row>
    <row r="59" spans="2:41" x14ac:dyDescent="0.25">
      <c r="B59" s="58" t="str">
        <f>Tabla1[[#This Row],[nudo inicial]]</f>
        <v>N26</v>
      </c>
      <c r="C59" s="58" t="str">
        <f>Tabla1[[#This Row],[nudo final]]</f>
        <v>N34</v>
      </c>
      <c r="D59" s="51">
        <f>Tabla1[[#This Row],[longitud]]</f>
        <v>90.81</v>
      </c>
      <c r="E59" s="51" t="str">
        <f>Tabla1[[#This Row],[diametro]]</f>
        <v>2"</v>
      </c>
      <c r="F59" s="51" t="str">
        <f>Tabla1[[#This Row],[material]]</f>
        <v>PVC</v>
      </c>
      <c r="G5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59" s="52" t="str">
        <f>IF(Tabla1[[#This Row],[5]]="TPD",Tabla1[[#This Row],[6]],"")</f>
        <v/>
      </c>
      <c r="I59" s="52" t="str">
        <f>IF(OR(Tabla1[[#This Row],[5]]="TPD"),Tabla1[[#This Row],[7]],"")</f>
        <v/>
      </c>
      <c r="J59" s="52">
        <f>IF(Tabla15[[#This Row],[2]]="",0,VLOOKUP(TRAMOS!$H$2,Tabla5[#All],3,FALSE)*Tabla15[[#This Row],[3]])</f>
        <v>0</v>
      </c>
      <c r="K59" s="52" t="str">
        <f>IF(Tabla1[[#This Row],[5]]="TPL",Tabla1[[#This Row],[6]],"")</f>
        <v>3"</v>
      </c>
      <c r="L59" s="52">
        <f>IF(OR(Tabla1[[#This Row],[5]]="TPL"),Tabla1[[#This Row],[7]],"")</f>
        <v>1</v>
      </c>
      <c r="M59" s="52">
        <f>IF(Tabla15[[#This Row],[5]]="",0,VLOOKUP(TRAMOS!$K$2,Tabla5[#All],3,FALSE)*Tabla15[[#This Row],[6]])</f>
        <v>0.9</v>
      </c>
      <c r="N5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9" s="52">
        <f>IF(Tabla15[[#This Row],[8]]="",0,VLOOKUP(TRAMOS!$H$2,Tabla5[#All],3,FALSE)*Tabla15[[#This Row],[9]])</f>
        <v>0</v>
      </c>
      <c r="Q5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9" s="52">
        <f>IF(Tabla15[[#This Row],[11]]="",0,VLOOKUP(TRAMOS!$Q$2,Tabla5[#All],3,FALSE)*Tabla15[[#This Row],[12]])</f>
        <v>0</v>
      </c>
      <c r="T5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59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5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5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9" s="52">
        <f>IF(Tabla15[[#This Row],[20]]="",0,VLOOKUP("VRP",Tabla5[#All],3,FALSE)*Tabla15[[#This Row],[21]])</f>
        <v>0</v>
      </c>
      <c r="AC5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9" s="52">
        <f>IF(Tabla15[[#This Row],[23]]="",0,VLOOKUP("VC",Tabla5[#All],3,FALSE)*Tabla15[[#This Row],[24]])</f>
        <v>0</v>
      </c>
      <c r="AF5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9" s="52">
        <f>IF(Tabla15[[#This Row],[26]]="",0,VLOOKUP(TRAMOS!$K$2,Tabla5[#All],3,FALSE)*Tabla15[[#This Row],[27]])</f>
        <v>0</v>
      </c>
      <c r="AI5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60" spans="2:41" x14ac:dyDescent="0.25">
      <c r="B60" s="58" t="str">
        <f>Tabla1[[#This Row],[nudo inicial]]</f>
        <v>N34</v>
      </c>
      <c r="C60" s="58" t="str">
        <f>Tabla1[[#This Row],[nudo final]]</f>
        <v xml:space="preserve">T. LOS PINOS </v>
      </c>
      <c r="D60" s="51">
        <f>Tabla1[[#This Row],[longitud]]</f>
        <v>249.76</v>
      </c>
      <c r="E60" s="51" t="str">
        <f>Tabla1[[#This Row],[diametro]]</f>
        <v>1"</v>
      </c>
      <c r="F60" s="51" t="str">
        <f>Tabla1[[#This Row],[material]]</f>
        <v>PVC</v>
      </c>
      <c r="G6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60" s="52" t="str">
        <f>IF(Tabla1[[#This Row],[5]]="TPD",Tabla1[[#This Row],[6]],"")</f>
        <v/>
      </c>
      <c r="I60" s="52" t="str">
        <f>IF(OR(Tabla1[[#This Row],[5]]="TPD"),Tabla1[[#This Row],[7]],"")</f>
        <v/>
      </c>
      <c r="J60" s="52">
        <f>IF(Tabla15[[#This Row],[2]]="",0,VLOOKUP(TRAMOS!$H$2,Tabla5[#All],3,FALSE)*Tabla15[[#This Row],[3]])</f>
        <v>0</v>
      </c>
      <c r="K60" s="52" t="str">
        <f>IF(Tabla1[[#This Row],[5]]="TPL",Tabla1[[#This Row],[6]],"")</f>
        <v/>
      </c>
      <c r="L60" s="52" t="str">
        <f>IF(OR(Tabla1[[#This Row],[5]]="TPL"),Tabla1[[#This Row],[7]],"")</f>
        <v/>
      </c>
      <c r="M60" s="52">
        <f>IF(Tabla15[[#This Row],[5]]="",0,VLOOKUP(TRAMOS!$K$2,Tabla5[#All],3,FALSE)*Tabla15[[#This Row],[6]])</f>
        <v>0</v>
      </c>
      <c r="N6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0" s="52">
        <f>IF(Tabla15[[#This Row],[8]]="",0,VLOOKUP(TRAMOS!$H$2,Tabla5[#All],3,FALSE)*Tabla15[[#This Row],[9]])</f>
        <v>0</v>
      </c>
      <c r="Q6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1"</v>
      </c>
      <c r="R60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2</v>
      </c>
      <c r="S60" s="52">
        <f>IF(Tabla15[[#This Row],[11]]="",0,VLOOKUP(TRAMOS!$Q$2,Tabla5[#All],3,FALSE)*Tabla15[[#This Row],[12]])</f>
        <v>1.8</v>
      </c>
      <c r="T6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1"</v>
      </c>
      <c r="U60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6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6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0" s="52">
        <f>IF(Tabla15[[#This Row],[20]]="",0,VLOOKUP("VRP",Tabla5[#All],3,FALSE)*Tabla15[[#This Row],[21]])</f>
        <v>0</v>
      </c>
      <c r="AC6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0" s="52">
        <f>IF(Tabla15[[#This Row],[23]]="",0,VLOOKUP("VC",Tabla5[#All],3,FALSE)*Tabla15[[#This Row],[24]])</f>
        <v>0</v>
      </c>
      <c r="AF6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0" s="52">
        <f>IF(Tabla15[[#This Row],[26]]="",0,VLOOKUP(TRAMOS!$K$2,Tabla5[#All],3,FALSE)*Tabla15[[#This Row],[27]])</f>
        <v>0</v>
      </c>
      <c r="AI6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2.17</v>
      </c>
    </row>
    <row r="61" spans="2:41" x14ac:dyDescent="0.25">
      <c r="B61" s="58" t="str">
        <f>Tabla1[[#This Row],[nudo inicial]]</f>
        <v xml:space="preserve">T. LOS PINOS </v>
      </c>
      <c r="C61" s="58" t="str">
        <f>Tabla1[[#This Row],[nudo final]]</f>
        <v>TP16</v>
      </c>
      <c r="D61" s="51">
        <f>Tabla1[[#This Row],[longitud]]</f>
        <v>298.44</v>
      </c>
      <c r="E61" s="51" t="str">
        <f>Tabla1[[#This Row],[diametro]]</f>
        <v>2"</v>
      </c>
      <c r="F61" s="51" t="str">
        <f>Tabla1[[#This Row],[material]]</f>
        <v>PVC</v>
      </c>
      <c r="G6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1"</v>
      </c>
      <c r="H61" s="52" t="str">
        <f>IF(Tabla1[[#This Row],[5]]="TPD",Tabla1[[#This Row],[6]],"")</f>
        <v/>
      </c>
      <c r="I61" s="52" t="str">
        <f>IF(OR(Tabla1[[#This Row],[5]]="TPD"),Tabla1[[#This Row],[7]],"")</f>
        <v/>
      </c>
      <c r="J61" s="52">
        <f>IF(Tabla15[[#This Row],[2]]="",0,VLOOKUP(TRAMOS!$H$2,Tabla5[#All],3,FALSE)*Tabla15[[#This Row],[3]])</f>
        <v>0</v>
      </c>
      <c r="K61" s="52" t="str">
        <f>IF(Tabla1[[#This Row],[5]]="TPL",Tabla1[[#This Row],[6]],"")</f>
        <v/>
      </c>
      <c r="L61" s="52" t="str">
        <f>IF(OR(Tabla1[[#This Row],[5]]="TPL"),Tabla1[[#This Row],[7]],"")</f>
        <v/>
      </c>
      <c r="M61" s="52">
        <f>IF(Tabla15[[#This Row],[5]]="",0,VLOOKUP(TRAMOS!$K$2,Tabla5[#All],3,FALSE)*Tabla15[[#This Row],[6]])</f>
        <v>0</v>
      </c>
      <c r="N6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1" s="52">
        <f>IF(Tabla15[[#This Row],[8]]="",0,VLOOKUP(TRAMOS!$H$2,Tabla5[#All],3,FALSE)*Tabla15[[#This Row],[9]])</f>
        <v>0</v>
      </c>
      <c r="Q6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61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6</v>
      </c>
      <c r="S61" s="52">
        <f>IF(Tabla15[[#This Row],[11]]="",0,VLOOKUP(TRAMOS!$Q$2,Tabla5[#All],3,FALSE)*Tabla15[[#This Row],[12]])</f>
        <v>5.4</v>
      </c>
      <c r="T6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1" s="52">
        <f>IF(Tabla15[[#This Row],[20]]="",0,VLOOKUP("VRP",Tabla5[#All],3,FALSE)*Tabla15[[#This Row],[21]])</f>
        <v>0</v>
      </c>
      <c r="AC6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1" s="52">
        <f>IF(Tabla15[[#This Row],[23]]="",0,VLOOKUP("VC",Tabla5[#All],3,FALSE)*Tabla15[[#This Row],[24]])</f>
        <v>0</v>
      </c>
      <c r="AF6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1" s="52">
        <f>IF(Tabla15[[#This Row],[26]]="",0,VLOOKUP(TRAMOS!$K$2,Tabla5[#All],3,FALSE)*Tabla15[[#This Row],[27]])</f>
        <v>0</v>
      </c>
      <c r="AI6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61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6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5.4</v>
      </c>
    </row>
    <row r="62" spans="2:41" x14ac:dyDescent="0.25">
      <c r="B62" s="58" t="str">
        <f>Tabla1[[#This Row],[nudo inicial]]</f>
        <v>N26</v>
      </c>
      <c r="C62" s="58" t="str">
        <f>Tabla1[[#This Row],[nudo final]]</f>
        <v>N27</v>
      </c>
      <c r="D62" s="51">
        <f>Tabla1[[#This Row],[longitud]]</f>
        <v>9.2100000000000009</v>
      </c>
      <c r="E62" s="51" t="str">
        <f>Tabla1[[#This Row],[diametro]]</f>
        <v>3"</v>
      </c>
      <c r="F62" s="51" t="str">
        <f>Tabla1[[#This Row],[material]]</f>
        <v>PVC</v>
      </c>
      <c r="G6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2" s="52" t="str">
        <f>IF(Tabla1[[#This Row],[5]]="TPD",Tabla1[[#This Row],[6]],"")</f>
        <v>3"</v>
      </c>
      <c r="I62" s="52">
        <f>IF(OR(Tabla1[[#This Row],[5]]="TPD"),Tabla1[[#This Row],[7]],"")</f>
        <v>1</v>
      </c>
      <c r="J62" s="52">
        <f>IF(Tabla15[[#This Row],[2]]="",0,VLOOKUP(TRAMOS!$H$2,Tabla5[#All],3,FALSE)*Tabla15[[#This Row],[3]])</f>
        <v>0.15</v>
      </c>
      <c r="K62" s="52" t="str">
        <f>IF(Tabla1[[#This Row],[5]]="TPL",Tabla1[[#This Row],[6]],"")</f>
        <v/>
      </c>
      <c r="L62" s="52" t="str">
        <f>IF(OR(Tabla1[[#This Row],[5]]="TPL"),Tabla1[[#This Row],[7]],"")</f>
        <v/>
      </c>
      <c r="M62" s="52">
        <f>IF(Tabla15[[#This Row],[5]]="",0,VLOOKUP(TRAMOS!$K$2,Tabla5[#All],3,FALSE)*Tabla15[[#This Row],[6]])</f>
        <v>0</v>
      </c>
      <c r="N6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2" s="52">
        <f>IF(Tabla15[[#This Row],[8]]="",0,VLOOKUP(TRAMOS!$H$2,Tabla5[#All],3,FALSE)*Tabla15[[#This Row],[9]])</f>
        <v>0</v>
      </c>
      <c r="Q6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2" s="52">
        <f>IF(Tabla15[[#This Row],[11]]="",0,VLOOKUP(TRAMOS!$Q$2,Tabla5[#All],3,FALSE)*Tabla15[[#This Row],[12]])</f>
        <v>0</v>
      </c>
      <c r="T6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2" s="52">
        <f>IF(Tabla15[[#This Row],[20]]="",0,VLOOKUP("VRP",Tabla5[#All],3,FALSE)*Tabla15[[#This Row],[21]])</f>
        <v>0</v>
      </c>
      <c r="AC6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62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62" s="52">
        <f>IF(Tabla15[[#This Row],[23]]="",0,VLOOKUP("VC",Tabla5[#All],3,FALSE)*Tabla15[[#This Row],[24]])</f>
        <v>0.25</v>
      </c>
      <c r="AF6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2" s="52">
        <f>IF(Tabla15[[#This Row],[26]]="",0,VLOOKUP(TRAMOS!$K$2,Tabla5[#All],3,FALSE)*Tabla15[[#This Row],[27]])</f>
        <v>0</v>
      </c>
      <c r="AI6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0.4</v>
      </c>
    </row>
    <row r="63" spans="2:41" x14ac:dyDescent="0.25">
      <c r="B63" s="58" t="str">
        <f>Tabla1[[#This Row],[nudo inicial]]</f>
        <v>N27</v>
      </c>
      <c r="C63" s="58" t="str">
        <f>Tabla1[[#This Row],[nudo final]]</f>
        <v>N28</v>
      </c>
      <c r="D63" s="51">
        <f>Tabla1[[#This Row],[longitud]]</f>
        <v>122.57</v>
      </c>
      <c r="E63" s="51" t="str">
        <f>Tabla1[[#This Row],[diametro]]</f>
        <v>2"</v>
      </c>
      <c r="F63" s="51" t="str">
        <f>Tabla1[[#This Row],[material]]</f>
        <v>PVC</v>
      </c>
      <c r="G6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3" s="52" t="str">
        <f>IF(Tabla1[[#This Row],[5]]="TPD",Tabla1[[#This Row],[6]],"")</f>
        <v/>
      </c>
      <c r="I63" s="52" t="str">
        <f>IF(OR(Tabla1[[#This Row],[5]]="TPD"),Tabla1[[#This Row],[7]],"")</f>
        <v/>
      </c>
      <c r="J63" s="52">
        <f>IF(Tabla15[[#This Row],[2]]="",0,VLOOKUP(TRAMOS!$H$2,Tabla5[#All],3,FALSE)*Tabla15[[#This Row],[3]])</f>
        <v>0</v>
      </c>
      <c r="K63" s="52" t="str">
        <f>IF(Tabla1[[#This Row],[5]]="TPL",Tabla1[[#This Row],[6]],"")</f>
        <v>3"</v>
      </c>
      <c r="L63" s="52">
        <f>IF(OR(Tabla1[[#This Row],[5]]="TPL"),Tabla1[[#This Row],[7]],"")</f>
        <v>1</v>
      </c>
      <c r="M63" s="52">
        <f>IF(Tabla15[[#This Row],[5]]="",0,VLOOKUP(TRAMOS!$K$2,Tabla5[#All],3,FALSE)*Tabla15[[#This Row],[6]])</f>
        <v>0.9</v>
      </c>
      <c r="N6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3" s="52">
        <f>IF(Tabla15[[#This Row],[8]]="",0,VLOOKUP(TRAMOS!$H$2,Tabla5[#All],3,FALSE)*Tabla15[[#This Row],[9]])</f>
        <v>0</v>
      </c>
      <c r="Q6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63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63" s="52">
        <f>IF(Tabla15[[#This Row],[11]]="",0,VLOOKUP(TRAMOS!$Q$2,Tabla5[#All],3,FALSE)*Tabla15[[#This Row],[12]])</f>
        <v>0.9</v>
      </c>
      <c r="T6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63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6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6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3" s="52">
        <f>IF(Tabla15[[#This Row],[20]]="",0,VLOOKUP("VRP",Tabla5[#All],3,FALSE)*Tabla15[[#This Row],[21]])</f>
        <v>0</v>
      </c>
      <c r="AC6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3" s="52">
        <f>IF(Tabla15[[#This Row],[23]]="",0,VLOOKUP("VC",Tabla5[#All],3,FALSE)*Tabla15[[#This Row],[24]])</f>
        <v>0</v>
      </c>
      <c r="AF6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3" s="52">
        <f>IF(Tabla15[[#This Row],[26]]="",0,VLOOKUP(TRAMOS!$K$2,Tabla5[#All],3,FALSE)*Tabla15[[#This Row],[27]])</f>
        <v>0</v>
      </c>
      <c r="AI6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2.0150000000000001</v>
      </c>
    </row>
    <row r="64" spans="2:41" x14ac:dyDescent="0.25">
      <c r="B64" s="58" t="str">
        <f>Tabla1[[#This Row],[nudo inicial]]</f>
        <v>N28</v>
      </c>
      <c r="C64" s="58" t="str">
        <f>Tabla1[[#This Row],[nudo final]]</f>
        <v>TPL17</v>
      </c>
      <c r="D64" s="51">
        <f>Tabla1[[#This Row],[longitud]]</f>
        <v>22.87</v>
      </c>
      <c r="E64" s="51" t="str">
        <f>Tabla1[[#This Row],[diametro]]</f>
        <v>2"</v>
      </c>
      <c r="F64" s="51" t="str">
        <f>Tabla1[[#This Row],[material]]</f>
        <v>PVC</v>
      </c>
      <c r="G6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64" s="52" t="str">
        <f>IF(Tabla1[[#This Row],[5]]="TPD",Tabla1[[#This Row],[6]],"")</f>
        <v/>
      </c>
      <c r="I64" s="52" t="str">
        <f>IF(OR(Tabla1[[#This Row],[5]]="TPD"),Tabla1[[#This Row],[7]],"")</f>
        <v/>
      </c>
      <c r="J64" s="52">
        <f>IF(Tabla15[[#This Row],[2]]="",0,VLOOKUP(TRAMOS!$H$2,Tabla5[#All],3,FALSE)*Tabla15[[#This Row],[3]])</f>
        <v>0</v>
      </c>
      <c r="K64" s="52" t="str">
        <f>IF(Tabla1[[#This Row],[5]]="TPL",Tabla1[[#This Row],[6]],"")</f>
        <v>2"</v>
      </c>
      <c r="L64" s="52">
        <f>IF(OR(Tabla1[[#This Row],[5]]="TPL"),Tabla1[[#This Row],[7]],"")</f>
        <v>1</v>
      </c>
      <c r="M64" s="52">
        <f>IF(Tabla15[[#This Row],[5]]="",0,VLOOKUP(TRAMOS!$K$2,Tabla5[#All],3,FALSE)*Tabla15[[#This Row],[6]])</f>
        <v>0.9</v>
      </c>
      <c r="N6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4" s="52">
        <f>IF(Tabla15[[#This Row],[8]]="",0,VLOOKUP(TRAMOS!$H$2,Tabla5[#All],3,FALSE)*Tabla15[[#This Row],[9]])</f>
        <v>0</v>
      </c>
      <c r="Q6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4" s="52">
        <f>IF(Tabla15[[#This Row],[11]]="",0,VLOOKUP(TRAMOS!$Q$2,Tabla5[#All],3,FALSE)*Tabla15[[#This Row],[12]])</f>
        <v>0</v>
      </c>
      <c r="T6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4" s="52">
        <f>IF(Tabla15[[#This Row],[20]]="",0,VLOOKUP("VRP",Tabla5[#All],3,FALSE)*Tabla15[[#This Row],[21]])</f>
        <v>0</v>
      </c>
      <c r="AC6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4" s="52">
        <f>IF(Tabla15[[#This Row],[23]]="",0,VLOOKUP("VC",Tabla5[#All],3,FALSE)*Tabla15[[#This Row],[24]])</f>
        <v>0</v>
      </c>
      <c r="AF6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4" s="52">
        <f>IF(Tabla15[[#This Row],[26]]="",0,VLOOKUP(TRAMOS!$K$2,Tabla5[#All],3,FALSE)*Tabla15[[#This Row],[27]])</f>
        <v>0</v>
      </c>
      <c r="AI6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64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6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65" spans="2:41" x14ac:dyDescent="0.25">
      <c r="B65" s="58" t="str">
        <f>Tabla1[[#This Row],[nudo inicial]]</f>
        <v>N28</v>
      </c>
      <c r="C65" s="58" t="str">
        <f>Tabla1[[#This Row],[nudo final]]</f>
        <v>TP18</v>
      </c>
      <c r="D65" s="51">
        <f>Tabla1[[#This Row],[longitud]]</f>
        <v>41.33</v>
      </c>
      <c r="E65" s="51" t="str">
        <f>Tabla1[[#This Row],[diametro]]</f>
        <v>2"</v>
      </c>
      <c r="F65" s="51" t="str">
        <f>Tabla1[[#This Row],[material]]</f>
        <v>PVC</v>
      </c>
      <c r="G6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65" s="52" t="str">
        <f>IF(Tabla1[[#This Row],[5]]="TPD",Tabla1[[#This Row],[6]],"")</f>
        <v/>
      </c>
      <c r="I65" s="52" t="str">
        <f>IF(OR(Tabla1[[#This Row],[5]]="TPD"),Tabla1[[#This Row],[7]],"")</f>
        <v/>
      </c>
      <c r="J65" s="52">
        <f>IF(Tabla15[[#This Row],[2]]="",0,VLOOKUP(TRAMOS!$H$2,Tabla5[#All],3,FALSE)*Tabla15[[#This Row],[3]])</f>
        <v>0</v>
      </c>
      <c r="K65" s="52" t="str">
        <f>IF(Tabla1[[#This Row],[5]]="TPL",Tabla1[[#This Row],[6]],"")</f>
        <v>2"</v>
      </c>
      <c r="L65" s="52">
        <f>IF(OR(Tabla1[[#This Row],[5]]="TPL"),Tabla1[[#This Row],[7]],"")</f>
        <v>1</v>
      </c>
      <c r="M65" s="52">
        <f>IF(Tabla15[[#This Row],[5]]="",0,VLOOKUP(TRAMOS!$K$2,Tabla5[#All],3,FALSE)*Tabla15[[#This Row],[6]])</f>
        <v>0.9</v>
      </c>
      <c r="N6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5" s="52">
        <f>IF(Tabla15[[#This Row],[8]]="",0,VLOOKUP(TRAMOS!$H$2,Tabla5[#All],3,FALSE)*Tabla15[[#This Row],[9]])</f>
        <v>0</v>
      </c>
      <c r="Q6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5" s="52">
        <f>IF(Tabla15[[#This Row],[11]]="",0,VLOOKUP(TRAMOS!$Q$2,Tabla5[#All],3,FALSE)*Tabla15[[#This Row],[12]])</f>
        <v>0</v>
      </c>
      <c r="T6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5" s="52">
        <f>IF(Tabla15[[#This Row],[20]]="",0,VLOOKUP("VRP",Tabla5[#All],3,FALSE)*Tabla15[[#This Row],[21]])</f>
        <v>0</v>
      </c>
      <c r="AC6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5" s="52">
        <f>IF(Tabla15[[#This Row],[23]]="",0,VLOOKUP("VC",Tabla5[#All],3,FALSE)*Tabla15[[#This Row],[24]])</f>
        <v>0</v>
      </c>
      <c r="AF6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5" s="52">
        <f>IF(Tabla15[[#This Row],[26]]="",0,VLOOKUP(TRAMOS!$K$2,Tabla5[#All],3,FALSE)*Tabla15[[#This Row],[27]])</f>
        <v>0</v>
      </c>
      <c r="AI6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65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6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66" spans="2:41" x14ac:dyDescent="0.25">
      <c r="B66" s="58" t="str">
        <f>Tabla1[[#This Row],[nudo inicial]]</f>
        <v>N27</v>
      </c>
      <c r="C66" s="58" t="str">
        <f>Tabla1[[#This Row],[nudo final]]</f>
        <v>N29</v>
      </c>
      <c r="D66" s="51">
        <f>Tabla1[[#This Row],[longitud]]</f>
        <v>57.44</v>
      </c>
      <c r="E66" s="51" t="str">
        <f>Tabla1[[#This Row],[diametro]]</f>
        <v>3"</v>
      </c>
      <c r="F66" s="51" t="str">
        <f>Tabla1[[#This Row],[material]]</f>
        <v>PVC</v>
      </c>
      <c r="G6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6" s="52" t="str">
        <f>IF(Tabla1[[#This Row],[5]]="TPD",Tabla1[[#This Row],[6]],"")</f>
        <v>3"</v>
      </c>
      <c r="I66" s="52">
        <f>IF(OR(Tabla1[[#This Row],[5]]="TPD"),Tabla1[[#This Row],[7]],"")</f>
        <v>0</v>
      </c>
      <c r="J66" s="52">
        <f>IF(Tabla15[[#This Row],[2]]="",0,VLOOKUP(TRAMOS!$H$2,Tabla5[#All],3,FALSE)*Tabla15[[#This Row],[3]])</f>
        <v>0</v>
      </c>
      <c r="K66" s="52" t="str">
        <f>IF(Tabla1[[#This Row],[5]]="TPL",Tabla1[[#This Row],[6]],"")</f>
        <v/>
      </c>
      <c r="L66" s="52" t="str">
        <f>IF(OR(Tabla1[[#This Row],[5]]="TPL"),Tabla1[[#This Row],[7]],"")</f>
        <v/>
      </c>
      <c r="M66" s="52">
        <f>IF(Tabla15[[#This Row],[5]]="",0,VLOOKUP(TRAMOS!$K$2,Tabla5[#All],3,FALSE)*Tabla15[[#This Row],[6]])</f>
        <v>0</v>
      </c>
      <c r="N6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6" s="52">
        <f>IF(Tabla15[[#This Row],[8]]="",0,VLOOKUP(TRAMOS!$H$2,Tabla5[#All],3,FALSE)*Tabla15[[#This Row],[9]])</f>
        <v>0</v>
      </c>
      <c r="Q6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6" s="52">
        <f>IF(Tabla15[[#This Row],[11]]="",0,VLOOKUP(TRAMOS!$Q$2,Tabla5[#All],3,FALSE)*Tabla15[[#This Row],[12]])</f>
        <v>0</v>
      </c>
      <c r="T6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6" s="52">
        <f>IF(Tabla15[[#This Row],[20]]="",0,VLOOKUP("VRP",Tabla5[#All],3,FALSE)*Tabla15[[#This Row],[21]])</f>
        <v>0</v>
      </c>
      <c r="AC6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6" s="52">
        <f>IF(Tabla15[[#This Row],[23]]="",0,VLOOKUP("VC",Tabla5[#All],3,FALSE)*Tabla15[[#This Row],[24]])</f>
        <v>0</v>
      </c>
      <c r="AF6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6" s="52">
        <f>IF(Tabla15[[#This Row],[26]]="",0,VLOOKUP(TRAMOS!$K$2,Tabla5[#All],3,FALSE)*Tabla15[[#This Row],[27]])</f>
        <v>0</v>
      </c>
      <c r="AI6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</v>
      </c>
    </row>
    <row r="67" spans="2:41" x14ac:dyDescent="0.25">
      <c r="B67" s="58" t="str">
        <f>Tabla1[[#This Row],[nudo inicial]]</f>
        <v>N29</v>
      </c>
      <c r="C67" s="58" t="str">
        <f>Tabla1[[#This Row],[nudo final]]</f>
        <v>N30</v>
      </c>
      <c r="D67" s="51">
        <f>Tabla1[[#This Row],[longitud]]</f>
        <v>31.13</v>
      </c>
      <c r="E67" s="51" t="str">
        <f>Tabla1[[#This Row],[diametro]]</f>
        <v>2"</v>
      </c>
      <c r="F67" s="51" t="str">
        <f>Tabla1[[#This Row],[material]]</f>
        <v>PVC</v>
      </c>
      <c r="G6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7" s="52" t="str">
        <f>IF(Tabla1[[#This Row],[5]]="TPD",Tabla1[[#This Row],[6]],"")</f>
        <v/>
      </c>
      <c r="I67" s="52" t="str">
        <f>IF(OR(Tabla1[[#This Row],[5]]="TPD"),Tabla1[[#This Row],[7]],"")</f>
        <v/>
      </c>
      <c r="J67" s="52">
        <f>IF(Tabla15[[#This Row],[2]]="",0,VLOOKUP(TRAMOS!$H$2,Tabla5[#All],3,FALSE)*Tabla15[[#This Row],[3]])</f>
        <v>0</v>
      </c>
      <c r="K67" s="52" t="str">
        <f>IF(Tabla1[[#This Row],[5]]="TPL",Tabla1[[#This Row],[6]],"")</f>
        <v/>
      </c>
      <c r="L67" s="52" t="str">
        <f>IF(OR(Tabla1[[#This Row],[5]]="TPL"),Tabla1[[#This Row],[7]],"")</f>
        <v/>
      </c>
      <c r="M67" s="52">
        <f>IF(Tabla15[[#This Row],[5]]="",0,VLOOKUP(TRAMOS!$K$2,Tabla5[#All],3,FALSE)*Tabla15[[#This Row],[6]])</f>
        <v>0</v>
      </c>
      <c r="N6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7" s="52">
        <f>IF(Tabla15[[#This Row],[8]]="",0,VLOOKUP(TRAMOS!$H$2,Tabla5[#All],3,FALSE)*Tabla15[[#This Row],[9]])</f>
        <v>0</v>
      </c>
      <c r="Q6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67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67" s="52">
        <f>IF(Tabla15[[#This Row],[11]]="",0,VLOOKUP(TRAMOS!$Q$2,Tabla5[#All],3,FALSE)*Tabla15[[#This Row],[12]])</f>
        <v>0.9</v>
      </c>
      <c r="T6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67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6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6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7" s="52">
        <f>IF(Tabla15[[#This Row],[20]]="",0,VLOOKUP("VRP",Tabla5[#All],3,FALSE)*Tabla15[[#This Row],[21]])</f>
        <v>0</v>
      </c>
      <c r="AC6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7" s="52">
        <f>IF(Tabla15[[#This Row],[23]]="",0,VLOOKUP("VC",Tabla5[#All],3,FALSE)*Tabla15[[#This Row],[24]])</f>
        <v>0</v>
      </c>
      <c r="AF6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7" s="52">
        <f>IF(Tabla15[[#This Row],[26]]="",0,VLOOKUP(TRAMOS!$K$2,Tabla5[#All],3,FALSE)*Tabla15[[#This Row],[27]])</f>
        <v>0</v>
      </c>
      <c r="AI6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68" spans="2:41" x14ac:dyDescent="0.25">
      <c r="B68" s="58" t="str">
        <f>Tabla1[[#This Row],[nudo inicial]]</f>
        <v>N30</v>
      </c>
      <c r="C68" s="58" t="str">
        <f>Tabla1[[#This Row],[nudo final]]</f>
        <v>TP19</v>
      </c>
      <c r="D68" s="51">
        <f>Tabla1[[#This Row],[longitud]]</f>
        <v>71.34</v>
      </c>
      <c r="E68" s="51" t="str">
        <f>Tabla1[[#This Row],[diametro]]</f>
        <v>2"</v>
      </c>
      <c r="F68" s="51" t="str">
        <f>Tabla1[[#This Row],[material]]</f>
        <v>PVC</v>
      </c>
      <c r="G6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68" s="52" t="str">
        <f>IF(Tabla1[[#This Row],[5]]="TPD",Tabla1[[#This Row],[6]],"")</f>
        <v>2"</v>
      </c>
      <c r="I68" s="52">
        <f>IF(OR(Tabla1[[#This Row],[5]]="TPD"),Tabla1[[#This Row],[7]],"")</f>
        <v>1</v>
      </c>
      <c r="J68" s="52">
        <f>IF(Tabla15[[#This Row],[2]]="",0,VLOOKUP(TRAMOS!$H$2,Tabla5[#All],3,FALSE)*Tabla15[[#This Row],[3]])</f>
        <v>0.15</v>
      </c>
      <c r="K68" s="52" t="str">
        <f>IF(Tabla1[[#This Row],[5]]="TPL",Tabla1[[#This Row],[6]],"")</f>
        <v/>
      </c>
      <c r="L68" s="52" t="str">
        <f>IF(OR(Tabla1[[#This Row],[5]]="TPL"),Tabla1[[#This Row],[7]],"")</f>
        <v/>
      </c>
      <c r="M68" s="52">
        <f>IF(Tabla15[[#This Row],[5]]="",0,VLOOKUP(TRAMOS!$K$2,Tabla5[#All],3,FALSE)*Tabla15[[#This Row],[6]])</f>
        <v>0</v>
      </c>
      <c r="N6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8" s="52">
        <f>IF(Tabla15[[#This Row],[8]]="",0,VLOOKUP(TRAMOS!$H$2,Tabla5[#All],3,FALSE)*Tabla15[[#This Row],[9]])</f>
        <v>0</v>
      </c>
      <c r="Q6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8" s="52">
        <f>IF(Tabla15[[#This Row],[11]]="",0,VLOOKUP(TRAMOS!$Q$2,Tabla5[#All],3,FALSE)*Tabla15[[#This Row],[12]])</f>
        <v>0</v>
      </c>
      <c r="T6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8" s="52">
        <f>IF(Tabla15[[#This Row],[20]]="",0,VLOOKUP("VRP",Tabla5[#All],3,FALSE)*Tabla15[[#This Row],[21]])</f>
        <v>0</v>
      </c>
      <c r="AC6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8" s="52">
        <f>IF(Tabla15[[#This Row],[23]]="",0,VLOOKUP("VC",Tabla5[#All],3,FALSE)*Tabla15[[#This Row],[24]])</f>
        <v>0</v>
      </c>
      <c r="AF6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8" s="52">
        <f>IF(Tabla15[[#This Row],[26]]="",0,VLOOKUP(TRAMOS!$K$2,Tabla5[#All],3,FALSE)*Tabla15[[#This Row],[27]])</f>
        <v>0</v>
      </c>
      <c r="AI6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68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6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69" spans="2:41" x14ac:dyDescent="0.25">
      <c r="B69" s="58" t="str">
        <f>Tabla1[[#This Row],[nudo inicial]]</f>
        <v>N30</v>
      </c>
      <c r="C69" s="58" t="str">
        <f>Tabla1[[#This Row],[nudo final]]</f>
        <v>N31</v>
      </c>
      <c r="D69" s="51">
        <f>Tabla1[[#This Row],[longitud]]</f>
        <v>25.75</v>
      </c>
      <c r="E69" s="51" t="str">
        <f>Tabla1[[#This Row],[diametro]]</f>
        <v>2"</v>
      </c>
      <c r="F69" s="51" t="str">
        <f>Tabla1[[#This Row],[material]]</f>
        <v>PVC</v>
      </c>
      <c r="G6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69" s="52" t="str">
        <f>IF(Tabla1[[#This Row],[5]]="TPD",Tabla1[[#This Row],[6]],"")</f>
        <v/>
      </c>
      <c r="I69" s="52" t="str">
        <f>IF(OR(Tabla1[[#This Row],[5]]="TPD"),Tabla1[[#This Row],[7]],"")</f>
        <v/>
      </c>
      <c r="J69" s="52">
        <f>IF(Tabla15[[#This Row],[2]]="",0,VLOOKUP(TRAMOS!$H$2,Tabla5[#All],3,FALSE)*Tabla15[[#This Row],[3]])</f>
        <v>0</v>
      </c>
      <c r="K69" s="52" t="str">
        <f>IF(Tabla1[[#This Row],[5]]="TPL",Tabla1[[#This Row],[6]],"")</f>
        <v>2"</v>
      </c>
      <c r="L69" s="52">
        <f>IF(OR(Tabla1[[#This Row],[5]]="TPL"),Tabla1[[#This Row],[7]],"")</f>
        <v>1</v>
      </c>
      <c r="M69" s="52">
        <f>IF(Tabla15[[#This Row],[5]]="",0,VLOOKUP(TRAMOS!$K$2,Tabla5[#All],3,FALSE)*Tabla15[[#This Row],[6]])</f>
        <v>0.9</v>
      </c>
      <c r="N6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9" s="52">
        <f>IF(Tabla15[[#This Row],[8]]="",0,VLOOKUP(TRAMOS!$H$2,Tabla5[#All],3,FALSE)*Tabla15[[#This Row],[9]])</f>
        <v>0</v>
      </c>
      <c r="Q6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9" s="52">
        <f>IF(Tabla15[[#This Row],[11]]="",0,VLOOKUP(TRAMOS!$Q$2,Tabla5[#All],3,FALSE)*Tabla15[[#This Row],[12]])</f>
        <v>0</v>
      </c>
      <c r="T6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9" s="52">
        <f>IF(Tabla15[[#This Row],[20]]="",0,VLOOKUP("VRP",Tabla5[#All],3,FALSE)*Tabla15[[#This Row],[21]])</f>
        <v>0</v>
      </c>
      <c r="AC6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9" s="52">
        <f>IF(Tabla15[[#This Row],[23]]="",0,VLOOKUP("VC",Tabla5[#All],3,FALSE)*Tabla15[[#This Row],[24]])</f>
        <v>0</v>
      </c>
      <c r="AF6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9" s="52">
        <f>IF(Tabla15[[#This Row],[26]]="",0,VLOOKUP(TRAMOS!$K$2,Tabla5[#All],3,FALSE)*Tabla15[[#This Row],[27]])</f>
        <v>0</v>
      </c>
      <c r="AI6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70" spans="2:41" x14ac:dyDescent="0.25">
      <c r="B70" s="58" t="str">
        <f>Tabla1[[#This Row],[nudo inicial]]</f>
        <v>N31</v>
      </c>
      <c r="C70" s="58" t="str">
        <f>Tabla1[[#This Row],[nudo final]]</f>
        <v>TP20</v>
      </c>
      <c r="D70" s="51">
        <f>Tabla1[[#This Row],[longitud]]</f>
        <v>70.459999999999994</v>
      </c>
      <c r="E70" s="51" t="str">
        <f>Tabla1[[#This Row],[diametro]]</f>
        <v>2"</v>
      </c>
      <c r="F70" s="51" t="str">
        <f>Tabla1[[#This Row],[material]]</f>
        <v>PVC</v>
      </c>
      <c r="G7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70" s="52" t="str">
        <f>IF(Tabla1[[#This Row],[5]]="TPD",Tabla1[[#This Row],[6]],"")</f>
        <v/>
      </c>
      <c r="I70" s="52" t="str">
        <f>IF(OR(Tabla1[[#This Row],[5]]="TPD"),Tabla1[[#This Row],[7]],"")</f>
        <v/>
      </c>
      <c r="J70" s="52">
        <f>IF(Tabla15[[#This Row],[2]]="",0,VLOOKUP(TRAMOS!$H$2,Tabla5[#All],3,FALSE)*Tabla15[[#This Row],[3]])</f>
        <v>0</v>
      </c>
      <c r="K70" s="52" t="str">
        <f>IF(Tabla1[[#This Row],[5]]="TPL",Tabla1[[#This Row],[6]],"")</f>
        <v>2"</v>
      </c>
      <c r="L70" s="52">
        <f>IF(OR(Tabla1[[#This Row],[5]]="TPL"),Tabla1[[#This Row],[7]],"")</f>
        <v>1</v>
      </c>
      <c r="M70" s="52">
        <f>IF(Tabla15[[#This Row],[5]]="",0,VLOOKUP(TRAMOS!$K$2,Tabla5[#All],3,FALSE)*Tabla15[[#This Row],[6]])</f>
        <v>0.9</v>
      </c>
      <c r="N7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0" s="52">
        <f>IF(Tabla15[[#This Row],[8]]="",0,VLOOKUP(TRAMOS!$H$2,Tabla5[#All],3,FALSE)*Tabla15[[#This Row],[9]])</f>
        <v>0</v>
      </c>
      <c r="Q7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0" s="52">
        <f>IF(Tabla15[[#This Row],[11]]="",0,VLOOKUP(TRAMOS!$Q$2,Tabla5[#All],3,FALSE)*Tabla15[[#This Row],[12]])</f>
        <v>0</v>
      </c>
      <c r="T7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0" s="52">
        <f>IF(Tabla15[[#This Row],[20]]="",0,VLOOKUP("VRP",Tabla5[#All],3,FALSE)*Tabla15[[#This Row],[21]])</f>
        <v>0</v>
      </c>
      <c r="AC7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0" s="52">
        <f>IF(Tabla15[[#This Row],[23]]="",0,VLOOKUP("VC",Tabla5[#All],3,FALSE)*Tabla15[[#This Row],[24]])</f>
        <v>0</v>
      </c>
      <c r="AF7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0" s="52">
        <f>IF(Tabla15[[#This Row],[26]]="",0,VLOOKUP(TRAMOS!$K$2,Tabla5[#All],3,FALSE)*Tabla15[[#This Row],[27]])</f>
        <v>0</v>
      </c>
      <c r="AI7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70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7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71" spans="2:41" x14ac:dyDescent="0.25">
      <c r="B71" s="58" t="str">
        <f>Tabla1[[#This Row],[nudo inicial]]</f>
        <v>N31</v>
      </c>
      <c r="C71" s="58" t="str">
        <f>Tabla1[[#This Row],[nudo final]]</f>
        <v>N32</v>
      </c>
      <c r="D71" s="51">
        <f>Tabla1[[#This Row],[longitud]]</f>
        <v>25.95</v>
      </c>
      <c r="E71" s="51" t="str">
        <f>Tabla1[[#This Row],[diametro]]</f>
        <v>2"</v>
      </c>
      <c r="F71" s="51" t="str">
        <f>Tabla1[[#This Row],[material]]</f>
        <v>PVC</v>
      </c>
      <c r="G7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71" s="52" t="str">
        <f>IF(Tabla1[[#This Row],[5]]="TPD",Tabla1[[#This Row],[6]],"")</f>
        <v>2"</v>
      </c>
      <c r="I71" s="52">
        <f>IF(OR(Tabla1[[#This Row],[5]]="TPD"),Tabla1[[#This Row],[7]],"")</f>
        <v>1</v>
      </c>
      <c r="J71" s="52">
        <f>IF(Tabla15[[#This Row],[2]]="",0,VLOOKUP(TRAMOS!$H$2,Tabla5[#All],3,FALSE)*Tabla15[[#This Row],[3]])</f>
        <v>0.15</v>
      </c>
      <c r="K71" s="52" t="str">
        <f>IF(Tabla1[[#This Row],[5]]="TPL",Tabla1[[#This Row],[6]],"")</f>
        <v/>
      </c>
      <c r="L71" s="52" t="str">
        <f>IF(OR(Tabla1[[#This Row],[5]]="TPL"),Tabla1[[#This Row],[7]],"")</f>
        <v/>
      </c>
      <c r="M71" s="52">
        <f>IF(Tabla15[[#This Row],[5]]="",0,VLOOKUP(TRAMOS!$K$2,Tabla5[#All],3,FALSE)*Tabla15[[#This Row],[6]])</f>
        <v>0</v>
      </c>
      <c r="N7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1" s="52">
        <f>IF(Tabla15[[#This Row],[8]]="",0,VLOOKUP(TRAMOS!$H$2,Tabla5[#All],3,FALSE)*Tabla15[[#This Row],[9]])</f>
        <v>0</v>
      </c>
      <c r="Q7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1" s="52">
        <f>IF(Tabla15[[#This Row],[11]]="",0,VLOOKUP(TRAMOS!$Q$2,Tabla5[#All],3,FALSE)*Tabla15[[#This Row],[12]])</f>
        <v>0</v>
      </c>
      <c r="T7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1" s="52">
        <f>IF(Tabla15[[#This Row],[20]]="",0,VLOOKUP("VRP",Tabla5[#All],3,FALSE)*Tabla15[[#This Row],[21]])</f>
        <v>0</v>
      </c>
      <c r="AC7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1" s="52">
        <f>IF(Tabla15[[#This Row],[23]]="",0,VLOOKUP("VC",Tabla5[#All],3,FALSE)*Tabla15[[#This Row],[24]])</f>
        <v>0</v>
      </c>
      <c r="AF7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1" s="52">
        <f>IF(Tabla15[[#This Row],[26]]="",0,VLOOKUP(TRAMOS!$K$2,Tabla5[#All],3,FALSE)*Tabla15[[#This Row],[27]])</f>
        <v>0</v>
      </c>
      <c r="AI7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72" spans="2:41" x14ac:dyDescent="0.25">
      <c r="B72" s="58" t="str">
        <f>Tabla1[[#This Row],[nudo inicial]]</f>
        <v>N32</v>
      </c>
      <c r="C72" s="58" t="str">
        <f>Tabla1[[#This Row],[nudo final]]</f>
        <v>TP21</v>
      </c>
      <c r="D72" s="51">
        <f>Tabla1[[#This Row],[longitud]]</f>
        <v>68.569999999999993</v>
      </c>
      <c r="E72" s="51" t="str">
        <f>Tabla1[[#This Row],[diametro]]</f>
        <v>2"</v>
      </c>
      <c r="F72" s="51" t="str">
        <f>Tabla1[[#This Row],[material]]</f>
        <v>PVC</v>
      </c>
      <c r="G7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72" s="52" t="str">
        <f>IF(Tabla1[[#This Row],[5]]="TPD",Tabla1[[#This Row],[6]],"")</f>
        <v/>
      </c>
      <c r="I72" s="52" t="str">
        <f>IF(OR(Tabla1[[#This Row],[5]]="TPD"),Tabla1[[#This Row],[7]],"")</f>
        <v/>
      </c>
      <c r="J72" s="52">
        <f>IF(Tabla15[[#This Row],[2]]="",0,VLOOKUP(TRAMOS!$H$2,Tabla5[#All],3,FALSE)*Tabla15[[#This Row],[3]])</f>
        <v>0</v>
      </c>
      <c r="K72" s="52" t="str">
        <f>IF(Tabla1[[#This Row],[5]]="TPL",Tabla1[[#This Row],[6]],"")</f>
        <v>2"</v>
      </c>
      <c r="L72" s="52">
        <f>IF(OR(Tabla1[[#This Row],[5]]="TPL"),Tabla1[[#This Row],[7]],"")</f>
        <v>1</v>
      </c>
      <c r="M72" s="52">
        <f>IF(Tabla15[[#This Row],[5]]="",0,VLOOKUP(TRAMOS!$K$2,Tabla5[#All],3,FALSE)*Tabla15[[#This Row],[6]])</f>
        <v>0.9</v>
      </c>
      <c r="N7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2" s="52">
        <f>IF(Tabla15[[#This Row],[8]]="",0,VLOOKUP(TRAMOS!$H$2,Tabla5[#All],3,FALSE)*Tabla15[[#This Row],[9]])</f>
        <v>0</v>
      </c>
      <c r="Q7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2" s="52">
        <f>IF(Tabla15[[#This Row],[11]]="",0,VLOOKUP(TRAMOS!$Q$2,Tabla5[#All],3,FALSE)*Tabla15[[#This Row],[12]])</f>
        <v>0</v>
      </c>
      <c r="T7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2" s="52">
        <f>IF(Tabla15[[#This Row],[20]]="",0,VLOOKUP("VRP",Tabla5[#All],3,FALSE)*Tabla15[[#This Row],[21]])</f>
        <v>0</v>
      </c>
      <c r="AC7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2" s="52">
        <f>IF(Tabla15[[#This Row],[23]]="",0,VLOOKUP("VC",Tabla5[#All],3,FALSE)*Tabla15[[#This Row],[24]])</f>
        <v>0</v>
      </c>
      <c r="AF7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2" s="52">
        <f>IF(Tabla15[[#This Row],[26]]="",0,VLOOKUP(TRAMOS!$K$2,Tabla5[#All],3,FALSE)*Tabla15[[#This Row],[27]])</f>
        <v>0</v>
      </c>
      <c r="AI7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72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7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73" spans="2:41" x14ac:dyDescent="0.25">
      <c r="B73" s="58" t="str">
        <f>Tabla1[[#This Row],[nudo inicial]]</f>
        <v>N32</v>
      </c>
      <c r="C73" s="58" t="str">
        <f>Tabla1[[#This Row],[nudo final]]</f>
        <v>N33</v>
      </c>
      <c r="D73" s="51">
        <f>Tabla1[[#This Row],[longitud]]</f>
        <v>35.24</v>
      </c>
      <c r="E73" s="51" t="str">
        <f>Tabla1[[#This Row],[diametro]]</f>
        <v>2"</v>
      </c>
      <c r="F73" s="51" t="str">
        <f>Tabla1[[#This Row],[material]]</f>
        <v>PVC</v>
      </c>
      <c r="G7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73" s="52" t="str">
        <f>IF(Tabla1[[#This Row],[5]]="TPD",Tabla1[[#This Row],[6]],"")</f>
        <v>2"</v>
      </c>
      <c r="I73" s="52">
        <f>IF(OR(Tabla1[[#This Row],[5]]="TPD"),Tabla1[[#This Row],[7]],"")</f>
        <v>1</v>
      </c>
      <c r="J73" s="52">
        <f>IF(Tabla15[[#This Row],[2]]="",0,VLOOKUP(TRAMOS!$H$2,Tabla5[#All],3,FALSE)*Tabla15[[#This Row],[3]])</f>
        <v>0.15</v>
      </c>
      <c r="K73" s="52" t="str">
        <f>IF(Tabla1[[#This Row],[5]]="TPL",Tabla1[[#This Row],[6]],"")</f>
        <v/>
      </c>
      <c r="L73" s="52" t="str">
        <f>IF(OR(Tabla1[[#This Row],[5]]="TPL"),Tabla1[[#This Row],[7]],"")</f>
        <v/>
      </c>
      <c r="M73" s="52">
        <f>IF(Tabla15[[#This Row],[5]]="",0,VLOOKUP(TRAMOS!$K$2,Tabla5[#All],3,FALSE)*Tabla15[[#This Row],[6]])</f>
        <v>0</v>
      </c>
      <c r="N7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3" s="52">
        <f>IF(Tabla15[[#This Row],[8]]="",0,VLOOKUP(TRAMOS!$H$2,Tabla5[#All],3,FALSE)*Tabla15[[#This Row],[9]])</f>
        <v>0</v>
      </c>
      <c r="Q7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73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73" s="52">
        <f>IF(Tabla15[[#This Row],[11]]="",0,VLOOKUP(TRAMOS!$Q$2,Tabla5[#All],3,FALSE)*Tabla15[[#This Row],[12]])</f>
        <v>0.9</v>
      </c>
      <c r="T7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3" s="52">
        <f>IF(Tabla15[[#This Row],[20]]="",0,VLOOKUP("VRP",Tabla5[#All],3,FALSE)*Tabla15[[#This Row],[21]])</f>
        <v>0</v>
      </c>
      <c r="AC7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3" s="52">
        <f>IF(Tabla15[[#This Row],[23]]="",0,VLOOKUP("VC",Tabla5[#All],3,FALSE)*Tabla15[[#This Row],[24]])</f>
        <v>0</v>
      </c>
      <c r="AF7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3" s="52">
        <f>IF(Tabla15[[#This Row],[26]]="",0,VLOOKUP(TRAMOS!$K$2,Tabla5[#All],3,FALSE)*Tabla15[[#This Row],[27]])</f>
        <v>0</v>
      </c>
      <c r="AI7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74" spans="2:41" x14ac:dyDescent="0.25">
      <c r="B74" s="58" t="str">
        <f>Tabla1[[#This Row],[nudo inicial]]</f>
        <v>N33</v>
      </c>
      <c r="C74" s="58" t="str">
        <f>Tabla1[[#This Row],[nudo final]]</f>
        <v>TP22</v>
      </c>
      <c r="D74" s="51">
        <f>Tabla1[[#This Row],[longitud]]</f>
        <v>84.34</v>
      </c>
      <c r="E74" s="51" t="str">
        <f>Tabla1[[#This Row],[diametro]]</f>
        <v>2"</v>
      </c>
      <c r="F74" s="51" t="str">
        <f>Tabla1[[#This Row],[material]]</f>
        <v>PVC</v>
      </c>
      <c r="G7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74" s="52" t="str">
        <f>IF(Tabla1[[#This Row],[5]]="TPD",Tabla1[[#This Row],[6]],"")</f>
        <v>2"</v>
      </c>
      <c r="I74" s="52">
        <f>IF(OR(Tabla1[[#This Row],[5]]="TPD"),Tabla1[[#This Row],[7]],"")</f>
        <v>1</v>
      </c>
      <c r="J74" s="52">
        <f>IF(Tabla15[[#This Row],[2]]="",0,VLOOKUP(TRAMOS!$H$2,Tabla5[#All],3,FALSE)*Tabla15[[#This Row],[3]])</f>
        <v>0.15</v>
      </c>
      <c r="K74" s="52" t="str">
        <f>IF(Tabla1[[#This Row],[5]]="TPL",Tabla1[[#This Row],[6]],"")</f>
        <v/>
      </c>
      <c r="L74" s="52" t="str">
        <f>IF(OR(Tabla1[[#This Row],[5]]="TPL"),Tabla1[[#This Row],[7]],"")</f>
        <v/>
      </c>
      <c r="M74" s="52">
        <f>IF(Tabla15[[#This Row],[5]]="",0,VLOOKUP(TRAMOS!$K$2,Tabla5[#All],3,FALSE)*Tabla15[[#This Row],[6]])</f>
        <v>0</v>
      </c>
      <c r="N7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4" s="52">
        <f>IF(Tabla15[[#This Row],[8]]="",0,VLOOKUP(TRAMOS!$H$2,Tabla5[#All],3,FALSE)*Tabla15[[#This Row],[9]])</f>
        <v>0</v>
      </c>
      <c r="Q7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74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74" s="52">
        <f>IF(Tabla15[[#This Row],[11]]="",0,VLOOKUP(TRAMOS!$Q$2,Tabla5[#All],3,FALSE)*Tabla15[[#This Row],[12]])</f>
        <v>0.9</v>
      </c>
      <c r="T7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4" s="52">
        <f>IF(Tabla15[[#This Row],[20]]="",0,VLOOKUP("VRP",Tabla5[#All],3,FALSE)*Tabla15[[#This Row],[21]])</f>
        <v>0</v>
      </c>
      <c r="AC7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4" s="52">
        <f>IF(Tabla15[[#This Row],[23]]="",0,VLOOKUP("VC",Tabla5[#All],3,FALSE)*Tabla15[[#This Row],[24]])</f>
        <v>0</v>
      </c>
      <c r="AF7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4" s="52">
        <f>IF(Tabla15[[#This Row],[26]]="",0,VLOOKUP(TRAMOS!$K$2,Tabla5[#All],3,FALSE)*Tabla15[[#This Row],[27]])</f>
        <v>0</v>
      </c>
      <c r="AI7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74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7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75" spans="2:41" x14ac:dyDescent="0.25">
      <c r="B75" s="58" t="str">
        <f>Tabla1[[#This Row],[nudo inicial]]</f>
        <v>N33</v>
      </c>
      <c r="C75" s="58" t="str">
        <f>Tabla1[[#This Row],[nudo final]]</f>
        <v>N35</v>
      </c>
      <c r="D75" s="51">
        <f>Tabla1[[#This Row],[longitud]]</f>
        <v>135.04</v>
      </c>
      <c r="E75" s="51" t="str">
        <f>Tabla1[[#This Row],[diametro]]</f>
        <v>2"</v>
      </c>
      <c r="F75" s="51" t="str">
        <f>Tabla1[[#This Row],[material]]</f>
        <v>PVC</v>
      </c>
      <c r="G7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75" s="52" t="str">
        <f>IF(Tabla1[[#This Row],[5]]="TPD",Tabla1[[#This Row],[6]],"")</f>
        <v/>
      </c>
      <c r="I75" s="52" t="str">
        <f>IF(OR(Tabla1[[#This Row],[5]]="TPD"),Tabla1[[#This Row],[7]],"")</f>
        <v/>
      </c>
      <c r="J75" s="52">
        <f>IF(Tabla15[[#This Row],[2]]="",0,VLOOKUP(TRAMOS!$H$2,Tabla5[#All],3,FALSE)*Tabla15[[#This Row],[3]])</f>
        <v>0</v>
      </c>
      <c r="K75" s="52" t="str">
        <f>IF(Tabla1[[#This Row],[5]]="TPL",Tabla1[[#This Row],[6]],"")</f>
        <v>2"</v>
      </c>
      <c r="L75" s="52">
        <f>IF(OR(Tabla1[[#This Row],[5]]="TPL"),Tabla1[[#This Row],[7]],"")</f>
        <v>1</v>
      </c>
      <c r="M75" s="52">
        <f>IF(Tabla15[[#This Row],[5]]="",0,VLOOKUP(TRAMOS!$K$2,Tabla5[#All],3,FALSE)*Tabla15[[#This Row],[6]])</f>
        <v>0.9</v>
      </c>
      <c r="N7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5" s="52">
        <f>IF(Tabla15[[#This Row],[8]]="",0,VLOOKUP(TRAMOS!$H$2,Tabla5[#All],3,FALSE)*Tabla15[[#This Row],[9]])</f>
        <v>0</v>
      </c>
      <c r="Q7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75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75" s="52">
        <f>IF(Tabla15[[#This Row],[11]]="",0,VLOOKUP(TRAMOS!$Q$2,Tabla5[#All],3,FALSE)*Tabla15[[#This Row],[12]])</f>
        <v>0.9</v>
      </c>
      <c r="T7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5" s="52">
        <f>IF(Tabla15[[#This Row],[20]]="",0,VLOOKUP("VRP",Tabla5[#All],3,FALSE)*Tabla15[[#This Row],[21]])</f>
        <v>0</v>
      </c>
      <c r="AC7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5" s="52">
        <f>IF(Tabla15[[#This Row],[23]]="",0,VLOOKUP("VC",Tabla5[#All],3,FALSE)*Tabla15[[#This Row],[24]])</f>
        <v>0</v>
      </c>
      <c r="AF7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5" s="52">
        <f>IF(Tabla15[[#This Row],[26]]="",0,VLOOKUP(TRAMOS!$K$2,Tabla5[#All],3,FALSE)*Tabla15[[#This Row],[27]])</f>
        <v>0</v>
      </c>
      <c r="AI7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1.8</v>
      </c>
    </row>
    <row r="76" spans="2:41" x14ac:dyDescent="0.25">
      <c r="B76" s="58" t="str">
        <f>Tabla1[[#This Row],[nudo inicial]]</f>
        <v>N25</v>
      </c>
      <c r="C76" s="58" t="str">
        <f>Tabla1[[#This Row],[nudo final]]</f>
        <v>TP23</v>
      </c>
      <c r="D76" s="51">
        <f>Tabla1[[#This Row],[longitud]]</f>
        <v>31.98</v>
      </c>
      <c r="E76" s="51" t="str">
        <f>Tabla1[[#This Row],[diametro]]</f>
        <v>2"</v>
      </c>
      <c r="F76" s="51" t="str">
        <f>Tabla1[[#This Row],[material]]</f>
        <v>PVC</v>
      </c>
      <c r="G7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76" s="52" t="str">
        <f>IF(Tabla1[[#This Row],[5]]="TPD",Tabla1[[#This Row],[6]],"")</f>
        <v>2"</v>
      </c>
      <c r="I76" s="52">
        <f>IF(OR(Tabla1[[#This Row],[5]]="TPD"),Tabla1[[#This Row],[7]],"")</f>
        <v>1</v>
      </c>
      <c r="J76" s="52">
        <f>IF(Tabla15[[#This Row],[2]]="",0,VLOOKUP(TRAMOS!$H$2,Tabla5[#All],3,FALSE)*Tabla15[[#This Row],[3]])</f>
        <v>0.15</v>
      </c>
      <c r="K76" s="52" t="str">
        <f>IF(Tabla1[[#This Row],[5]]="TPL",Tabla1[[#This Row],[6]],"")</f>
        <v/>
      </c>
      <c r="L76" s="52" t="str">
        <f>IF(OR(Tabla1[[#This Row],[5]]="TPL"),Tabla1[[#This Row],[7]],"")</f>
        <v/>
      </c>
      <c r="M76" s="52">
        <f>IF(Tabla15[[#This Row],[5]]="",0,VLOOKUP(TRAMOS!$K$2,Tabla5[#All],3,FALSE)*Tabla15[[#This Row],[6]])</f>
        <v>0</v>
      </c>
      <c r="N7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6" s="52">
        <f>IF(Tabla15[[#This Row],[8]]="",0,VLOOKUP(TRAMOS!$H$2,Tabla5[#All],3,FALSE)*Tabla15[[#This Row],[9]])</f>
        <v>0</v>
      </c>
      <c r="Q7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6" s="52">
        <f>IF(Tabla15[[#This Row],[11]]="",0,VLOOKUP(TRAMOS!$Q$2,Tabla5[#All],3,FALSE)*Tabla15[[#This Row],[12]])</f>
        <v>0</v>
      </c>
      <c r="T7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6" s="52">
        <f>IF(Tabla15[[#This Row],[20]]="",0,VLOOKUP("VRP",Tabla5[#All],3,FALSE)*Tabla15[[#This Row],[21]])</f>
        <v>0</v>
      </c>
      <c r="AC7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6" s="52">
        <f>IF(Tabla15[[#This Row],[23]]="",0,VLOOKUP("VC",Tabla5[#All],3,FALSE)*Tabla15[[#This Row],[24]])</f>
        <v>0</v>
      </c>
      <c r="AF7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6" s="52">
        <f>IF(Tabla15[[#This Row],[26]]="",0,VLOOKUP(TRAMOS!$K$2,Tabla5[#All],3,FALSE)*Tabla15[[#This Row],[27]])</f>
        <v>0</v>
      </c>
      <c r="AI7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7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7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77" spans="2:41" x14ac:dyDescent="0.25">
      <c r="B77" s="58" t="str">
        <f>Tabla1[[#This Row],[nudo inicial]]</f>
        <v>N35</v>
      </c>
      <c r="C77" s="58" t="str">
        <f>Tabla1[[#This Row],[nudo final]]</f>
        <v>N36</v>
      </c>
      <c r="D77" s="51">
        <f>Tabla1[[#This Row],[longitud]]</f>
        <v>14</v>
      </c>
      <c r="E77" s="51" t="str">
        <f>Tabla1[[#This Row],[diametro]]</f>
        <v>2"</v>
      </c>
      <c r="F77" s="51" t="str">
        <f>Tabla1[[#This Row],[material]]</f>
        <v>PVC</v>
      </c>
      <c r="G7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77" s="52" t="str">
        <f>IF(Tabla1[[#This Row],[5]]="TPD",Tabla1[[#This Row],[6]],"")</f>
        <v/>
      </c>
      <c r="I77" s="52" t="str">
        <f>IF(OR(Tabla1[[#This Row],[5]]="TPD"),Tabla1[[#This Row],[7]],"")</f>
        <v/>
      </c>
      <c r="J77" s="52">
        <f>IF(Tabla15[[#This Row],[2]]="",0,VLOOKUP(TRAMOS!$H$2,Tabla5[#All],3,FALSE)*Tabla15[[#This Row],[3]])</f>
        <v>0</v>
      </c>
      <c r="K77" s="52" t="str">
        <f>IF(Tabla1[[#This Row],[5]]="TPL",Tabla1[[#This Row],[6]],"")</f>
        <v>2"</v>
      </c>
      <c r="L77" s="52">
        <f>IF(OR(Tabla1[[#This Row],[5]]="TPL"),Tabla1[[#This Row],[7]],"")</f>
        <v>1</v>
      </c>
      <c r="M77" s="52">
        <f>IF(Tabla15[[#This Row],[5]]="",0,VLOOKUP(TRAMOS!$K$2,Tabla5[#All],3,FALSE)*Tabla15[[#This Row],[6]])</f>
        <v>0.9</v>
      </c>
      <c r="N7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7" s="52">
        <f>IF(Tabla15[[#This Row],[8]]="",0,VLOOKUP(TRAMOS!$H$2,Tabla5[#All],3,FALSE)*Tabla15[[#This Row],[9]])</f>
        <v>0</v>
      </c>
      <c r="Q7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7" s="52">
        <f>IF(Tabla15[[#This Row],[11]]="",0,VLOOKUP(TRAMOS!$Q$2,Tabla5[#All],3,FALSE)*Tabla15[[#This Row],[12]])</f>
        <v>0</v>
      </c>
      <c r="T7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7" s="52">
        <f>IF(Tabla15[[#This Row],[20]]="",0,VLOOKUP("VRP",Tabla5[#All],3,FALSE)*Tabla15[[#This Row],[21]])</f>
        <v>0</v>
      </c>
      <c r="AC7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7" s="52">
        <f>IF(Tabla15[[#This Row],[23]]="",0,VLOOKUP("VC",Tabla5[#All],3,FALSE)*Tabla15[[#This Row],[24]])</f>
        <v>0</v>
      </c>
      <c r="AF7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7" s="52">
        <f>IF(Tabla15[[#This Row],[26]]="",0,VLOOKUP(TRAMOS!$K$2,Tabla5[#All],3,FALSE)*Tabla15[[#This Row],[27]])</f>
        <v>0</v>
      </c>
      <c r="AI7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78" spans="2:41" x14ac:dyDescent="0.25">
      <c r="B78" s="58" t="str">
        <f>Tabla1[[#This Row],[nudo inicial]]</f>
        <v>N36</v>
      </c>
      <c r="C78" s="58" t="str">
        <f>Tabla1[[#This Row],[nudo final]]</f>
        <v>TP24</v>
      </c>
      <c r="D78" s="51">
        <f>Tabla1[[#This Row],[longitud]]</f>
        <v>32.340000000000003</v>
      </c>
      <c r="E78" s="51" t="str">
        <f>Tabla1[[#This Row],[diametro]]</f>
        <v>2"</v>
      </c>
      <c r="F78" s="51" t="str">
        <f>Tabla1[[#This Row],[material]]</f>
        <v>PVC</v>
      </c>
      <c r="G7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78" s="52" t="str">
        <f>IF(Tabla1[[#This Row],[5]]="TPD",Tabla1[[#This Row],[6]],"")</f>
        <v/>
      </c>
      <c r="I78" s="52" t="str">
        <f>IF(OR(Tabla1[[#This Row],[5]]="TPD"),Tabla1[[#This Row],[7]],"")</f>
        <v/>
      </c>
      <c r="J78" s="52">
        <f>IF(Tabla15[[#This Row],[2]]="",0,VLOOKUP(TRAMOS!$H$2,Tabla5[#All],3,FALSE)*Tabla15[[#This Row],[3]])</f>
        <v>0</v>
      </c>
      <c r="K78" s="52" t="str">
        <f>IF(Tabla1[[#This Row],[5]]="TPL",Tabla1[[#This Row],[6]],"")</f>
        <v>2"</v>
      </c>
      <c r="L78" s="52">
        <f>IF(OR(Tabla1[[#This Row],[5]]="TPL"),Tabla1[[#This Row],[7]],"")</f>
        <v>1</v>
      </c>
      <c r="M78" s="52">
        <f>IF(Tabla15[[#This Row],[5]]="",0,VLOOKUP(TRAMOS!$K$2,Tabla5[#All],3,FALSE)*Tabla15[[#This Row],[6]])</f>
        <v>0.9</v>
      </c>
      <c r="N7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8" s="52">
        <f>IF(Tabla15[[#This Row],[8]]="",0,VLOOKUP(TRAMOS!$H$2,Tabla5[#All],3,FALSE)*Tabla15[[#This Row],[9]])</f>
        <v>0</v>
      </c>
      <c r="Q7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8" s="52">
        <f>IF(Tabla15[[#This Row],[11]]="",0,VLOOKUP(TRAMOS!$Q$2,Tabla5[#All],3,FALSE)*Tabla15[[#This Row],[12]])</f>
        <v>0</v>
      </c>
      <c r="T7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8" s="52">
        <f>IF(Tabla15[[#This Row],[20]]="",0,VLOOKUP("VRP",Tabla5[#All],3,FALSE)*Tabla15[[#This Row],[21]])</f>
        <v>0</v>
      </c>
      <c r="AC7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8" s="52">
        <f>IF(Tabla15[[#This Row],[23]]="",0,VLOOKUP("VC",Tabla5[#All],3,FALSE)*Tabla15[[#This Row],[24]])</f>
        <v>0</v>
      </c>
      <c r="AF7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8" s="52">
        <f>IF(Tabla15[[#This Row],[26]]="",0,VLOOKUP(TRAMOS!$K$2,Tabla5[#All],3,FALSE)*Tabla15[[#This Row],[27]])</f>
        <v>0</v>
      </c>
      <c r="AI7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78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7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79" spans="2:41" x14ac:dyDescent="0.25">
      <c r="B79" s="58" t="str">
        <f>Tabla1[[#This Row],[nudo inicial]]</f>
        <v>N36</v>
      </c>
      <c r="C79" s="58" t="str">
        <f>Tabla1[[#This Row],[nudo final]]</f>
        <v>N37</v>
      </c>
      <c r="D79" s="51">
        <f>Tabla1[[#This Row],[longitud]]</f>
        <v>1.9</v>
      </c>
      <c r="E79" s="51" t="str">
        <f>Tabla1[[#This Row],[diametro]]</f>
        <v>2"</v>
      </c>
      <c r="F79" s="51" t="str">
        <f>Tabla1[[#This Row],[material]]</f>
        <v>PVC</v>
      </c>
      <c r="G7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79" s="52" t="str">
        <f>IF(Tabla1[[#This Row],[5]]="TPD",Tabla1[[#This Row],[6]],"")</f>
        <v>2"</v>
      </c>
      <c r="I79" s="52">
        <f>IF(OR(Tabla1[[#This Row],[5]]="TPD"),Tabla1[[#This Row],[7]],"")</f>
        <v>1</v>
      </c>
      <c r="J79" s="52">
        <f>IF(Tabla15[[#This Row],[2]]="",0,VLOOKUP(TRAMOS!$H$2,Tabla5[#All],3,FALSE)*Tabla15[[#This Row],[3]])</f>
        <v>0.15</v>
      </c>
      <c r="K79" s="52" t="str">
        <f>IF(Tabla1[[#This Row],[5]]="TPL",Tabla1[[#This Row],[6]],"")</f>
        <v/>
      </c>
      <c r="L79" s="52" t="str">
        <f>IF(OR(Tabla1[[#This Row],[5]]="TPL"),Tabla1[[#This Row],[7]],"")</f>
        <v/>
      </c>
      <c r="M79" s="52">
        <f>IF(Tabla15[[#This Row],[5]]="",0,VLOOKUP(TRAMOS!$K$2,Tabla5[#All],3,FALSE)*Tabla15[[#This Row],[6]])</f>
        <v>0</v>
      </c>
      <c r="N7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9" s="52">
        <f>IF(Tabla15[[#This Row],[8]]="",0,VLOOKUP(TRAMOS!$H$2,Tabla5[#All],3,FALSE)*Tabla15[[#This Row],[9]])</f>
        <v>0</v>
      </c>
      <c r="Q7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9" s="52">
        <f>IF(Tabla15[[#This Row],[11]]="",0,VLOOKUP(TRAMOS!$Q$2,Tabla5[#All],3,FALSE)*Tabla15[[#This Row],[12]])</f>
        <v>0</v>
      </c>
      <c r="T7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9" s="52">
        <f>IF(Tabla15[[#This Row],[20]]="",0,VLOOKUP("VRP",Tabla5[#All],3,FALSE)*Tabla15[[#This Row],[21]])</f>
        <v>0</v>
      </c>
      <c r="AC7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9" s="52">
        <f>IF(Tabla15[[#This Row],[23]]="",0,VLOOKUP("VC",Tabla5[#All],3,FALSE)*Tabla15[[#This Row],[24]])</f>
        <v>0</v>
      </c>
      <c r="AF7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9" s="52">
        <f>IF(Tabla15[[#This Row],[26]]="",0,VLOOKUP(TRAMOS!$K$2,Tabla5[#All],3,FALSE)*Tabla15[[#This Row],[27]])</f>
        <v>0</v>
      </c>
      <c r="AI7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80" spans="2:41" x14ac:dyDescent="0.25">
      <c r="B80" s="58" t="str">
        <f>Tabla1[[#This Row],[nudo inicial]]</f>
        <v>N37</v>
      </c>
      <c r="C80" s="58" t="str">
        <f>Tabla1[[#This Row],[nudo final]]</f>
        <v>TP25</v>
      </c>
      <c r="D80" s="51">
        <f>Tabla1[[#This Row],[longitud]]</f>
        <v>32.520000000000003</v>
      </c>
      <c r="E80" s="51" t="str">
        <f>Tabla1[[#This Row],[diametro]]</f>
        <v>2"</v>
      </c>
      <c r="F80" s="51" t="str">
        <f>Tabla1[[#This Row],[material]]</f>
        <v>PVC</v>
      </c>
      <c r="G8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80" s="52" t="str">
        <f>IF(Tabla1[[#This Row],[5]]="TPD",Tabla1[[#This Row],[6]],"")</f>
        <v/>
      </c>
      <c r="I80" s="52" t="str">
        <f>IF(OR(Tabla1[[#This Row],[5]]="TPD"),Tabla1[[#This Row],[7]],"")</f>
        <v/>
      </c>
      <c r="J80" s="52">
        <f>IF(Tabla15[[#This Row],[2]]="",0,VLOOKUP(TRAMOS!$H$2,Tabla5[#All],3,FALSE)*Tabla15[[#This Row],[3]])</f>
        <v>0</v>
      </c>
      <c r="K80" s="52" t="str">
        <f>IF(Tabla1[[#This Row],[5]]="TPL",Tabla1[[#This Row],[6]],"")</f>
        <v>2"</v>
      </c>
      <c r="L80" s="52">
        <f>IF(OR(Tabla1[[#This Row],[5]]="TPL"),Tabla1[[#This Row],[7]],"")</f>
        <v>1</v>
      </c>
      <c r="M80" s="52">
        <f>IF(Tabla15[[#This Row],[5]]="",0,VLOOKUP(TRAMOS!$K$2,Tabla5[#All],3,FALSE)*Tabla15[[#This Row],[6]])</f>
        <v>0.9</v>
      </c>
      <c r="N8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0" s="52">
        <f>IF(Tabla15[[#This Row],[8]]="",0,VLOOKUP(TRAMOS!$H$2,Tabla5[#All],3,FALSE)*Tabla15[[#This Row],[9]])</f>
        <v>0</v>
      </c>
      <c r="Q8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0" s="52">
        <f>IF(Tabla15[[#This Row],[11]]="",0,VLOOKUP(TRAMOS!$Q$2,Tabla5[#All],3,FALSE)*Tabla15[[#This Row],[12]])</f>
        <v>0</v>
      </c>
      <c r="T8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0" s="52">
        <f>IF(Tabla15[[#This Row],[20]]="",0,VLOOKUP("VRP",Tabla5[#All],3,FALSE)*Tabla15[[#This Row],[21]])</f>
        <v>0</v>
      </c>
      <c r="AC8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0" s="52">
        <f>IF(Tabla15[[#This Row],[23]]="",0,VLOOKUP("VC",Tabla5[#All],3,FALSE)*Tabla15[[#This Row],[24]])</f>
        <v>0</v>
      </c>
      <c r="AF8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0" s="52">
        <f>IF(Tabla15[[#This Row],[26]]="",0,VLOOKUP(TRAMOS!$K$2,Tabla5[#All],3,FALSE)*Tabla15[[#This Row],[27]])</f>
        <v>0</v>
      </c>
      <c r="AI8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80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8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81" spans="2:41" x14ac:dyDescent="0.25">
      <c r="B81" s="58" t="str">
        <f>Tabla1[[#This Row],[nudo inicial]]</f>
        <v>N37</v>
      </c>
      <c r="C81" s="58" t="str">
        <f>Tabla1[[#This Row],[nudo final]]</f>
        <v>TP26</v>
      </c>
      <c r="D81" s="51">
        <f>Tabla1[[#This Row],[longitud]]</f>
        <v>12.8</v>
      </c>
      <c r="E81" s="51" t="str">
        <f>Tabla1[[#This Row],[diametro]]</f>
        <v>2"</v>
      </c>
      <c r="F81" s="51" t="str">
        <f>Tabla1[[#This Row],[material]]</f>
        <v>PVC</v>
      </c>
      <c r="G8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81" s="52" t="str">
        <f>IF(Tabla1[[#This Row],[5]]="TPD",Tabla1[[#This Row],[6]],"")</f>
        <v>2"</v>
      </c>
      <c r="I81" s="52">
        <f>IF(OR(Tabla1[[#This Row],[5]]="TPD"),Tabla1[[#This Row],[7]],"")</f>
        <v>1</v>
      </c>
      <c r="J81" s="52">
        <f>IF(Tabla15[[#This Row],[2]]="",0,VLOOKUP(TRAMOS!$H$2,Tabla5[#All],3,FALSE)*Tabla15[[#This Row],[3]])</f>
        <v>0.15</v>
      </c>
      <c r="K81" s="52" t="str">
        <f>IF(Tabla1[[#This Row],[5]]="TPL",Tabla1[[#This Row],[6]],"")</f>
        <v/>
      </c>
      <c r="L81" s="52" t="str">
        <f>IF(OR(Tabla1[[#This Row],[5]]="TPL"),Tabla1[[#This Row],[7]],"")</f>
        <v/>
      </c>
      <c r="M81" s="52">
        <f>IF(Tabla15[[#This Row],[5]]="",0,VLOOKUP(TRAMOS!$K$2,Tabla5[#All],3,FALSE)*Tabla15[[#This Row],[6]])</f>
        <v>0</v>
      </c>
      <c r="N8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1" s="52">
        <f>IF(Tabla15[[#This Row],[8]]="",0,VLOOKUP(TRAMOS!$H$2,Tabla5[#All],3,FALSE)*Tabla15[[#This Row],[9]])</f>
        <v>0</v>
      </c>
      <c r="Q8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1" s="52">
        <f>IF(Tabla15[[#This Row],[11]]="",0,VLOOKUP(TRAMOS!$Q$2,Tabla5[#All],3,FALSE)*Tabla15[[#This Row],[12]])</f>
        <v>0</v>
      </c>
      <c r="T8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1" s="52">
        <f>IF(Tabla15[[#This Row],[20]]="",0,VLOOKUP("VRP",Tabla5[#All],3,FALSE)*Tabla15[[#This Row],[21]])</f>
        <v>0</v>
      </c>
      <c r="AC8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1" s="52">
        <f>IF(Tabla15[[#This Row],[23]]="",0,VLOOKUP("VC",Tabla5[#All],3,FALSE)*Tabla15[[#This Row],[24]])</f>
        <v>0</v>
      </c>
      <c r="AF8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1" s="52">
        <f>IF(Tabla15[[#This Row],[26]]="",0,VLOOKUP(TRAMOS!$K$2,Tabla5[#All],3,FALSE)*Tabla15[[#This Row],[27]])</f>
        <v>0</v>
      </c>
      <c r="AI8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81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8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82" spans="2:41" x14ac:dyDescent="0.25">
      <c r="B82" s="58" t="str">
        <f>Tabla1[[#This Row],[nudo inicial]]</f>
        <v>N20</v>
      </c>
      <c r="C82" s="58" t="str">
        <f>Tabla1[[#This Row],[nudo final]]</f>
        <v>N38</v>
      </c>
      <c r="D82" s="51">
        <f>Tabla1[[#This Row],[longitud]]</f>
        <v>8.15</v>
      </c>
      <c r="E82" s="51" t="str">
        <f>Tabla1[[#This Row],[diametro]]</f>
        <v>3"</v>
      </c>
      <c r="F82" s="51" t="str">
        <f>Tabla1[[#This Row],[material]]</f>
        <v>PVC</v>
      </c>
      <c r="G8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82" s="52" t="str">
        <f>IF(Tabla1[[#This Row],[5]]="TPD",Tabla1[[#This Row],[6]],"")</f>
        <v/>
      </c>
      <c r="I82" s="52" t="str">
        <f>IF(OR(Tabla1[[#This Row],[5]]="TPD"),Tabla1[[#This Row],[7]],"")</f>
        <v/>
      </c>
      <c r="J82" s="52">
        <f>IF(Tabla15[[#This Row],[2]]="",0,VLOOKUP(TRAMOS!$H$2,Tabla5[#All],3,FALSE)*Tabla15[[#This Row],[3]])</f>
        <v>0</v>
      </c>
      <c r="K82" s="52" t="str">
        <f>IF(Tabla1[[#This Row],[5]]="TPL",Tabla1[[#This Row],[6]],"")</f>
        <v>3"</v>
      </c>
      <c r="L82" s="52">
        <f>IF(OR(Tabla1[[#This Row],[5]]="TPL"),Tabla1[[#This Row],[7]],"")</f>
        <v>1</v>
      </c>
      <c r="M82" s="52">
        <f>IF(Tabla15[[#This Row],[5]]="",0,VLOOKUP(TRAMOS!$K$2,Tabla5[#All],3,FALSE)*Tabla15[[#This Row],[6]])</f>
        <v>0.9</v>
      </c>
      <c r="N8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2" s="52">
        <f>IF(Tabla15[[#This Row],[8]]="",0,VLOOKUP(TRAMOS!$H$2,Tabla5[#All],3,FALSE)*Tabla15[[#This Row],[9]])</f>
        <v>0</v>
      </c>
      <c r="Q8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2" s="52">
        <f>IF(Tabla15[[#This Row],[11]]="",0,VLOOKUP(TRAMOS!$Q$2,Tabla5[#All],3,FALSE)*Tabla15[[#This Row],[12]])</f>
        <v>0</v>
      </c>
      <c r="T8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2" s="52">
        <f>IF(Tabla15[[#This Row],[20]]="",0,VLOOKUP("VRP",Tabla5[#All],3,FALSE)*Tabla15[[#This Row],[21]])</f>
        <v>0</v>
      </c>
      <c r="AC8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2" s="52">
        <f>IF(Tabla15[[#This Row],[23]]="",0,VLOOKUP("VC",Tabla5[#All],3,FALSE)*Tabla15[[#This Row],[24]])</f>
        <v>0</v>
      </c>
      <c r="AF8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2" s="52">
        <f>IF(Tabla15[[#This Row],[26]]="",0,VLOOKUP(TRAMOS!$K$2,Tabla5[#All],3,FALSE)*Tabla15[[#This Row],[27]])</f>
        <v>0</v>
      </c>
      <c r="AI8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83" spans="2:41" x14ac:dyDescent="0.25">
      <c r="B83" s="58" t="str">
        <f>Tabla1[[#This Row],[nudo inicial]]</f>
        <v>N38</v>
      </c>
      <c r="C83" s="58" t="str">
        <f>Tabla1[[#This Row],[nudo final]]</f>
        <v>N24</v>
      </c>
      <c r="D83" s="51">
        <f>Tabla1[[#This Row],[longitud]]</f>
        <v>49.1</v>
      </c>
      <c r="E83" s="51" t="str">
        <f>Tabla1[[#This Row],[diametro]]</f>
        <v>3"</v>
      </c>
      <c r="F83" s="51" t="str">
        <f>Tabla1[[#This Row],[material]]</f>
        <v>PVC</v>
      </c>
      <c r="G8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83" s="52" t="str">
        <f>IF(Tabla1[[#This Row],[5]]="TPD",Tabla1[[#This Row],[6]],"")</f>
        <v/>
      </c>
      <c r="I83" s="52" t="str">
        <f>IF(OR(Tabla1[[#This Row],[5]]="TPD"),Tabla1[[#This Row],[7]],"")</f>
        <v/>
      </c>
      <c r="J83" s="52">
        <f>IF(Tabla15[[#This Row],[2]]="",0,VLOOKUP(TRAMOS!$H$2,Tabla5[#All],3,FALSE)*Tabla15[[#This Row],[3]])</f>
        <v>0</v>
      </c>
      <c r="K83" s="52" t="str">
        <f>IF(Tabla1[[#This Row],[5]]="TPL",Tabla1[[#This Row],[6]],"")</f>
        <v>3"</v>
      </c>
      <c r="L83" s="52">
        <f>IF(OR(Tabla1[[#This Row],[5]]="TPL"),Tabla1[[#This Row],[7]],"")</f>
        <v>1</v>
      </c>
      <c r="M83" s="52">
        <f>IF(Tabla15[[#This Row],[5]]="",0,VLOOKUP(TRAMOS!$K$2,Tabla5[#All],3,FALSE)*Tabla15[[#This Row],[6]])</f>
        <v>0.9</v>
      </c>
      <c r="N8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3" s="52">
        <f>IF(Tabla15[[#This Row],[8]]="",0,VLOOKUP(TRAMOS!$H$2,Tabla5[#All],3,FALSE)*Tabla15[[#This Row],[9]])</f>
        <v>0</v>
      </c>
      <c r="Q8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3" s="52">
        <f>IF(Tabla15[[#This Row],[11]]="",0,VLOOKUP(TRAMOS!$Q$2,Tabla5[#All],3,FALSE)*Tabla15[[#This Row],[12]])</f>
        <v>0</v>
      </c>
      <c r="T8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3" s="52">
        <f>IF(Tabla15[[#This Row],[20]]="",0,VLOOKUP("VRP",Tabla5[#All],3,FALSE)*Tabla15[[#This Row],[21]])</f>
        <v>0</v>
      </c>
      <c r="AC8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3" s="52">
        <f>IF(Tabla15[[#This Row],[23]]="",0,VLOOKUP("VC",Tabla5[#All],3,FALSE)*Tabla15[[#This Row],[24]])</f>
        <v>0</v>
      </c>
      <c r="AF8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3" s="52">
        <f>IF(Tabla15[[#This Row],[26]]="",0,VLOOKUP(TRAMOS!$K$2,Tabla5[#All],3,FALSE)*Tabla15[[#This Row],[27]])</f>
        <v>0</v>
      </c>
      <c r="AI8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84" spans="2:41" x14ac:dyDescent="0.25">
      <c r="B84" s="58" t="str">
        <f>Tabla1[[#This Row],[nudo inicial]]</f>
        <v>N38</v>
      </c>
      <c r="C84" s="58" t="str">
        <f>Tabla1[[#This Row],[nudo final]]</f>
        <v>N39</v>
      </c>
      <c r="D84" s="51">
        <f>Tabla1[[#This Row],[longitud]]</f>
        <v>56.99</v>
      </c>
      <c r="E84" s="51" t="str">
        <f>Tabla1[[#This Row],[diametro]]</f>
        <v>3"</v>
      </c>
      <c r="F84" s="51" t="str">
        <f>Tabla1[[#This Row],[material]]</f>
        <v>PVC</v>
      </c>
      <c r="G8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84" s="52" t="str">
        <f>IF(Tabla1[[#This Row],[5]]="TPD",Tabla1[[#This Row],[6]],"")</f>
        <v>3"</v>
      </c>
      <c r="I84" s="52">
        <f>IF(OR(Tabla1[[#This Row],[5]]="TPD"),Tabla1[[#This Row],[7]],"")</f>
        <v>1</v>
      </c>
      <c r="J84" s="52">
        <f>IF(Tabla15[[#This Row],[2]]="",0,VLOOKUP(TRAMOS!$H$2,Tabla5[#All],3,FALSE)*Tabla15[[#This Row],[3]])</f>
        <v>0.15</v>
      </c>
      <c r="K84" s="52" t="str">
        <f>IF(Tabla1[[#This Row],[5]]="TPL",Tabla1[[#This Row],[6]],"")</f>
        <v/>
      </c>
      <c r="L84" s="52" t="str">
        <f>IF(OR(Tabla1[[#This Row],[5]]="TPL"),Tabla1[[#This Row],[7]],"")</f>
        <v/>
      </c>
      <c r="M84" s="52">
        <f>IF(Tabla15[[#This Row],[5]]="",0,VLOOKUP(TRAMOS!$K$2,Tabla5[#All],3,FALSE)*Tabla15[[#This Row],[6]])</f>
        <v>0</v>
      </c>
      <c r="N8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4" s="52">
        <f>IF(Tabla15[[#This Row],[8]]="",0,VLOOKUP(TRAMOS!$H$2,Tabla5[#All],3,FALSE)*Tabla15[[#This Row],[9]])</f>
        <v>0</v>
      </c>
      <c r="Q8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3"</v>
      </c>
      <c r="R84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2</v>
      </c>
      <c r="S84" s="52">
        <f>IF(Tabla15[[#This Row],[11]]="",0,VLOOKUP(TRAMOS!$Q$2,Tabla5[#All],3,FALSE)*Tabla15[[#This Row],[12]])</f>
        <v>1.8</v>
      </c>
      <c r="T8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4" s="52">
        <f>IF(Tabla15[[#This Row],[20]]="",0,VLOOKUP("VRP",Tabla5[#All],3,FALSE)*Tabla15[[#This Row],[21]])</f>
        <v>0</v>
      </c>
      <c r="AC8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4" s="52">
        <f>IF(Tabla15[[#This Row],[23]]="",0,VLOOKUP("VC",Tabla5[#All],3,FALSE)*Tabla15[[#This Row],[24]])</f>
        <v>0</v>
      </c>
      <c r="AF8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4" s="52">
        <f>IF(Tabla15[[#This Row],[26]]="",0,VLOOKUP(TRAMOS!$K$2,Tabla5[#All],3,FALSE)*Tabla15[[#This Row],[27]])</f>
        <v>0</v>
      </c>
      <c r="AI8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1.95</v>
      </c>
    </row>
    <row r="85" spans="2:41" x14ac:dyDescent="0.25">
      <c r="B85" s="58" t="str">
        <f>Tabla1[[#This Row],[nudo inicial]]</f>
        <v>N39</v>
      </c>
      <c r="C85" s="58" t="str">
        <f>Tabla1[[#This Row],[nudo final]]</f>
        <v>N40</v>
      </c>
      <c r="D85" s="51">
        <f>Tabla1[[#This Row],[longitud]]</f>
        <v>41.18</v>
      </c>
      <c r="E85" s="51" t="str">
        <f>Tabla1[[#This Row],[diametro]]</f>
        <v>3"</v>
      </c>
      <c r="F85" s="51" t="str">
        <f>Tabla1[[#This Row],[material]]</f>
        <v>AC</v>
      </c>
      <c r="G8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85" s="52" t="str">
        <f>IF(Tabla1[[#This Row],[5]]="TPD",Tabla1[[#This Row],[6]],"")</f>
        <v/>
      </c>
      <c r="I85" s="52" t="str">
        <f>IF(OR(Tabla1[[#This Row],[5]]="TPD"),Tabla1[[#This Row],[7]],"")</f>
        <v/>
      </c>
      <c r="J85" s="52">
        <f>IF(Tabla15[[#This Row],[2]]="",0,VLOOKUP(TRAMOS!$H$2,Tabla5[#All],3,FALSE)*Tabla15[[#This Row],[3]])</f>
        <v>0</v>
      </c>
      <c r="K85" s="52" t="str">
        <f>IF(Tabla1[[#This Row],[5]]="TPL",Tabla1[[#This Row],[6]],"")</f>
        <v/>
      </c>
      <c r="L85" s="52" t="str">
        <f>IF(OR(Tabla1[[#This Row],[5]]="TPL"),Tabla1[[#This Row],[7]],"")</f>
        <v/>
      </c>
      <c r="M85" s="52">
        <f>IF(Tabla15[[#This Row],[5]]="",0,VLOOKUP(TRAMOS!$K$2,Tabla5[#All],3,FALSE)*Tabla15[[#This Row],[6]])</f>
        <v>0</v>
      </c>
      <c r="N8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5" s="52">
        <f>IF(Tabla15[[#This Row],[8]]="",0,VLOOKUP(TRAMOS!$H$2,Tabla5[#All],3,FALSE)*Tabla15[[#This Row],[9]])</f>
        <v>0</v>
      </c>
      <c r="Q8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5" s="52">
        <f>IF(Tabla15[[#This Row],[11]]="",0,VLOOKUP(TRAMOS!$Q$2,Tabla5[#All],3,FALSE)*Tabla15[[#This Row],[12]])</f>
        <v>0</v>
      </c>
      <c r="T8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5" s="52">
        <f>IF(Tabla15[[#This Row],[20]]="",0,VLOOKUP("VRP",Tabla5[#All],3,FALSE)*Tabla15[[#This Row],[21]])</f>
        <v>0</v>
      </c>
      <c r="AC8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5" s="52">
        <f>IF(Tabla15[[#This Row],[23]]="",0,VLOOKUP("VC",Tabla5[#All],3,FALSE)*Tabla15[[#This Row],[24]])</f>
        <v>0</v>
      </c>
      <c r="AF8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5" s="52">
        <f>IF(Tabla15[[#This Row],[26]]="",0,VLOOKUP(TRAMOS!$K$2,Tabla5[#All],3,FALSE)*Tabla15[[#This Row],[27]])</f>
        <v>0</v>
      </c>
      <c r="AI8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</v>
      </c>
    </row>
    <row r="86" spans="2:41" x14ac:dyDescent="0.25">
      <c r="B86" s="58" t="str">
        <f>Tabla1[[#This Row],[nudo inicial]]</f>
        <v>N40</v>
      </c>
      <c r="C86" s="58" t="str">
        <f>Tabla1[[#This Row],[nudo final]]</f>
        <v>N41</v>
      </c>
      <c r="D86" s="51">
        <f>Tabla1[[#This Row],[longitud]]</f>
        <v>54.75</v>
      </c>
      <c r="E86" s="51" t="str">
        <f>Tabla1[[#This Row],[diametro]]</f>
        <v>2"</v>
      </c>
      <c r="F86" s="51" t="str">
        <f>Tabla1[[#This Row],[material]]</f>
        <v>PVC</v>
      </c>
      <c r="G8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86" s="52" t="str">
        <f>IF(Tabla1[[#This Row],[5]]="TPD",Tabla1[[#This Row],[6]],"")</f>
        <v/>
      </c>
      <c r="I86" s="52" t="str">
        <f>IF(OR(Tabla1[[#This Row],[5]]="TPD"),Tabla1[[#This Row],[7]],"")</f>
        <v/>
      </c>
      <c r="J86" s="52">
        <f>IF(Tabla15[[#This Row],[2]]="",0,VLOOKUP(TRAMOS!$H$2,Tabla5[#All],3,FALSE)*Tabla15[[#This Row],[3]])</f>
        <v>0</v>
      </c>
      <c r="K86" s="52" t="str">
        <f>IF(Tabla1[[#This Row],[5]]="TPL",Tabla1[[#This Row],[6]],"")</f>
        <v>3"</v>
      </c>
      <c r="L86" s="52">
        <f>IF(OR(Tabla1[[#This Row],[5]]="TPL"),Tabla1[[#This Row],[7]],"")</f>
        <v>1</v>
      </c>
      <c r="M86" s="52">
        <f>IF(Tabla15[[#This Row],[5]]="",0,VLOOKUP(TRAMOS!$K$2,Tabla5[#All],3,FALSE)*Tabla15[[#This Row],[6]])</f>
        <v>0.9</v>
      </c>
      <c r="N8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6" s="52">
        <f>IF(Tabla15[[#This Row],[8]]="",0,VLOOKUP(TRAMOS!$H$2,Tabla5[#All],3,FALSE)*Tabla15[[#This Row],[9]])</f>
        <v>0</v>
      </c>
      <c r="Q8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6" s="52">
        <f>IF(Tabla15[[#This Row],[11]]="",0,VLOOKUP(TRAMOS!$Q$2,Tabla5[#All],3,FALSE)*Tabla15[[#This Row],[12]])</f>
        <v>0</v>
      </c>
      <c r="T8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86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8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8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6" s="52">
        <f>IF(Tabla15[[#This Row],[20]]="",0,VLOOKUP("VRP",Tabla5[#All],3,FALSE)*Tabla15[[#This Row],[21]])</f>
        <v>0</v>
      </c>
      <c r="AC8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6" s="52">
        <f>IF(Tabla15[[#This Row],[23]]="",0,VLOOKUP("VC",Tabla5[#All],3,FALSE)*Tabla15[[#This Row],[24]])</f>
        <v>0</v>
      </c>
      <c r="AF8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6" s="52">
        <f>IF(Tabla15[[#This Row],[26]]="",0,VLOOKUP(TRAMOS!$K$2,Tabla5[#All],3,FALSE)*Tabla15[[#This Row],[27]])</f>
        <v>0</v>
      </c>
      <c r="AI8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87" spans="2:41" x14ac:dyDescent="0.25">
      <c r="B87" s="58" t="str">
        <f>Tabla1[[#This Row],[nudo inicial]]</f>
        <v>N41</v>
      </c>
      <c r="C87" s="58" t="str">
        <f>Tabla1[[#This Row],[nudo final]]</f>
        <v>TP27</v>
      </c>
      <c r="D87" s="51">
        <f>Tabla1[[#This Row],[longitud]]</f>
        <v>61.81</v>
      </c>
      <c r="E87" s="51" t="str">
        <f>Tabla1[[#This Row],[diametro]]</f>
        <v>2"</v>
      </c>
      <c r="F87" s="51" t="str">
        <f>Tabla1[[#This Row],[material]]</f>
        <v>PVC</v>
      </c>
      <c r="G8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87" s="52" t="str">
        <f>IF(Tabla1[[#This Row],[5]]="TPD",Tabla1[[#This Row],[6]],"")</f>
        <v/>
      </c>
      <c r="I87" s="52" t="str">
        <f>IF(OR(Tabla1[[#This Row],[5]]="TPD"),Tabla1[[#This Row],[7]],"")</f>
        <v/>
      </c>
      <c r="J87" s="52">
        <f>IF(Tabla15[[#This Row],[2]]="",0,VLOOKUP(TRAMOS!$H$2,Tabla5[#All],3,FALSE)*Tabla15[[#This Row],[3]])</f>
        <v>0</v>
      </c>
      <c r="K87" s="52" t="str">
        <f>IF(Tabla1[[#This Row],[5]]="TPL",Tabla1[[#This Row],[6]],"")</f>
        <v>2"</v>
      </c>
      <c r="L87" s="52">
        <f>IF(OR(Tabla1[[#This Row],[5]]="TPL"),Tabla1[[#This Row],[7]],"")</f>
        <v>1</v>
      </c>
      <c r="M87" s="52">
        <f>IF(Tabla15[[#This Row],[5]]="",0,VLOOKUP(TRAMOS!$K$2,Tabla5[#All],3,FALSE)*Tabla15[[#This Row],[6]])</f>
        <v>0.9</v>
      </c>
      <c r="N8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7" s="52">
        <f>IF(Tabla15[[#This Row],[8]]="",0,VLOOKUP(TRAMOS!$H$2,Tabla5[#All],3,FALSE)*Tabla15[[#This Row],[9]])</f>
        <v>0</v>
      </c>
      <c r="Q8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7" s="52">
        <f>IF(Tabla15[[#This Row],[11]]="",0,VLOOKUP(TRAMOS!$Q$2,Tabla5[#All],3,FALSE)*Tabla15[[#This Row],[12]])</f>
        <v>0</v>
      </c>
      <c r="T8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7" s="52">
        <f>IF(Tabla15[[#This Row],[20]]="",0,VLOOKUP("VRP",Tabla5[#All],3,FALSE)*Tabla15[[#This Row],[21]])</f>
        <v>0</v>
      </c>
      <c r="AC8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7" s="52">
        <f>IF(Tabla15[[#This Row],[23]]="",0,VLOOKUP("VC",Tabla5[#All],3,FALSE)*Tabla15[[#This Row],[24]])</f>
        <v>0</v>
      </c>
      <c r="AF8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7" s="52">
        <f>IF(Tabla15[[#This Row],[26]]="",0,VLOOKUP(TRAMOS!$K$2,Tabla5[#All],3,FALSE)*Tabla15[[#This Row],[27]])</f>
        <v>0</v>
      </c>
      <c r="AI8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87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8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88" spans="2:41" x14ac:dyDescent="0.25">
      <c r="B88" s="58" t="str">
        <f>Tabla1[[#This Row],[nudo inicial]]</f>
        <v>N41</v>
      </c>
      <c r="C88" s="58" t="str">
        <f>Tabla1[[#This Row],[nudo final]]</f>
        <v>N42</v>
      </c>
      <c r="D88" s="51">
        <f>Tabla1[[#This Row],[longitud]]</f>
        <v>273</v>
      </c>
      <c r="E88" s="51" t="str">
        <f>Tabla1[[#This Row],[diametro]]</f>
        <v>2"</v>
      </c>
      <c r="F88" s="51" t="str">
        <f>Tabla1[[#This Row],[material]]</f>
        <v>PVC</v>
      </c>
      <c r="G8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88" s="52" t="str">
        <f>IF(Tabla1[[#This Row],[5]]="TPD",Tabla1[[#This Row],[6]],"")</f>
        <v/>
      </c>
      <c r="I88" s="52" t="str">
        <f>IF(OR(Tabla1[[#This Row],[5]]="TPD"),Tabla1[[#This Row],[7]],"")</f>
        <v/>
      </c>
      <c r="J88" s="52">
        <f>IF(Tabla15[[#This Row],[2]]="",0,VLOOKUP(TRAMOS!$H$2,Tabla5[#All],3,FALSE)*Tabla15[[#This Row],[3]])</f>
        <v>0</v>
      </c>
      <c r="K88" s="52" t="str">
        <f>IF(Tabla1[[#This Row],[5]]="TPL",Tabla1[[#This Row],[6]],"")</f>
        <v>2"</v>
      </c>
      <c r="L88" s="52">
        <f>IF(OR(Tabla1[[#This Row],[5]]="TPL"),Tabla1[[#This Row],[7]],"")</f>
        <v>1</v>
      </c>
      <c r="M88" s="52">
        <f>IF(Tabla15[[#This Row],[5]]="",0,VLOOKUP(TRAMOS!$K$2,Tabla5[#All],3,FALSE)*Tabla15[[#This Row],[6]])</f>
        <v>0.9</v>
      </c>
      <c r="N8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8" s="52">
        <f>IF(Tabla15[[#This Row],[8]]="",0,VLOOKUP(TRAMOS!$H$2,Tabla5[#All],3,FALSE)*Tabla15[[#This Row],[9]])</f>
        <v>0</v>
      </c>
      <c r="Q8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88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88" s="52">
        <f>IF(Tabla15[[#This Row],[11]]="",0,VLOOKUP(TRAMOS!$Q$2,Tabla5[#All],3,FALSE)*Tabla15[[#This Row],[12]])</f>
        <v>0.9</v>
      </c>
      <c r="T8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8" s="52">
        <f>IF(Tabla15[[#This Row],[20]]="",0,VLOOKUP("VRP",Tabla5[#All],3,FALSE)*Tabla15[[#This Row],[21]])</f>
        <v>0</v>
      </c>
      <c r="AC8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8" s="52">
        <f>IF(Tabla15[[#This Row],[23]]="",0,VLOOKUP("VC",Tabla5[#All],3,FALSE)*Tabla15[[#This Row],[24]])</f>
        <v>0</v>
      </c>
      <c r="AF8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8" s="52">
        <f>IF(Tabla15[[#This Row],[26]]="",0,VLOOKUP(TRAMOS!$K$2,Tabla5[#All],3,FALSE)*Tabla15[[#This Row],[27]])</f>
        <v>0</v>
      </c>
      <c r="AI8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1.8</v>
      </c>
    </row>
    <row r="89" spans="2:41" x14ac:dyDescent="0.25">
      <c r="B89" s="58" t="str">
        <f>Tabla1[[#This Row],[nudo inicial]]</f>
        <v>N42</v>
      </c>
      <c r="C89" s="58" t="str">
        <f>Tabla1[[#This Row],[nudo final]]</f>
        <v>TP28</v>
      </c>
      <c r="D89" s="51">
        <f>Tabla1[[#This Row],[longitud]]</f>
        <v>30</v>
      </c>
      <c r="E89" s="51" t="str">
        <f>Tabla1[[#This Row],[diametro]]</f>
        <v>2"</v>
      </c>
      <c r="F89" s="51" t="str">
        <f>Tabla1[[#This Row],[material]]</f>
        <v>PVC</v>
      </c>
      <c r="G8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89" s="52" t="str">
        <f>IF(Tabla1[[#This Row],[5]]="TPD",Tabla1[[#This Row],[6]],"")</f>
        <v/>
      </c>
      <c r="I89" s="52" t="str">
        <f>IF(OR(Tabla1[[#This Row],[5]]="TPD"),Tabla1[[#This Row],[7]],"")</f>
        <v/>
      </c>
      <c r="J89" s="52">
        <f>IF(Tabla15[[#This Row],[2]]="",0,VLOOKUP(TRAMOS!$H$2,Tabla5[#All],3,FALSE)*Tabla15[[#This Row],[3]])</f>
        <v>0</v>
      </c>
      <c r="K89" s="52" t="str">
        <f>IF(Tabla1[[#This Row],[5]]="TPL",Tabla1[[#This Row],[6]],"")</f>
        <v>2"</v>
      </c>
      <c r="L89" s="52">
        <f>IF(OR(Tabla1[[#This Row],[5]]="TPL"),Tabla1[[#This Row],[7]],"")</f>
        <v>1</v>
      </c>
      <c r="M89" s="52">
        <f>IF(Tabla15[[#This Row],[5]]="",0,VLOOKUP(TRAMOS!$K$2,Tabla5[#All],3,FALSE)*Tabla15[[#This Row],[6]])</f>
        <v>0.9</v>
      </c>
      <c r="N8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9" s="52">
        <f>IF(Tabla15[[#This Row],[8]]="",0,VLOOKUP(TRAMOS!$H$2,Tabla5[#All],3,FALSE)*Tabla15[[#This Row],[9]])</f>
        <v>0</v>
      </c>
      <c r="Q8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9" s="52">
        <f>IF(Tabla15[[#This Row],[11]]="",0,VLOOKUP(TRAMOS!$Q$2,Tabla5[#All],3,FALSE)*Tabla15[[#This Row],[12]])</f>
        <v>0</v>
      </c>
      <c r="T8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9" s="52">
        <f>IF(Tabla15[[#This Row],[20]]="",0,VLOOKUP("VRP",Tabla5[#All],3,FALSE)*Tabla15[[#This Row],[21]])</f>
        <v>0</v>
      </c>
      <c r="AC8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9" s="52">
        <f>IF(Tabla15[[#This Row],[23]]="",0,VLOOKUP("VC",Tabla5[#All],3,FALSE)*Tabla15[[#This Row],[24]])</f>
        <v>0</v>
      </c>
      <c r="AF8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9" s="52">
        <f>IF(Tabla15[[#This Row],[26]]="",0,VLOOKUP(TRAMOS!$K$2,Tabla5[#All],3,FALSE)*Tabla15[[#This Row],[27]])</f>
        <v>0</v>
      </c>
      <c r="AI8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89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8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90" spans="2:41" x14ac:dyDescent="0.25">
      <c r="B90" s="58" t="str">
        <f>Tabla1[[#This Row],[nudo inicial]]</f>
        <v>N42</v>
      </c>
      <c r="C90" s="58" t="str">
        <f>Tabla1[[#This Row],[nudo final]]</f>
        <v>TP29</v>
      </c>
      <c r="D90" s="51">
        <f>Tabla1[[#This Row],[longitud]]</f>
        <v>143.97999999999999</v>
      </c>
      <c r="E90" s="51" t="str">
        <f>Tabla1[[#This Row],[diametro]]</f>
        <v>2"</v>
      </c>
      <c r="F90" s="51" t="str">
        <f>Tabla1[[#This Row],[material]]</f>
        <v>PVC</v>
      </c>
      <c r="G9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90" s="52" t="str">
        <f>IF(Tabla1[[#This Row],[5]]="TPD",Tabla1[[#This Row],[6]],"")</f>
        <v/>
      </c>
      <c r="I90" s="52" t="str">
        <f>IF(OR(Tabla1[[#This Row],[5]]="TPD"),Tabla1[[#This Row],[7]],"")</f>
        <v/>
      </c>
      <c r="J90" s="52">
        <f>IF(Tabla15[[#This Row],[2]]="",0,VLOOKUP(TRAMOS!$H$2,Tabla5[#All],3,FALSE)*Tabla15[[#This Row],[3]])</f>
        <v>0</v>
      </c>
      <c r="K90" s="52" t="str">
        <f>IF(Tabla1[[#This Row],[5]]="TPL",Tabla1[[#This Row],[6]],"")</f>
        <v>2"</v>
      </c>
      <c r="L90" s="52">
        <f>IF(OR(Tabla1[[#This Row],[5]]="TPL"),Tabla1[[#This Row],[7]],"")</f>
        <v>1</v>
      </c>
      <c r="M90" s="52">
        <f>IF(Tabla15[[#This Row],[5]]="",0,VLOOKUP(TRAMOS!$K$2,Tabla5[#All],3,FALSE)*Tabla15[[#This Row],[6]])</f>
        <v>0.9</v>
      </c>
      <c r="N9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0" s="52">
        <f>IF(Tabla15[[#This Row],[8]]="",0,VLOOKUP(TRAMOS!$H$2,Tabla5[#All],3,FALSE)*Tabla15[[#This Row],[9]])</f>
        <v>0</v>
      </c>
      <c r="Q9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0" s="52">
        <f>IF(Tabla15[[#This Row],[11]]="",0,VLOOKUP(TRAMOS!$Q$2,Tabla5[#All],3,FALSE)*Tabla15[[#This Row],[12]])</f>
        <v>0</v>
      </c>
      <c r="T9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0" s="52">
        <f>IF(Tabla15[[#This Row],[20]]="",0,VLOOKUP("VRP",Tabla5[#All],3,FALSE)*Tabla15[[#This Row],[21]])</f>
        <v>0</v>
      </c>
      <c r="AC9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0" s="52">
        <f>IF(Tabla15[[#This Row],[23]]="",0,VLOOKUP("VC",Tabla5[#All],3,FALSE)*Tabla15[[#This Row],[24]])</f>
        <v>0</v>
      </c>
      <c r="AF9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0" s="52">
        <f>IF(Tabla15[[#This Row],[26]]="",0,VLOOKUP(TRAMOS!$K$2,Tabla5[#All],3,FALSE)*Tabla15[[#This Row],[27]])</f>
        <v>0</v>
      </c>
      <c r="AI9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90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9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91" spans="2:41" x14ac:dyDescent="0.25">
      <c r="B91" s="58" t="str">
        <f>Tabla1[[#This Row],[nudo inicial]]</f>
        <v>N40</v>
      </c>
      <c r="C91" s="58" t="str">
        <f>Tabla1[[#This Row],[nudo final]]</f>
        <v>N43</v>
      </c>
      <c r="D91" s="51">
        <f>Tabla1[[#This Row],[longitud]]</f>
        <v>30.44</v>
      </c>
      <c r="E91" s="51" t="str">
        <f>Tabla1[[#This Row],[diametro]]</f>
        <v>3"</v>
      </c>
      <c r="F91" s="51" t="str">
        <f>Tabla1[[#This Row],[material]]</f>
        <v>AC</v>
      </c>
      <c r="G9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91" s="52" t="str">
        <f>IF(Tabla1[[#This Row],[5]]="TPD",Tabla1[[#This Row],[6]],"")</f>
        <v>3"</v>
      </c>
      <c r="I91" s="52">
        <f>IF(OR(Tabla1[[#This Row],[5]]="TPD"),Tabla1[[#This Row],[7]],"")</f>
        <v>1</v>
      </c>
      <c r="J91" s="52">
        <f>IF(Tabla15[[#This Row],[2]]="",0,VLOOKUP(TRAMOS!$H$2,Tabla5[#All],3,FALSE)*Tabla15[[#This Row],[3]])</f>
        <v>0.15</v>
      </c>
      <c r="K91" s="52" t="str">
        <f>IF(Tabla1[[#This Row],[5]]="TPL",Tabla1[[#This Row],[6]],"")</f>
        <v/>
      </c>
      <c r="L91" s="52" t="str">
        <f>IF(OR(Tabla1[[#This Row],[5]]="TPL"),Tabla1[[#This Row],[7]],"")</f>
        <v/>
      </c>
      <c r="M91" s="52">
        <f>IF(Tabla15[[#This Row],[5]]="",0,VLOOKUP(TRAMOS!$K$2,Tabla5[#All],3,FALSE)*Tabla15[[#This Row],[6]])</f>
        <v>0</v>
      </c>
      <c r="N9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1" s="52">
        <f>IF(Tabla15[[#This Row],[8]]="",0,VLOOKUP(TRAMOS!$H$2,Tabla5[#All],3,FALSE)*Tabla15[[#This Row],[9]])</f>
        <v>0</v>
      </c>
      <c r="Q9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1" s="52">
        <f>IF(Tabla15[[#This Row],[11]]="",0,VLOOKUP(TRAMOS!$Q$2,Tabla5[#All],3,FALSE)*Tabla15[[#This Row],[12]])</f>
        <v>0</v>
      </c>
      <c r="T9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1" s="52">
        <f>IF(Tabla15[[#This Row],[20]]="",0,VLOOKUP("VRP",Tabla5[#All],3,FALSE)*Tabla15[[#This Row],[21]])</f>
        <v>0</v>
      </c>
      <c r="AC9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1" s="52">
        <f>IF(Tabla15[[#This Row],[23]]="",0,VLOOKUP("VC",Tabla5[#All],3,FALSE)*Tabla15[[#This Row],[24]])</f>
        <v>0</v>
      </c>
      <c r="AF9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1" s="52">
        <f>IF(Tabla15[[#This Row],[26]]="",0,VLOOKUP(TRAMOS!$K$2,Tabla5[#All],3,FALSE)*Tabla15[[#This Row],[27]])</f>
        <v>0</v>
      </c>
      <c r="AI9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92" spans="2:41" x14ac:dyDescent="0.25">
      <c r="B92" s="58" t="str">
        <f>Tabla1[[#This Row],[nudo inicial]]</f>
        <v>N43</v>
      </c>
      <c r="C92" s="58" t="str">
        <f>Tabla1[[#This Row],[nudo final]]</f>
        <v>TP30</v>
      </c>
      <c r="D92" s="51">
        <f>Tabla1[[#This Row],[longitud]]</f>
        <v>32.5</v>
      </c>
      <c r="E92" s="51" t="str">
        <f>Tabla1[[#This Row],[diametro]]</f>
        <v>2"</v>
      </c>
      <c r="F92" s="51" t="str">
        <f>Tabla1[[#This Row],[material]]</f>
        <v>PVC</v>
      </c>
      <c r="G9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92" s="52" t="str">
        <f>IF(Tabla1[[#This Row],[5]]="TPD",Tabla1[[#This Row],[6]],"")</f>
        <v/>
      </c>
      <c r="I92" s="52" t="str">
        <f>IF(OR(Tabla1[[#This Row],[5]]="TPD"),Tabla1[[#This Row],[7]],"")</f>
        <v/>
      </c>
      <c r="J92" s="52">
        <f>IF(Tabla15[[#This Row],[2]]="",0,VLOOKUP(TRAMOS!$H$2,Tabla5[#All],3,FALSE)*Tabla15[[#This Row],[3]])</f>
        <v>0</v>
      </c>
      <c r="K92" s="52" t="str">
        <f>IF(Tabla1[[#This Row],[5]]="TPL",Tabla1[[#This Row],[6]],"")</f>
        <v>3"</v>
      </c>
      <c r="L92" s="52">
        <f>IF(OR(Tabla1[[#This Row],[5]]="TPL"),Tabla1[[#This Row],[7]],"")</f>
        <v>1</v>
      </c>
      <c r="M92" s="52">
        <f>IF(Tabla15[[#This Row],[5]]="",0,VLOOKUP(TRAMOS!$K$2,Tabla5[#All],3,FALSE)*Tabla15[[#This Row],[6]])</f>
        <v>0.9</v>
      </c>
      <c r="N9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2" s="52">
        <f>IF(Tabla15[[#This Row],[8]]="",0,VLOOKUP(TRAMOS!$H$2,Tabla5[#All],3,FALSE)*Tabla15[[#This Row],[9]])</f>
        <v>0</v>
      </c>
      <c r="Q9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2" s="52">
        <f>IF(Tabla15[[#This Row],[11]]="",0,VLOOKUP(TRAMOS!$Q$2,Tabla5[#All],3,FALSE)*Tabla15[[#This Row],[12]])</f>
        <v>0</v>
      </c>
      <c r="T9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92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9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9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2" s="52">
        <f>IF(Tabla15[[#This Row],[20]]="",0,VLOOKUP("VRP",Tabla5[#All],3,FALSE)*Tabla15[[#This Row],[21]])</f>
        <v>0</v>
      </c>
      <c r="AC9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2" s="52">
        <f>IF(Tabla15[[#This Row],[23]]="",0,VLOOKUP("VC",Tabla5[#All],3,FALSE)*Tabla15[[#This Row],[24]])</f>
        <v>0</v>
      </c>
      <c r="AF9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2" s="52">
        <f>IF(Tabla15[[#This Row],[26]]="",0,VLOOKUP(TRAMOS!$K$2,Tabla5[#All],3,FALSE)*Tabla15[[#This Row],[27]])</f>
        <v>0</v>
      </c>
      <c r="AI9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92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9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93" spans="2:41" x14ac:dyDescent="0.25">
      <c r="B93" s="58" t="str">
        <f>Tabla1[[#This Row],[nudo inicial]]</f>
        <v>N12</v>
      </c>
      <c r="C93" s="58" t="str">
        <f>Tabla1[[#This Row],[nudo final]]</f>
        <v>N44</v>
      </c>
      <c r="D93" s="51">
        <f>Tabla1[[#This Row],[longitud]]</f>
        <v>1038.51</v>
      </c>
      <c r="E93" s="51" t="str">
        <f>Tabla1[[#This Row],[diametro]]</f>
        <v>6"</v>
      </c>
      <c r="F93" s="51" t="str">
        <f>Tabla1[[#This Row],[material]]</f>
        <v>HG</v>
      </c>
      <c r="G9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93" s="52" t="str">
        <f>IF(Tabla1[[#This Row],[5]]="TPD",Tabla1[[#This Row],[6]],"")</f>
        <v/>
      </c>
      <c r="I93" s="52" t="str">
        <f>IF(OR(Tabla1[[#This Row],[5]]="TPD"),Tabla1[[#This Row],[7]],"")</f>
        <v/>
      </c>
      <c r="J93" s="52">
        <f>IF(Tabla15[[#This Row],[2]]="",0,VLOOKUP(TRAMOS!$H$2,Tabla5[#All],3,FALSE)*Tabla15[[#This Row],[3]])</f>
        <v>0</v>
      </c>
      <c r="K93" s="52" t="str">
        <f>IF(Tabla1[[#This Row],[5]]="TPL",Tabla1[[#This Row],[6]],"")</f>
        <v/>
      </c>
      <c r="L93" s="52" t="str">
        <f>IF(OR(Tabla1[[#This Row],[5]]="TPL"),Tabla1[[#This Row],[7]],"")</f>
        <v/>
      </c>
      <c r="M93" s="52">
        <f>IF(Tabla15[[#This Row],[5]]="",0,VLOOKUP(TRAMOS!$K$2,Tabla5[#All],3,FALSE)*Tabla15[[#This Row],[6]])</f>
        <v>0</v>
      </c>
      <c r="N9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3" s="52">
        <f>IF(Tabla15[[#This Row],[8]]="",0,VLOOKUP(TRAMOS!$H$2,Tabla5[#All],3,FALSE)*Tabla15[[#This Row],[9]])</f>
        <v>0</v>
      </c>
      <c r="Q9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3" s="52">
        <f>IF(Tabla15[[#This Row],[11]]="",0,VLOOKUP(TRAMOS!$Q$2,Tabla5[#All],3,FALSE)*Tabla15[[#This Row],[12]])</f>
        <v>0</v>
      </c>
      <c r="T9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6"</v>
      </c>
      <c r="U93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9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0.13850000000000007</v>
      </c>
      <c r="W9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3" s="52">
        <f>IF(Tabla15[[#This Row],[20]]="",0,VLOOKUP("VRP",Tabla5[#All],3,FALSE)*Tabla15[[#This Row],[21]])</f>
        <v>0</v>
      </c>
      <c r="AC9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3" s="52">
        <f>IF(Tabla15[[#This Row],[23]]="",0,VLOOKUP("VC",Tabla5[#All],3,FALSE)*Tabla15[[#This Row],[24]])</f>
        <v>0</v>
      </c>
      <c r="AF9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3" s="52">
        <f>IF(Tabla15[[#This Row],[26]]="",0,VLOOKUP(TRAMOS!$K$2,Tabla5[#All],3,FALSE)*Tabla15[[#This Row],[27]])</f>
        <v>0</v>
      </c>
      <c r="AI9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0.13850000000000007</v>
      </c>
    </row>
    <row r="94" spans="2:41" x14ac:dyDescent="0.25">
      <c r="B94" s="58" t="str">
        <f>Tabla1[[#This Row],[nudo inicial]]</f>
        <v>N44</v>
      </c>
      <c r="C94" s="58" t="str">
        <f>Tabla1[[#This Row],[nudo final]]</f>
        <v>N45</v>
      </c>
      <c r="D94" s="51">
        <f>Tabla1[[#This Row],[longitud]]</f>
        <v>1051.9100000000001</v>
      </c>
      <c r="E94" s="51" t="str">
        <f>Tabla1[[#This Row],[diametro]]</f>
        <v>6"</v>
      </c>
      <c r="F94" s="51" t="str">
        <f>Tabla1[[#This Row],[material]]</f>
        <v>PVC</v>
      </c>
      <c r="G9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94" s="52" t="str">
        <f>IF(Tabla1[[#This Row],[5]]="TPD",Tabla1[[#This Row],[6]],"")</f>
        <v/>
      </c>
      <c r="I94" s="52" t="str">
        <f>IF(OR(Tabla1[[#This Row],[5]]="TPD"),Tabla1[[#This Row],[7]],"")</f>
        <v/>
      </c>
      <c r="J94" s="52">
        <f>IF(Tabla15[[#This Row],[2]]="",0,VLOOKUP(TRAMOS!$H$2,Tabla5[#All],3,FALSE)*Tabla15[[#This Row],[3]])</f>
        <v>0</v>
      </c>
      <c r="K94" s="52" t="str">
        <f>IF(Tabla1[[#This Row],[5]]="TPL",Tabla1[[#This Row],[6]],"")</f>
        <v/>
      </c>
      <c r="L94" s="52" t="str">
        <f>IF(OR(Tabla1[[#This Row],[5]]="TPL"),Tabla1[[#This Row],[7]],"")</f>
        <v/>
      </c>
      <c r="M94" s="52">
        <f>IF(Tabla15[[#This Row],[5]]="",0,VLOOKUP(TRAMOS!$K$2,Tabla5[#All],3,FALSE)*Tabla15[[#This Row],[6]])</f>
        <v>0</v>
      </c>
      <c r="N9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4" s="52">
        <f>IF(Tabla15[[#This Row],[8]]="",0,VLOOKUP(TRAMOS!$H$2,Tabla5[#All],3,FALSE)*Tabla15[[#This Row],[9]])</f>
        <v>0</v>
      </c>
      <c r="Q9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4" s="52">
        <f>IF(Tabla15[[#This Row],[11]]="",0,VLOOKUP(TRAMOS!$Q$2,Tabla5[#All],3,FALSE)*Tabla15[[#This Row],[12]])</f>
        <v>0</v>
      </c>
      <c r="T9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4" s="52">
        <f>IF(Tabla15[[#This Row],[20]]="",0,VLOOKUP("VRP",Tabla5[#All],3,FALSE)*Tabla15[[#This Row],[21]])</f>
        <v>0</v>
      </c>
      <c r="AC9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4" s="52">
        <f>IF(Tabla15[[#This Row],[23]]="",0,VLOOKUP("VC",Tabla5[#All],3,FALSE)*Tabla15[[#This Row],[24]])</f>
        <v>0</v>
      </c>
      <c r="AF9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4" s="52">
        <f>IF(Tabla15[[#This Row],[26]]="",0,VLOOKUP(TRAMOS!$K$2,Tabla5[#All],3,FALSE)*Tabla15[[#This Row],[27]])</f>
        <v>0</v>
      </c>
      <c r="AI9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</v>
      </c>
    </row>
    <row r="95" spans="2:41" x14ac:dyDescent="0.25">
      <c r="B95" s="58" t="str">
        <f>Tabla1[[#This Row],[nudo inicial]]</f>
        <v>N45</v>
      </c>
      <c r="C95" s="58" t="str">
        <f>Tabla1[[#This Row],[nudo final]]</f>
        <v>T. JURADO 3</v>
      </c>
      <c r="D95" s="51">
        <f>Tabla1[[#This Row],[longitud]]</f>
        <v>21.31</v>
      </c>
      <c r="E95" s="51" t="str">
        <f>Tabla1[[#This Row],[diametro]]</f>
        <v>4"</v>
      </c>
      <c r="F95" s="51" t="str">
        <f>Tabla1[[#This Row],[material]]</f>
        <v>HF</v>
      </c>
      <c r="G9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95" s="52" t="str">
        <f>IF(Tabla1[[#This Row],[5]]="TPD",Tabla1[[#This Row],[6]],"")</f>
        <v/>
      </c>
      <c r="I95" s="52" t="str">
        <f>IF(OR(Tabla1[[#This Row],[5]]="TPD"),Tabla1[[#This Row],[7]],"")</f>
        <v/>
      </c>
      <c r="J95" s="52">
        <f>IF(Tabla15[[#This Row],[2]]="",0,VLOOKUP(TRAMOS!$H$2,Tabla5[#All],3,FALSE)*Tabla15[[#This Row],[3]])</f>
        <v>0</v>
      </c>
      <c r="K95" s="52" t="str">
        <f>IF(Tabla1[[#This Row],[5]]="TPL",Tabla1[[#This Row],[6]],"")</f>
        <v>6"</v>
      </c>
      <c r="L95" s="52">
        <f>IF(OR(Tabla1[[#This Row],[5]]="TPL"),Tabla1[[#This Row],[7]],"")</f>
        <v>1</v>
      </c>
      <c r="M95" s="52">
        <f>IF(Tabla15[[#This Row],[5]]="",0,VLOOKUP(TRAMOS!$K$2,Tabla5[#All],3,FALSE)*Tabla15[[#This Row],[6]])</f>
        <v>0.9</v>
      </c>
      <c r="N9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5" s="52">
        <f>IF(Tabla15[[#This Row],[8]]="",0,VLOOKUP(TRAMOS!$H$2,Tabla5[#All],3,FALSE)*Tabla15[[#This Row],[9]])</f>
        <v>0</v>
      </c>
      <c r="Q9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5" s="52">
        <f>IF(Tabla15[[#This Row],[11]]="",0,VLOOKUP(TRAMOS!$Q$2,Tabla5[#All],3,FALSE)*Tabla15[[#This Row],[12]])</f>
        <v>0</v>
      </c>
      <c r="T9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4"</v>
      </c>
      <c r="U95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9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9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5" s="52">
        <f>IF(Tabla15[[#This Row],[20]]="",0,VLOOKUP("VRP",Tabla5[#All],3,FALSE)*Tabla15[[#This Row],[21]])</f>
        <v>0</v>
      </c>
      <c r="AC9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4"</v>
      </c>
      <c r="AD95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95" s="52">
        <f>IF(Tabla15[[#This Row],[23]]="",0,VLOOKUP("VC",Tabla5[#All],3,FALSE)*Tabla15[[#This Row],[24]])</f>
        <v>0.25</v>
      </c>
      <c r="AF9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5" s="52">
        <f>IF(Tabla15[[#This Row],[26]]="",0,VLOOKUP(TRAMOS!$K$2,Tabla5[#All],3,FALSE)*Tabla15[[#This Row],[27]])</f>
        <v>0</v>
      </c>
      <c r="AI9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1.365</v>
      </c>
    </row>
    <row r="96" spans="2:41" x14ac:dyDescent="0.25">
      <c r="B96" s="58" t="str">
        <f>Tabla1[[#This Row],[nudo inicial]]</f>
        <v>N16</v>
      </c>
      <c r="C96" s="58" t="str">
        <f>Tabla1[[#This Row],[nudo final]]</f>
        <v>N46</v>
      </c>
      <c r="D96" s="51">
        <f>Tabla1[[#This Row],[longitud]]</f>
        <v>1720.4299999999998</v>
      </c>
      <c r="E96" s="51" t="str">
        <f>Tabla1[[#This Row],[diametro]]</f>
        <v>16"</v>
      </c>
      <c r="F96" s="51" t="str">
        <f>Tabla1[[#This Row],[material]]</f>
        <v>AP</v>
      </c>
      <c r="G9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16"</v>
      </c>
      <c r="H96" s="52" t="str">
        <f>IF(Tabla1[[#This Row],[5]]="TPD",Tabla1[[#This Row],[6]],"")</f>
        <v/>
      </c>
      <c r="I96" s="52" t="str">
        <f>IF(OR(Tabla1[[#This Row],[5]]="TPD"),Tabla1[[#This Row],[7]],"")</f>
        <v/>
      </c>
      <c r="J96" s="52">
        <f>IF(Tabla15[[#This Row],[2]]="",0,VLOOKUP(TRAMOS!$H$2,Tabla5[#All],3,FALSE)*Tabla15[[#This Row],[3]])</f>
        <v>0</v>
      </c>
      <c r="K96" s="52" t="str">
        <f>IF(Tabla1[[#This Row],[5]]="TPL",Tabla1[[#This Row],[6]],"")</f>
        <v/>
      </c>
      <c r="L96" s="52" t="str">
        <f>IF(OR(Tabla1[[#This Row],[5]]="TPL"),Tabla1[[#This Row],[7]],"")</f>
        <v/>
      </c>
      <c r="M96" s="52">
        <f>IF(Tabla15[[#This Row],[5]]="",0,VLOOKUP(TRAMOS!$K$2,Tabla5[#All],3,FALSE)*Tabla15[[#This Row],[6]])</f>
        <v>0</v>
      </c>
      <c r="N9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6" s="52">
        <f>IF(Tabla15[[#This Row],[8]]="",0,VLOOKUP(TRAMOS!$H$2,Tabla5[#All],3,FALSE)*Tabla15[[#This Row],[9]])</f>
        <v>0</v>
      </c>
      <c r="Q9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16"</v>
      </c>
      <c r="R96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96" s="52">
        <f>IF(Tabla15[[#This Row],[11]]="",0,VLOOKUP(TRAMOS!$Q$2,Tabla5[#All],3,FALSE)*Tabla15[[#This Row],[12]])</f>
        <v>0.9</v>
      </c>
      <c r="T9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6" s="52">
        <f>IF(Tabla15[[#This Row],[20]]="",0,VLOOKUP("VRP",Tabla5[#All],3,FALSE)*Tabla15[[#This Row],[21]])</f>
        <v>0</v>
      </c>
      <c r="AC9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6" s="52">
        <f>IF(Tabla15[[#This Row],[23]]="",0,VLOOKUP("VC",Tabla5[#All],3,FALSE)*Tabla15[[#This Row],[24]])</f>
        <v>0</v>
      </c>
      <c r="AF9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6" s="52">
        <f>IF(Tabla15[[#This Row],[26]]="",0,VLOOKUP(TRAMOS!$K$2,Tabla5[#All],3,FALSE)*Tabla15[[#This Row],[27]])</f>
        <v>0</v>
      </c>
      <c r="AI9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97" spans="2:41" x14ac:dyDescent="0.25">
      <c r="B97" s="58" t="str">
        <f>Tabla1[[#This Row],[nudo inicial]]</f>
        <v>N16</v>
      </c>
      <c r="C97" s="58" t="str">
        <f>Tabla1[[#This Row],[nudo final]]</f>
        <v>CQ2</v>
      </c>
      <c r="D97" s="51">
        <f>Tabla1[[#This Row],[longitud]]</f>
        <v>385.42</v>
      </c>
      <c r="E97" s="51" t="str">
        <f>Tabla1[[#This Row],[diametro]]</f>
        <v>12"</v>
      </c>
      <c r="F97" s="51" t="str">
        <f>Tabla1[[#This Row],[material]]</f>
        <v>HF</v>
      </c>
      <c r="G9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16"</v>
      </c>
      <c r="H97" s="52" t="str">
        <f>IF(Tabla1[[#This Row],[5]]="TPD",Tabla1[[#This Row],[6]],"")</f>
        <v/>
      </c>
      <c r="I97" s="52" t="str">
        <f>IF(OR(Tabla1[[#This Row],[5]]="TPD"),Tabla1[[#This Row],[7]],"")</f>
        <v/>
      </c>
      <c r="J97" s="52">
        <f>IF(Tabla15[[#This Row],[2]]="",0,VLOOKUP(TRAMOS!$H$2,Tabla5[#All],3,FALSE)*Tabla15[[#This Row],[3]])</f>
        <v>0</v>
      </c>
      <c r="K97" s="52" t="str">
        <f>IF(Tabla1[[#This Row],[5]]="TPL",Tabla1[[#This Row],[6]],"")</f>
        <v/>
      </c>
      <c r="L97" s="52" t="str">
        <f>IF(OR(Tabla1[[#This Row],[5]]="TPL"),Tabla1[[#This Row],[7]],"")</f>
        <v/>
      </c>
      <c r="M97" s="52">
        <f>IF(Tabla15[[#This Row],[5]]="",0,VLOOKUP(TRAMOS!$K$2,Tabla5[#All],3,FALSE)*Tabla15[[#This Row],[6]])</f>
        <v>0</v>
      </c>
      <c r="N9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7" s="52">
        <f>IF(Tabla15[[#This Row],[8]]="",0,VLOOKUP(TRAMOS!$H$2,Tabla5[#All],3,FALSE)*Tabla15[[#This Row],[9]])</f>
        <v>0</v>
      </c>
      <c r="Q9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7" s="52">
        <f>IF(Tabla15[[#This Row],[11]]="",0,VLOOKUP(TRAMOS!$Q$2,Tabla5[#All],3,FALSE)*Tabla15[[#This Row],[12]])</f>
        <v>0</v>
      </c>
      <c r="T9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7" s="52">
        <f>IF(Tabla15[[#This Row],[20]]="",0,VLOOKUP("VRP",Tabla5[#All],3,FALSE)*Tabla15[[#This Row],[21]])</f>
        <v>0</v>
      </c>
      <c r="AC9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7" s="52">
        <f>IF(Tabla15[[#This Row],[23]]="",0,VLOOKUP("VC",Tabla5[#All],3,FALSE)*Tabla15[[#This Row],[24]])</f>
        <v>0</v>
      </c>
      <c r="AF9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7" s="52">
        <f>IF(Tabla15[[#This Row],[26]]="",0,VLOOKUP(TRAMOS!$K$2,Tabla5[#All],3,FALSE)*Tabla15[[#This Row],[27]])</f>
        <v>0</v>
      </c>
      <c r="AI9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</v>
      </c>
    </row>
    <row r="98" spans="2:41" x14ac:dyDescent="0.25">
      <c r="B98" s="58" t="str">
        <f>Tabla1[[#This Row],[nudo inicial]]</f>
        <v>CQ2</v>
      </c>
      <c r="C98" s="58" t="str">
        <f>Tabla1[[#This Row],[nudo final]]</f>
        <v>N47</v>
      </c>
      <c r="D98" s="51">
        <f>Tabla1[[#This Row],[longitud]]</f>
        <v>326.60000000000002</v>
      </c>
      <c r="E98" s="51" t="str">
        <f>Tabla1[[#This Row],[diametro]]</f>
        <v>12"</v>
      </c>
      <c r="F98" s="51" t="str">
        <f>Tabla1[[#This Row],[material]]</f>
        <v>HF</v>
      </c>
      <c r="G9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12"</v>
      </c>
      <c r="H98" s="52" t="str">
        <f>IF(Tabla1[[#This Row],[5]]="TPD",Tabla1[[#This Row],[6]],"")</f>
        <v/>
      </c>
      <c r="I98" s="52" t="str">
        <f>IF(OR(Tabla1[[#This Row],[5]]="TPD"),Tabla1[[#This Row],[7]],"")</f>
        <v/>
      </c>
      <c r="J98" s="52">
        <f>IF(Tabla15[[#This Row],[2]]="",0,VLOOKUP(TRAMOS!$H$2,Tabla5[#All],3,FALSE)*Tabla15[[#This Row],[3]])</f>
        <v>0</v>
      </c>
      <c r="K98" s="52" t="str">
        <f>IF(Tabla1[[#This Row],[5]]="TPL",Tabla1[[#This Row],[6]],"")</f>
        <v/>
      </c>
      <c r="L98" s="52" t="str">
        <f>IF(OR(Tabla1[[#This Row],[5]]="TPL"),Tabla1[[#This Row],[7]],"")</f>
        <v/>
      </c>
      <c r="M98" s="52">
        <f>IF(Tabla15[[#This Row],[5]]="",0,VLOOKUP(TRAMOS!$K$2,Tabla5[#All],3,FALSE)*Tabla15[[#This Row],[6]])</f>
        <v>0</v>
      </c>
      <c r="N9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8" s="52">
        <f>IF(Tabla15[[#This Row],[8]]="",0,VLOOKUP(TRAMOS!$H$2,Tabla5[#All],3,FALSE)*Tabla15[[#This Row],[9]])</f>
        <v>0</v>
      </c>
      <c r="Q9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8" s="52">
        <f>IF(Tabla15[[#This Row],[11]]="",0,VLOOKUP(TRAMOS!$Q$2,Tabla5[#All],3,FALSE)*Tabla15[[#This Row],[12]])</f>
        <v>0</v>
      </c>
      <c r="T9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8" s="52">
        <f>IF(Tabla15[[#This Row],[20]]="",0,VLOOKUP("VRP",Tabla5[#All],3,FALSE)*Tabla15[[#This Row],[21]])</f>
        <v>0</v>
      </c>
      <c r="AC9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8" s="52">
        <f>IF(Tabla15[[#This Row],[23]]="",0,VLOOKUP("VC",Tabla5[#All],3,FALSE)*Tabla15[[#This Row],[24]])</f>
        <v>0</v>
      </c>
      <c r="AF9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8" s="52">
        <f>IF(Tabla15[[#This Row],[26]]="",0,VLOOKUP(TRAMOS!$K$2,Tabla5[#All],3,FALSE)*Tabla15[[#This Row],[27]])</f>
        <v>0</v>
      </c>
      <c r="AI9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</v>
      </c>
    </row>
    <row r="99" spans="2:41" x14ac:dyDescent="0.25">
      <c r="B99" s="58" t="str">
        <f>Tabla1[[#This Row],[nudo inicial]]</f>
        <v>N47</v>
      </c>
      <c r="C99" s="58" t="str">
        <f>Tabla1[[#This Row],[nudo final]]</f>
        <v>N48</v>
      </c>
      <c r="D99" s="51">
        <f>Tabla1[[#This Row],[longitud]]</f>
        <v>1271.97</v>
      </c>
      <c r="E99" s="51" t="str">
        <f>Tabla1[[#This Row],[diametro]]</f>
        <v>12"</v>
      </c>
      <c r="F99" s="51" t="str">
        <f>Tabla1[[#This Row],[material]]</f>
        <v>HF</v>
      </c>
      <c r="G9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12"</v>
      </c>
      <c r="H99" s="52" t="str">
        <f>IF(Tabla1[[#This Row],[5]]="TPD",Tabla1[[#This Row],[6]],"")</f>
        <v>12"</v>
      </c>
      <c r="I99" s="52">
        <f>IF(OR(Tabla1[[#This Row],[5]]="TPD"),Tabla1[[#This Row],[7]],"")</f>
        <v>1</v>
      </c>
      <c r="J99" s="52">
        <f>IF(Tabla15[[#This Row],[2]]="",0,VLOOKUP(TRAMOS!$H$2,Tabla5[#All],3,FALSE)*Tabla15[[#This Row],[3]])</f>
        <v>0.15</v>
      </c>
      <c r="K99" s="52" t="str">
        <f>IF(Tabla1[[#This Row],[5]]="TPL",Tabla1[[#This Row],[6]],"")</f>
        <v/>
      </c>
      <c r="L99" s="52" t="str">
        <f>IF(OR(Tabla1[[#This Row],[5]]="TPL"),Tabla1[[#This Row],[7]],"")</f>
        <v/>
      </c>
      <c r="M99" s="52">
        <f>IF(Tabla15[[#This Row],[5]]="",0,VLOOKUP(TRAMOS!$K$2,Tabla5[#All],3,FALSE)*Tabla15[[#This Row],[6]])</f>
        <v>0</v>
      </c>
      <c r="N9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9" s="52">
        <f>IF(Tabla15[[#This Row],[8]]="",0,VLOOKUP(TRAMOS!$H$2,Tabla5[#All],3,FALSE)*Tabla15[[#This Row],[9]])</f>
        <v>0</v>
      </c>
      <c r="Q9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12"</v>
      </c>
      <c r="R99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99" s="52">
        <f>IF(Tabla15[[#This Row],[11]]="",0,VLOOKUP(TRAMOS!$Q$2,Tabla5[#All],3,FALSE)*Tabla15[[#This Row],[12]])</f>
        <v>0.9</v>
      </c>
      <c r="T9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9" s="52">
        <f>IF(Tabla15[[#This Row],[20]]="",0,VLOOKUP("VRP",Tabla5[#All],3,FALSE)*Tabla15[[#This Row],[21]])</f>
        <v>0</v>
      </c>
      <c r="AC9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9" s="52">
        <f>IF(Tabla15[[#This Row],[23]]="",0,VLOOKUP("VC",Tabla5[#All],3,FALSE)*Tabla15[[#This Row],[24]])</f>
        <v>0</v>
      </c>
      <c r="AF9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9" s="52">
        <f>IF(Tabla15[[#This Row],[26]]="",0,VLOOKUP(TRAMOS!$K$2,Tabla5[#All],3,FALSE)*Tabla15[[#This Row],[27]])</f>
        <v>0</v>
      </c>
      <c r="AI99" s="52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>0</v>
      </c>
      <c r="AJ99" s="52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>1</v>
      </c>
      <c r="AK9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100" spans="2:41" x14ac:dyDescent="0.25">
      <c r="B100" s="58" t="str">
        <f>Tabla1[[#This Row],[nudo inicial]]</f>
        <v>N18</v>
      </c>
      <c r="C100" s="58" t="str">
        <f>Tabla1[[#This Row],[nudo final]]</f>
        <v>N49</v>
      </c>
      <c r="D100" s="51">
        <f>Tabla1[[#This Row],[longitud]]</f>
        <v>1036.19</v>
      </c>
      <c r="E100" s="51" t="str">
        <f>Tabla1[[#This Row],[diametro]]</f>
        <v>8"</v>
      </c>
      <c r="F100" s="51" t="str">
        <f>Tabla1[[#This Row],[material]]</f>
        <v>AC</v>
      </c>
      <c r="G10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100" s="52" t="str">
        <f>IF(Tabla1[[#This Row],[5]]="TPD",Tabla1[[#This Row],[6]],"")</f>
        <v/>
      </c>
      <c r="I100" s="52" t="str">
        <f>IF(OR(Tabla1[[#This Row],[5]]="TPD"),Tabla1[[#This Row],[7]],"")</f>
        <v/>
      </c>
      <c r="J100" s="52">
        <f>IF(Tabla15[[#This Row],[2]]="",0,VLOOKUP(TRAMOS!$H$2,Tabla5[#All],3,FALSE)*Tabla15[[#This Row],[3]])</f>
        <v>0</v>
      </c>
      <c r="K100" s="52" t="str">
        <f>IF(Tabla1[[#This Row],[5]]="TPL",Tabla1[[#This Row],[6]],"")</f>
        <v/>
      </c>
      <c r="L100" s="52" t="str">
        <f>IF(OR(Tabla1[[#This Row],[5]]="TPL"),Tabla1[[#This Row],[7]],"")</f>
        <v/>
      </c>
      <c r="M100" s="52">
        <f>IF(Tabla15[[#This Row],[5]]="",0,VLOOKUP(TRAMOS!$K$2,Tabla5[#All],3,FALSE)*Tabla15[[#This Row],[6]])</f>
        <v>0</v>
      </c>
      <c r="N10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0" s="52">
        <f>IF(Tabla15[[#This Row],[8]]="",0,VLOOKUP(TRAMOS!$H$2,Tabla5[#All],3,FALSE)*Tabla15[[#This Row],[9]])</f>
        <v>0</v>
      </c>
      <c r="Q10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0" s="52">
        <f>IF(Tabla15[[#This Row],[11]]="",0,VLOOKUP(TRAMOS!$Q$2,Tabla5[#All],3,FALSE)*Tabla15[[#This Row],[12]])</f>
        <v>0</v>
      </c>
      <c r="T10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0" s="52">
        <f>IF(Tabla15[[#This Row],[20]]="",0,VLOOKUP("VRP",Tabla5[#All],3,FALSE)*Tabla15[[#This Row],[21]])</f>
        <v>0</v>
      </c>
      <c r="AC10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0" s="52">
        <f>IF(Tabla15[[#This Row],[23]]="",0,VLOOKUP("VC",Tabla5[#All],3,FALSE)*Tabla15[[#This Row],[24]])</f>
        <v>0</v>
      </c>
      <c r="AF10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0" s="52">
        <f>IF(Tabla15[[#This Row],[26]]="",0,VLOOKUP(TRAMOS!$K$2,Tabla5[#All],3,FALSE)*Tabla15[[#This Row],[27]])</f>
        <v>0</v>
      </c>
      <c r="AI10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</v>
      </c>
    </row>
    <row r="101" spans="2:41" x14ac:dyDescent="0.25">
      <c r="B101" s="58" t="str">
        <f>Tabla1[[#This Row],[nudo inicial]]</f>
        <v>N50</v>
      </c>
      <c r="C101" s="58" t="str">
        <f>Tabla1[[#This Row],[nudo final]]</f>
        <v>N12</v>
      </c>
      <c r="D101" s="51">
        <f>Tabla1[[#This Row],[longitud]]</f>
        <v>242</v>
      </c>
      <c r="E101" s="51" t="str">
        <f>Tabla1[[#This Row],[diametro]]</f>
        <v>8"</v>
      </c>
      <c r="F101" s="51" t="str">
        <f>Tabla1[[#This Row],[material]]</f>
        <v>PVC</v>
      </c>
      <c r="G101" s="51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0</v>
      </c>
      <c r="H101" s="52">
        <f>IF(Tabla1[[#This Row],[5]]="TPD",Tabla1[[#This Row],[6]],"")</f>
        <v>0</v>
      </c>
      <c r="I101" s="52">
        <f>IF(OR(Tabla1[[#This Row],[5]]="TPD"),Tabla1[[#This Row],[7]],"")</f>
        <v>0</v>
      </c>
      <c r="J101" s="52">
        <f>IF(Tabla15[[#This Row],[2]]="",0,VLOOKUP(TRAMOS!$H$2,Tabla5[#All],3,FALSE)*Tabla15[[#This Row],[3]])</f>
        <v>0</v>
      </c>
      <c r="K101" s="52" t="str">
        <f>IF(Tabla1[[#This Row],[5]]="TPL",Tabla1[[#This Row],[6]],"")</f>
        <v/>
      </c>
      <c r="L101" s="52" t="str">
        <f>IF(OR(Tabla1[[#This Row],[5]]="TPL"),Tabla1[[#This Row],[7]],"")</f>
        <v/>
      </c>
      <c r="M101" s="52">
        <f>IF(Tabla15[[#This Row],[5]]="",0,VLOOKUP(TRAMOS!$K$2,Tabla5[#All],3,FALSE)*Tabla15[[#This Row],[6]])</f>
        <v>0</v>
      </c>
      <c r="N10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1" s="52">
        <f>IF(Tabla15[[#This Row],[8]]="",0,VLOOKUP(TRAMOS!$H$2,Tabla5[#All],3,FALSE)*Tabla15[[#This Row],[9]])</f>
        <v>0</v>
      </c>
      <c r="Q10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1" s="52">
        <f>IF(Tabla15[[#This Row],[11]]="",0,VLOOKUP(TRAMOS!$Q$2,Tabla5[#All],3,FALSE)*Tabla15[[#This Row],[12]])</f>
        <v>0</v>
      </c>
      <c r="T10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1" s="52">
        <f>IF(Tabla15[[#This Row],[20]]="",0,VLOOKUP("VRP",Tabla5[#All],3,FALSE)*Tabla15[[#This Row],[21]])</f>
        <v>0</v>
      </c>
      <c r="AC10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1" s="52">
        <f>IF(Tabla15[[#This Row],[23]]="",0,VLOOKUP("VC",Tabla5[#All],3,FALSE)*Tabla15[[#This Row],[24]])</f>
        <v>0</v>
      </c>
      <c r="AF10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1" s="52">
        <f>IF(Tabla15[[#This Row],[26]]="",0,VLOOKUP(TRAMOS!$K$2,Tabla5[#All],3,FALSE)*Tabla15[[#This Row],[27]])</f>
        <v>0</v>
      </c>
      <c r="AI10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</v>
      </c>
    </row>
    <row r="102" spans="2:41" x14ac:dyDescent="0.25">
      <c r="B102" s="58" t="str">
        <f>Tabla1[[#This Row],[nudo inicial]]</f>
        <v>N50</v>
      </c>
      <c r="C102" s="58" t="str">
        <f>Tabla1[[#This Row],[nudo final]]</f>
        <v>N51</v>
      </c>
      <c r="D102" s="51">
        <f>Tabla1[[#This Row],[longitud]]</f>
        <v>302.12</v>
      </c>
      <c r="E102" s="51" t="str">
        <f>Tabla1[[#This Row],[diametro]]</f>
        <v>4"</v>
      </c>
      <c r="F102" s="51" t="str">
        <f>Tabla1[[#This Row],[material]]</f>
        <v>HG</v>
      </c>
      <c r="G10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102" s="52" t="str">
        <f>IF(Tabla1[[#This Row],[5]]="TPD",Tabla1[[#This Row],[6]],"")</f>
        <v/>
      </c>
      <c r="I102" s="52" t="str">
        <f>IF(OR(Tabla1[[#This Row],[5]]="TPD"),Tabla1[[#This Row],[7]],"")</f>
        <v/>
      </c>
      <c r="J102" s="52">
        <f>IF(Tabla15[[#This Row],[2]]="",0,VLOOKUP(TRAMOS!$H$2,Tabla5[#All],3,FALSE)*Tabla15[[#This Row],[3]])</f>
        <v>0</v>
      </c>
      <c r="K102" s="52" t="str">
        <f>IF(Tabla1[[#This Row],[5]]="TPL",Tabla1[[#This Row],[6]],"")</f>
        <v>6"</v>
      </c>
      <c r="L102" s="52">
        <f>IF(OR(Tabla1[[#This Row],[5]]="TPL"),Tabla1[[#This Row],[7]],"")</f>
        <v>1</v>
      </c>
      <c r="M102" s="52">
        <f>IF(Tabla15[[#This Row],[5]]="",0,VLOOKUP(TRAMOS!$K$2,Tabla5[#All],3,FALSE)*Tabla15[[#This Row],[6]])</f>
        <v>0.9</v>
      </c>
      <c r="N10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2" s="52">
        <f>IF(Tabla15[[#This Row],[8]]="",0,VLOOKUP(TRAMOS!$H$2,Tabla5[#All],3,FALSE)*Tabla15[[#This Row],[9]])</f>
        <v>0</v>
      </c>
      <c r="Q10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4"</v>
      </c>
      <c r="R102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102" s="52">
        <f>IF(Tabla15[[#This Row],[11]]="",0,VLOOKUP(TRAMOS!$Q$2,Tabla5[#All],3,FALSE)*Tabla15[[#This Row],[12]])</f>
        <v>0.9</v>
      </c>
      <c r="T10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4"</v>
      </c>
      <c r="U102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0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10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2" s="52">
        <f>IF(Tabla15[[#This Row],[20]]="",0,VLOOKUP("VRP",Tabla5[#All],3,FALSE)*Tabla15[[#This Row],[21]])</f>
        <v>0</v>
      </c>
      <c r="AC10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4"</v>
      </c>
      <c r="AD102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102" s="52">
        <f>IF(Tabla15[[#This Row],[23]]="",0,VLOOKUP("VC",Tabla5[#All],3,FALSE)*Tabla15[[#This Row],[24]])</f>
        <v>0.25</v>
      </c>
      <c r="AF10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2" s="52">
        <f>IF(Tabla15[[#This Row],[26]]="",0,VLOOKUP(TRAMOS!$K$2,Tabla5[#All],3,FALSE)*Tabla15[[#This Row],[27]])</f>
        <v>0</v>
      </c>
      <c r="AI10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2.2650000000000001</v>
      </c>
    </row>
    <row r="103" spans="2:41" x14ac:dyDescent="0.25">
      <c r="B103" s="58" t="str">
        <f>Tabla1[[#This Row],[nudo inicial]]</f>
        <v>N51</v>
      </c>
      <c r="C103" s="58" t="str">
        <f>Tabla1[[#This Row],[nudo final]]</f>
        <v>N52</v>
      </c>
      <c r="D103" s="51">
        <f>Tabla1[[#This Row],[longitud]]</f>
        <v>735.52</v>
      </c>
      <c r="E103" s="51" t="str">
        <f>Tabla1[[#This Row],[diametro]]</f>
        <v>3"</v>
      </c>
      <c r="F103" s="51" t="str">
        <f>Tabla1[[#This Row],[material]]</f>
        <v>PVC</v>
      </c>
      <c r="G10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103" s="52" t="str">
        <f>IF(Tabla1[[#This Row],[5]]="TPD",Tabla1[[#This Row],[6]],"")</f>
        <v/>
      </c>
      <c r="I103" s="52" t="str">
        <f>IF(OR(Tabla1[[#This Row],[5]]="TPD"),Tabla1[[#This Row],[7]],"")</f>
        <v/>
      </c>
      <c r="J103" s="52">
        <f>IF(Tabla15[[#This Row],[2]]="",0,VLOOKUP(TRAMOS!$H$2,Tabla5[#All],3,FALSE)*Tabla15[[#This Row],[3]])</f>
        <v>0</v>
      </c>
      <c r="K103" s="52" t="str">
        <f>IF(Tabla1[[#This Row],[5]]="TPL",Tabla1[[#This Row],[6]],"")</f>
        <v/>
      </c>
      <c r="L103" s="52" t="str">
        <f>IF(OR(Tabla1[[#This Row],[5]]="TPL"),Tabla1[[#This Row],[7]],"")</f>
        <v/>
      </c>
      <c r="M103" s="52">
        <f>IF(Tabla15[[#This Row],[5]]="",0,VLOOKUP(TRAMOS!$K$2,Tabla5[#All],3,FALSE)*Tabla15[[#This Row],[6]])</f>
        <v>0</v>
      </c>
      <c r="N10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3" s="52">
        <f>IF(Tabla15[[#This Row],[8]]="",0,VLOOKUP(TRAMOS!$H$2,Tabla5[#All],3,FALSE)*Tabla15[[#This Row],[9]])</f>
        <v>0</v>
      </c>
      <c r="Q10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3" s="52">
        <f>IF(Tabla15[[#This Row],[11]]="",0,VLOOKUP(TRAMOS!$Q$2,Tabla5[#All],3,FALSE)*Tabla15[[#This Row],[12]])</f>
        <v>0</v>
      </c>
      <c r="T10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103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0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0.13850000000000007</v>
      </c>
      <c r="W10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3" s="52">
        <f>IF(Tabla15[[#This Row],[20]]="",0,VLOOKUP("VRP",Tabla5[#All],3,FALSE)*Tabla15[[#This Row],[21]])</f>
        <v>0</v>
      </c>
      <c r="AC10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3" s="52">
        <f>IF(Tabla15[[#This Row],[23]]="",0,VLOOKUP("VC",Tabla5[#All],3,FALSE)*Tabla15[[#This Row],[24]])</f>
        <v>0</v>
      </c>
      <c r="AF10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3" s="52">
        <f>IF(Tabla15[[#This Row],[26]]="",0,VLOOKUP(TRAMOS!$K$2,Tabla5[#All],3,FALSE)*Tabla15[[#This Row],[27]])</f>
        <v>0</v>
      </c>
      <c r="AI10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0.13850000000000007</v>
      </c>
    </row>
    <row r="104" spans="2:41" x14ac:dyDescent="0.25">
      <c r="B104" s="58" t="str">
        <f>Tabla1[[#This Row],[nudo inicial]]</f>
        <v>N52</v>
      </c>
      <c r="C104" s="58" t="str">
        <f>Tabla1[[#This Row],[nudo final]]</f>
        <v>T. TRINIDAD</v>
      </c>
      <c r="D104" s="51">
        <f>Tabla1[[#This Row],[longitud]]</f>
        <v>64.400000000000006</v>
      </c>
      <c r="E104" s="51" t="str">
        <f>Tabla1[[#This Row],[diametro]]</f>
        <v>3"</v>
      </c>
      <c r="F104" s="51" t="str">
        <f>Tabla1[[#This Row],[material]]</f>
        <v>PVC</v>
      </c>
      <c r="G10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04" s="52" t="str">
        <f>IF(Tabla1[[#This Row],[5]]="TPD",Tabla1[[#This Row],[6]],"")</f>
        <v/>
      </c>
      <c r="I104" s="52" t="str">
        <f>IF(OR(Tabla1[[#This Row],[5]]="TPD"),Tabla1[[#This Row],[7]],"")</f>
        <v/>
      </c>
      <c r="J104" s="52">
        <f>IF(Tabla15[[#This Row],[2]]="",0,VLOOKUP(TRAMOS!$H$2,Tabla5[#All],3,FALSE)*Tabla15[[#This Row],[3]])</f>
        <v>0</v>
      </c>
      <c r="K104" s="52" t="str">
        <f>IF(Tabla1[[#This Row],[5]]="TPL",Tabla1[[#This Row],[6]],"")</f>
        <v>3"</v>
      </c>
      <c r="L104" s="52">
        <f>IF(OR(Tabla1[[#This Row],[5]]="TPL"),Tabla1[[#This Row],[7]],"")</f>
        <v>1</v>
      </c>
      <c r="M104" s="52">
        <f>IF(Tabla15[[#This Row],[5]]="",0,VLOOKUP(TRAMOS!$K$2,Tabla5[#All],3,FALSE)*Tabla15[[#This Row],[6]])</f>
        <v>0.9</v>
      </c>
      <c r="N10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4" s="52">
        <f>IF(Tabla15[[#This Row],[8]]="",0,VLOOKUP(TRAMOS!$H$2,Tabla5[#All],3,FALSE)*Tabla15[[#This Row],[9]])</f>
        <v>0</v>
      </c>
      <c r="Q10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4" s="52">
        <f>IF(Tabla15[[#This Row],[11]]="",0,VLOOKUP(TRAMOS!$Q$2,Tabla5[#All],3,FALSE)*Tabla15[[#This Row],[12]])</f>
        <v>0</v>
      </c>
      <c r="T10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4" s="52">
        <f>IF(Tabla15[[#This Row],[20]]="",0,VLOOKUP("VRP",Tabla5[#All],3,FALSE)*Tabla15[[#This Row],[21]])</f>
        <v>0</v>
      </c>
      <c r="AC10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4" s="52">
        <f>IF(Tabla15[[#This Row],[23]]="",0,VLOOKUP("VC",Tabla5[#All],3,FALSE)*Tabla15[[#This Row],[24]])</f>
        <v>0</v>
      </c>
      <c r="AF10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4" s="52">
        <f>IF(Tabla15[[#This Row],[26]]="",0,VLOOKUP(TRAMOS!$K$2,Tabla5[#All],3,FALSE)*Tabla15[[#This Row],[27]])</f>
        <v>0</v>
      </c>
      <c r="AI10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05" spans="2:41" x14ac:dyDescent="0.25">
      <c r="B105" s="58" t="str">
        <f>Tabla1[[#This Row],[nudo inicial]]</f>
        <v>N52</v>
      </c>
      <c r="C105" s="58" t="str">
        <f>Tabla1[[#This Row],[nudo final]]</f>
        <v>T.PROGRESO2</v>
      </c>
      <c r="D105" s="51">
        <f>Tabla1[[#This Row],[longitud]]</f>
        <v>2379.85</v>
      </c>
      <c r="E105" s="51" t="str">
        <f>Tabla1[[#This Row],[diametro]]</f>
        <v>3"</v>
      </c>
      <c r="F105" s="51" t="str">
        <f>Tabla1[[#This Row],[material]]</f>
        <v>PVC</v>
      </c>
      <c r="G10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05" s="52" t="str">
        <f>IF(Tabla1[[#This Row],[5]]="TPD",Tabla1[[#This Row],[6]],"")</f>
        <v>3"</v>
      </c>
      <c r="I105" s="52">
        <f>IF(OR(Tabla1[[#This Row],[5]]="TPD"),Tabla1[[#This Row],[7]],"")</f>
        <v>1</v>
      </c>
      <c r="J105" s="52">
        <f>IF(Tabla15[[#This Row],[2]]="",0,VLOOKUP(TRAMOS!$H$2,Tabla5[#All],3,FALSE)*Tabla15[[#This Row],[3]])</f>
        <v>0.15</v>
      </c>
      <c r="K105" s="52" t="str">
        <f>IF(Tabla1[[#This Row],[5]]="TPL",Tabla1[[#This Row],[6]],"")</f>
        <v/>
      </c>
      <c r="L105" s="52" t="str">
        <f>IF(OR(Tabla1[[#This Row],[5]]="TPL"),Tabla1[[#This Row],[7]],"")</f>
        <v/>
      </c>
      <c r="M105" s="52">
        <f>IF(Tabla15[[#This Row],[5]]="",0,VLOOKUP(TRAMOS!$K$2,Tabla5[#All],3,FALSE)*Tabla15[[#This Row],[6]])</f>
        <v>0</v>
      </c>
      <c r="N10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5" s="52">
        <f>IF(Tabla15[[#This Row],[8]]="",0,VLOOKUP(TRAMOS!$H$2,Tabla5[#All],3,FALSE)*Tabla15[[#This Row],[9]])</f>
        <v>0</v>
      </c>
      <c r="Q10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3"</v>
      </c>
      <c r="R105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2</v>
      </c>
      <c r="S105" s="52">
        <f>IF(Tabla15[[#This Row],[11]]="",0,VLOOKUP(TRAMOS!$Q$2,Tabla5[#All],3,FALSE)*Tabla15[[#This Row],[12]])</f>
        <v>1.8</v>
      </c>
      <c r="T10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5" s="52">
        <f>IF(Tabla15[[#This Row],[20]]="",0,VLOOKUP("VRP",Tabla5[#All],3,FALSE)*Tabla15[[#This Row],[21]])</f>
        <v>0</v>
      </c>
      <c r="AC10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5" s="52">
        <f>IF(Tabla15[[#This Row],[23]]="",0,VLOOKUP("VC",Tabla5[#All],3,FALSE)*Tabla15[[#This Row],[24]])</f>
        <v>0</v>
      </c>
      <c r="AF10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5" s="52">
        <f>IF(Tabla15[[#This Row],[26]]="",0,VLOOKUP(TRAMOS!$K$2,Tabla5[#All],3,FALSE)*Tabla15[[#This Row],[27]])</f>
        <v>0</v>
      </c>
      <c r="AI10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1.95</v>
      </c>
    </row>
    <row r="106" spans="2:41" x14ac:dyDescent="0.25">
      <c r="B106" s="58" t="str">
        <f>Tabla1[[#This Row],[nudo inicial]]</f>
        <v>E.B.1</v>
      </c>
      <c r="C106" s="58" t="str">
        <f>Tabla1[[#This Row],[nudo final]]</f>
        <v>T.TRINIDAD</v>
      </c>
      <c r="D106" s="51">
        <f>Tabla1[[#This Row],[longitud]]</f>
        <v>980.04</v>
      </c>
      <c r="E106" s="51" t="str">
        <f>Tabla1[[#This Row],[diametro]]</f>
        <v>10"</v>
      </c>
      <c r="F106" s="51" t="str">
        <f>Tabla1[[#This Row],[material]]</f>
        <v>PVC</v>
      </c>
      <c r="G10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10"</v>
      </c>
      <c r="H106" s="52" t="str">
        <f>IF(Tabla1[[#This Row],[5]]="TPD",Tabla1[[#This Row],[6]],"")</f>
        <v/>
      </c>
      <c r="I106" s="52" t="str">
        <f>IF(OR(Tabla1[[#This Row],[5]]="TPD"),Tabla1[[#This Row],[7]],"")</f>
        <v/>
      </c>
      <c r="J106" s="52">
        <f>IF(Tabla15[[#This Row],[2]]="",0,VLOOKUP(TRAMOS!$H$2,Tabla5[#All],3,FALSE)*Tabla15[[#This Row],[3]])</f>
        <v>0</v>
      </c>
      <c r="K106" s="52" t="str">
        <f>IF(Tabla1[[#This Row],[5]]="TPL",Tabla1[[#This Row],[6]],"")</f>
        <v/>
      </c>
      <c r="L106" s="52" t="str">
        <f>IF(OR(Tabla1[[#This Row],[5]]="TPL"),Tabla1[[#This Row],[7]],"")</f>
        <v/>
      </c>
      <c r="M106" s="52">
        <f>IF(Tabla15[[#This Row],[5]]="",0,VLOOKUP(TRAMOS!$K$2,Tabla5[#All],3,FALSE)*Tabla15[[#This Row],[6]])</f>
        <v>0</v>
      </c>
      <c r="N10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6" s="52">
        <f>IF(Tabla15[[#This Row],[8]]="",0,VLOOKUP(TRAMOS!$H$2,Tabla5[#All],3,FALSE)*Tabla15[[#This Row],[9]])</f>
        <v>0</v>
      </c>
      <c r="Q10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6" s="52">
        <f>IF(Tabla15[[#This Row],[11]]="",0,VLOOKUP(TRAMOS!$Q$2,Tabla5[#All],3,FALSE)*Tabla15[[#This Row],[12]])</f>
        <v>0</v>
      </c>
      <c r="T10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6" s="52">
        <f>IF(Tabla15[[#This Row],[20]]="",0,VLOOKUP("VRP",Tabla5[#All],3,FALSE)*Tabla15[[#This Row],[21]])</f>
        <v>0</v>
      </c>
      <c r="AC10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6" s="52">
        <f>IF(Tabla15[[#This Row],[23]]="",0,VLOOKUP("VC",Tabla5[#All],3,FALSE)*Tabla15[[#This Row],[24]])</f>
        <v>0</v>
      </c>
      <c r="AF10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6" s="52">
        <f>IF(Tabla15[[#This Row],[26]]="",0,VLOOKUP(TRAMOS!$K$2,Tabla5[#All],3,FALSE)*Tabla15[[#This Row],[27]])</f>
        <v>0</v>
      </c>
      <c r="AI10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</v>
      </c>
    </row>
    <row r="107" spans="2:41" x14ac:dyDescent="0.25">
      <c r="B107" s="58" t="str">
        <f>Tabla1[[#This Row],[nudo inicial]]</f>
        <v>N47</v>
      </c>
      <c r="C107" s="58" t="str">
        <f>Tabla1[[#This Row],[nudo final]]</f>
        <v>N53</v>
      </c>
      <c r="D107" s="51">
        <f>Tabla1[[#This Row],[longitud]]</f>
        <v>8.56</v>
      </c>
      <c r="E107" s="51" t="str">
        <f>Tabla1[[#This Row],[diametro]]</f>
        <v>2"</v>
      </c>
      <c r="F107" s="51" t="str">
        <f>Tabla1[[#This Row],[material]]</f>
        <v>HF</v>
      </c>
      <c r="G10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12"</v>
      </c>
      <c r="H107" s="52" t="str">
        <f>IF(Tabla1[[#This Row],[5]]="TPD",Tabla1[[#This Row],[6]],"")</f>
        <v/>
      </c>
      <c r="I107" s="52" t="str">
        <f>IF(OR(Tabla1[[#This Row],[5]]="TPD"),Tabla1[[#This Row],[7]],"")</f>
        <v/>
      </c>
      <c r="J107" s="52">
        <f>IF(Tabla15[[#This Row],[2]]="",0,VLOOKUP(TRAMOS!$H$2,Tabla5[#All],3,FALSE)*Tabla15[[#This Row],[3]])</f>
        <v>0</v>
      </c>
      <c r="K107" s="52" t="str">
        <f>IF(Tabla1[[#This Row],[5]]="TPL",Tabla1[[#This Row],[6]],"")</f>
        <v>12"</v>
      </c>
      <c r="L107" s="52">
        <f>IF(OR(Tabla1[[#This Row],[5]]="TPL"),Tabla1[[#This Row],[7]],"")</f>
        <v>1</v>
      </c>
      <c r="M107" s="52">
        <f>IF(Tabla15[[#This Row],[5]]="",0,VLOOKUP(TRAMOS!$K$2,Tabla5[#All],3,FALSE)*Tabla15[[#This Row],[6]])</f>
        <v>0.9</v>
      </c>
      <c r="N10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7" s="52">
        <f>IF(Tabla15[[#This Row],[8]]="",0,VLOOKUP(TRAMOS!$H$2,Tabla5[#All],3,FALSE)*Tabla15[[#This Row],[9]])</f>
        <v>0</v>
      </c>
      <c r="Q10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7" s="52">
        <f>IF(Tabla15[[#This Row],[11]]="",0,VLOOKUP(TRAMOS!$Q$2,Tabla5[#All],3,FALSE)*Tabla15[[#This Row],[12]])</f>
        <v>0</v>
      </c>
      <c r="T10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107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0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0.46</v>
      </c>
      <c r="W10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7" s="52">
        <f>IF(Tabla15[[#This Row],[20]]="",0,VLOOKUP("VRP",Tabla5[#All],3,FALSE)*Tabla15[[#This Row],[21]])</f>
        <v>0</v>
      </c>
      <c r="AC10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7" s="52">
        <f>IF(Tabla15[[#This Row],[23]]="",0,VLOOKUP("VC",Tabla5[#All],3,FALSE)*Tabla15[[#This Row],[24]])</f>
        <v>0</v>
      </c>
      <c r="AF10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7" s="52">
        <f>IF(Tabla15[[#This Row],[26]]="",0,VLOOKUP(TRAMOS!$K$2,Tabla5[#All],3,FALSE)*Tabla15[[#This Row],[27]])</f>
        <v>0</v>
      </c>
      <c r="AI10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1.36</v>
      </c>
    </row>
    <row r="108" spans="2:41" x14ac:dyDescent="0.25">
      <c r="B108" s="58" t="str">
        <f>Tabla1[[#This Row],[nudo inicial]]</f>
        <v>N53</v>
      </c>
      <c r="C108" s="58" t="str">
        <f>Tabla1[[#This Row],[nudo final]]</f>
        <v>N54</v>
      </c>
      <c r="D108" s="51">
        <f>Tabla1[[#This Row],[longitud]]</f>
        <v>103.22</v>
      </c>
      <c r="E108" s="51" t="str">
        <f>Tabla1[[#This Row],[diametro]]</f>
        <v>2"</v>
      </c>
      <c r="F108" s="51" t="str">
        <f>Tabla1[[#This Row],[material]]</f>
        <v>PVC</v>
      </c>
      <c r="G10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08" s="52" t="str">
        <f>IF(Tabla1[[#This Row],[5]]="TPD",Tabla1[[#This Row],[6]],"")</f>
        <v/>
      </c>
      <c r="I108" s="52" t="str">
        <f>IF(OR(Tabla1[[#This Row],[5]]="TPD"),Tabla1[[#This Row],[7]],"")</f>
        <v/>
      </c>
      <c r="J108" s="52">
        <f>IF(Tabla15[[#This Row],[2]]="",0,VLOOKUP(TRAMOS!$H$2,Tabla5[#All],3,FALSE)*Tabla15[[#This Row],[3]])</f>
        <v>0</v>
      </c>
      <c r="K108" s="52" t="str">
        <f>IF(Tabla1[[#This Row],[5]]="TPL",Tabla1[[#This Row],[6]],"")</f>
        <v/>
      </c>
      <c r="L108" s="52" t="str">
        <f>IF(OR(Tabla1[[#This Row],[5]]="TPL"),Tabla1[[#This Row],[7]],"")</f>
        <v/>
      </c>
      <c r="M108" s="52">
        <f>IF(Tabla15[[#This Row],[5]]="",0,VLOOKUP(TRAMOS!$K$2,Tabla5[#All],3,FALSE)*Tabla15[[#This Row],[6]])</f>
        <v>0</v>
      </c>
      <c r="N10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8" s="52">
        <f>IF(Tabla15[[#This Row],[8]]="",0,VLOOKUP(TRAMOS!$H$2,Tabla5[#All],3,FALSE)*Tabla15[[#This Row],[9]])</f>
        <v>0</v>
      </c>
      <c r="Q10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8" s="52">
        <f>IF(Tabla15[[#This Row],[11]]="",0,VLOOKUP(TRAMOS!$Q$2,Tabla5[#All],3,FALSE)*Tabla15[[#This Row],[12]])</f>
        <v>0</v>
      </c>
      <c r="T10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8" s="52">
        <f>IF(Tabla15[[#This Row],[20]]="",0,VLOOKUP("VRP",Tabla5[#All],3,FALSE)*Tabla15[[#This Row],[21]])</f>
        <v>0</v>
      </c>
      <c r="AC10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108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108" s="52">
        <f>IF(Tabla15[[#This Row],[23]]="",0,VLOOKUP("VC",Tabla5[#All],3,FALSE)*Tabla15[[#This Row],[24]])</f>
        <v>0.25</v>
      </c>
      <c r="AF10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8" s="52">
        <f>IF(Tabla15[[#This Row],[26]]="",0,VLOOKUP(TRAMOS!$K$2,Tabla5[#All],3,FALSE)*Tabla15[[#This Row],[27]])</f>
        <v>0</v>
      </c>
      <c r="AI10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0.25</v>
      </c>
    </row>
    <row r="109" spans="2:41" x14ac:dyDescent="0.25">
      <c r="B109" s="58" t="str">
        <f>Tabla1[[#This Row],[nudo inicial]]</f>
        <v>N54</v>
      </c>
      <c r="C109" s="58" t="str">
        <f>Tabla1[[#This Row],[nudo final]]</f>
        <v>N55</v>
      </c>
      <c r="D109" s="51">
        <f>Tabla1[[#This Row],[longitud]]</f>
        <v>164.61</v>
      </c>
      <c r="E109" s="51" t="str">
        <f>Tabla1[[#This Row],[diametro]]</f>
        <v>2"</v>
      </c>
      <c r="F109" s="51" t="str">
        <f>Tabla1[[#This Row],[material]]</f>
        <v>PVC</v>
      </c>
      <c r="G10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09" s="52" t="str">
        <f>IF(Tabla1[[#This Row],[5]]="TPD",Tabla1[[#This Row],[6]],"")</f>
        <v/>
      </c>
      <c r="I109" s="52" t="str">
        <f>IF(OR(Tabla1[[#This Row],[5]]="TPD"),Tabla1[[#This Row],[7]],"")</f>
        <v/>
      </c>
      <c r="J109" s="52">
        <f>IF(Tabla15[[#This Row],[2]]="",0,VLOOKUP(TRAMOS!$H$2,Tabla5[#All],3,FALSE)*Tabla15[[#This Row],[3]])</f>
        <v>0</v>
      </c>
      <c r="K109" s="52" t="str">
        <f>IF(Tabla1[[#This Row],[5]]="TPL",Tabla1[[#This Row],[6]],"")</f>
        <v>2"</v>
      </c>
      <c r="L109" s="52">
        <f>IF(OR(Tabla1[[#This Row],[5]]="TPL"),Tabla1[[#This Row],[7]],"")</f>
        <v>1</v>
      </c>
      <c r="M109" s="52">
        <f>IF(Tabla15[[#This Row],[5]]="",0,VLOOKUP(TRAMOS!$K$2,Tabla5[#All],3,FALSE)*Tabla15[[#This Row],[6]])</f>
        <v>0.9</v>
      </c>
      <c r="N10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9" s="52">
        <f>IF(Tabla15[[#This Row],[8]]="",0,VLOOKUP(TRAMOS!$H$2,Tabla5[#All],3,FALSE)*Tabla15[[#This Row],[9]])</f>
        <v>0</v>
      </c>
      <c r="Q10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109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3</v>
      </c>
      <c r="S109" s="52">
        <f>IF(Tabla15[[#This Row],[11]]="",0,VLOOKUP(TRAMOS!$Q$2,Tabla5[#All],3,FALSE)*Tabla15[[#This Row],[12]])</f>
        <v>2.7</v>
      </c>
      <c r="T10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9" s="52">
        <f>IF(Tabla15[[#This Row],[20]]="",0,VLOOKUP("VRP",Tabla5[#All],3,FALSE)*Tabla15[[#This Row],[21]])</f>
        <v>0</v>
      </c>
      <c r="AC10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9" s="52">
        <f>IF(Tabla15[[#This Row],[23]]="",0,VLOOKUP("VC",Tabla5[#All],3,FALSE)*Tabla15[[#This Row],[24]])</f>
        <v>0</v>
      </c>
      <c r="AF10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9" s="52">
        <f>IF(Tabla15[[#This Row],[26]]="",0,VLOOKUP(TRAMOS!$K$2,Tabla5[#All],3,FALSE)*Tabla15[[#This Row],[27]])</f>
        <v>0</v>
      </c>
      <c r="AI10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3.6</v>
      </c>
    </row>
    <row r="110" spans="2:41" x14ac:dyDescent="0.25">
      <c r="B110" s="58" t="str">
        <f>Tabla1[[#This Row],[nudo inicial]]</f>
        <v>N55</v>
      </c>
      <c r="C110" s="58" t="str">
        <f>Tabla1[[#This Row],[nudo final]]</f>
        <v>TP31</v>
      </c>
      <c r="D110" s="51">
        <f>Tabla1[[#This Row],[longitud]]</f>
        <v>35.14</v>
      </c>
      <c r="E110" s="51" t="str">
        <f>Tabla1[[#This Row],[diametro]]</f>
        <v>2"</v>
      </c>
      <c r="F110" s="51" t="str">
        <f>Tabla1[[#This Row],[material]]</f>
        <v>PVC</v>
      </c>
      <c r="G11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0" s="52" t="str">
        <f>IF(Tabla1[[#This Row],[5]]="TPD",Tabla1[[#This Row],[6]],"")</f>
        <v>2"</v>
      </c>
      <c r="I110" s="52">
        <f>IF(OR(Tabla1[[#This Row],[5]]="TPD"),Tabla1[[#This Row],[7]],"")</f>
        <v>1</v>
      </c>
      <c r="J110" s="52">
        <f>IF(Tabla15[[#This Row],[2]]="",0,VLOOKUP(TRAMOS!$H$2,Tabla5[#All],3,FALSE)*Tabla15[[#This Row],[3]])</f>
        <v>0.15</v>
      </c>
      <c r="K110" s="52" t="str">
        <f>IF(Tabla1[[#This Row],[5]]="TPL",Tabla1[[#This Row],[6]],"")</f>
        <v/>
      </c>
      <c r="L110" s="52" t="str">
        <f>IF(OR(Tabla1[[#This Row],[5]]="TPL"),Tabla1[[#This Row],[7]],"")</f>
        <v/>
      </c>
      <c r="M110" s="52">
        <f>IF(Tabla15[[#This Row],[5]]="",0,VLOOKUP(TRAMOS!$K$2,Tabla5[#All],3,FALSE)*Tabla15[[#This Row],[6]])</f>
        <v>0</v>
      </c>
      <c r="N11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0" s="52">
        <f>IF(Tabla15[[#This Row],[8]]="",0,VLOOKUP(TRAMOS!$H$2,Tabla5[#All],3,FALSE)*Tabla15[[#This Row],[9]])</f>
        <v>0</v>
      </c>
      <c r="Q11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0" s="52">
        <f>IF(Tabla15[[#This Row],[11]]="",0,VLOOKUP(TRAMOS!$Q$2,Tabla5[#All],3,FALSE)*Tabla15[[#This Row],[12]])</f>
        <v>0</v>
      </c>
      <c r="T11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0" s="52">
        <f>IF(Tabla15[[#This Row],[20]]="",0,VLOOKUP("VRP",Tabla5[#All],3,FALSE)*Tabla15[[#This Row],[21]])</f>
        <v>0</v>
      </c>
      <c r="AC11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0" s="52">
        <f>IF(Tabla15[[#This Row],[23]]="",0,VLOOKUP("VC",Tabla5[#All],3,FALSE)*Tabla15[[#This Row],[24]])</f>
        <v>0</v>
      </c>
      <c r="AF11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0" s="52">
        <f>IF(Tabla15[[#This Row],[26]]="",0,VLOOKUP(TRAMOS!$K$2,Tabla5[#All],3,FALSE)*Tabla15[[#This Row],[27]])</f>
        <v>0</v>
      </c>
      <c r="AI11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10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11" spans="2:41" x14ac:dyDescent="0.25">
      <c r="B111" s="58" t="str">
        <f>Tabla1[[#This Row],[nudo inicial]]</f>
        <v>N55</v>
      </c>
      <c r="C111" s="58" t="str">
        <f>Tabla1[[#This Row],[nudo final]]</f>
        <v>TP32</v>
      </c>
      <c r="D111" s="51">
        <f>Tabla1[[#This Row],[longitud]]</f>
        <v>35.07</v>
      </c>
      <c r="E111" s="51" t="str">
        <f>Tabla1[[#This Row],[diametro]]</f>
        <v>2"</v>
      </c>
      <c r="F111" s="51" t="str">
        <f>Tabla1[[#This Row],[material]]</f>
        <v>PVC</v>
      </c>
      <c r="G11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1" s="52" t="str">
        <f>IF(Tabla1[[#This Row],[5]]="TPD",Tabla1[[#This Row],[6]],"")</f>
        <v/>
      </c>
      <c r="I111" s="52" t="str">
        <f>IF(OR(Tabla1[[#This Row],[5]]="TPD"),Tabla1[[#This Row],[7]],"")</f>
        <v/>
      </c>
      <c r="J111" s="52">
        <f>IF(Tabla15[[#This Row],[2]]="",0,VLOOKUP(TRAMOS!$H$2,Tabla5[#All],3,FALSE)*Tabla15[[#This Row],[3]])</f>
        <v>0</v>
      </c>
      <c r="K111" s="52" t="str">
        <f>IF(Tabla1[[#This Row],[5]]="TPL",Tabla1[[#This Row],[6]],"")</f>
        <v>2"</v>
      </c>
      <c r="L111" s="52">
        <f>IF(OR(Tabla1[[#This Row],[5]]="TPL"),Tabla1[[#This Row],[7]],"")</f>
        <v>1</v>
      </c>
      <c r="M111" s="52">
        <f>IF(Tabla15[[#This Row],[5]]="",0,VLOOKUP(TRAMOS!$K$2,Tabla5[#All],3,FALSE)*Tabla15[[#This Row],[6]])</f>
        <v>0.9</v>
      </c>
      <c r="N11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1" s="52">
        <f>IF(Tabla15[[#This Row],[8]]="",0,VLOOKUP(TRAMOS!$H$2,Tabla5[#All],3,FALSE)*Tabla15[[#This Row],[9]])</f>
        <v>0</v>
      </c>
      <c r="Q11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1" s="52">
        <f>IF(Tabla15[[#This Row],[11]]="",0,VLOOKUP(TRAMOS!$Q$2,Tabla5[#All],3,FALSE)*Tabla15[[#This Row],[12]])</f>
        <v>0</v>
      </c>
      <c r="T11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1" s="52">
        <f>IF(Tabla15[[#This Row],[20]]="",0,VLOOKUP("VRP",Tabla5[#All],3,FALSE)*Tabla15[[#This Row],[21]])</f>
        <v>0</v>
      </c>
      <c r="AC11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1" s="52">
        <f>IF(Tabla15[[#This Row],[23]]="",0,VLOOKUP("VC",Tabla5[#All],3,FALSE)*Tabla15[[#This Row],[24]])</f>
        <v>0</v>
      </c>
      <c r="AF11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1" s="52">
        <f>IF(Tabla15[[#This Row],[26]]="",0,VLOOKUP(TRAMOS!$K$2,Tabla5[#All],3,FALSE)*Tabla15[[#This Row],[27]])</f>
        <v>0</v>
      </c>
      <c r="AI11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11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12" spans="2:41" x14ac:dyDescent="0.25">
      <c r="B112" s="58" t="str">
        <f>Tabla1[[#This Row],[nudo inicial]]</f>
        <v>N54</v>
      </c>
      <c r="C112" s="58" t="str">
        <f>Tabla1[[#This Row],[nudo final]]</f>
        <v>N56</v>
      </c>
      <c r="D112" s="51">
        <f>Tabla1[[#This Row],[longitud]]</f>
        <v>11.3</v>
      </c>
      <c r="E112" s="51" t="str">
        <f>Tabla1[[#This Row],[diametro]]</f>
        <v>2"</v>
      </c>
      <c r="F112" s="51" t="str">
        <f>Tabla1[[#This Row],[material]]</f>
        <v>PVC</v>
      </c>
      <c r="G11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2" s="52" t="str">
        <f>IF(Tabla1[[#This Row],[5]]="TPD",Tabla1[[#This Row],[6]],"")</f>
        <v/>
      </c>
      <c r="I112" s="52" t="str">
        <f>IF(OR(Tabla1[[#This Row],[5]]="TPD"),Tabla1[[#This Row],[7]],"")</f>
        <v/>
      </c>
      <c r="J112" s="52">
        <f>IF(Tabla15[[#This Row],[2]]="",0,VLOOKUP(TRAMOS!$H$2,Tabla5[#All],3,FALSE)*Tabla15[[#This Row],[3]])</f>
        <v>0</v>
      </c>
      <c r="K112" s="52" t="str">
        <f>IF(Tabla1[[#This Row],[5]]="TPL",Tabla1[[#This Row],[6]],"")</f>
        <v>2"</v>
      </c>
      <c r="L112" s="52">
        <f>IF(OR(Tabla1[[#This Row],[5]]="TPL"),Tabla1[[#This Row],[7]],"")</f>
        <v>1</v>
      </c>
      <c r="M112" s="52">
        <f>IF(Tabla15[[#This Row],[5]]="",0,VLOOKUP(TRAMOS!$K$2,Tabla5[#All],3,FALSE)*Tabla15[[#This Row],[6]])</f>
        <v>0.9</v>
      </c>
      <c r="N11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2" s="52">
        <f>IF(Tabla15[[#This Row],[8]]="",0,VLOOKUP(TRAMOS!$H$2,Tabla5[#All],3,FALSE)*Tabla15[[#This Row],[9]])</f>
        <v>0</v>
      </c>
      <c r="Q11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2" s="52">
        <f>IF(Tabla15[[#This Row],[11]]="",0,VLOOKUP(TRAMOS!$Q$2,Tabla5[#All],3,FALSE)*Tabla15[[#This Row],[12]])</f>
        <v>0</v>
      </c>
      <c r="T11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2" s="52">
        <f>IF(Tabla15[[#This Row],[20]]="",0,VLOOKUP("VRP",Tabla5[#All],3,FALSE)*Tabla15[[#This Row],[21]])</f>
        <v>0</v>
      </c>
      <c r="AC11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112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112" s="52">
        <f>IF(Tabla15[[#This Row],[23]]="",0,VLOOKUP("VC",Tabla5[#All],3,FALSE)*Tabla15[[#This Row],[24]])</f>
        <v>0.25</v>
      </c>
      <c r="AF11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2" s="52">
        <f>IF(Tabla15[[#This Row],[26]]="",0,VLOOKUP(TRAMOS!$K$2,Tabla5[#All],3,FALSE)*Tabla15[[#This Row],[27]])</f>
        <v>0</v>
      </c>
      <c r="AI11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1.1499999999999999</v>
      </c>
    </row>
    <row r="113" spans="2:41" x14ac:dyDescent="0.25">
      <c r="B113" s="58" t="str">
        <f>Tabla1[[#This Row],[nudo inicial]]</f>
        <v>N56</v>
      </c>
      <c r="C113" s="58" t="str">
        <f>Tabla1[[#This Row],[nudo final]]</f>
        <v>TP33</v>
      </c>
      <c r="D113" s="51">
        <f>Tabla1[[#This Row],[longitud]]</f>
        <v>59.56</v>
      </c>
      <c r="E113" s="51" t="str">
        <f>Tabla1[[#This Row],[diametro]]</f>
        <v>2"</v>
      </c>
      <c r="F113" s="51" t="str">
        <f>Tabla1[[#This Row],[material]]</f>
        <v>PVC</v>
      </c>
      <c r="G11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3" s="52" t="str">
        <f>IF(Tabla1[[#This Row],[5]]="TPD",Tabla1[[#This Row],[6]],"")</f>
        <v/>
      </c>
      <c r="I113" s="52" t="str">
        <f>IF(OR(Tabla1[[#This Row],[5]]="TPD"),Tabla1[[#This Row],[7]],"")</f>
        <v/>
      </c>
      <c r="J113" s="52">
        <f>IF(Tabla15[[#This Row],[2]]="",0,VLOOKUP(TRAMOS!$H$2,Tabla5[#All],3,FALSE)*Tabla15[[#This Row],[3]])</f>
        <v>0</v>
      </c>
      <c r="K113" s="52" t="str">
        <f>IF(Tabla1[[#This Row],[5]]="TPL",Tabla1[[#This Row],[6]],"")</f>
        <v>2"</v>
      </c>
      <c r="L113" s="52">
        <f>IF(OR(Tabla1[[#This Row],[5]]="TPL"),Tabla1[[#This Row],[7]],"")</f>
        <v>1</v>
      </c>
      <c r="M113" s="52">
        <f>IF(Tabla15[[#This Row],[5]]="",0,VLOOKUP(TRAMOS!$K$2,Tabla5[#All],3,FALSE)*Tabla15[[#This Row],[6]])</f>
        <v>0.9</v>
      </c>
      <c r="N11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3" s="52">
        <f>IF(Tabla15[[#This Row],[8]]="",0,VLOOKUP(TRAMOS!$H$2,Tabla5[#All],3,FALSE)*Tabla15[[#This Row],[9]])</f>
        <v>0</v>
      </c>
      <c r="Q11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3" s="52">
        <f>IF(Tabla15[[#This Row],[11]]="",0,VLOOKUP(TRAMOS!$Q$2,Tabla5[#All],3,FALSE)*Tabla15[[#This Row],[12]])</f>
        <v>0</v>
      </c>
      <c r="T11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3" s="52">
        <f>IF(Tabla15[[#This Row],[20]]="",0,VLOOKUP("VRP",Tabla5[#All],3,FALSE)*Tabla15[[#This Row],[21]])</f>
        <v>0</v>
      </c>
      <c r="AC11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3" s="52">
        <f>IF(Tabla15[[#This Row],[23]]="",0,VLOOKUP("VC",Tabla5[#All],3,FALSE)*Tabla15[[#This Row],[24]])</f>
        <v>0</v>
      </c>
      <c r="AF11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3" s="52">
        <f>IF(Tabla15[[#This Row],[26]]="",0,VLOOKUP(TRAMOS!$K$2,Tabla5[#All],3,FALSE)*Tabla15[[#This Row],[27]])</f>
        <v>0</v>
      </c>
      <c r="AI11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13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14" spans="2:41" x14ac:dyDescent="0.25">
      <c r="B114" s="58" t="str">
        <f>Tabla1[[#This Row],[nudo inicial]]</f>
        <v>N56</v>
      </c>
      <c r="C114" s="58" t="str">
        <f>Tabla1[[#This Row],[nudo final]]</f>
        <v>N57</v>
      </c>
      <c r="D114" s="51">
        <f>Tabla1[[#This Row],[longitud]]</f>
        <v>43.62</v>
      </c>
      <c r="E114" s="51" t="str">
        <f>Tabla1[[#This Row],[diametro]]</f>
        <v>2"</v>
      </c>
      <c r="F114" s="51" t="str">
        <f>Tabla1[[#This Row],[material]]</f>
        <v>PVC</v>
      </c>
      <c r="G11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4" s="52" t="str">
        <f>IF(Tabla1[[#This Row],[5]]="TPD",Tabla1[[#This Row],[6]],"")</f>
        <v>2"</v>
      </c>
      <c r="I114" s="52">
        <f>IF(OR(Tabla1[[#This Row],[5]]="TPD"),Tabla1[[#This Row],[7]],"")</f>
        <v>1</v>
      </c>
      <c r="J114" s="52">
        <f>IF(Tabla15[[#This Row],[2]]="",0,VLOOKUP(TRAMOS!$H$2,Tabla5[#All],3,FALSE)*Tabla15[[#This Row],[3]])</f>
        <v>0.15</v>
      </c>
      <c r="K114" s="52" t="str">
        <f>IF(Tabla1[[#This Row],[5]]="TPL",Tabla1[[#This Row],[6]],"")</f>
        <v/>
      </c>
      <c r="L114" s="52" t="str">
        <f>IF(OR(Tabla1[[#This Row],[5]]="TPL"),Tabla1[[#This Row],[7]],"")</f>
        <v/>
      </c>
      <c r="M114" s="52">
        <f>IF(Tabla15[[#This Row],[5]]="",0,VLOOKUP(TRAMOS!$K$2,Tabla5[#All],3,FALSE)*Tabla15[[#This Row],[6]])</f>
        <v>0</v>
      </c>
      <c r="N11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4" s="52">
        <f>IF(Tabla15[[#This Row],[8]]="",0,VLOOKUP(TRAMOS!$H$2,Tabla5[#All],3,FALSE)*Tabla15[[#This Row],[9]])</f>
        <v>0</v>
      </c>
      <c r="Q11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4" s="52">
        <f>IF(Tabla15[[#This Row],[11]]="",0,VLOOKUP(TRAMOS!$Q$2,Tabla5[#All],3,FALSE)*Tabla15[[#This Row],[12]])</f>
        <v>0</v>
      </c>
      <c r="T11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4" s="52">
        <f>IF(Tabla15[[#This Row],[20]]="",0,VLOOKUP("VRP",Tabla5[#All],3,FALSE)*Tabla15[[#This Row],[21]])</f>
        <v>0</v>
      </c>
      <c r="AC11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4" s="52">
        <f>IF(Tabla15[[#This Row],[23]]="",0,VLOOKUP("VC",Tabla5[#All],3,FALSE)*Tabla15[[#This Row],[24]])</f>
        <v>0</v>
      </c>
      <c r="AF11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4" s="52">
        <f>IF(Tabla15[[#This Row],[26]]="",0,VLOOKUP(TRAMOS!$K$2,Tabla5[#All],3,FALSE)*Tabla15[[#This Row],[27]])</f>
        <v>0</v>
      </c>
      <c r="AI11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15" spans="2:41" x14ac:dyDescent="0.25">
      <c r="B115" s="58" t="str">
        <f>Tabla1[[#This Row],[nudo inicial]]</f>
        <v>N57</v>
      </c>
      <c r="C115" s="58" t="str">
        <f>Tabla1[[#This Row],[nudo final]]</f>
        <v>TP34</v>
      </c>
      <c r="D115" s="51">
        <f>Tabla1[[#This Row],[longitud]]</f>
        <v>50.02</v>
      </c>
      <c r="E115" s="51" t="str">
        <f>Tabla1[[#This Row],[diametro]]</f>
        <v>2"</v>
      </c>
      <c r="F115" s="51" t="str">
        <f>Tabla1[[#This Row],[material]]</f>
        <v>PVC</v>
      </c>
      <c r="G11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5" s="52" t="str">
        <f>IF(Tabla1[[#This Row],[5]]="TPD",Tabla1[[#This Row],[6]],"")</f>
        <v/>
      </c>
      <c r="I115" s="52" t="str">
        <f>IF(OR(Tabla1[[#This Row],[5]]="TPD"),Tabla1[[#This Row],[7]],"")</f>
        <v/>
      </c>
      <c r="J115" s="52">
        <f>IF(Tabla15[[#This Row],[2]]="",0,VLOOKUP(TRAMOS!$H$2,Tabla5[#All],3,FALSE)*Tabla15[[#This Row],[3]])</f>
        <v>0</v>
      </c>
      <c r="K115" s="52" t="str">
        <f>IF(Tabla1[[#This Row],[5]]="TPL",Tabla1[[#This Row],[6]],"")</f>
        <v>2"</v>
      </c>
      <c r="L115" s="52">
        <f>IF(OR(Tabla1[[#This Row],[5]]="TPL"),Tabla1[[#This Row],[7]],"")</f>
        <v>1</v>
      </c>
      <c r="M115" s="52">
        <f>IF(Tabla15[[#This Row],[5]]="",0,VLOOKUP(TRAMOS!$K$2,Tabla5[#All],3,FALSE)*Tabla15[[#This Row],[6]])</f>
        <v>0.9</v>
      </c>
      <c r="N11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5" s="52">
        <f>IF(Tabla15[[#This Row],[8]]="",0,VLOOKUP(TRAMOS!$H$2,Tabla5[#All],3,FALSE)*Tabla15[[#This Row],[9]])</f>
        <v>0</v>
      </c>
      <c r="Q11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5" s="52">
        <f>IF(Tabla15[[#This Row],[11]]="",0,VLOOKUP(TRAMOS!$Q$2,Tabla5[#All],3,FALSE)*Tabla15[[#This Row],[12]])</f>
        <v>0</v>
      </c>
      <c r="T11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5" s="52">
        <f>IF(Tabla15[[#This Row],[20]]="",0,VLOOKUP("VRP",Tabla5[#All],3,FALSE)*Tabla15[[#This Row],[21]])</f>
        <v>0</v>
      </c>
      <c r="AC11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5" s="52">
        <f>IF(Tabla15[[#This Row],[23]]="",0,VLOOKUP("VC",Tabla5[#All],3,FALSE)*Tabla15[[#This Row],[24]])</f>
        <v>0</v>
      </c>
      <c r="AF11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5" s="52">
        <f>IF(Tabla15[[#This Row],[26]]="",0,VLOOKUP(TRAMOS!$K$2,Tabla5[#All],3,FALSE)*Tabla15[[#This Row],[27]])</f>
        <v>0</v>
      </c>
      <c r="AI11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15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0</v>
      </c>
      <c r="AO11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16" spans="2:41" x14ac:dyDescent="0.25">
      <c r="B116" s="58" t="str">
        <f>Tabla1[[#This Row],[nudo inicial]]</f>
        <v>N57</v>
      </c>
      <c r="C116" s="58" t="str">
        <f>Tabla1[[#This Row],[nudo final]]</f>
        <v>N58</v>
      </c>
      <c r="D116" s="51">
        <f>Tabla1[[#This Row],[longitud]]</f>
        <v>44</v>
      </c>
      <c r="E116" s="51" t="str">
        <f>Tabla1[[#This Row],[diametro]]</f>
        <v>2"</v>
      </c>
      <c r="F116" s="51" t="str">
        <f>Tabla1[[#This Row],[material]]</f>
        <v>PVC</v>
      </c>
      <c r="G11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6" s="52" t="str">
        <f>IF(Tabla1[[#This Row],[5]]="TPD",Tabla1[[#This Row],[6]],"")</f>
        <v>2"</v>
      </c>
      <c r="I116" s="52">
        <f>IF(OR(Tabla1[[#This Row],[5]]="TPD"),Tabla1[[#This Row],[7]],"")</f>
        <v>1</v>
      </c>
      <c r="J116" s="52">
        <f>IF(Tabla15[[#This Row],[2]]="",0,VLOOKUP(TRAMOS!$H$2,Tabla5[#All],3,FALSE)*Tabla15[[#This Row],[3]])</f>
        <v>0.15</v>
      </c>
      <c r="K116" s="52" t="str">
        <f>IF(Tabla1[[#This Row],[5]]="TPL",Tabla1[[#This Row],[6]],"")</f>
        <v/>
      </c>
      <c r="L116" s="52" t="str">
        <f>IF(OR(Tabla1[[#This Row],[5]]="TPL"),Tabla1[[#This Row],[7]],"")</f>
        <v/>
      </c>
      <c r="M116" s="52">
        <f>IF(Tabla15[[#This Row],[5]]="",0,VLOOKUP(TRAMOS!$K$2,Tabla5[#All],3,FALSE)*Tabla15[[#This Row],[6]])</f>
        <v>0</v>
      </c>
      <c r="N11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6" s="52">
        <f>IF(Tabla15[[#This Row],[8]]="",0,VLOOKUP(TRAMOS!$H$2,Tabla5[#All],3,FALSE)*Tabla15[[#This Row],[9]])</f>
        <v>0</v>
      </c>
      <c r="Q11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6" s="52">
        <f>IF(Tabla15[[#This Row],[11]]="",0,VLOOKUP(TRAMOS!$Q$2,Tabla5[#All],3,FALSE)*Tabla15[[#This Row],[12]])</f>
        <v>0</v>
      </c>
      <c r="T11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6" s="52">
        <f>IF(Tabla15[[#This Row],[20]]="",0,VLOOKUP("VRP",Tabla5[#All],3,FALSE)*Tabla15[[#This Row],[21]])</f>
        <v>0</v>
      </c>
      <c r="AC11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6" s="52">
        <f>IF(Tabla15[[#This Row],[23]]="",0,VLOOKUP("VC",Tabla5[#All],3,FALSE)*Tabla15[[#This Row],[24]])</f>
        <v>0</v>
      </c>
      <c r="AF11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6" s="52">
        <f>IF(Tabla15[[#This Row],[26]]="",0,VLOOKUP(TRAMOS!$K$2,Tabla5[#All],3,FALSE)*Tabla15[[#This Row],[27]])</f>
        <v>0</v>
      </c>
      <c r="AI11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17" spans="2:41" x14ac:dyDescent="0.25">
      <c r="B117" s="58" t="str">
        <f>Tabla1[[#This Row],[nudo inicial]]</f>
        <v>N58</v>
      </c>
      <c r="C117" s="58" t="str">
        <f>Tabla1[[#This Row],[nudo final]]</f>
        <v>TP35</v>
      </c>
      <c r="D117" s="51">
        <f>Tabla1[[#This Row],[longitud]]</f>
        <v>71.45</v>
      </c>
      <c r="E117" s="51" t="str">
        <f>Tabla1[[#This Row],[diametro]]</f>
        <v>2"</v>
      </c>
      <c r="F117" s="51" t="str">
        <f>Tabla1[[#This Row],[material]]</f>
        <v>PVC</v>
      </c>
      <c r="G11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7" s="52" t="str">
        <f>IF(Tabla1[[#This Row],[5]]="TPD",Tabla1[[#This Row],[6]],"")</f>
        <v>2"</v>
      </c>
      <c r="I117" s="52">
        <f>IF(OR(Tabla1[[#This Row],[5]]="TPD"),Tabla1[[#This Row],[7]],"")</f>
        <v>1</v>
      </c>
      <c r="J117" s="52">
        <f>IF(Tabla15[[#This Row],[2]]="",0,VLOOKUP(TRAMOS!$H$2,Tabla5[#All],3,FALSE)*Tabla15[[#This Row],[3]])</f>
        <v>0.15</v>
      </c>
      <c r="K117" s="52" t="str">
        <f>IF(Tabla1[[#This Row],[5]]="TPL",Tabla1[[#This Row],[6]],"")</f>
        <v/>
      </c>
      <c r="L117" s="52" t="str">
        <f>IF(OR(Tabla1[[#This Row],[5]]="TPL"),Tabla1[[#This Row],[7]],"")</f>
        <v/>
      </c>
      <c r="M117" s="52">
        <f>IF(Tabla15[[#This Row],[5]]="",0,VLOOKUP(TRAMOS!$K$2,Tabla5[#All],3,FALSE)*Tabla15[[#This Row],[6]])</f>
        <v>0</v>
      </c>
      <c r="N11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7" s="52">
        <f>IF(Tabla15[[#This Row],[8]]="",0,VLOOKUP(TRAMOS!$H$2,Tabla5[#All],3,FALSE)*Tabla15[[#This Row],[9]])</f>
        <v>0</v>
      </c>
      <c r="Q11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7" s="52">
        <f>IF(Tabla15[[#This Row],[11]]="",0,VLOOKUP(TRAMOS!$Q$2,Tabla5[#All],3,FALSE)*Tabla15[[#This Row],[12]])</f>
        <v>0</v>
      </c>
      <c r="T11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7" s="52">
        <f>IF(Tabla15[[#This Row],[20]]="",0,VLOOKUP("VRP",Tabla5[#All],3,FALSE)*Tabla15[[#This Row],[21]])</f>
        <v>0</v>
      </c>
      <c r="AC11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7" s="52">
        <f>IF(Tabla15[[#This Row],[23]]="",0,VLOOKUP("VC",Tabla5[#All],3,FALSE)*Tabla15[[#This Row],[24]])</f>
        <v>0</v>
      </c>
      <c r="AF11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7" s="52">
        <f>IF(Tabla15[[#This Row],[26]]="",0,VLOOKUP(TRAMOS!$K$2,Tabla5[#All],3,FALSE)*Tabla15[[#This Row],[27]])</f>
        <v>0</v>
      </c>
      <c r="AI11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17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18" spans="2:41" x14ac:dyDescent="0.25">
      <c r="B118" s="58" t="str">
        <f>Tabla1[[#This Row],[nudo inicial]]</f>
        <v>N58</v>
      </c>
      <c r="C118" s="58" t="str">
        <f>Tabla1[[#This Row],[nudo final]]</f>
        <v>N59</v>
      </c>
      <c r="D118" s="51">
        <f>Tabla1[[#This Row],[longitud]]</f>
        <v>17.36</v>
      </c>
      <c r="E118" s="51" t="str">
        <f>Tabla1[[#This Row],[diametro]]</f>
        <v>2"</v>
      </c>
      <c r="F118" s="51" t="str">
        <f>Tabla1[[#This Row],[material]]</f>
        <v>PVC</v>
      </c>
      <c r="G11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8" s="52" t="str">
        <f>IF(Tabla1[[#This Row],[5]]="TPD",Tabla1[[#This Row],[6]],"")</f>
        <v/>
      </c>
      <c r="I118" s="52" t="str">
        <f>IF(OR(Tabla1[[#This Row],[5]]="TPD"),Tabla1[[#This Row],[7]],"")</f>
        <v/>
      </c>
      <c r="J118" s="52">
        <f>IF(Tabla15[[#This Row],[2]]="",0,VLOOKUP(TRAMOS!$H$2,Tabla5[#All],3,FALSE)*Tabla15[[#This Row],[3]])</f>
        <v>0</v>
      </c>
      <c r="K118" s="52" t="str">
        <f>IF(Tabla1[[#This Row],[5]]="TPL",Tabla1[[#This Row],[6]],"")</f>
        <v>2"</v>
      </c>
      <c r="L118" s="52">
        <f>IF(OR(Tabla1[[#This Row],[5]]="TPL"),Tabla1[[#This Row],[7]],"")</f>
        <v>1</v>
      </c>
      <c r="M118" s="52">
        <f>IF(Tabla15[[#This Row],[5]]="",0,VLOOKUP(TRAMOS!$K$2,Tabla5[#All],3,FALSE)*Tabla15[[#This Row],[6]])</f>
        <v>0.9</v>
      </c>
      <c r="N11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8" s="52">
        <f>IF(Tabla15[[#This Row],[8]]="",0,VLOOKUP(TRAMOS!$H$2,Tabla5[#All],3,FALSE)*Tabla15[[#This Row],[9]])</f>
        <v>0</v>
      </c>
      <c r="Q11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8" s="52">
        <f>IF(Tabla15[[#This Row],[11]]="",0,VLOOKUP(TRAMOS!$Q$2,Tabla5[#All],3,FALSE)*Tabla15[[#This Row],[12]])</f>
        <v>0</v>
      </c>
      <c r="T11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8" s="52">
        <f>IF(Tabla15[[#This Row],[20]]="",0,VLOOKUP("VRP",Tabla5[#All],3,FALSE)*Tabla15[[#This Row],[21]])</f>
        <v>0</v>
      </c>
      <c r="AC11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118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118" s="52">
        <f>IF(Tabla15[[#This Row],[23]]="",0,VLOOKUP("VC",Tabla5[#All],3,FALSE)*Tabla15[[#This Row],[24]])</f>
        <v>0.25</v>
      </c>
      <c r="AF11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8" s="52">
        <f>IF(Tabla15[[#This Row],[26]]="",0,VLOOKUP(TRAMOS!$K$2,Tabla5[#All],3,FALSE)*Tabla15[[#This Row],[27]])</f>
        <v>0</v>
      </c>
      <c r="AI11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1.1499999999999999</v>
      </c>
    </row>
    <row r="119" spans="2:41" x14ac:dyDescent="0.25">
      <c r="B119" s="58" t="str">
        <f>Tabla1[[#This Row],[nudo inicial]]</f>
        <v>N59</v>
      </c>
      <c r="C119" s="58" t="str">
        <f>Tabla1[[#This Row],[nudo final]]</f>
        <v>TP36</v>
      </c>
      <c r="D119" s="51">
        <f>Tabla1[[#This Row],[longitud]]</f>
        <v>76.17</v>
      </c>
      <c r="E119" s="51" t="str">
        <f>Tabla1[[#This Row],[diametro]]</f>
        <v>2"</v>
      </c>
      <c r="F119" s="51" t="str">
        <f>Tabla1[[#This Row],[material]]</f>
        <v>PVC</v>
      </c>
      <c r="G11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9" s="52" t="str">
        <f>IF(Tabla1[[#This Row],[5]]="TPD",Tabla1[[#This Row],[6]],"")</f>
        <v>2"</v>
      </c>
      <c r="I119" s="52">
        <f>IF(OR(Tabla1[[#This Row],[5]]="TPD"),Tabla1[[#This Row],[7]],"")</f>
        <v>1</v>
      </c>
      <c r="J119" s="52">
        <f>IF(Tabla15[[#This Row],[2]]="",0,VLOOKUP(TRAMOS!$H$2,Tabla5[#All],3,FALSE)*Tabla15[[#This Row],[3]])</f>
        <v>0.15</v>
      </c>
      <c r="K119" s="52" t="str">
        <f>IF(Tabla1[[#This Row],[5]]="TPL",Tabla1[[#This Row],[6]],"")</f>
        <v/>
      </c>
      <c r="L119" s="52" t="str">
        <f>IF(OR(Tabla1[[#This Row],[5]]="TPL"),Tabla1[[#This Row],[7]],"")</f>
        <v/>
      </c>
      <c r="M119" s="52">
        <f>IF(Tabla15[[#This Row],[5]]="",0,VLOOKUP(TRAMOS!$K$2,Tabla5[#All],3,FALSE)*Tabla15[[#This Row],[6]])</f>
        <v>0</v>
      </c>
      <c r="N11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9" s="52">
        <f>IF(Tabla15[[#This Row],[8]]="",0,VLOOKUP(TRAMOS!$H$2,Tabla5[#All],3,FALSE)*Tabla15[[#This Row],[9]])</f>
        <v>0</v>
      </c>
      <c r="Q11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9" s="52">
        <f>IF(Tabla15[[#This Row],[11]]="",0,VLOOKUP(TRAMOS!$Q$2,Tabla5[#All],3,FALSE)*Tabla15[[#This Row],[12]])</f>
        <v>0</v>
      </c>
      <c r="T11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9" s="52">
        <f>IF(Tabla15[[#This Row],[20]]="",0,VLOOKUP("VRP",Tabla5[#All],3,FALSE)*Tabla15[[#This Row],[21]])</f>
        <v>0</v>
      </c>
      <c r="AC11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9" s="52">
        <f>IF(Tabla15[[#This Row],[23]]="",0,VLOOKUP("VC",Tabla5[#All],3,FALSE)*Tabla15[[#This Row],[24]])</f>
        <v>0</v>
      </c>
      <c r="AF11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9" s="52">
        <f>IF(Tabla15[[#This Row],[26]]="",0,VLOOKUP(TRAMOS!$K$2,Tabla5[#All],3,FALSE)*Tabla15[[#This Row],[27]])</f>
        <v>0</v>
      </c>
      <c r="AI11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19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20" spans="2:41" x14ac:dyDescent="0.25">
      <c r="B120" s="58" t="str">
        <f>Tabla1[[#This Row],[nudo inicial]]</f>
        <v>N59</v>
      </c>
      <c r="C120" s="58" t="str">
        <f>Tabla1[[#This Row],[nudo final]]</f>
        <v>N60</v>
      </c>
      <c r="D120" s="51">
        <f>Tabla1[[#This Row],[longitud]]</f>
        <v>18.09</v>
      </c>
      <c r="E120" s="51" t="str">
        <f>Tabla1[[#This Row],[diametro]]</f>
        <v>2"</v>
      </c>
      <c r="F120" s="51" t="str">
        <f>Tabla1[[#This Row],[material]]</f>
        <v>PVC</v>
      </c>
      <c r="G12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20" s="52" t="str">
        <f>IF(Tabla1[[#This Row],[5]]="TPD",Tabla1[[#This Row],[6]],"")</f>
        <v/>
      </c>
      <c r="I120" s="52" t="str">
        <f>IF(OR(Tabla1[[#This Row],[5]]="TPD"),Tabla1[[#This Row],[7]],"")</f>
        <v/>
      </c>
      <c r="J120" s="52">
        <f>IF(Tabla15[[#This Row],[2]]="",0,VLOOKUP(TRAMOS!$H$2,Tabla5[#All],3,FALSE)*Tabla15[[#This Row],[3]])</f>
        <v>0</v>
      </c>
      <c r="K120" s="52" t="str">
        <f>IF(Tabla1[[#This Row],[5]]="TPL",Tabla1[[#This Row],[6]],"")</f>
        <v>2"</v>
      </c>
      <c r="L120" s="52">
        <f>IF(OR(Tabla1[[#This Row],[5]]="TPL"),Tabla1[[#This Row],[7]],"")</f>
        <v>1</v>
      </c>
      <c r="M120" s="52">
        <f>IF(Tabla15[[#This Row],[5]]="",0,VLOOKUP(TRAMOS!$K$2,Tabla5[#All],3,FALSE)*Tabla15[[#This Row],[6]])</f>
        <v>0.9</v>
      </c>
      <c r="N12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2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20" s="52">
        <f>IF(Tabla15[[#This Row],[8]]="",0,VLOOKUP(TRAMOS!$H$2,Tabla5[#All],3,FALSE)*Tabla15[[#This Row],[9]])</f>
        <v>0</v>
      </c>
      <c r="Q12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2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20" s="52">
        <f>IF(Tabla15[[#This Row],[11]]="",0,VLOOKUP(TRAMOS!$Q$2,Tabla5[#All],3,FALSE)*Tabla15[[#This Row],[12]])</f>
        <v>0</v>
      </c>
      <c r="T12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2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2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2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2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2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2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2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20" s="52">
        <f>IF(Tabla15[[#This Row],[20]]="",0,VLOOKUP("VRP",Tabla5[#All],3,FALSE)*Tabla15[[#This Row],[21]])</f>
        <v>0</v>
      </c>
      <c r="AC12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2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20" s="52">
        <f>IF(Tabla15[[#This Row],[23]]="",0,VLOOKUP("VC",Tabla5[#All],3,FALSE)*Tabla15[[#This Row],[24]])</f>
        <v>0</v>
      </c>
      <c r="AF12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2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20" s="52">
        <f>IF(Tabla15[[#This Row],[26]]="",0,VLOOKUP(TRAMOS!$K$2,Tabla5[#All],3,FALSE)*Tabla15[[#This Row],[27]])</f>
        <v>0</v>
      </c>
      <c r="AI12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2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2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2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2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2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2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21" spans="2:41" x14ac:dyDescent="0.25">
      <c r="B121" s="58" t="str">
        <f>Tabla1[[#This Row],[nudo inicial]]</f>
        <v>N60</v>
      </c>
      <c r="C121" s="58" t="str">
        <f>Tabla1[[#This Row],[nudo final]]</f>
        <v>TP37</v>
      </c>
      <c r="D121" s="51">
        <f>Tabla1[[#This Row],[longitud]]</f>
        <v>78.680000000000007</v>
      </c>
      <c r="E121" s="51" t="str">
        <f>Tabla1[[#This Row],[diametro]]</f>
        <v>2"</v>
      </c>
      <c r="F121" s="51" t="str">
        <f>Tabla1[[#This Row],[material]]</f>
        <v>PVC</v>
      </c>
      <c r="G12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21" s="52" t="str">
        <f>IF(Tabla1[[#This Row],[5]]="TPD",Tabla1[[#This Row],[6]],"")</f>
        <v/>
      </c>
      <c r="I121" s="52" t="str">
        <f>IF(OR(Tabla1[[#This Row],[5]]="TPD"),Tabla1[[#This Row],[7]],"")</f>
        <v/>
      </c>
      <c r="J121" s="52">
        <f>IF(Tabla15[[#This Row],[2]]="",0,VLOOKUP(TRAMOS!$H$2,Tabla5[#All],3,FALSE)*Tabla15[[#This Row],[3]])</f>
        <v>0</v>
      </c>
      <c r="K121" s="52" t="str">
        <f>IF(Tabla1[[#This Row],[5]]="TPL",Tabla1[[#This Row],[6]],"")</f>
        <v>2"</v>
      </c>
      <c r="L121" s="52">
        <f>IF(OR(Tabla1[[#This Row],[5]]="TPL"),Tabla1[[#This Row],[7]],"")</f>
        <v>1</v>
      </c>
      <c r="M121" s="52">
        <f>IF(Tabla15[[#This Row],[5]]="",0,VLOOKUP(TRAMOS!$K$2,Tabla5[#All],3,FALSE)*Tabla15[[#This Row],[6]])</f>
        <v>0.9</v>
      </c>
      <c r="N12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2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21" s="52">
        <f>IF(Tabla15[[#This Row],[8]]="",0,VLOOKUP(TRAMOS!$H$2,Tabla5[#All],3,FALSE)*Tabla15[[#This Row],[9]])</f>
        <v>0</v>
      </c>
      <c r="Q12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2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21" s="52">
        <f>IF(Tabla15[[#This Row],[11]]="",0,VLOOKUP(TRAMOS!$Q$2,Tabla5[#All],3,FALSE)*Tabla15[[#This Row],[12]])</f>
        <v>0</v>
      </c>
      <c r="T12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2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2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2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2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2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2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2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21" s="52">
        <f>IF(Tabla15[[#This Row],[20]]="",0,VLOOKUP("VRP",Tabla5[#All],3,FALSE)*Tabla15[[#This Row],[21]])</f>
        <v>0</v>
      </c>
      <c r="AC12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2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21" s="52">
        <f>IF(Tabla15[[#This Row],[23]]="",0,VLOOKUP("VC",Tabla5[#All],3,FALSE)*Tabla15[[#This Row],[24]])</f>
        <v>0</v>
      </c>
      <c r="AF12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2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21" s="52">
        <f>IF(Tabla15[[#This Row],[26]]="",0,VLOOKUP(TRAMOS!$K$2,Tabla5[#All],3,FALSE)*Tabla15[[#This Row],[27]])</f>
        <v>0</v>
      </c>
      <c r="AI12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2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2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2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2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21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2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22" spans="2:41" x14ac:dyDescent="0.25">
      <c r="B122" s="58" t="str">
        <f>Tabla1[[#This Row],[nudo inicial]]</f>
        <v>N60</v>
      </c>
      <c r="C122" s="58" t="str">
        <f>Tabla1[[#This Row],[nudo final]]</f>
        <v>TP38</v>
      </c>
      <c r="D122" s="51">
        <f>Tabla1[[#This Row],[longitud]]</f>
        <v>93.48</v>
      </c>
      <c r="E122" s="51" t="str">
        <f>Tabla1[[#This Row],[diametro]]</f>
        <v>2"</v>
      </c>
      <c r="F122" s="51" t="str">
        <f>Tabla1[[#This Row],[material]]</f>
        <v>PVC</v>
      </c>
      <c r="G12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22" s="52" t="str">
        <f>IF(Tabla1[[#This Row],[5]]="TPD",Tabla1[[#This Row],[6]],"")</f>
        <v>2"</v>
      </c>
      <c r="I122" s="52">
        <f>IF(OR(Tabla1[[#This Row],[5]]="TPD"),Tabla1[[#This Row],[7]],"")</f>
        <v>1</v>
      </c>
      <c r="J122" s="52">
        <f>IF(Tabla15[[#This Row],[2]]="",0,VLOOKUP(TRAMOS!$H$2,Tabla5[#All],3,FALSE)*Tabla15[[#This Row],[3]])</f>
        <v>0.15</v>
      </c>
      <c r="K122" s="52" t="str">
        <f>IF(Tabla1[[#This Row],[5]]="TPL",Tabla1[[#This Row],[6]],"")</f>
        <v/>
      </c>
      <c r="L122" s="52" t="str">
        <f>IF(OR(Tabla1[[#This Row],[5]]="TPL"),Tabla1[[#This Row],[7]],"")</f>
        <v/>
      </c>
      <c r="M122" s="52">
        <f>IF(Tabla15[[#This Row],[5]]="",0,VLOOKUP(TRAMOS!$K$2,Tabla5[#All],3,FALSE)*Tabla15[[#This Row],[6]])</f>
        <v>0</v>
      </c>
      <c r="N12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2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22" s="52">
        <f>IF(Tabla15[[#This Row],[8]]="",0,VLOOKUP(TRAMOS!$H$2,Tabla5[#All],3,FALSE)*Tabla15[[#This Row],[9]])</f>
        <v>0</v>
      </c>
      <c r="Q12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122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122" s="52">
        <f>IF(Tabla15[[#This Row],[11]]="",0,VLOOKUP(TRAMOS!$Q$2,Tabla5[#All],3,FALSE)*Tabla15[[#This Row],[12]])</f>
        <v>0.9</v>
      </c>
      <c r="T12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2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2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2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2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2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2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2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22" s="52">
        <f>IF(Tabla15[[#This Row],[20]]="",0,VLOOKUP("VRP",Tabla5[#All],3,FALSE)*Tabla15[[#This Row],[21]])</f>
        <v>0</v>
      </c>
      <c r="AC12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2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22" s="52">
        <f>IF(Tabla15[[#This Row],[23]]="",0,VLOOKUP("VC",Tabla5[#All],3,FALSE)*Tabla15[[#This Row],[24]])</f>
        <v>0</v>
      </c>
      <c r="AF12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2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22" s="52">
        <f>IF(Tabla15[[#This Row],[26]]="",0,VLOOKUP(TRAMOS!$K$2,Tabla5[#All],3,FALSE)*Tabla15[[#This Row],[27]])</f>
        <v>0</v>
      </c>
      <c r="AI12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2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2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2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2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22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2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123" spans="2:41" x14ac:dyDescent="0.25">
      <c r="B123" s="58" t="str">
        <f>Tabla1[[#This Row],[nudo inicial]]</f>
        <v>N59</v>
      </c>
      <c r="C123" s="58" t="str">
        <f>Tabla1[[#This Row],[nudo final]]</f>
        <v>N61</v>
      </c>
      <c r="D123" s="51">
        <f>Tabla1[[#This Row],[longitud]]</f>
        <v>47.82</v>
      </c>
      <c r="E123" s="51" t="str">
        <f>Tabla1[[#This Row],[diametro]]</f>
        <v>2"</v>
      </c>
      <c r="F123" s="51" t="str">
        <f>Tabla1[[#This Row],[material]]</f>
        <v>PVC</v>
      </c>
      <c r="G12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23" s="52" t="str">
        <f>IF(Tabla1[[#This Row],[5]]="TPD",Tabla1[[#This Row],[6]],"")</f>
        <v/>
      </c>
      <c r="I123" s="52" t="str">
        <f>IF(OR(Tabla1[[#This Row],[5]]="TPD"),Tabla1[[#This Row],[7]],"")</f>
        <v/>
      </c>
      <c r="J123" s="52">
        <f>IF(Tabla15[[#This Row],[2]]="",0,VLOOKUP(TRAMOS!$H$2,Tabla5[#All],3,FALSE)*Tabla15[[#This Row],[3]])</f>
        <v>0</v>
      </c>
      <c r="K123" s="52" t="str">
        <f>IF(Tabla1[[#This Row],[5]]="TPL",Tabla1[[#This Row],[6]],"")</f>
        <v>2"</v>
      </c>
      <c r="L123" s="52">
        <f>IF(OR(Tabla1[[#This Row],[5]]="TPL"),Tabla1[[#This Row],[7]],"")</f>
        <v>1</v>
      </c>
      <c r="M123" s="52">
        <f>IF(Tabla15[[#This Row],[5]]="",0,VLOOKUP(TRAMOS!$K$2,Tabla5[#All],3,FALSE)*Tabla15[[#This Row],[6]])</f>
        <v>0.9</v>
      </c>
      <c r="N12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2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23" s="52">
        <f>IF(Tabla15[[#This Row],[8]]="",0,VLOOKUP(TRAMOS!$H$2,Tabla5[#All],3,FALSE)*Tabla15[[#This Row],[9]])</f>
        <v>0</v>
      </c>
      <c r="Q12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123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3</v>
      </c>
      <c r="S123" s="52">
        <f>IF(Tabla15[[#This Row],[11]]="",0,VLOOKUP(TRAMOS!$Q$2,Tabla5[#All],3,FALSE)*Tabla15[[#This Row],[12]])</f>
        <v>2.7</v>
      </c>
      <c r="T12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2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2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2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2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2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2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2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23" s="52">
        <f>IF(Tabla15[[#This Row],[20]]="",0,VLOOKUP("VRP",Tabla5[#All],3,FALSE)*Tabla15[[#This Row],[21]])</f>
        <v>0</v>
      </c>
      <c r="AC12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2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23" s="52">
        <f>IF(Tabla15[[#This Row],[23]]="",0,VLOOKUP("VC",Tabla5[#All],3,FALSE)*Tabla15[[#This Row],[24]])</f>
        <v>0</v>
      </c>
      <c r="AF12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2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23" s="52">
        <f>IF(Tabla15[[#This Row],[26]]="",0,VLOOKUP(TRAMOS!$K$2,Tabla5[#All],3,FALSE)*Tabla15[[#This Row],[27]])</f>
        <v>0</v>
      </c>
      <c r="AI12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2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2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2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2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2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2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3.6</v>
      </c>
    </row>
    <row r="124" spans="2:41" x14ac:dyDescent="0.25">
      <c r="B124" s="58" t="str">
        <f>Tabla1[[#This Row],[nudo inicial]]</f>
        <v>N61</v>
      </c>
      <c r="C124" s="58" t="str">
        <f>Tabla1[[#This Row],[nudo final]]</f>
        <v>TP39</v>
      </c>
      <c r="D124" s="51">
        <f>Tabla1[[#This Row],[longitud]]</f>
        <v>18.73</v>
      </c>
      <c r="E124" s="51" t="str">
        <f>Tabla1[[#This Row],[diametro]]</f>
        <v>2"</v>
      </c>
      <c r="F124" s="51" t="str">
        <f>Tabla1[[#This Row],[material]]</f>
        <v>PVC</v>
      </c>
      <c r="G12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24" s="52" t="str">
        <f>IF(Tabla1[[#This Row],[5]]="TPD",Tabla1[[#This Row],[6]],"")</f>
        <v/>
      </c>
      <c r="I124" s="52" t="str">
        <f>IF(OR(Tabla1[[#This Row],[5]]="TPD"),Tabla1[[#This Row],[7]],"")</f>
        <v/>
      </c>
      <c r="J124" s="52">
        <f>IF(Tabla15[[#This Row],[2]]="",0,VLOOKUP(TRAMOS!$H$2,Tabla5[#All],3,FALSE)*Tabla15[[#This Row],[3]])</f>
        <v>0</v>
      </c>
      <c r="K124" s="52" t="str">
        <f>IF(Tabla1[[#This Row],[5]]="TPL",Tabla1[[#This Row],[6]],"")</f>
        <v>2"</v>
      </c>
      <c r="L124" s="52">
        <f>IF(OR(Tabla1[[#This Row],[5]]="TPL"),Tabla1[[#This Row],[7]],"")</f>
        <v>1</v>
      </c>
      <c r="M124" s="52">
        <f>IF(Tabla15[[#This Row],[5]]="",0,VLOOKUP(TRAMOS!$K$2,Tabla5[#All],3,FALSE)*Tabla15[[#This Row],[6]])</f>
        <v>0.9</v>
      </c>
      <c r="N12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2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24" s="52">
        <f>IF(Tabla15[[#This Row],[8]]="",0,VLOOKUP(TRAMOS!$H$2,Tabla5[#All],3,FALSE)*Tabla15[[#This Row],[9]])</f>
        <v>0</v>
      </c>
      <c r="Q12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2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24" s="52">
        <f>IF(Tabla15[[#This Row],[11]]="",0,VLOOKUP(TRAMOS!$Q$2,Tabla5[#All],3,FALSE)*Tabla15[[#This Row],[12]])</f>
        <v>0</v>
      </c>
      <c r="T12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2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2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2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2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2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2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2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24" s="52">
        <f>IF(Tabla15[[#This Row],[20]]="",0,VLOOKUP("VRP",Tabla5[#All],3,FALSE)*Tabla15[[#This Row],[21]])</f>
        <v>0</v>
      </c>
      <c r="AC12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2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24" s="52">
        <f>IF(Tabla15[[#This Row],[23]]="",0,VLOOKUP("VC",Tabla5[#All],3,FALSE)*Tabla15[[#This Row],[24]])</f>
        <v>0</v>
      </c>
      <c r="AF12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2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24" s="52">
        <f>IF(Tabla15[[#This Row],[26]]="",0,VLOOKUP(TRAMOS!$K$2,Tabla5[#All],3,FALSE)*Tabla15[[#This Row],[27]])</f>
        <v>0</v>
      </c>
      <c r="AI12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2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2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2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2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24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2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25" spans="2:41" x14ac:dyDescent="0.25">
      <c r="B125" s="58" t="str">
        <f>Tabla1[[#This Row],[nudo inicial]]</f>
        <v>N61</v>
      </c>
      <c r="C125" s="58" t="str">
        <f>Tabla1[[#This Row],[nudo final]]</f>
        <v>TP40</v>
      </c>
      <c r="D125" s="51">
        <f>Tabla1[[#This Row],[longitud]]</f>
        <v>52.94</v>
      </c>
      <c r="E125" s="51" t="str">
        <f>Tabla1[[#This Row],[diametro]]</f>
        <v>2"</v>
      </c>
      <c r="F125" s="51" t="str">
        <f>Tabla1[[#This Row],[material]]</f>
        <v>PVC</v>
      </c>
      <c r="G12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25" s="52" t="str">
        <f>IF(Tabla1[[#This Row],[5]]="TPD",Tabla1[[#This Row],[6]],"")</f>
        <v>2"</v>
      </c>
      <c r="I125" s="52">
        <f>IF(OR(Tabla1[[#This Row],[5]]="TPD"),Tabla1[[#This Row],[7]],"")</f>
        <v>1</v>
      </c>
      <c r="J125" s="52">
        <f>IF(Tabla15[[#This Row],[2]]="",0,VLOOKUP(TRAMOS!$H$2,Tabla5[#All],3,FALSE)*Tabla15[[#This Row],[3]])</f>
        <v>0.15</v>
      </c>
      <c r="K125" s="52" t="str">
        <f>IF(Tabla1[[#This Row],[5]]="TPL",Tabla1[[#This Row],[6]],"")</f>
        <v/>
      </c>
      <c r="L125" s="52" t="str">
        <f>IF(OR(Tabla1[[#This Row],[5]]="TPL"),Tabla1[[#This Row],[7]],"")</f>
        <v/>
      </c>
      <c r="M125" s="52">
        <f>IF(Tabla15[[#This Row],[5]]="",0,VLOOKUP(TRAMOS!$K$2,Tabla5[#All],3,FALSE)*Tabla15[[#This Row],[6]])</f>
        <v>0</v>
      </c>
      <c r="N12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2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25" s="52">
        <f>IF(Tabla15[[#This Row],[8]]="",0,VLOOKUP(TRAMOS!$H$2,Tabla5[#All],3,FALSE)*Tabla15[[#This Row],[9]])</f>
        <v>0</v>
      </c>
      <c r="Q12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2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25" s="52">
        <f>IF(Tabla15[[#This Row],[11]]="",0,VLOOKUP(TRAMOS!$Q$2,Tabla5[#All],3,FALSE)*Tabla15[[#This Row],[12]])</f>
        <v>0</v>
      </c>
      <c r="T12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2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2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2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2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2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2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2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25" s="52">
        <f>IF(Tabla15[[#This Row],[20]]="",0,VLOOKUP("VRP",Tabla5[#All],3,FALSE)*Tabla15[[#This Row],[21]])</f>
        <v>0</v>
      </c>
      <c r="AC12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2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25" s="52">
        <f>IF(Tabla15[[#This Row],[23]]="",0,VLOOKUP("VC",Tabla5[#All],3,FALSE)*Tabla15[[#This Row],[24]])</f>
        <v>0</v>
      </c>
      <c r="AF12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2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25" s="52">
        <f>IF(Tabla15[[#This Row],[26]]="",0,VLOOKUP(TRAMOS!$K$2,Tabla5[#All],3,FALSE)*Tabla15[[#This Row],[27]])</f>
        <v>0</v>
      </c>
      <c r="AI12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2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2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2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2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25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2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26" spans="2:41" x14ac:dyDescent="0.25">
      <c r="B126" s="58" t="str">
        <f>Tabla1[[#This Row],[nudo inicial]]</f>
        <v>N43</v>
      </c>
      <c r="C126" s="58" t="str">
        <f>Tabla1[[#This Row],[nudo final]]</f>
        <v>N62</v>
      </c>
      <c r="D126" s="51">
        <f>Tabla1[[#This Row],[longitud]]</f>
        <v>112.52</v>
      </c>
      <c r="E126" s="51" t="str">
        <f>Tabla1[[#This Row],[diametro]]</f>
        <v>3"</v>
      </c>
      <c r="F126" s="51" t="str">
        <f>Tabla1[[#This Row],[material]]</f>
        <v>AC</v>
      </c>
      <c r="G12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26" s="52" t="str">
        <f>IF(Tabla1[[#This Row],[5]]="TPD",Tabla1[[#This Row],[6]],"")</f>
        <v>3"</v>
      </c>
      <c r="I126" s="52">
        <f>IF(OR(Tabla1[[#This Row],[5]]="TPD"),Tabla1[[#This Row],[7]],"")</f>
        <v>1</v>
      </c>
      <c r="J126" s="52">
        <f>IF(Tabla15[[#This Row],[2]]="",0,VLOOKUP(TRAMOS!$H$2,Tabla5[#All],3,FALSE)*Tabla15[[#This Row],[3]])</f>
        <v>0.15</v>
      </c>
      <c r="K126" s="52" t="str">
        <f>IF(Tabla1[[#This Row],[5]]="TPL",Tabla1[[#This Row],[6]],"")</f>
        <v/>
      </c>
      <c r="L126" s="52" t="str">
        <f>IF(OR(Tabla1[[#This Row],[5]]="TPL"),Tabla1[[#This Row],[7]],"")</f>
        <v/>
      </c>
      <c r="M126" s="52">
        <f>IF(Tabla15[[#This Row],[5]]="",0,VLOOKUP(TRAMOS!$K$2,Tabla5[#All],3,FALSE)*Tabla15[[#This Row],[6]])</f>
        <v>0</v>
      </c>
      <c r="N12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2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26" s="52">
        <f>IF(Tabla15[[#This Row],[8]]="",0,VLOOKUP(TRAMOS!$H$2,Tabla5[#All],3,FALSE)*Tabla15[[#This Row],[9]])</f>
        <v>0</v>
      </c>
      <c r="Q12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2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26" s="52">
        <f>IF(Tabla15[[#This Row],[11]]="",0,VLOOKUP(TRAMOS!$Q$2,Tabla5[#All],3,FALSE)*Tabla15[[#This Row],[12]])</f>
        <v>0</v>
      </c>
      <c r="T12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2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2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2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2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2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2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2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26" s="52">
        <f>IF(Tabla15[[#This Row],[20]]="",0,VLOOKUP("VRP",Tabla5[#All],3,FALSE)*Tabla15[[#This Row],[21]])</f>
        <v>0</v>
      </c>
      <c r="AC12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2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26" s="52">
        <f>IF(Tabla15[[#This Row],[23]]="",0,VLOOKUP("VC",Tabla5[#All],3,FALSE)*Tabla15[[#This Row],[24]])</f>
        <v>0</v>
      </c>
      <c r="AF12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2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26" s="52">
        <f>IF(Tabla15[[#This Row],[26]]="",0,VLOOKUP(TRAMOS!$K$2,Tabla5[#All],3,FALSE)*Tabla15[[#This Row],[27]])</f>
        <v>0</v>
      </c>
      <c r="AI12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2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2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2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2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2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2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27" spans="2:41" x14ac:dyDescent="0.25">
      <c r="B127" s="58" t="str">
        <f>Tabla1[[#This Row],[nudo inicial]]</f>
        <v>N62</v>
      </c>
      <c r="C127" s="58" t="str">
        <f>Tabla1[[#This Row],[nudo final]]</f>
        <v>N63</v>
      </c>
      <c r="D127" s="51">
        <f>Tabla1[[#This Row],[longitud]]</f>
        <v>43.89</v>
      </c>
      <c r="E127" s="51" t="str">
        <f>Tabla1[[#This Row],[diametro]]</f>
        <v>3"</v>
      </c>
      <c r="F127" s="51" t="str">
        <f>Tabla1[[#This Row],[material]]</f>
        <v>PVC</v>
      </c>
      <c r="G12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27" s="52" t="str">
        <f>IF(Tabla1[[#This Row],[5]]="TPD",Tabla1[[#This Row],[6]],"")</f>
        <v/>
      </c>
      <c r="I127" s="52" t="str">
        <f>IF(OR(Tabla1[[#This Row],[5]]="TPD"),Tabla1[[#This Row],[7]],"")</f>
        <v/>
      </c>
      <c r="J127" s="52">
        <f>IF(Tabla15[[#This Row],[2]]="",0,VLOOKUP(TRAMOS!$H$2,Tabla5[#All],3,FALSE)*Tabla15[[#This Row],[3]])</f>
        <v>0</v>
      </c>
      <c r="K127" s="52" t="str">
        <f>IF(Tabla1[[#This Row],[5]]="TPL",Tabla1[[#This Row],[6]],"")</f>
        <v>3"</v>
      </c>
      <c r="L127" s="52">
        <f>IF(OR(Tabla1[[#This Row],[5]]="TPL"),Tabla1[[#This Row],[7]],"")</f>
        <v>1</v>
      </c>
      <c r="M127" s="52">
        <f>IF(Tabla15[[#This Row],[5]]="",0,VLOOKUP(TRAMOS!$K$2,Tabla5[#All],3,FALSE)*Tabla15[[#This Row],[6]])</f>
        <v>0.9</v>
      </c>
      <c r="N12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2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27" s="52">
        <f>IF(Tabla15[[#This Row],[8]]="",0,VLOOKUP(TRAMOS!$H$2,Tabla5[#All],3,FALSE)*Tabla15[[#This Row],[9]])</f>
        <v>0</v>
      </c>
      <c r="Q12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2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27" s="52">
        <f>IF(Tabla15[[#This Row],[11]]="",0,VLOOKUP(TRAMOS!$Q$2,Tabla5[#All],3,FALSE)*Tabla15[[#This Row],[12]])</f>
        <v>0</v>
      </c>
      <c r="T12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2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2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2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2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2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2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2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27" s="52">
        <f>IF(Tabla15[[#This Row],[20]]="",0,VLOOKUP("VRP",Tabla5[#All],3,FALSE)*Tabla15[[#This Row],[21]])</f>
        <v>0</v>
      </c>
      <c r="AC12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127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127" s="52">
        <f>IF(Tabla15[[#This Row],[23]]="",0,VLOOKUP("VC",Tabla5[#All],3,FALSE)*Tabla15[[#This Row],[24]])</f>
        <v>0.25</v>
      </c>
      <c r="AF12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2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27" s="52">
        <f>IF(Tabla15[[#This Row],[26]]="",0,VLOOKUP(TRAMOS!$K$2,Tabla5[#All],3,FALSE)*Tabla15[[#This Row],[27]])</f>
        <v>0</v>
      </c>
      <c r="AI12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2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2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2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2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2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2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1.1499999999999999</v>
      </c>
    </row>
    <row r="128" spans="2:41" x14ac:dyDescent="0.25">
      <c r="B128" s="58" t="str">
        <f>Tabla1[[#This Row],[nudo inicial]]</f>
        <v>N63</v>
      </c>
      <c r="C128" s="58" t="str">
        <f>Tabla1[[#This Row],[nudo final]]</f>
        <v>TP41</v>
      </c>
      <c r="D128" s="51">
        <f>Tabla1[[#This Row],[longitud]]</f>
        <v>30.69</v>
      </c>
      <c r="E128" s="51" t="str">
        <f>Tabla1[[#This Row],[diametro]]</f>
        <v>3"</v>
      </c>
      <c r="F128" s="51" t="str">
        <f>Tabla1[[#This Row],[material]]</f>
        <v>PVC</v>
      </c>
      <c r="G12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28" s="52" t="str">
        <f>IF(Tabla1[[#This Row],[5]]="TPD",Tabla1[[#This Row],[6]],"")</f>
        <v/>
      </c>
      <c r="I128" s="52" t="str">
        <f>IF(OR(Tabla1[[#This Row],[5]]="TPD"),Tabla1[[#This Row],[7]],"")</f>
        <v/>
      </c>
      <c r="J128" s="52">
        <f>IF(Tabla15[[#This Row],[2]]="",0,VLOOKUP(TRAMOS!$H$2,Tabla5[#All],3,FALSE)*Tabla15[[#This Row],[3]])</f>
        <v>0</v>
      </c>
      <c r="K128" s="52" t="str">
        <f>IF(Tabla1[[#This Row],[5]]="TPL",Tabla1[[#This Row],[6]],"")</f>
        <v>3"</v>
      </c>
      <c r="L128" s="52">
        <f>IF(OR(Tabla1[[#This Row],[5]]="TPL"),Tabla1[[#This Row],[7]],"")</f>
        <v>1</v>
      </c>
      <c r="M128" s="52">
        <f>IF(Tabla15[[#This Row],[5]]="",0,VLOOKUP(TRAMOS!$K$2,Tabla5[#All],3,FALSE)*Tabla15[[#This Row],[6]])</f>
        <v>0.9</v>
      </c>
      <c r="N12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2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28" s="52">
        <f>IF(Tabla15[[#This Row],[8]]="",0,VLOOKUP(TRAMOS!$H$2,Tabla5[#All],3,FALSE)*Tabla15[[#This Row],[9]])</f>
        <v>0</v>
      </c>
      <c r="Q12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3"</v>
      </c>
      <c r="R128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128" s="52">
        <f>IF(Tabla15[[#This Row],[11]]="",0,VLOOKUP(TRAMOS!$Q$2,Tabla5[#All],3,FALSE)*Tabla15[[#This Row],[12]])</f>
        <v>0.9</v>
      </c>
      <c r="T12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2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2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2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2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2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2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2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28" s="52">
        <f>IF(Tabla15[[#This Row],[20]]="",0,VLOOKUP("VRP",Tabla5[#All],3,FALSE)*Tabla15[[#This Row],[21]])</f>
        <v>0</v>
      </c>
      <c r="AC12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2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28" s="52">
        <f>IF(Tabla15[[#This Row],[23]]="",0,VLOOKUP("VC",Tabla5[#All],3,FALSE)*Tabla15[[#This Row],[24]])</f>
        <v>0</v>
      </c>
      <c r="AF12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2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28" s="52">
        <f>IF(Tabla15[[#This Row],[26]]="",0,VLOOKUP(TRAMOS!$K$2,Tabla5[#All],3,FALSE)*Tabla15[[#This Row],[27]])</f>
        <v>0</v>
      </c>
      <c r="AI12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2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2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2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2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128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0</v>
      </c>
      <c r="AO12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1.8</v>
      </c>
    </row>
    <row r="129" spans="2:41" x14ac:dyDescent="0.25">
      <c r="B129" s="58" t="str">
        <f>Tabla1[[#This Row],[nudo inicial]]</f>
        <v>N63</v>
      </c>
      <c r="C129" s="58" t="str">
        <f>Tabla1[[#This Row],[nudo final]]</f>
        <v>TP42</v>
      </c>
      <c r="D129" s="51">
        <f>Tabla1[[#This Row],[longitud]]</f>
        <v>18.73</v>
      </c>
      <c r="E129" s="51" t="str">
        <f>Tabla1[[#This Row],[diametro]]</f>
        <v>3"</v>
      </c>
      <c r="F129" s="51" t="str">
        <f>Tabla1[[#This Row],[material]]</f>
        <v>PVC</v>
      </c>
      <c r="G12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29" s="52" t="str">
        <f>IF(Tabla1[[#This Row],[5]]="TPD",Tabla1[[#This Row],[6]],"")</f>
        <v>3"</v>
      </c>
      <c r="I129" s="52">
        <f>IF(OR(Tabla1[[#This Row],[5]]="TPD"),Tabla1[[#This Row],[7]],"")</f>
        <v>1</v>
      </c>
      <c r="J129" s="52">
        <f>IF(Tabla15[[#This Row],[2]]="",0,VLOOKUP(TRAMOS!$H$2,Tabla5[#All],3,FALSE)*Tabla15[[#This Row],[3]])</f>
        <v>0.15</v>
      </c>
      <c r="K129" s="52" t="str">
        <f>IF(Tabla1[[#This Row],[5]]="TPL",Tabla1[[#This Row],[6]],"")</f>
        <v/>
      </c>
      <c r="L129" s="52" t="str">
        <f>IF(OR(Tabla1[[#This Row],[5]]="TPL"),Tabla1[[#This Row],[7]],"")</f>
        <v/>
      </c>
      <c r="M129" s="52">
        <f>IF(Tabla15[[#This Row],[5]]="",0,VLOOKUP(TRAMOS!$K$2,Tabla5[#All],3,FALSE)*Tabla15[[#This Row],[6]])</f>
        <v>0</v>
      </c>
      <c r="N12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2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29" s="52">
        <f>IF(Tabla15[[#This Row],[8]]="",0,VLOOKUP(TRAMOS!$H$2,Tabla5[#All],3,FALSE)*Tabla15[[#This Row],[9]])</f>
        <v>0</v>
      </c>
      <c r="Q12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2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29" s="52">
        <f>IF(Tabla15[[#This Row],[11]]="",0,VLOOKUP(TRAMOS!$Q$2,Tabla5[#All],3,FALSE)*Tabla15[[#This Row],[12]])</f>
        <v>0</v>
      </c>
      <c r="T12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2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2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2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2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2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2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2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29" s="52">
        <f>IF(Tabla15[[#This Row],[20]]="",0,VLOOKUP("VRP",Tabla5[#All],3,FALSE)*Tabla15[[#This Row],[21]])</f>
        <v>0</v>
      </c>
      <c r="AC12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2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29" s="52">
        <f>IF(Tabla15[[#This Row],[23]]="",0,VLOOKUP("VC",Tabla5[#All],3,FALSE)*Tabla15[[#This Row],[24]])</f>
        <v>0</v>
      </c>
      <c r="AF12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2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29" s="52">
        <f>IF(Tabla15[[#This Row],[26]]="",0,VLOOKUP(TRAMOS!$K$2,Tabla5[#All],3,FALSE)*Tabla15[[#This Row],[27]])</f>
        <v>0</v>
      </c>
      <c r="AI12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2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2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2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2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129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2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30" spans="2:41" x14ac:dyDescent="0.25">
      <c r="B130" s="58" t="str">
        <f>Tabla1[[#This Row],[nudo inicial]]</f>
        <v>N49</v>
      </c>
      <c r="C130" s="58" t="str">
        <f>Tabla1[[#This Row],[nudo final]]</f>
        <v>N64</v>
      </c>
      <c r="D130" s="51">
        <f>Tabla1[[#This Row],[longitud]]</f>
        <v>30.29</v>
      </c>
      <c r="E130" s="51" t="str">
        <f>Tabla1[[#This Row],[diametro]]</f>
        <v>4"</v>
      </c>
      <c r="F130" s="51" t="str">
        <f>Tabla1[[#This Row],[material]]</f>
        <v>AC</v>
      </c>
      <c r="G13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130" s="52" t="str">
        <f>IF(Tabla1[[#This Row],[5]]="TPD",Tabla1[[#This Row],[6]],"")</f>
        <v/>
      </c>
      <c r="I130" s="52" t="str">
        <f>IF(OR(Tabla1[[#This Row],[5]]="TPD"),Tabla1[[#This Row],[7]],"")</f>
        <v/>
      </c>
      <c r="J130" s="52">
        <f>IF(Tabla15[[#This Row],[2]]="",0,VLOOKUP(TRAMOS!$H$2,Tabla5[#All],3,FALSE)*Tabla15[[#This Row],[3]])</f>
        <v>0</v>
      </c>
      <c r="K130" s="52" t="str">
        <f>IF(Tabla1[[#This Row],[5]]="TPL",Tabla1[[#This Row],[6]],"")</f>
        <v>8"</v>
      </c>
      <c r="L130" s="52">
        <f>IF(OR(Tabla1[[#This Row],[5]]="TPL"),Tabla1[[#This Row],[7]],"")</f>
        <v>1</v>
      </c>
      <c r="M130" s="52">
        <f>IF(Tabla15[[#This Row],[5]]="",0,VLOOKUP(TRAMOS!$K$2,Tabla5[#All],3,FALSE)*Tabla15[[#This Row],[6]])</f>
        <v>0.9</v>
      </c>
      <c r="N13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3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30" s="52">
        <f>IF(Tabla15[[#This Row],[8]]="",0,VLOOKUP(TRAMOS!$H$2,Tabla5[#All],3,FALSE)*Tabla15[[#This Row],[9]])</f>
        <v>0</v>
      </c>
      <c r="Q13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3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30" s="52">
        <f>IF(Tabla15[[#This Row],[11]]="",0,VLOOKUP(TRAMOS!$Q$2,Tabla5[#All],3,FALSE)*Tabla15[[#This Row],[12]])</f>
        <v>0</v>
      </c>
      <c r="T13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4"</v>
      </c>
      <c r="U130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3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13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3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3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3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3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30" s="52">
        <f>IF(Tabla15[[#This Row],[20]]="",0,VLOOKUP("VRP",Tabla5[#All],3,FALSE)*Tabla15[[#This Row],[21]])</f>
        <v>0</v>
      </c>
      <c r="AC13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4"</v>
      </c>
      <c r="AD130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130" s="52">
        <f>IF(Tabla15[[#This Row],[23]]="",0,VLOOKUP("VC",Tabla5[#All],3,FALSE)*Tabla15[[#This Row],[24]])</f>
        <v>0.25</v>
      </c>
      <c r="AF13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3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30" s="52">
        <f>IF(Tabla15[[#This Row],[26]]="",0,VLOOKUP(TRAMOS!$K$2,Tabla5[#All],3,FALSE)*Tabla15[[#This Row],[27]])</f>
        <v>0</v>
      </c>
      <c r="AI13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3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3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3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3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3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3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1.52</v>
      </c>
    </row>
    <row r="131" spans="2:41" x14ac:dyDescent="0.25">
      <c r="B131" s="58" t="str">
        <f>Tabla1[[#This Row],[nudo inicial]]</f>
        <v>N64</v>
      </c>
      <c r="C131" s="58" t="str">
        <f>Tabla1[[#This Row],[nudo final]]</f>
        <v>N65</v>
      </c>
      <c r="D131" s="51">
        <f>Tabla1[[#This Row],[longitud]]</f>
        <v>71.48</v>
      </c>
      <c r="E131" s="51" t="str">
        <f>Tabla1[[#This Row],[diametro]]</f>
        <v>2"</v>
      </c>
      <c r="F131" s="51" t="str">
        <f>Tabla1[[#This Row],[material]]</f>
        <v>PVC</v>
      </c>
      <c r="G13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131" s="52" t="str">
        <f>IF(Tabla1[[#This Row],[5]]="TPD",Tabla1[[#This Row],[6]],"")</f>
        <v/>
      </c>
      <c r="I131" s="52" t="str">
        <f>IF(OR(Tabla1[[#This Row],[5]]="TPD"),Tabla1[[#This Row],[7]],"")</f>
        <v/>
      </c>
      <c r="J131" s="52">
        <f>IF(Tabla15[[#This Row],[2]]="",0,VLOOKUP(TRAMOS!$H$2,Tabla5[#All],3,FALSE)*Tabla15[[#This Row],[3]])</f>
        <v>0</v>
      </c>
      <c r="K131" s="52" t="str">
        <f>IF(Tabla1[[#This Row],[5]]="TPL",Tabla1[[#This Row],[6]],"")</f>
        <v>4"</v>
      </c>
      <c r="L131" s="52">
        <f>IF(OR(Tabla1[[#This Row],[5]]="TPL"),Tabla1[[#This Row],[7]],"")</f>
        <v>1</v>
      </c>
      <c r="M131" s="52">
        <f>IF(Tabla15[[#This Row],[5]]="",0,VLOOKUP(TRAMOS!$K$2,Tabla5[#All],3,FALSE)*Tabla15[[#This Row],[6]])</f>
        <v>0.9</v>
      </c>
      <c r="N13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3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31" s="52">
        <f>IF(Tabla15[[#This Row],[8]]="",0,VLOOKUP(TRAMOS!$H$2,Tabla5[#All],3,FALSE)*Tabla15[[#This Row],[9]])</f>
        <v>0</v>
      </c>
      <c r="Q13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131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2</v>
      </c>
      <c r="S131" s="52">
        <f>IF(Tabla15[[#This Row],[11]]="",0,VLOOKUP(TRAMOS!$Q$2,Tabla5[#All],3,FALSE)*Tabla15[[#This Row],[12]])</f>
        <v>1.8</v>
      </c>
      <c r="T13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131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3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13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3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3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3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3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31" s="52">
        <f>IF(Tabla15[[#This Row],[20]]="",0,VLOOKUP("VRP",Tabla5[#All],3,FALSE)*Tabla15[[#This Row],[21]])</f>
        <v>0</v>
      </c>
      <c r="AC13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131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131" s="52">
        <f>IF(Tabla15[[#This Row],[23]]="",0,VLOOKUP("VC",Tabla5[#All],3,FALSE)*Tabla15[[#This Row],[24]])</f>
        <v>0.25</v>
      </c>
      <c r="AF13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3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31" s="52">
        <f>IF(Tabla15[[#This Row],[26]]="",0,VLOOKUP(TRAMOS!$K$2,Tabla5[#All],3,FALSE)*Tabla15[[#This Row],[27]])</f>
        <v>0</v>
      </c>
      <c r="AI13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3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3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3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3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3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3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3.3200000000000003</v>
      </c>
    </row>
    <row r="132" spans="2:41" x14ac:dyDescent="0.25">
      <c r="B132" s="58" t="str">
        <f>Tabla1[[#This Row],[nudo inicial]]</f>
        <v>N65</v>
      </c>
      <c r="C132" s="58" t="str">
        <f>Tabla1[[#This Row],[nudo final]]</f>
        <v>TP43</v>
      </c>
      <c r="D132" s="51">
        <f>Tabla1[[#This Row],[longitud]]</f>
        <v>19.079999999999998</v>
      </c>
      <c r="E132" s="51" t="str">
        <f>Tabla1[[#This Row],[diametro]]</f>
        <v>2"</v>
      </c>
      <c r="F132" s="51" t="str">
        <f>Tabla1[[#This Row],[material]]</f>
        <v>PVC</v>
      </c>
      <c r="G13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32" s="52" t="str">
        <f>IF(Tabla1[[#This Row],[5]]="TPD",Tabla1[[#This Row],[6]],"")</f>
        <v>2"</v>
      </c>
      <c r="I132" s="52">
        <f>IF(OR(Tabla1[[#This Row],[5]]="TPD"),Tabla1[[#This Row],[7]],"")</f>
        <v>1</v>
      </c>
      <c r="J132" s="52">
        <f>IF(Tabla15[[#This Row],[2]]="",0,VLOOKUP(TRAMOS!$H$2,Tabla5[#All],3,FALSE)*Tabla15[[#This Row],[3]])</f>
        <v>0.15</v>
      </c>
      <c r="K132" s="52" t="str">
        <f>IF(Tabla1[[#This Row],[5]]="TPL",Tabla1[[#This Row],[6]],"")</f>
        <v/>
      </c>
      <c r="L132" s="52" t="str">
        <f>IF(OR(Tabla1[[#This Row],[5]]="TPL"),Tabla1[[#This Row],[7]],"")</f>
        <v/>
      </c>
      <c r="M132" s="52">
        <f>IF(Tabla15[[#This Row],[5]]="",0,VLOOKUP(TRAMOS!$K$2,Tabla5[#All],3,FALSE)*Tabla15[[#This Row],[6]])</f>
        <v>0</v>
      </c>
      <c r="N13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3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32" s="52">
        <f>IF(Tabla15[[#This Row],[8]]="",0,VLOOKUP(TRAMOS!$H$2,Tabla5[#All],3,FALSE)*Tabla15[[#This Row],[9]])</f>
        <v>0</v>
      </c>
      <c r="Q13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3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32" s="52">
        <f>IF(Tabla15[[#This Row],[11]]="",0,VLOOKUP(TRAMOS!$Q$2,Tabla5[#All],3,FALSE)*Tabla15[[#This Row],[12]])</f>
        <v>0</v>
      </c>
      <c r="T13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3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3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3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3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3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3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3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32" s="52">
        <f>IF(Tabla15[[#This Row],[20]]="",0,VLOOKUP("VRP",Tabla5[#All],3,FALSE)*Tabla15[[#This Row],[21]])</f>
        <v>0</v>
      </c>
      <c r="AC13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3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32" s="52">
        <f>IF(Tabla15[[#This Row],[23]]="",0,VLOOKUP("VC",Tabla5[#All],3,FALSE)*Tabla15[[#This Row],[24]])</f>
        <v>0</v>
      </c>
      <c r="AF13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3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32" s="52">
        <f>IF(Tabla15[[#This Row],[26]]="",0,VLOOKUP(TRAMOS!$K$2,Tabla5[#All],3,FALSE)*Tabla15[[#This Row],[27]])</f>
        <v>0</v>
      </c>
      <c r="AI13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3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3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3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3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32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3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33" spans="2:41" x14ac:dyDescent="0.25">
      <c r="B133" s="58" t="str">
        <f>Tabla1[[#This Row],[nudo inicial]]</f>
        <v>N65</v>
      </c>
      <c r="C133" s="58" t="str">
        <f>Tabla1[[#This Row],[nudo final]]</f>
        <v>TP44</v>
      </c>
      <c r="D133" s="51">
        <f>Tabla1[[#This Row],[longitud]]</f>
        <v>49.76</v>
      </c>
      <c r="E133" s="51" t="str">
        <f>Tabla1[[#This Row],[diametro]]</f>
        <v>2"</v>
      </c>
      <c r="F133" s="51" t="str">
        <f>Tabla1[[#This Row],[material]]</f>
        <v>PVC</v>
      </c>
      <c r="G13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33" s="52" t="str">
        <f>IF(Tabla1[[#This Row],[5]]="TPD",Tabla1[[#This Row],[6]],"")</f>
        <v/>
      </c>
      <c r="I133" s="52" t="str">
        <f>IF(OR(Tabla1[[#This Row],[5]]="TPD"),Tabla1[[#This Row],[7]],"")</f>
        <v/>
      </c>
      <c r="J133" s="52">
        <f>IF(Tabla15[[#This Row],[2]]="",0,VLOOKUP(TRAMOS!$H$2,Tabla5[#All],3,FALSE)*Tabla15[[#This Row],[3]])</f>
        <v>0</v>
      </c>
      <c r="K133" s="52" t="str">
        <f>IF(Tabla1[[#This Row],[5]]="TPL",Tabla1[[#This Row],[6]],"")</f>
        <v>2"</v>
      </c>
      <c r="L133" s="52">
        <f>IF(OR(Tabla1[[#This Row],[5]]="TPL"),Tabla1[[#This Row],[7]],"")</f>
        <v>1</v>
      </c>
      <c r="M133" s="52">
        <f>IF(Tabla15[[#This Row],[5]]="",0,VLOOKUP(TRAMOS!$K$2,Tabla5[#All],3,FALSE)*Tabla15[[#This Row],[6]])</f>
        <v>0.9</v>
      </c>
      <c r="N13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3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33" s="52">
        <f>IF(Tabla15[[#This Row],[8]]="",0,VLOOKUP(TRAMOS!$H$2,Tabla5[#All],3,FALSE)*Tabla15[[#This Row],[9]])</f>
        <v>0</v>
      </c>
      <c r="Q13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3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33" s="52">
        <f>IF(Tabla15[[#This Row],[11]]="",0,VLOOKUP(TRAMOS!$Q$2,Tabla5[#All],3,FALSE)*Tabla15[[#This Row],[12]])</f>
        <v>0</v>
      </c>
      <c r="T13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3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3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3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3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3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3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3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33" s="52">
        <f>IF(Tabla15[[#This Row],[20]]="",0,VLOOKUP("VRP",Tabla5[#All],3,FALSE)*Tabla15[[#This Row],[21]])</f>
        <v>0</v>
      </c>
      <c r="AC13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3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33" s="52">
        <f>IF(Tabla15[[#This Row],[23]]="",0,VLOOKUP("VC",Tabla5[#All],3,FALSE)*Tabla15[[#This Row],[24]])</f>
        <v>0</v>
      </c>
      <c r="AF13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3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33" s="52">
        <f>IF(Tabla15[[#This Row],[26]]="",0,VLOOKUP(TRAMOS!$K$2,Tabla5[#All],3,FALSE)*Tabla15[[#This Row],[27]])</f>
        <v>0</v>
      </c>
      <c r="AI13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3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3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3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3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33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3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34" spans="2:41" x14ac:dyDescent="0.25">
      <c r="B134" s="58" t="str">
        <f>Tabla1[[#This Row],[nudo inicial]]</f>
        <v>N64</v>
      </c>
      <c r="C134" s="58" t="str">
        <f>Tabla1[[#This Row],[nudo final]]</f>
        <v>N62</v>
      </c>
      <c r="D134" s="51">
        <f>Tabla1[[#This Row],[longitud]]</f>
        <v>26.27</v>
      </c>
      <c r="E134" s="51" t="str">
        <f>Tabla1[[#This Row],[diametro]]</f>
        <v>4"</v>
      </c>
      <c r="F134" s="51" t="str">
        <f>Tabla1[[#This Row],[material]]</f>
        <v>AC</v>
      </c>
      <c r="G13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134" s="52" t="str">
        <f>IF(Tabla1[[#This Row],[5]]="TPD",Tabla1[[#This Row],[6]],"")</f>
        <v>4"</v>
      </c>
      <c r="I134" s="52">
        <f>IF(OR(Tabla1[[#This Row],[5]]="TPD"),Tabla1[[#This Row],[7]],"")</f>
        <v>1</v>
      </c>
      <c r="J134" s="52">
        <f>IF(Tabla15[[#This Row],[2]]="",0,VLOOKUP(TRAMOS!$H$2,Tabla5[#All],3,FALSE)*Tabla15[[#This Row],[3]])</f>
        <v>0.15</v>
      </c>
      <c r="K134" s="52" t="str">
        <f>IF(Tabla1[[#This Row],[5]]="TPL",Tabla1[[#This Row],[6]],"")</f>
        <v/>
      </c>
      <c r="L134" s="52" t="str">
        <f>IF(OR(Tabla1[[#This Row],[5]]="TPL"),Tabla1[[#This Row],[7]],"")</f>
        <v/>
      </c>
      <c r="M134" s="52">
        <f>IF(Tabla15[[#This Row],[5]]="",0,VLOOKUP(TRAMOS!$K$2,Tabla5[#All],3,FALSE)*Tabla15[[#This Row],[6]])</f>
        <v>0</v>
      </c>
      <c r="N13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3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34" s="52">
        <f>IF(Tabla15[[#This Row],[8]]="",0,VLOOKUP(TRAMOS!$H$2,Tabla5[#All],3,FALSE)*Tabla15[[#This Row],[9]])</f>
        <v>0</v>
      </c>
      <c r="Q13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3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34" s="52">
        <f>IF(Tabla15[[#This Row],[11]]="",0,VLOOKUP(TRAMOS!$Q$2,Tabla5[#All],3,FALSE)*Tabla15[[#This Row],[12]])</f>
        <v>0</v>
      </c>
      <c r="T13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3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3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3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3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3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3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3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34" s="52">
        <f>IF(Tabla15[[#This Row],[20]]="",0,VLOOKUP("VRP",Tabla5[#All],3,FALSE)*Tabla15[[#This Row],[21]])</f>
        <v>0</v>
      </c>
      <c r="AC13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3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34" s="52">
        <f>IF(Tabla15[[#This Row],[23]]="",0,VLOOKUP("VC",Tabla5[#All],3,FALSE)*Tabla15[[#This Row],[24]])</f>
        <v>0</v>
      </c>
      <c r="AF13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3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34" s="52">
        <f>IF(Tabla15[[#This Row],[26]]="",0,VLOOKUP(TRAMOS!$K$2,Tabla5[#All],3,FALSE)*Tabla15[[#This Row],[27]])</f>
        <v>0</v>
      </c>
      <c r="AI13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3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3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3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3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3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3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35" spans="2:41" x14ac:dyDescent="0.25">
      <c r="B135" s="58" t="str">
        <f>Tabla1[[#This Row],[nudo inicial]]</f>
        <v>N49</v>
      </c>
      <c r="C135" s="58" t="str">
        <f>Tabla1[[#This Row],[nudo final]]</f>
        <v>N66</v>
      </c>
      <c r="D135" s="51">
        <f>Tabla1[[#This Row],[longitud]]</f>
        <v>169.41</v>
      </c>
      <c r="E135" s="51" t="str">
        <f>Tabla1[[#This Row],[diametro]]</f>
        <v>8"</v>
      </c>
      <c r="F135" s="51" t="str">
        <f>Tabla1[[#This Row],[material]]</f>
        <v>AC</v>
      </c>
      <c r="G13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135" s="52" t="str">
        <f>IF(Tabla1[[#This Row],[5]]="TPD",Tabla1[[#This Row],[6]],"")</f>
        <v/>
      </c>
      <c r="I135" s="52" t="str">
        <f>IF(OR(Tabla1[[#This Row],[5]]="TPD"),Tabla1[[#This Row],[7]],"")</f>
        <v/>
      </c>
      <c r="J135" s="52">
        <f>IF(Tabla15[[#This Row],[2]]="",0,VLOOKUP(TRAMOS!$H$2,Tabla5[#All],3,FALSE)*Tabla15[[#This Row],[3]])</f>
        <v>0</v>
      </c>
      <c r="K135" s="52" t="str">
        <f>IF(Tabla1[[#This Row],[5]]="TPL",Tabla1[[#This Row],[6]],"")</f>
        <v>8"</v>
      </c>
      <c r="L135" s="52">
        <f>IF(OR(Tabla1[[#This Row],[5]]="TPL"),Tabla1[[#This Row],[7]],"")</f>
        <v>1</v>
      </c>
      <c r="M135" s="52">
        <f>IF(Tabla15[[#This Row],[5]]="",0,VLOOKUP(TRAMOS!$K$2,Tabla5[#All],3,FALSE)*Tabla15[[#This Row],[6]])</f>
        <v>0.9</v>
      </c>
      <c r="N13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3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35" s="52">
        <f>IF(Tabla15[[#This Row],[8]]="",0,VLOOKUP(TRAMOS!$H$2,Tabla5[#All],3,FALSE)*Tabla15[[#This Row],[9]])</f>
        <v>0</v>
      </c>
      <c r="Q13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3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35" s="52">
        <f>IF(Tabla15[[#This Row],[11]]="",0,VLOOKUP(TRAMOS!$Q$2,Tabla5[#All],3,FALSE)*Tabla15[[#This Row],[12]])</f>
        <v>0</v>
      </c>
      <c r="T13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3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3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3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3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3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3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3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35" s="52">
        <f>IF(Tabla15[[#This Row],[20]]="",0,VLOOKUP("VRP",Tabla5[#All],3,FALSE)*Tabla15[[#This Row],[21]])</f>
        <v>0</v>
      </c>
      <c r="AC13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8"</v>
      </c>
      <c r="AD135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135" s="52">
        <f>IF(Tabla15[[#This Row],[23]]="",0,VLOOKUP("VC",Tabla5[#All],3,FALSE)*Tabla15[[#This Row],[24]])</f>
        <v>0.25</v>
      </c>
      <c r="AF13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3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35" s="52">
        <f>IF(Tabla15[[#This Row],[26]]="",0,VLOOKUP(TRAMOS!$K$2,Tabla5[#All],3,FALSE)*Tabla15[[#This Row],[27]])</f>
        <v>0</v>
      </c>
      <c r="AI13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3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3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3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3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3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3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1.1499999999999999</v>
      </c>
    </row>
    <row r="136" spans="2:41" x14ac:dyDescent="0.25">
      <c r="B136" s="58" t="str">
        <f>Tabla1[[#This Row],[nudo inicial]]</f>
        <v>N66</v>
      </c>
      <c r="C136" s="58" t="str">
        <f>Tabla1[[#This Row],[nudo final]]</f>
        <v>N67</v>
      </c>
      <c r="D136" s="51">
        <f>Tabla1[[#This Row],[longitud]]</f>
        <v>85.1</v>
      </c>
      <c r="E136" s="51" t="str">
        <f>Tabla1[[#This Row],[diametro]]</f>
        <v>3"</v>
      </c>
      <c r="F136" s="51" t="str">
        <f>Tabla1[[#This Row],[material]]</f>
        <v>PVC</v>
      </c>
      <c r="G13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136" s="52" t="str">
        <f>IF(Tabla1[[#This Row],[5]]="TPD",Tabla1[[#This Row],[6]],"")</f>
        <v/>
      </c>
      <c r="I136" s="52" t="str">
        <f>IF(OR(Tabla1[[#This Row],[5]]="TPD"),Tabla1[[#This Row],[7]],"")</f>
        <v/>
      </c>
      <c r="J136" s="52">
        <f>IF(Tabla15[[#This Row],[2]]="",0,VLOOKUP(TRAMOS!$H$2,Tabla5[#All],3,FALSE)*Tabla15[[#This Row],[3]])</f>
        <v>0</v>
      </c>
      <c r="K136" s="52" t="str">
        <f>IF(Tabla1[[#This Row],[5]]="TPL",Tabla1[[#This Row],[6]],"")</f>
        <v>8"</v>
      </c>
      <c r="L136" s="52">
        <f>IF(OR(Tabla1[[#This Row],[5]]="TPL"),Tabla1[[#This Row],[7]],"")</f>
        <v>1</v>
      </c>
      <c r="M136" s="52">
        <f>IF(Tabla15[[#This Row],[5]]="",0,VLOOKUP(TRAMOS!$K$2,Tabla5[#All],3,FALSE)*Tabla15[[#This Row],[6]])</f>
        <v>0.9</v>
      </c>
      <c r="N13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3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36" s="52">
        <f>IF(Tabla15[[#This Row],[8]]="",0,VLOOKUP(TRAMOS!$H$2,Tabla5[#All],3,FALSE)*Tabla15[[#This Row],[9]])</f>
        <v>0</v>
      </c>
      <c r="Q13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3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36" s="52">
        <f>IF(Tabla15[[#This Row],[11]]="",0,VLOOKUP(TRAMOS!$Q$2,Tabla5[#All],3,FALSE)*Tabla15[[#This Row],[12]])</f>
        <v>0</v>
      </c>
      <c r="T13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136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3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0.41679999999999995</v>
      </c>
      <c r="W13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3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3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3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3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36" s="52">
        <f>IF(Tabla15[[#This Row],[20]]="",0,VLOOKUP("VRP",Tabla5[#All],3,FALSE)*Tabla15[[#This Row],[21]])</f>
        <v>0</v>
      </c>
      <c r="AC13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3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36" s="52">
        <f>IF(Tabla15[[#This Row],[23]]="",0,VLOOKUP("VC",Tabla5[#All],3,FALSE)*Tabla15[[#This Row],[24]])</f>
        <v>0</v>
      </c>
      <c r="AF13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3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36" s="52">
        <f>IF(Tabla15[[#This Row],[26]]="",0,VLOOKUP(TRAMOS!$K$2,Tabla5[#All],3,FALSE)*Tabla15[[#This Row],[27]])</f>
        <v>0</v>
      </c>
      <c r="AI13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3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3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3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3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3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3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1.3168</v>
      </c>
    </row>
    <row r="137" spans="2:41" x14ac:dyDescent="0.25">
      <c r="B137" s="58" t="str">
        <f>Tabla1[[#This Row],[nudo inicial]]</f>
        <v>N67</v>
      </c>
      <c r="C137" s="58" t="str">
        <f>Tabla1[[#This Row],[nudo final]]</f>
        <v>N68</v>
      </c>
      <c r="D137" s="51">
        <f>Tabla1[[#This Row],[longitud]]</f>
        <v>151.55000000000001</v>
      </c>
      <c r="E137" s="51" t="str">
        <f>Tabla1[[#This Row],[diametro]]</f>
        <v>2"</v>
      </c>
      <c r="F137" s="51" t="str">
        <f>Tabla1[[#This Row],[material]]</f>
        <v>PVC</v>
      </c>
      <c r="G13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37" s="52" t="str">
        <f>IF(Tabla1[[#This Row],[5]]="TPD",Tabla1[[#This Row],[6]],"")</f>
        <v>3"</v>
      </c>
      <c r="I137" s="52">
        <f>IF(OR(Tabla1[[#This Row],[5]]="TPD"),Tabla1[[#This Row],[7]],"")</f>
        <v>1</v>
      </c>
      <c r="J137" s="52">
        <f>IF(Tabla15[[#This Row],[2]]="",0,VLOOKUP(TRAMOS!$H$2,Tabla5[#All],3,FALSE)*Tabla15[[#This Row],[3]])</f>
        <v>0.15</v>
      </c>
      <c r="K137" s="52" t="str">
        <f>IF(Tabla1[[#This Row],[5]]="TPL",Tabla1[[#This Row],[6]],"")</f>
        <v/>
      </c>
      <c r="L137" s="52" t="str">
        <f>IF(OR(Tabla1[[#This Row],[5]]="TPL"),Tabla1[[#This Row],[7]],"")</f>
        <v/>
      </c>
      <c r="M137" s="52">
        <f>IF(Tabla15[[#This Row],[5]]="",0,VLOOKUP(TRAMOS!$K$2,Tabla5[#All],3,FALSE)*Tabla15[[#This Row],[6]])</f>
        <v>0</v>
      </c>
      <c r="N13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3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37" s="52">
        <f>IF(Tabla15[[#This Row],[8]]="",0,VLOOKUP(TRAMOS!$H$2,Tabla5[#All],3,FALSE)*Tabla15[[#This Row],[9]])</f>
        <v>0</v>
      </c>
      <c r="Q13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3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37" s="52">
        <f>IF(Tabla15[[#This Row],[11]]="",0,VLOOKUP(TRAMOS!$Q$2,Tabla5[#All],3,FALSE)*Tabla15[[#This Row],[12]])</f>
        <v>0</v>
      </c>
      <c r="T13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137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3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13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3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3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3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3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37" s="52">
        <f>IF(Tabla15[[#This Row],[20]]="",0,VLOOKUP("VRP",Tabla5[#All],3,FALSE)*Tabla15[[#This Row],[21]])</f>
        <v>0</v>
      </c>
      <c r="AC13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137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0</v>
      </c>
      <c r="AE137" s="52">
        <f>IF(Tabla15[[#This Row],[23]]="",0,VLOOKUP("VC",Tabla5[#All],3,FALSE)*Tabla15[[#This Row],[24]])</f>
        <v>0</v>
      </c>
      <c r="AF13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3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37" s="52">
        <f>IF(Tabla15[[#This Row],[26]]="",0,VLOOKUP(TRAMOS!$K$2,Tabla5[#All],3,FALSE)*Tabla15[[#This Row],[27]])</f>
        <v>0</v>
      </c>
      <c r="AI13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3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3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3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3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3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3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0.36499999999999999</v>
      </c>
    </row>
    <row r="138" spans="2:41" x14ac:dyDescent="0.25">
      <c r="B138" s="58" t="str">
        <f>Tabla1[[#This Row],[nudo inicial]]</f>
        <v>N68</v>
      </c>
      <c r="C138" s="58" t="str">
        <f>Tabla1[[#This Row],[nudo final]]</f>
        <v>TP45</v>
      </c>
      <c r="D138" s="51">
        <f>Tabla1[[#This Row],[longitud]]</f>
        <v>50.6</v>
      </c>
      <c r="E138" s="51" t="str">
        <f>Tabla1[[#This Row],[diametro]]</f>
        <v>2"</v>
      </c>
      <c r="F138" s="51" t="str">
        <f>Tabla1[[#This Row],[material]]</f>
        <v>PVC</v>
      </c>
      <c r="G13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38" s="52" t="str">
        <f>IF(Tabla1[[#This Row],[5]]="TPD",Tabla1[[#This Row],[6]],"")</f>
        <v/>
      </c>
      <c r="I138" s="52" t="str">
        <f>IF(OR(Tabla1[[#This Row],[5]]="TPD"),Tabla1[[#This Row],[7]],"")</f>
        <v/>
      </c>
      <c r="J138" s="52">
        <f>IF(Tabla15[[#This Row],[2]]="",0,VLOOKUP(TRAMOS!$H$2,Tabla5[#All],3,FALSE)*Tabla15[[#This Row],[3]])</f>
        <v>0</v>
      </c>
      <c r="K138" s="52" t="str">
        <f>IF(Tabla1[[#This Row],[5]]="TPL",Tabla1[[#This Row],[6]],"")</f>
        <v>2"</v>
      </c>
      <c r="L138" s="52">
        <f>IF(OR(Tabla1[[#This Row],[5]]="TPL"),Tabla1[[#This Row],[7]],"")</f>
        <v>1</v>
      </c>
      <c r="M138" s="52">
        <f>IF(Tabla15[[#This Row],[5]]="",0,VLOOKUP(TRAMOS!$K$2,Tabla5[#All],3,FALSE)*Tabla15[[#This Row],[6]])</f>
        <v>0.9</v>
      </c>
      <c r="N13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3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38" s="52">
        <f>IF(Tabla15[[#This Row],[8]]="",0,VLOOKUP(TRAMOS!$H$2,Tabla5[#All],3,FALSE)*Tabla15[[#This Row],[9]])</f>
        <v>0</v>
      </c>
      <c r="Q13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3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38" s="52">
        <f>IF(Tabla15[[#This Row],[11]]="",0,VLOOKUP(TRAMOS!$Q$2,Tabla5[#All],3,FALSE)*Tabla15[[#This Row],[12]])</f>
        <v>0</v>
      </c>
      <c r="T13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3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3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3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3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3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3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3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38" s="52">
        <f>IF(Tabla15[[#This Row],[20]]="",0,VLOOKUP("VRP",Tabla5[#All],3,FALSE)*Tabla15[[#This Row],[21]])</f>
        <v>0</v>
      </c>
      <c r="AC13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3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38" s="52">
        <f>IF(Tabla15[[#This Row],[23]]="",0,VLOOKUP("VC",Tabla5[#All],3,FALSE)*Tabla15[[#This Row],[24]])</f>
        <v>0</v>
      </c>
      <c r="AF13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3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38" s="52">
        <f>IF(Tabla15[[#This Row],[26]]="",0,VLOOKUP(TRAMOS!$K$2,Tabla5[#All],3,FALSE)*Tabla15[[#This Row],[27]])</f>
        <v>0</v>
      </c>
      <c r="AI13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3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3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3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3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38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3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39" spans="2:41" x14ac:dyDescent="0.25">
      <c r="B139" s="58" t="str">
        <f>Tabla1[[#This Row],[nudo inicial]]</f>
        <v>N68</v>
      </c>
      <c r="C139" s="58" t="str">
        <f>Tabla1[[#This Row],[nudo final]]</f>
        <v>TP46</v>
      </c>
      <c r="D139" s="51">
        <f>Tabla1[[#This Row],[longitud]]</f>
        <v>66.7</v>
      </c>
      <c r="E139" s="51" t="str">
        <f>Tabla1[[#This Row],[diametro]]</f>
        <v>2"</v>
      </c>
      <c r="F139" s="51" t="str">
        <f>Tabla1[[#This Row],[material]]</f>
        <v>PVC</v>
      </c>
      <c r="G13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39" s="52" t="str">
        <f>IF(Tabla1[[#This Row],[5]]="TPD",Tabla1[[#This Row],[6]],"")</f>
        <v/>
      </c>
      <c r="I139" s="52" t="str">
        <f>IF(OR(Tabla1[[#This Row],[5]]="TPD"),Tabla1[[#This Row],[7]],"")</f>
        <v/>
      </c>
      <c r="J139" s="52">
        <f>IF(Tabla15[[#This Row],[2]]="",0,VLOOKUP(TRAMOS!$H$2,Tabla5[#All],3,FALSE)*Tabla15[[#This Row],[3]])</f>
        <v>0</v>
      </c>
      <c r="K139" s="52" t="str">
        <f>IF(Tabla1[[#This Row],[5]]="TPL",Tabla1[[#This Row],[6]],"")</f>
        <v>2"</v>
      </c>
      <c r="L139" s="52">
        <f>IF(OR(Tabla1[[#This Row],[5]]="TPL"),Tabla1[[#This Row],[7]],"")</f>
        <v>1</v>
      </c>
      <c r="M139" s="52">
        <f>IF(Tabla15[[#This Row],[5]]="",0,VLOOKUP(TRAMOS!$K$2,Tabla5[#All],3,FALSE)*Tabla15[[#This Row],[6]])</f>
        <v>0.9</v>
      </c>
      <c r="N13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3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39" s="52">
        <f>IF(Tabla15[[#This Row],[8]]="",0,VLOOKUP(TRAMOS!$H$2,Tabla5[#All],3,FALSE)*Tabla15[[#This Row],[9]])</f>
        <v>0</v>
      </c>
      <c r="Q13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3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39" s="52">
        <f>IF(Tabla15[[#This Row],[11]]="",0,VLOOKUP(TRAMOS!$Q$2,Tabla5[#All],3,FALSE)*Tabla15[[#This Row],[12]])</f>
        <v>0</v>
      </c>
      <c r="T13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3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3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3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3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3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3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3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39" s="52">
        <f>IF(Tabla15[[#This Row],[20]]="",0,VLOOKUP("VRP",Tabla5[#All],3,FALSE)*Tabla15[[#This Row],[21]])</f>
        <v>0</v>
      </c>
      <c r="AC13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3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39" s="52">
        <f>IF(Tabla15[[#This Row],[23]]="",0,VLOOKUP("VC",Tabla5[#All],3,FALSE)*Tabla15[[#This Row],[24]])</f>
        <v>0</v>
      </c>
      <c r="AF13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3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39" s="52">
        <f>IF(Tabla15[[#This Row],[26]]="",0,VLOOKUP(TRAMOS!$K$2,Tabla5[#All],3,FALSE)*Tabla15[[#This Row],[27]])</f>
        <v>0</v>
      </c>
      <c r="AI13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3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3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3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3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39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3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40" spans="2:41" x14ac:dyDescent="0.25">
      <c r="B140" s="58" t="str">
        <f>Tabla1[[#This Row],[nudo inicial]]</f>
        <v>N67</v>
      </c>
      <c r="C140" s="58" t="str">
        <f>Tabla1[[#This Row],[nudo final]]</f>
        <v>N69</v>
      </c>
      <c r="D140" s="51">
        <f>Tabla1[[#This Row],[longitud]]</f>
        <v>107.51</v>
      </c>
      <c r="E140" s="51" t="str">
        <f>Tabla1[[#This Row],[diametro]]</f>
        <v>3"</v>
      </c>
      <c r="F140" s="51" t="str">
        <f>Tabla1[[#This Row],[material]]</f>
        <v>PVC</v>
      </c>
      <c r="G14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40" s="52" t="str">
        <f>IF(Tabla1[[#This Row],[5]]="TPD",Tabla1[[#This Row],[6]],"")</f>
        <v/>
      </c>
      <c r="I140" s="52" t="str">
        <f>IF(OR(Tabla1[[#This Row],[5]]="TPD"),Tabla1[[#This Row],[7]],"")</f>
        <v/>
      </c>
      <c r="J140" s="52">
        <f>IF(Tabla15[[#This Row],[2]]="",0,VLOOKUP(TRAMOS!$H$2,Tabla5[#All],3,FALSE)*Tabla15[[#This Row],[3]])</f>
        <v>0</v>
      </c>
      <c r="K140" s="52" t="str">
        <f>IF(Tabla1[[#This Row],[5]]="TPL",Tabla1[[#This Row],[6]],"")</f>
        <v>3"</v>
      </c>
      <c r="L140" s="52">
        <f>IF(OR(Tabla1[[#This Row],[5]]="TPL"),Tabla1[[#This Row],[7]],"")</f>
        <v>1</v>
      </c>
      <c r="M140" s="52">
        <f>IF(Tabla15[[#This Row],[5]]="",0,VLOOKUP(TRAMOS!$K$2,Tabla5[#All],3,FALSE)*Tabla15[[#This Row],[6]])</f>
        <v>0.9</v>
      </c>
      <c r="N14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4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40" s="52">
        <f>IF(Tabla15[[#This Row],[8]]="",0,VLOOKUP(TRAMOS!$H$2,Tabla5[#All],3,FALSE)*Tabla15[[#This Row],[9]])</f>
        <v>0</v>
      </c>
      <c r="Q14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4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40" s="52">
        <f>IF(Tabla15[[#This Row],[11]]="",0,VLOOKUP(TRAMOS!$Q$2,Tabla5[#All],3,FALSE)*Tabla15[[#This Row],[12]])</f>
        <v>0</v>
      </c>
      <c r="T14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4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4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4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4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4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4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4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40" s="52">
        <f>IF(Tabla15[[#This Row],[20]]="",0,VLOOKUP("VRP",Tabla5[#All],3,FALSE)*Tabla15[[#This Row],[21]])</f>
        <v>0</v>
      </c>
      <c r="AC14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4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40" s="52">
        <f>IF(Tabla15[[#This Row],[23]]="",0,VLOOKUP("VC",Tabla5[#All],3,FALSE)*Tabla15[[#This Row],[24]])</f>
        <v>0</v>
      </c>
      <c r="AF14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4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40" s="52">
        <f>IF(Tabla15[[#This Row],[26]]="",0,VLOOKUP(TRAMOS!$K$2,Tabla5[#All],3,FALSE)*Tabla15[[#This Row],[27]])</f>
        <v>0</v>
      </c>
      <c r="AI14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4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4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4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4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4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4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41" spans="2:41" x14ac:dyDescent="0.25">
      <c r="B141" s="58" t="str">
        <f>Tabla1[[#This Row],[nudo inicial]]</f>
        <v>N69</v>
      </c>
      <c r="C141" s="58" t="str">
        <f>Tabla1[[#This Row],[nudo final]]</f>
        <v>N70</v>
      </c>
      <c r="D141" s="51">
        <f>Tabla1[[#This Row],[longitud]]</f>
        <v>71.98</v>
      </c>
      <c r="E141" s="51" t="str">
        <f>Tabla1[[#This Row],[diametro]]</f>
        <v>3"</v>
      </c>
      <c r="F141" s="51" t="str">
        <f>Tabla1[[#This Row],[material]]</f>
        <v>PVC</v>
      </c>
      <c r="G14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41" s="52" t="str">
        <f>IF(Tabla1[[#This Row],[5]]="TPD",Tabla1[[#This Row],[6]],"")</f>
        <v/>
      </c>
      <c r="I141" s="52" t="str">
        <f>IF(OR(Tabla1[[#This Row],[5]]="TPD"),Tabla1[[#This Row],[7]],"")</f>
        <v/>
      </c>
      <c r="J141" s="52">
        <f>IF(Tabla15[[#This Row],[2]]="",0,VLOOKUP(TRAMOS!$H$2,Tabla5[#All],3,FALSE)*Tabla15[[#This Row],[3]])</f>
        <v>0</v>
      </c>
      <c r="K141" s="52" t="str">
        <f>IF(Tabla1[[#This Row],[5]]="TPL",Tabla1[[#This Row],[6]],"")</f>
        <v>3"</v>
      </c>
      <c r="L141" s="52">
        <f>IF(OR(Tabla1[[#This Row],[5]]="TPL"),Tabla1[[#This Row],[7]],"")</f>
        <v>1</v>
      </c>
      <c r="M141" s="52">
        <f>IF(Tabla15[[#This Row],[5]]="",0,VLOOKUP(TRAMOS!$K$2,Tabla5[#All],3,FALSE)*Tabla15[[#This Row],[6]])</f>
        <v>0.9</v>
      </c>
      <c r="N14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4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41" s="52">
        <f>IF(Tabla15[[#This Row],[8]]="",0,VLOOKUP(TRAMOS!$H$2,Tabla5[#All],3,FALSE)*Tabla15[[#This Row],[9]])</f>
        <v>0</v>
      </c>
      <c r="Q14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4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41" s="52">
        <f>IF(Tabla15[[#This Row],[11]]="",0,VLOOKUP(TRAMOS!$Q$2,Tabla5[#All],3,FALSE)*Tabla15[[#This Row],[12]])</f>
        <v>0</v>
      </c>
      <c r="T14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4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4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4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4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4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4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4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41" s="52">
        <f>IF(Tabla15[[#This Row],[20]]="",0,VLOOKUP("VRP",Tabla5[#All],3,FALSE)*Tabla15[[#This Row],[21]])</f>
        <v>0</v>
      </c>
      <c r="AC14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4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41" s="52">
        <f>IF(Tabla15[[#This Row],[23]]="",0,VLOOKUP("VC",Tabla5[#All],3,FALSE)*Tabla15[[#This Row],[24]])</f>
        <v>0</v>
      </c>
      <c r="AF14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4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41" s="52">
        <f>IF(Tabla15[[#This Row],[26]]="",0,VLOOKUP(TRAMOS!$K$2,Tabla5[#All],3,FALSE)*Tabla15[[#This Row],[27]])</f>
        <v>0</v>
      </c>
      <c r="AI14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4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4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4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4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4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4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42" spans="2:41" x14ac:dyDescent="0.25">
      <c r="B142" s="58" t="str">
        <f>Tabla1[[#This Row],[nudo inicial]]</f>
        <v>N70</v>
      </c>
      <c r="C142" s="58" t="str">
        <f>Tabla1[[#This Row],[nudo final]]</f>
        <v>TP47</v>
      </c>
      <c r="D142" s="51">
        <f>Tabla1[[#This Row],[longitud]]</f>
        <v>121.81</v>
      </c>
      <c r="E142" s="51" t="str">
        <f>Tabla1[[#This Row],[diametro]]</f>
        <v>2"</v>
      </c>
      <c r="F142" s="51" t="str">
        <f>Tabla1[[#This Row],[material]]</f>
        <v>PVC</v>
      </c>
      <c r="G14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42" s="52" t="str">
        <f>IF(Tabla1[[#This Row],[5]]="TPD",Tabla1[[#This Row],[6]],"")</f>
        <v/>
      </c>
      <c r="I142" s="52" t="str">
        <f>IF(OR(Tabla1[[#This Row],[5]]="TPD"),Tabla1[[#This Row],[7]],"")</f>
        <v/>
      </c>
      <c r="J142" s="52">
        <f>IF(Tabla15[[#This Row],[2]]="",0,VLOOKUP(TRAMOS!$H$2,Tabla5[#All],3,FALSE)*Tabla15[[#This Row],[3]])</f>
        <v>0</v>
      </c>
      <c r="K142" s="52" t="str">
        <f>IF(Tabla1[[#This Row],[5]]="TPL",Tabla1[[#This Row],[6]],"")</f>
        <v>3"</v>
      </c>
      <c r="L142" s="52">
        <f>IF(OR(Tabla1[[#This Row],[5]]="TPL"),Tabla1[[#This Row],[7]],"")</f>
        <v>1</v>
      </c>
      <c r="M142" s="52">
        <f>IF(Tabla15[[#This Row],[5]]="",0,VLOOKUP(TRAMOS!$K$2,Tabla5[#All],3,FALSE)*Tabla15[[#This Row],[6]])</f>
        <v>0.9</v>
      </c>
      <c r="N14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4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42" s="52">
        <f>IF(Tabla15[[#This Row],[8]]="",0,VLOOKUP(TRAMOS!$H$2,Tabla5[#All],3,FALSE)*Tabla15[[#This Row],[9]])</f>
        <v>0</v>
      </c>
      <c r="Q14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142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2</v>
      </c>
      <c r="S142" s="52">
        <f>IF(Tabla15[[#This Row],[11]]="",0,VLOOKUP(TRAMOS!$Q$2,Tabla5[#All],3,FALSE)*Tabla15[[#This Row],[12]])</f>
        <v>1.8</v>
      </c>
      <c r="T14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142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4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14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4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4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4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4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42" s="52">
        <f>IF(Tabla15[[#This Row],[20]]="",0,VLOOKUP("VRP",Tabla5[#All],3,FALSE)*Tabla15[[#This Row],[21]])</f>
        <v>0</v>
      </c>
      <c r="AC14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4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42" s="52">
        <f>IF(Tabla15[[#This Row],[23]]="",0,VLOOKUP("VC",Tabla5[#All],3,FALSE)*Tabla15[[#This Row],[24]])</f>
        <v>0</v>
      </c>
      <c r="AF14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4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42" s="52">
        <f>IF(Tabla15[[#This Row],[26]]="",0,VLOOKUP(TRAMOS!$K$2,Tabla5[#All],3,FALSE)*Tabla15[[#This Row],[27]])</f>
        <v>0</v>
      </c>
      <c r="AI14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4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4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4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4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42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4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2.915</v>
      </c>
    </row>
    <row r="143" spans="2:41" x14ac:dyDescent="0.25">
      <c r="B143" s="58" t="str">
        <f>Tabla1[[#This Row],[nudo inicial]]</f>
        <v>N70</v>
      </c>
      <c r="C143" s="58" t="str">
        <f>Tabla1[[#This Row],[nudo final]]</f>
        <v>TP48</v>
      </c>
      <c r="D143" s="51">
        <f>Tabla1[[#This Row],[longitud]]</f>
        <v>19.2</v>
      </c>
      <c r="E143" s="51" t="str">
        <f>Tabla1[[#This Row],[diametro]]</f>
        <v>3"</v>
      </c>
      <c r="F143" s="51" t="str">
        <f>Tabla1[[#This Row],[material]]</f>
        <v>PVC</v>
      </c>
      <c r="G14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43" s="52" t="str">
        <f>IF(Tabla1[[#This Row],[5]]="TPD",Tabla1[[#This Row],[6]],"")</f>
        <v>3"</v>
      </c>
      <c r="I143" s="52">
        <f>IF(OR(Tabla1[[#This Row],[5]]="TPD"),Tabla1[[#This Row],[7]],"")</f>
        <v>1</v>
      </c>
      <c r="J143" s="52">
        <f>IF(Tabla15[[#This Row],[2]]="",0,VLOOKUP(TRAMOS!$H$2,Tabla5[#All],3,FALSE)*Tabla15[[#This Row],[3]])</f>
        <v>0.15</v>
      </c>
      <c r="K143" s="52" t="str">
        <f>IF(Tabla1[[#This Row],[5]]="TPL",Tabla1[[#This Row],[6]],"")</f>
        <v/>
      </c>
      <c r="L143" s="52" t="str">
        <f>IF(OR(Tabla1[[#This Row],[5]]="TPL"),Tabla1[[#This Row],[7]],"")</f>
        <v/>
      </c>
      <c r="M143" s="52">
        <f>IF(Tabla15[[#This Row],[5]]="",0,VLOOKUP(TRAMOS!$K$2,Tabla5[#All],3,FALSE)*Tabla15[[#This Row],[6]])</f>
        <v>0</v>
      </c>
      <c r="N14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4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43" s="52">
        <f>IF(Tabla15[[#This Row],[8]]="",0,VLOOKUP(TRAMOS!$H$2,Tabla5[#All],3,FALSE)*Tabla15[[#This Row],[9]])</f>
        <v>0</v>
      </c>
      <c r="Q14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3"</v>
      </c>
      <c r="R143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143" s="52">
        <f>IF(Tabla15[[#This Row],[11]]="",0,VLOOKUP(TRAMOS!$Q$2,Tabla5[#All],3,FALSE)*Tabla15[[#This Row],[12]])</f>
        <v>0.9</v>
      </c>
      <c r="T14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4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4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4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4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4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4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4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43" s="52">
        <f>IF(Tabla15[[#This Row],[20]]="",0,VLOOKUP("VRP",Tabla5[#All],3,FALSE)*Tabla15[[#This Row],[21]])</f>
        <v>0</v>
      </c>
      <c r="AC14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4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43" s="52">
        <f>IF(Tabla15[[#This Row],[23]]="",0,VLOOKUP("VC",Tabla5[#All],3,FALSE)*Tabla15[[#This Row],[24]])</f>
        <v>0</v>
      </c>
      <c r="AF14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4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43" s="52">
        <f>IF(Tabla15[[#This Row],[26]]="",0,VLOOKUP(TRAMOS!$K$2,Tabla5[#All],3,FALSE)*Tabla15[[#This Row],[27]])</f>
        <v>0</v>
      </c>
      <c r="AI14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4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4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4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4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143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4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144" spans="2:41" x14ac:dyDescent="0.25">
      <c r="B144" s="58" t="str">
        <f>Tabla1[[#This Row],[nudo inicial]]</f>
        <v>N71</v>
      </c>
      <c r="C144" s="58" t="str">
        <f>Tabla1[[#This Row],[nudo final]]</f>
        <v>N69</v>
      </c>
      <c r="D144" s="51">
        <f>Tabla1[[#This Row],[longitud]]</f>
        <v>88.58</v>
      </c>
      <c r="E144" s="51" t="str">
        <f>Tabla1[[#This Row],[diametro]]</f>
        <v>3"</v>
      </c>
      <c r="F144" s="51" t="str">
        <f>Tabla1[[#This Row],[material]]</f>
        <v>PVC</v>
      </c>
      <c r="G14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144" s="52" t="str">
        <f>IF(Tabla1[[#This Row],[5]]="TPD",Tabla1[[#This Row],[6]],"")</f>
        <v/>
      </c>
      <c r="I144" s="52" t="str">
        <f>IF(OR(Tabla1[[#This Row],[5]]="TPD"),Tabla1[[#This Row],[7]],"")</f>
        <v/>
      </c>
      <c r="J144" s="52">
        <f>IF(Tabla15[[#This Row],[2]]="",0,VLOOKUP(TRAMOS!$H$2,Tabla5[#All],3,FALSE)*Tabla15[[#This Row],[3]])</f>
        <v>0</v>
      </c>
      <c r="K144" s="52" t="str">
        <f>IF(Tabla1[[#This Row],[5]]="TPL",Tabla1[[#This Row],[6]],"")</f>
        <v>8"</v>
      </c>
      <c r="L144" s="52">
        <f>IF(OR(Tabla1[[#This Row],[5]]="TPL"),Tabla1[[#This Row],[7]],"")</f>
        <v>1</v>
      </c>
      <c r="M144" s="52">
        <f>IF(Tabla15[[#This Row],[5]]="",0,VLOOKUP(TRAMOS!$K$2,Tabla5[#All],3,FALSE)*Tabla15[[#This Row],[6]])</f>
        <v>0.9</v>
      </c>
      <c r="N14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4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44" s="52">
        <f>IF(Tabla15[[#This Row],[8]]="",0,VLOOKUP(TRAMOS!$H$2,Tabla5[#All],3,FALSE)*Tabla15[[#This Row],[9]])</f>
        <v>0</v>
      </c>
      <c r="Q14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4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44" s="52">
        <f>IF(Tabla15[[#This Row],[11]]="",0,VLOOKUP(TRAMOS!$Q$2,Tabla5[#All],3,FALSE)*Tabla15[[#This Row],[12]])</f>
        <v>0</v>
      </c>
      <c r="T14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144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4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0.41679999999999995</v>
      </c>
      <c r="W14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4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4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4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4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44" s="52">
        <f>IF(Tabla15[[#This Row],[20]]="",0,VLOOKUP("VRP",Tabla5[#All],3,FALSE)*Tabla15[[#This Row],[21]])</f>
        <v>0</v>
      </c>
      <c r="AC14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144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144" s="52">
        <f>IF(Tabla15[[#This Row],[23]]="",0,VLOOKUP("VC",Tabla5[#All],3,FALSE)*Tabla15[[#This Row],[24]])</f>
        <v>0.25</v>
      </c>
      <c r="AF14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4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44" s="52">
        <f>IF(Tabla15[[#This Row],[26]]="",0,VLOOKUP(TRAMOS!$K$2,Tabla5[#All],3,FALSE)*Tabla15[[#This Row],[27]])</f>
        <v>0</v>
      </c>
      <c r="AI14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4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4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4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4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4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4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1.5668</v>
      </c>
    </row>
    <row r="145" spans="2:41" x14ac:dyDescent="0.25">
      <c r="B145" s="58" t="str">
        <f>Tabla1[[#This Row],[nudo inicial]]</f>
        <v>N71</v>
      </c>
      <c r="C145" s="58" t="str">
        <f>Tabla1[[#This Row],[nudo final]]</f>
        <v>N72</v>
      </c>
      <c r="D145" s="51">
        <f>Tabla1[[#This Row],[longitud]]</f>
        <v>128.53</v>
      </c>
      <c r="E145" s="51" t="str">
        <f>Tabla1[[#This Row],[diametro]]</f>
        <v>8"</v>
      </c>
      <c r="F145" s="51" t="str">
        <f>Tabla1[[#This Row],[material]]</f>
        <v>AC</v>
      </c>
      <c r="G14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145" s="52" t="str">
        <f>IF(Tabla1[[#This Row],[5]]="TPD",Tabla1[[#This Row],[6]],"")</f>
        <v>8"</v>
      </c>
      <c r="I145" s="52">
        <f>IF(OR(Tabla1[[#This Row],[5]]="TPD"),Tabla1[[#This Row],[7]],"")</f>
        <v>1</v>
      </c>
      <c r="J145" s="52">
        <f>IF(Tabla15[[#This Row],[2]]="",0,VLOOKUP(TRAMOS!$H$2,Tabla5[#All],3,FALSE)*Tabla15[[#This Row],[3]])</f>
        <v>0.15</v>
      </c>
      <c r="K145" s="52" t="str">
        <f>IF(Tabla1[[#This Row],[5]]="TPL",Tabla1[[#This Row],[6]],"")</f>
        <v/>
      </c>
      <c r="L145" s="52" t="str">
        <f>IF(OR(Tabla1[[#This Row],[5]]="TPL"),Tabla1[[#This Row],[7]],"")</f>
        <v/>
      </c>
      <c r="M145" s="52">
        <f>IF(Tabla15[[#This Row],[5]]="",0,VLOOKUP(TRAMOS!$K$2,Tabla5[#All],3,FALSE)*Tabla15[[#This Row],[6]])</f>
        <v>0</v>
      </c>
      <c r="N14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4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45" s="52">
        <f>IF(Tabla15[[#This Row],[8]]="",0,VLOOKUP(TRAMOS!$H$2,Tabla5[#All],3,FALSE)*Tabla15[[#This Row],[9]])</f>
        <v>0</v>
      </c>
      <c r="Q14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4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45" s="52">
        <f>IF(Tabla15[[#This Row],[11]]="",0,VLOOKUP(TRAMOS!$Q$2,Tabla5[#All],3,FALSE)*Tabla15[[#This Row],[12]])</f>
        <v>0</v>
      </c>
      <c r="T14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4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4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4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4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4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4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4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45" s="52">
        <f>IF(Tabla15[[#This Row],[20]]="",0,VLOOKUP("VRP",Tabla5[#All],3,FALSE)*Tabla15[[#This Row],[21]])</f>
        <v>0</v>
      </c>
      <c r="AC14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4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45" s="52">
        <f>IF(Tabla15[[#This Row],[23]]="",0,VLOOKUP("VC",Tabla5[#All],3,FALSE)*Tabla15[[#This Row],[24]])</f>
        <v>0</v>
      </c>
      <c r="AF14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4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45" s="52">
        <f>IF(Tabla15[[#This Row],[26]]="",0,VLOOKUP(TRAMOS!$K$2,Tabla5[#All],3,FALSE)*Tabla15[[#This Row],[27]])</f>
        <v>0</v>
      </c>
      <c r="AI14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4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4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4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4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4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4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46" spans="2:41" x14ac:dyDescent="0.25">
      <c r="B146" s="58" t="str">
        <f>Tabla1[[#This Row],[nudo inicial]]</f>
        <v>N72</v>
      </c>
      <c r="C146" s="58" t="str">
        <f>Tabla1[[#This Row],[nudo final]]</f>
        <v>TP49</v>
      </c>
      <c r="D146" s="51">
        <f>Tabla1[[#This Row],[longitud]]</f>
        <v>66.69</v>
      </c>
      <c r="E146" s="51" t="str">
        <f>Tabla1[[#This Row],[diametro]]</f>
        <v>2"</v>
      </c>
      <c r="F146" s="51" t="str">
        <f>Tabla1[[#This Row],[material]]</f>
        <v>PVC</v>
      </c>
      <c r="G14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146" s="52" t="str">
        <f>IF(Tabla1[[#This Row],[5]]="TPD",Tabla1[[#This Row],[6]],"")</f>
        <v/>
      </c>
      <c r="I146" s="52" t="str">
        <f>IF(OR(Tabla1[[#This Row],[5]]="TPD"),Tabla1[[#This Row],[7]],"")</f>
        <v/>
      </c>
      <c r="J146" s="52">
        <f>IF(Tabla15[[#This Row],[2]]="",0,VLOOKUP(TRAMOS!$H$2,Tabla5[#All],3,FALSE)*Tabla15[[#This Row],[3]])</f>
        <v>0</v>
      </c>
      <c r="K146" s="52" t="str">
        <f>IF(Tabla1[[#This Row],[5]]="TPL",Tabla1[[#This Row],[6]],"")</f>
        <v/>
      </c>
      <c r="L146" s="52" t="str">
        <f>IF(OR(Tabla1[[#This Row],[5]]="TPL"),Tabla1[[#This Row],[7]],"")</f>
        <v/>
      </c>
      <c r="M146" s="52">
        <f>IF(Tabla15[[#This Row],[5]]="",0,VLOOKUP(TRAMOS!$K$2,Tabla5[#All],3,FALSE)*Tabla15[[#This Row],[6]])</f>
        <v>0</v>
      </c>
      <c r="N14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4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46" s="52">
        <f>IF(Tabla15[[#This Row],[8]]="",0,VLOOKUP(TRAMOS!$H$2,Tabla5[#All],3,FALSE)*Tabla15[[#This Row],[9]])</f>
        <v>0</v>
      </c>
      <c r="Q14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4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46" s="52">
        <f>IF(Tabla15[[#This Row],[11]]="",0,VLOOKUP(TRAMOS!$Q$2,Tabla5[#All],3,FALSE)*Tabla15[[#This Row],[12]])</f>
        <v>0</v>
      </c>
      <c r="T14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146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4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0.45</v>
      </c>
      <c r="W14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4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4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4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4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46" s="52">
        <f>IF(Tabla15[[#This Row],[20]]="",0,VLOOKUP("VRP",Tabla5[#All],3,FALSE)*Tabla15[[#This Row],[21]])</f>
        <v>0</v>
      </c>
      <c r="AC14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4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46" s="52">
        <f>IF(Tabla15[[#This Row],[23]]="",0,VLOOKUP("VC",Tabla5[#All],3,FALSE)*Tabla15[[#This Row],[24]])</f>
        <v>0</v>
      </c>
      <c r="AF14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>8"</v>
      </c>
      <c r="AG146" s="52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>1</v>
      </c>
      <c r="AH146" s="52">
        <f>IF(Tabla15[[#This Row],[26]]="",0,VLOOKUP(TRAMOS!$K$2,Tabla5[#All],3,FALSE)*Tabla15[[#This Row],[27]])</f>
        <v>0.9</v>
      </c>
      <c r="AI14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4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4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4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4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4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4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1.35</v>
      </c>
    </row>
    <row r="147" spans="2:41" x14ac:dyDescent="0.25">
      <c r="B147" s="58" t="str">
        <f>Tabla1[[#This Row],[nudo inicial]]</f>
        <v>N72</v>
      </c>
      <c r="C147" s="58" t="str">
        <f>Tabla1[[#This Row],[nudo final]]</f>
        <v>N73</v>
      </c>
      <c r="D147" s="51">
        <f>Tabla1[[#This Row],[longitud]]</f>
        <v>4.25</v>
      </c>
      <c r="E147" s="51" t="str">
        <f>Tabla1[[#This Row],[diametro]]</f>
        <v>8"</v>
      </c>
      <c r="F147" s="51" t="str">
        <f>Tabla1[[#This Row],[material]]</f>
        <v>AC</v>
      </c>
      <c r="G14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147" s="52" t="str">
        <f>IF(Tabla1[[#This Row],[5]]="TPD",Tabla1[[#This Row],[6]],"")</f>
        <v/>
      </c>
      <c r="I147" s="52" t="str">
        <f>IF(OR(Tabla1[[#This Row],[5]]="TPD"),Tabla1[[#This Row],[7]],"")</f>
        <v/>
      </c>
      <c r="J147" s="52">
        <f>IF(Tabla15[[#This Row],[2]]="",0,VLOOKUP(TRAMOS!$H$2,Tabla5[#All],3,FALSE)*Tabla15[[#This Row],[3]])</f>
        <v>0</v>
      </c>
      <c r="K147" s="52" t="str">
        <f>IF(Tabla1[[#This Row],[5]]="TPL",Tabla1[[#This Row],[6]],"")</f>
        <v/>
      </c>
      <c r="L147" s="52" t="str">
        <f>IF(OR(Tabla1[[#This Row],[5]]="TPL"),Tabla1[[#This Row],[7]],"")</f>
        <v/>
      </c>
      <c r="M147" s="52">
        <f>IF(Tabla15[[#This Row],[5]]="",0,VLOOKUP(TRAMOS!$K$2,Tabla5[#All],3,FALSE)*Tabla15[[#This Row],[6]])</f>
        <v>0</v>
      </c>
      <c r="N14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4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47" s="52">
        <f>IF(Tabla15[[#This Row],[8]]="",0,VLOOKUP(TRAMOS!$H$2,Tabla5[#All],3,FALSE)*Tabla15[[#This Row],[9]])</f>
        <v>0</v>
      </c>
      <c r="Q14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4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47" s="52">
        <f>IF(Tabla15[[#This Row],[11]]="",0,VLOOKUP(TRAMOS!$Q$2,Tabla5[#All],3,FALSE)*Tabla15[[#This Row],[12]])</f>
        <v>0</v>
      </c>
      <c r="T14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4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4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4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4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4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4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4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47" s="52">
        <f>IF(Tabla15[[#This Row],[20]]="",0,VLOOKUP("VRP",Tabla5[#All],3,FALSE)*Tabla15[[#This Row],[21]])</f>
        <v>0</v>
      </c>
      <c r="AC14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4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47" s="52">
        <f>IF(Tabla15[[#This Row],[23]]="",0,VLOOKUP("VC",Tabla5[#All],3,FALSE)*Tabla15[[#This Row],[24]])</f>
        <v>0</v>
      </c>
      <c r="AF14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>8"</v>
      </c>
      <c r="AG147" s="52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>1</v>
      </c>
      <c r="AH147" s="52">
        <f>IF(Tabla15[[#This Row],[26]]="",0,VLOOKUP(TRAMOS!$K$2,Tabla5[#All],3,FALSE)*Tabla15[[#This Row],[27]])</f>
        <v>0.9</v>
      </c>
      <c r="AI14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4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4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4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4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4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4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48" spans="2:41" x14ac:dyDescent="0.25">
      <c r="B148" s="58" t="str">
        <f>Tabla1[[#This Row],[nudo inicial]]</f>
        <v>N73</v>
      </c>
      <c r="C148" s="58" t="str">
        <f>Tabla1[[#This Row],[nudo final]]</f>
        <v>TP50</v>
      </c>
      <c r="D148" s="51">
        <f>Tabla1[[#This Row],[longitud]]</f>
        <v>52</v>
      </c>
      <c r="E148" s="51" t="str">
        <f>Tabla1[[#This Row],[diametro]]</f>
        <v>3"</v>
      </c>
      <c r="F148" s="51" t="str">
        <f>Tabla1[[#This Row],[material]]</f>
        <v>PVC</v>
      </c>
      <c r="G14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148" s="52" t="str">
        <f>IF(Tabla1[[#This Row],[5]]="TPD",Tabla1[[#This Row],[6]],"")</f>
        <v/>
      </c>
      <c r="I148" s="52" t="str">
        <f>IF(OR(Tabla1[[#This Row],[5]]="TPD"),Tabla1[[#This Row],[7]],"")</f>
        <v/>
      </c>
      <c r="J148" s="52">
        <f>IF(Tabla15[[#This Row],[2]]="",0,VLOOKUP(TRAMOS!$H$2,Tabla5[#All],3,FALSE)*Tabla15[[#This Row],[3]])</f>
        <v>0</v>
      </c>
      <c r="K148" s="52" t="str">
        <f>IF(Tabla1[[#This Row],[5]]="TPL",Tabla1[[#This Row],[6]],"")</f>
        <v/>
      </c>
      <c r="L148" s="52" t="str">
        <f>IF(OR(Tabla1[[#This Row],[5]]="TPL"),Tabla1[[#This Row],[7]],"")</f>
        <v/>
      </c>
      <c r="M148" s="52">
        <f>IF(Tabla15[[#This Row],[5]]="",0,VLOOKUP(TRAMOS!$K$2,Tabla5[#All],3,FALSE)*Tabla15[[#This Row],[6]])</f>
        <v>0</v>
      </c>
      <c r="N14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4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48" s="52">
        <f>IF(Tabla15[[#This Row],[8]]="",0,VLOOKUP(TRAMOS!$H$2,Tabla5[#All],3,FALSE)*Tabla15[[#This Row],[9]])</f>
        <v>0</v>
      </c>
      <c r="Q14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4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48" s="52">
        <f>IF(Tabla15[[#This Row],[11]]="",0,VLOOKUP(TRAMOS!$Q$2,Tabla5[#All],3,FALSE)*Tabla15[[#This Row],[12]])</f>
        <v>0</v>
      </c>
      <c r="T14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148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4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0.41679999999999995</v>
      </c>
      <c r="W14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4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4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4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4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48" s="52">
        <f>IF(Tabla15[[#This Row],[20]]="",0,VLOOKUP("VRP",Tabla5[#All],3,FALSE)*Tabla15[[#This Row],[21]])</f>
        <v>0</v>
      </c>
      <c r="AC14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4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48" s="52">
        <f>IF(Tabla15[[#This Row],[23]]="",0,VLOOKUP("VC",Tabla5[#All],3,FALSE)*Tabla15[[#This Row],[24]])</f>
        <v>0</v>
      </c>
      <c r="AF14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>8"</v>
      </c>
      <c r="AG148" s="52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>1</v>
      </c>
      <c r="AH148" s="52">
        <f>IF(Tabla15[[#This Row],[26]]="",0,VLOOKUP(TRAMOS!$K$2,Tabla5[#All],3,FALSE)*Tabla15[[#This Row],[27]])</f>
        <v>0.9</v>
      </c>
      <c r="AI14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4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4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4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4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148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4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1.3168</v>
      </c>
    </row>
    <row r="149" spans="2:41" x14ac:dyDescent="0.25">
      <c r="B149" s="58" t="str">
        <f>Tabla1[[#This Row],[nudo inicial]]</f>
        <v>N73</v>
      </c>
      <c r="C149" s="58" t="str">
        <f>Tabla1[[#This Row],[nudo final]]</f>
        <v>N74</v>
      </c>
      <c r="D149" s="51">
        <f>Tabla1[[#This Row],[longitud]]</f>
        <v>161.16999999999999</v>
      </c>
      <c r="E149" s="51" t="str">
        <f>Tabla1[[#This Row],[diametro]]</f>
        <v>8"</v>
      </c>
      <c r="F149" s="51" t="str">
        <f>Tabla1[[#This Row],[material]]</f>
        <v>AC</v>
      </c>
      <c r="G14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149" s="52" t="str">
        <f>IF(Tabla1[[#This Row],[5]]="TPD",Tabla1[[#This Row],[6]],"")</f>
        <v/>
      </c>
      <c r="I149" s="52" t="str">
        <f>IF(OR(Tabla1[[#This Row],[5]]="TPD"),Tabla1[[#This Row],[7]],"")</f>
        <v/>
      </c>
      <c r="J149" s="52">
        <f>IF(Tabla15[[#This Row],[2]]="",0,VLOOKUP(TRAMOS!$H$2,Tabla5[#All],3,FALSE)*Tabla15[[#This Row],[3]])</f>
        <v>0</v>
      </c>
      <c r="K149" s="52" t="str">
        <f>IF(Tabla1[[#This Row],[5]]="TPL",Tabla1[[#This Row],[6]],"")</f>
        <v/>
      </c>
      <c r="L149" s="52" t="str">
        <f>IF(OR(Tabla1[[#This Row],[5]]="TPL"),Tabla1[[#This Row],[7]],"")</f>
        <v/>
      </c>
      <c r="M149" s="52">
        <f>IF(Tabla15[[#This Row],[5]]="",0,VLOOKUP(TRAMOS!$K$2,Tabla5[#All],3,FALSE)*Tabla15[[#This Row],[6]])</f>
        <v>0</v>
      </c>
      <c r="N14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4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49" s="52">
        <f>IF(Tabla15[[#This Row],[8]]="",0,VLOOKUP(TRAMOS!$H$2,Tabla5[#All],3,FALSE)*Tabla15[[#This Row],[9]])</f>
        <v>0</v>
      </c>
      <c r="Q14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4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49" s="52">
        <f>IF(Tabla15[[#This Row],[11]]="",0,VLOOKUP(TRAMOS!$Q$2,Tabla5[#All],3,FALSE)*Tabla15[[#This Row],[12]])</f>
        <v>0</v>
      </c>
      <c r="T14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4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4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4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4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4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4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4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49" s="52">
        <f>IF(Tabla15[[#This Row],[20]]="",0,VLOOKUP("VRP",Tabla5[#All],3,FALSE)*Tabla15[[#This Row],[21]])</f>
        <v>0</v>
      </c>
      <c r="AC14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8"</v>
      </c>
      <c r="AD149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149" s="52">
        <f>IF(Tabla15[[#This Row],[23]]="",0,VLOOKUP("VC",Tabla5[#All],3,FALSE)*Tabla15[[#This Row],[24]])</f>
        <v>0.25</v>
      </c>
      <c r="AF14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>8"</v>
      </c>
      <c r="AG149" s="52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>1</v>
      </c>
      <c r="AH149" s="52">
        <f>IF(Tabla15[[#This Row],[26]]="",0,VLOOKUP(TRAMOS!$K$2,Tabla5[#All],3,FALSE)*Tabla15[[#This Row],[27]])</f>
        <v>0.9</v>
      </c>
      <c r="AI14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4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4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4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4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4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4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1.1499999999999999</v>
      </c>
    </row>
    <row r="150" spans="2:41" x14ac:dyDescent="0.25">
      <c r="B150" s="58" t="str">
        <f>Tabla1[[#This Row],[nudo inicial]]</f>
        <v>N74</v>
      </c>
      <c r="C150" s="58" t="str">
        <f>Tabla1[[#This Row],[nudo final]]</f>
        <v>TP51</v>
      </c>
      <c r="D150" s="51">
        <f>Tabla1[[#This Row],[longitud]]</f>
        <v>48.87</v>
      </c>
      <c r="E150" s="51" t="str">
        <f>Tabla1[[#This Row],[diametro]]</f>
        <v>2"</v>
      </c>
      <c r="F150" s="51" t="str">
        <f>Tabla1[[#This Row],[material]]</f>
        <v>PVC</v>
      </c>
      <c r="G15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150" s="52" t="str">
        <f>IF(Tabla1[[#This Row],[5]]="TPD",Tabla1[[#This Row],[6]],"")</f>
        <v/>
      </c>
      <c r="I150" s="52" t="str">
        <f>IF(OR(Tabla1[[#This Row],[5]]="TPD"),Tabla1[[#This Row],[7]],"")</f>
        <v/>
      </c>
      <c r="J150" s="52">
        <f>IF(Tabla15[[#This Row],[2]]="",0,VLOOKUP(TRAMOS!$H$2,Tabla5[#All],3,FALSE)*Tabla15[[#This Row],[3]])</f>
        <v>0</v>
      </c>
      <c r="K150" s="52" t="str">
        <f>IF(Tabla1[[#This Row],[5]]="TPL",Tabla1[[#This Row],[6]],"")</f>
        <v>8"</v>
      </c>
      <c r="L150" s="52">
        <f>IF(OR(Tabla1[[#This Row],[5]]="TPL"),Tabla1[[#This Row],[7]],"")</f>
        <v>1</v>
      </c>
      <c r="M150" s="52">
        <f>IF(Tabla15[[#This Row],[5]]="",0,VLOOKUP(TRAMOS!$K$2,Tabla5[#All],3,FALSE)*Tabla15[[#This Row],[6]])</f>
        <v>0.9</v>
      </c>
      <c r="N15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5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50" s="52">
        <f>IF(Tabla15[[#This Row],[8]]="",0,VLOOKUP(TRAMOS!$H$2,Tabla5[#All],3,FALSE)*Tabla15[[#This Row],[9]])</f>
        <v>0</v>
      </c>
      <c r="Q15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5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50" s="52">
        <f>IF(Tabla15[[#This Row],[11]]="",0,VLOOKUP(TRAMOS!$Q$2,Tabla5[#All],3,FALSE)*Tabla15[[#This Row],[12]])</f>
        <v>0</v>
      </c>
      <c r="T15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150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5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0.45</v>
      </c>
      <c r="W15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5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5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5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5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50" s="52">
        <f>IF(Tabla15[[#This Row],[20]]="",0,VLOOKUP("VRP",Tabla5[#All],3,FALSE)*Tabla15[[#This Row],[21]])</f>
        <v>0</v>
      </c>
      <c r="AC15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5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50" s="52">
        <f>IF(Tabla15[[#This Row],[23]]="",0,VLOOKUP("VC",Tabla5[#All],3,FALSE)*Tabla15[[#This Row],[24]])</f>
        <v>0</v>
      </c>
      <c r="AF15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5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50" s="52">
        <f>IF(Tabla15[[#This Row],[26]]="",0,VLOOKUP(TRAMOS!$K$2,Tabla5[#All],3,FALSE)*Tabla15[[#This Row],[27]])</f>
        <v>0</v>
      </c>
      <c r="AI15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5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5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5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5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50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5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1.35</v>
      </c>
    </row>
    <row r="151" spans="2:41" x14ac:dyDescent="0.25">
      <c r="B151" s="58" t="str">
        <f>Tabla1[[#This Row],[nudo inicial]]</f>
        <v>N74</v>
      </c>
      <c r="C151" s="58" t="str">
        <f>Tabla1[[#This Row],[nudo final]]</f>
        <v>N75</v>
      </c>
      <c r="D151" s="51">
        <f>Tabla1[[#This Row],[longitud]]</f>
        <v>68.87</v>
      </c>
      <c r="E151" s="51" t="str">
        <f>Tabla1[[#This Row],[diametro]]</f>
        <v>8"</v>
      </c>
      <c r="F151" s="51" t="str">
        <f>Tabla1[[#This Row],[material]]</f>
        <v>AC</v>
      </c>
      <c r="G15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151" s="52" t="str">
        <f>IF(Tabla1[[#This Row],[5]]="TPD",Tabla1[[#This Row],[6]],"")</f>
        <v>8"</v>
      </c>
      <c r="I151" s="52">
        <f>IF(OR(Tabla1[[#This Row],[5]]="TPD"),Tabla1[[#This Row],[7]],"")</f>
        <v>1</v>
      </c>
      <c r="J151" s="52">
        <f>IF(Tabla15[[#This Row],[2]]="",0,VLOOKUP(TRAMOS!$H$2,Tabla5[#All],3,FALSE)*Tabla15[[#This Row],[3]])</f>
        <v>0.15</v>
      </c>
      <c r="K151" s="52" t="str">
        <f>IF(Tabla1[[#This Row],[5]]="TPL",Tabla1[[#This Row],[6]],"")</f>
        <v/>
      </c>
      <c r="L151" s="52" t="str">
        <f>IF(OR(Tabla1[[#This Row],[5]]="TPL"),Tabla1[[#This Row],[7]],"")</f>
        <v/>
      </c>
      <c r="M151" s="52">
        <f>IF(Tabla15[[#This Row],[5]]="",0,VLOOKUP(TRAMOS!$K$2,Tabla5[#All],3,FALSE)*Tabla15[[#This Row],[6]])</f>
        <v>0</v>
      </c>
      <c r="N15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5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51" s="52">
        <f>IF(Tabla15[[#This Row],[8]]="",0,VLOOKUP(TRAMOS!$H$2,Tabla5[#All],3,FALSE)*Tabla15[[#This Row],[9]])</f>
        <v>0</v>
      </c>
      <c r="Q15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5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51" s="52">
        <f>IF(Tabla15[[#This Row],[11]]="",0,VLOOKUP(TRAMOS!$Q$2,Tabla5[#All],3,FALSE)*Tabla15[[#This Row],[12]])</f>
        <v>0</v>
      </c>
      <c r="T15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5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5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5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5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5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5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5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51" s="52">
        <f>IF(Tabla15[[#This Row],[20]]="",0,VLOOKUP("VRP",Tabla5[#All],3,FALSE)*Tabla15[[#This Row],[21]])</f>
        <v>0</v>
      </c>
      <c r="AC15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5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51" s="52">
        <f>IF(Tabla15[[#This Row],[23]]="",0,VLOOKUP("VC",Tabla5[#All],3,FALSE)*Tabla15[[#This Row],[24]])</f>
        <v>0</v>
      </c>
      <c r="AF15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5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51" s="52">
        <f>IF(Tabla15[[#This Row],[26]]="",0,VLOOKUP(TRAMOS!$K$2,Tabla5[#All],3,FALSE)*Tabla15[[#This Row],[27]])</f>
        <v>0</v>
      </c>
      <c r="AI15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5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5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5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5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5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5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52" spans="2:41" x14ac:dyDescent="0.25">
      <c r="B152" s="58" t="str">
        <f>Tabla1[[#This Row],[nudo inicial]]</f>
        <v>N75</v>
      </c>
      <c r="C152" s="58" t="str">
        <f>Tabla1[[#This Row],[nudo final]]</f>
        <v>N76</v>
      </c>
      <c r="D152" s="51">
        <f>Tabla1[[#This Row],[longitud]]</f>
        <v>199</v>
      </c>
      <c r="E152" s="51" t="str">
        <f>Tabla1[[#This Row],[diametro]]</f>
        <v>8"</v>
      </c>
      <c r="F152" s="51" t="str">
        <f>Tabla1[[#This Row],[material]]</f>
        <v>AC</v>
      </c>
      <c r="G15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152" s="52" t="str">
        <f>IF(Tabla1[[#This Row],[5]]="TPD",Tabla1[[#This Row],[6]],"")</f>
        <v>8"</v>
      </c>
      <c r="I152" s="52">
        <f>IF(OR(Tabla1[[#This Row],[5]]="TPD"),Tabla1[[#This Row],[7]],"")</f>
        <v>1</v>
      </c>
      <c r="J152" s="52">
        <f>IF(Tabla15[[#This Row],[2]]="",0,VLOOKUP(TRAMOS!$H$2,Tabla5[#All],3,FALSE)*Tabla15[[#This Row],[3]])</f>
        <v>0.15</v>
      </c>
      <c r="K152" s="52" t="str">
        <f>IF(Tabla1[[#This Row],[5]]="TPL",Tabla1[[#This Row],[6]],"")</f>
        <v/>
      </c>
      <c r="L152" s="52" t="str">
        <f>IF(OR(Tabla1[[#This Row],[5]]="TPL"),Tabla1[[#This Row],[7]],"")</f>
        <v/>
      </c>
      <c r="M152" s="52">
        <f>IF(Tabla15[[#This Row],[5]]="",0,VLOOKUP(TRAMOS!$K$2,Tabla5[#All],3,FALSE)*Tabla15[[#This Row],[6]])</f>
        <v>0</v>
      </c>
      <c r="N15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5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52" s="52">
        <f>IF(Tabla15[[#This Row],[8]]="",0,VLOOKUP(TRAMOS!$H$2,Tabla5[#All],3,FALSE)*Tabla15[[#This Row],[9]])</f>
        <v>0</v>
      </c>
      <c r="Q15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8"</v>
      </c>
      <c r="R152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152" s="52">
        <f>IF(Tabla15[[#This Row],[11]]="",0,VLOOKUP(TRAMOS!$Q$2,Tabla5[#All],3,FALSE)*Tabla15[[#This Row],[12]])</f>
        <v>0.9</v>
      </c>
      <c r="T15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5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5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5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5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5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5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5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52" s="52">
        <f>IF(Tabla15[[#This Row],[20]]="",0,VLOOKUP("VRP",Tabla5[#All],3,FALSE)*Tabla15[[#This Row],[21]])</f>
        <v>0</v>
      </c>
      <c r="AC15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8"</v>
      </c>
      <c r="AD152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152" s="52">
        <f>IF(Tabla15[[#This Row],[23]]="",0,VLOOKUP("VC",Tabla5[#All],3,FALSE)*Tabla15[[#This Row],[24]])</f>
        <v>0.25</v>
      </c>
      <c r="AF15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5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52" s="52">
        <f>IF(Tabla15[[#This Row],[26]]="",0,VLOOKUP(TRAMOS!$K$2,Tabla5[#All],3,FALSE)*Tabla15[[#This Row],[27]])</f>
        <v>0</v>
      </c>
      <c r="AI15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5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5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5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5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5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5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</v>
      </c>
    </row>
    <row r="153" spans="2:41" x14ac:dyDescent="0.25">
      <c r="B153" s="58" t="str">
        <f>Tabla1[[#This Row],[nudo inicial]]</f>
        <v>T. TRINIDAD</v>
      </c>
      <c r="C153" s="58" t="str">
        <f>Tabla1[[#This Row],[nudo final]]</f>
        <v>CQ3</v>
      </c>
      <c r="D153" s="51">
        <f>Tabla1[[#This Row],[longitud]]</f>
        <v>554.01</v>
      </c>
      <c r="E153" s="51" t="str">
        <f>Tabla1[[#This Row],[diametro]]</f>
        <v>6"</v>
      </c>
      <c r="F153" s="51" t="str">
        <f>Tabla1[[#This Row],[material]]</f>
        <v>PVC</v>
      </c>
      <c r="G15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53" s="52" t="str">
        <f>IF(Tabla1[[#This Row],[5]]="TPD",Tabla1[[#This Row],[6]],"")</f>
        <v/>
      </c>
      <c r="I153" s="52" t="str">
        <f>IF(OR(Tabla1[[#This Row],[5]]="TPD"),Tabla1[[#This Row],[7]],"")</f>
        <v/>
      </c>
      <c r="J153" s="52">
        <f>IF(Tabla15[[#This Row],[2]]="",0,VLOOKUP(TRAMOS!$H$2,Tabla5[#All],3,FALSE)*Tabla15[[#This Row],[3]])</f>
        <v>0</v>
      </c>
      <c r="K153" s="52" t="str">
        <f>IF(Tabla1[[#This Row],[5]]="TPL",Tabla1[[#This Row],[6]],"")</f>
        <v/>
      </c>
      <c r="L153" s="52" t="str">
        <f>IF(OR(Tabla1[[#This Row],[5]]="TPL"),Tabla1[[#This Row],[7]],"")</f>
        <v/>
      </c>
      <c r="M153" s="52">
        <f>IF(Tabla15[[#This Row],[5]]="",0,VLOOKUP(TRAMOS!$K$2,Tabla5[#All],3,FALSE)*Tabla15[[#This Row],[6]])</f>
        <v>0</v>
      </c>
      <c r="N15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5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53" s="52">
        <f>IF(Tabla15[[#This Row],[8]]="",0,VLOOKUP(TRAMOS!$H$2,Tabla5[#All],3,FALSE)*Tabla15[[#This Row],[9]])</f>
        <v>0</v>
      </c>
      <c r="Q15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6"</v>
      </c>
      <c r="R153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4</v>
      </c>
      <c r="S153" s="52">
        <f>IF(Tabla15[[#This Row],[11]]="",0,VLOOKUP(TRAMOS!$Q$2,Tabla5[#All],3,FALSE)*Tabla15[[#This Row],[12]])</f>
        <v>3.6</v>
      </c>
      <c r="T15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5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5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5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5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5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5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5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53" s="52">
        <f>IF(Tabla15[[#This Row],[20]]="",0,VLOOKUP("VRP",Tabla5[#All],3,FALSE)*Tabla15[[#This Row],[21]])</f>
        <v>0</v>
      </c>
      <c r="AC15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5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53" s="52">
        <f>IF(Tabla15[[#This Row],[23]]="",0,VLOOKUP("VC",Tabla5[#All],3,FALSE)*Tabla15[[#This Row],[24]])</f>
        <v>0</v>
      </c>
      <c r="AF15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5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53" s="52">
        <f>IF(Tabla15[[#This Row],[26]]="",0,VLOOKUP(TRAMOS!$K$2,Tabla5[#All],3,FALSE)*Tabla15[[#This Row],[27]])</f>
        <v>0</v>
      </c>
      <c r="AI15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5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5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5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5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5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5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3.6</v>
      </c>
    </row>
    <row r="154" spans="2:41" x14ac:dyDescent="0.25">
      <c r="B154" s="58" t="str">
        <f>Tabla1[[#This Row],[nudo inicial]]</f>
        <v>CQ3</v>
      </c>
      <c r="C154" s="58" t="str">
        <f>Tabla1[[#This Row],[nudo final]]</f>
        <v>N77</v>
      </c>
      <c r="D154" s="51">
        <f>Tabla1[[#This Row],[longitud]]</f>
        <v>79.45</v>
      </c>
      <c r="E154" s="51" t="str">
        <f>Tabla1[[#This Row],[diametro]]</f>
        <v>4"</v>
      </c>
      <c r="F154" s="51" t="str">
        <f>Tabla1[[#This Row],[material]]</f>
        <v>PVC</v>
      </c>
      <c r="G15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154" s="52" t="str">
        <f>IF(Tabla1[[#This Row],[5]]="TPD",Tabla1[[#This Row],[6]],"")</f>
        <v/>
      </c>
      <c r="I154" s="52" t="str">
        <f>IF(OR(Tabla1[[#This Row],[5]]="TPD"),Tabla1[[#This Row],[7]],"")</f>
        <v/>
      </c>
      <c r="J154" s="52">
        <f>IF(Tabla15[[#This Row],[2]]="",0,VLOOKUP(TRAMOS!$H$2,Tabla5[#All],3,FALSE)*Tabla15[[#This Row],[3]])</f>
        <v>0</v>
      </c>
      <c r="K154" s="52" t="str">
        <f>IF(Tabla1[[#This Row],[5]]="TPL",Tabla1[[#This Row],[6]],"")</f>
        <v/>
      </c>
      <c r="L154" s="52" t="str">
        <f>IF(OR(Tabla1[[#This Row],[5]]="TPL"),Tabla1[[#This Row],[7]],"")</f>
        <v/>
      </c>
      <c r="M154" s="52">
        <f>IF(Tabla15[[#This Row],[5]]="",0,VLOOKUP(TRAMOS!$K$2,Tabla5[#All],3,FALSE)*Tabla15[[#This Row],[6]])</f>
        <v>0</v>
      </c>
      <c r="N15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5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54" s="52">
        <f>IF(Tabla15[[#This Row],[8]]="",0,VLOOKUP(TRAMOS!$H$2,Tabla5[#All],3,FALSE)*Tabla15[[#This Row],[9]])</f>
        <v>0</v>
      </c>
      <c r="Q15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5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54" s="52">
        <f>IF(Tabla15[[#This Row],[11]]="",0,VLOOKUP(TRAMOS!$Q$2,Tabla5[#All],3,FALSE)*Tabla15[[#This Row],[12]])</f>
        <v>0</v>
      </c>
      <c r="T15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5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5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5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5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5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5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5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54" s="52">
        <f>IF(Tabla15[[#This Row],[20]]="",0,VLOOKUP("VRP",Tabla5[#All],3,FALSE)*Tabla15[[#This Row],[21]])</f>
        <v>0</v>
      </c>
      <c r="AC15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5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54" s="52">
        <f>IF(Tabla15[[#This Row],[23]]="",0,VLOOKUP("VC",Tabla5[#All],3,FALSE)*Tabla15[[#This Row],[24]])</f>
        <v>0</v>
      </c>
      <c r="AF15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5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54" s="52">
        <f>IF(Tabla15[[#This Row],[26]]="",0,VLOOKUP(TRAMOS!$K$2,Tabla5[#All],3,FALSE)*Tabla15[[#This Row],[27]])</f>
        <v>0</v>
      </c>
      <c r="AI15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5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5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5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5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5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5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</v>
      </c>
    </row>
    <row r="155" spans="2:41" x14ac:dyDescent="0.25">
      <c r="B155" s="58" t="str">
        <f>Tabla1[[#This Row],[nudo inicial]]</f>
        <v>N77</v>
      </c>
      <c r="C155" s="58" t="str">
        <f>Tabla1[[#This Row],[nudo final]]</f>
        <v>N648</v>
      </c>
      <c r="D155" s="51">
        <f>Tabla1[[#This Row],[longitud]]</f>
        <v>111.03</v>
      </c>
      <c r="E155" s="51" t="str">
        <f>Tabla1[[#This Row],[diametro]]</f>
        <v>2"</v>
      </c>
      <c r="F155" s="51" t="str">
        <f>Tabla1[[#This Row],[material]]</f>
        <v>PVC</v>
      </c>
      <c r="G15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155" s="52" t="str">
        <f>IF(Tabla1[[#This Row],[5]]="TPD",Tabla1[[#This Row],[6]],"")</f>
        <v/>
      </c>
      <c r="I155" s="52" t="str">
        <f>IF(OR(Tabla1[[#This Row],[5]]="TPD"),Tabla1[[#This Row],[7]],"")</f>
        <v/>
      </c>
      <c r="J155" s="52">
        <f>IF(Tabla15[[#This Row],[2]]="",0,VLOOKUP(TRAMOS!$H$2,Tabla5[#All],3,FALSE)*Tabla15[[#This Row],[3]])</f>
        <v>0</v>
      </c>
      <c r="K155" s="52" t="str">
        <f>IF(Tabla1[[#This Row],[5]]="TPL",Tabla1[[#This Row],[6]],"")</f>
        <v>4"</v>
      </c>
      <c r="L155" s="52">
        <f>IF(OR(Tabla1[[#This Row],[5]]="TPL"),Tabla1[[#This Row],[7]],"")</f>
        <v>1</v>
      </c>
      <c r="M155" s="52">
        <f>IF(Tabla15[[#This Row],[5]]="",0,VLOOKUP(TRAMOS!$K$2,Tabla5[#All],3,FALSE)*Tabla15[[#This Row],[6]])</f>
        <v>0.9</v>
      </c>
      <c r="N15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5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55" s="52">
        <f>IF(Tabla15[[#This Row],[8]]="",0,VLOOKUP(TRAMOS!$H$2,Tabla5[#All],3,FALSE)*Tabla15[[#This Row],[9]])</f>
        <v>0</v>
      </c>
      <c r="Q15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5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55" s="52">
        <f>IF(Tabla15[[#This Row],[11]]="",0,VLOOKUP(TRAMOS!$Q$2,Tabla5[#All],3,FALSE)*Tabla15[[#This Row],[12]])</f>
        <v>0</v>
      </c>
      <c r="T15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155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5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15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5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5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5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5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55" s="52">
        <f>IF(Tabla15[[#This Row],[20]]="",0,VLOOKUP("VRP",Tabla5[#All],3,FALSE)*Tabla15[[#This Row],[21]])</f>
        <v>0</v>
      </c>
      <c r="AC15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5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55" s="52">
        <f>IF(Tabla15[[#This Row],[23]]="",0,VLOOKUP("VC",Tabla5[#All],3,FALSE)*Tabla15[[#This Row],[24]])</f>
        <v>0</v>
      </c>
      <c r="AF15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5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55" s="52">
        <f>IF(Tabla15[[#This Row],[26]]="",0,VLOOKUP(TRAMOS!$K$2,Tabla5[#All],3,FALSE)*Tabla15[[#This Row],[27]])</f>
        <v>0</v>
      </c>
      <c r="AI15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5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5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5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5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5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5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1.27</v>
      </c>
    </row>
    <row r="156" spans="2:41" x14ac:dyDescent="0.25">
      <c r="B156" s="58" t="str">
        <f>Tabla1[[#This Row],[nudo inicial]]</f>
        <v>N648</v>
      </c>
      <c r="C156" s="58" t="str">
        <f>Tabla1[[#This Row],[nudo final]]</f>
        <v>TP52</v>
      </c>
      <c r="D156" s="51">
        <f>Tabla1[[#This Row],[longitud]]</f>
        <v>49.06</v>
      </c>
      <c r="E156" s="51" t="str">
        <f>Tabla1[[#This Row],[diametro]]</f>
        <v>2"</v>
      </c>
      <c r="F156" s="51" t="str">
        <f>Tabla1[[#This Row],[material]]</f>
        <v>PVC</v>
      </c>
      <c r="G15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56" s="52" t="str">
        <f>IF(Tabla1[[#This Row],[5]]="TPD",Tabla1[[#This Row],[6]],"")</f>
        <v/>
      </c>
      <c r="I156" s="52" t="str">
        <f>IF(OR(Tabla1[[#This Row],[5]]="TPD"),Tabla1[[#This Row],[7]],"")</f>
        <v/>
      </c>
      <c r="J156" s="52">
        <f>IF(Tabla15[[#This Row],[2]]="",0,VLOOKUP(TRAMOS!$H$2,Tabla5[#All],3,FALSE)*Tabla15[[#This Row],[3]])</f>
        <v>0</v>
      </c>
      <c r="K156" s="52" t="str">
        <f>IF(Tabla1[[#This Row],[5]]="TPL",Tabla1[[#This Row],[6]],"")</f>
        <v>2"</v>
      </c>
      <c r="L156" s="52">
        <f>IF(OR(Tabla1[[#This Row],[5]]="TPL"),Tabla1[[#This Row],[7]],"")</f>
        <v>1</v>
      </c>
      <c r="M156" s="52">
        <f>IF(Tabla15[[#This Row],[5]]="",0,VLOOKUP(TRAMOS!$K$2,Tabla5[#All],3,FALSE)*Tabla15[[#This Row],[6]])</f>
        <v>0.9</v>
      </c>
      <c r="N15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5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56" s="52">
        <f>IF(Tabla15[[#This Row],[8]]="",0,VLOOKUP(TRAMOS!$H$2,Tabla5[#All],3,FALSE)*Tabla15[[#This Row],[9]])</f>
        <v>0</v>
      </c>
      <c r="Q15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5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56" s="52">
        <f>IF(Tabla15[[#This Row],[11]]="",0,VLOOKUP(TRAMOS!$Q$2,Tabla5[#All],3,FALSE)*Tabla15[[#This Row],[12]])</f>
        <v>0</v>
      </c>
      <c r="T15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5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5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5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5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5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5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5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56" s="52">
        <f>IF(Tabla15[[#This Row],[20]]="",0,VLOOKUP("VRP",Tabla5[#All],3,FALSE)*Tabla15[[#This Row],[21]])</f>
        <v>0</v>
      </c>
      <c r="AC15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5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56" s="52">
        <f>IF(Tabla15[[#This Row],[23]]="",0,VLOOKUP("VC",Tabla5[#All],3,FALSE)*Tabla15[[#This Row],[24]])</f>
        <v>0</v>
      </c>
      <c r="AF15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5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56" s="52">
        <f>IF(Tabla15[[#This Row],[26]]="",0,VLOOKUP(TRAMOS!$K$2,Tabla5[#All],3,FALSE)*Tabla15[[#This Row],[27]])</f>
        <v>0</v>
      </c>
      <c r="AI15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5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5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5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5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5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5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57" spans="2:41" x14ac:dyDescent="0.25">
      <c r="B157" s="58" t="str">
        <f>Tabla1[[#This Row],[nudo inicial]]</f>
        <v>N648</v>
      </c>
      <c r="C157" s="58" t="str">
        <f>Tabla1[[#This Row],[nudo final]]</f>
        <v>TP53</v>
      </c>
      <c r="D157" s="51">
        <f>Tabla1[[#This Row],[longitud]]</f>
        <v>422.07</v>
      </c>
      <c r="E157" s="51" t="str">
        <f>Tabla1[[#This Row],[diametro]]</f>
        <v>2"</v>
      </c>
      <c r="F157" s="51" t="str">
        <f>Tabla1[[#This Row],[material]]</f>
        <v>PVC</v>
      </c>
      <c r="G15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57" s="52" t="str">
        <f>IF(Tabla1[[#This Row],[5]]="TPD",Tabla1[[#This Row],[6]],"")</f>
        <v/>
      </c>
      <c r="I157" s="52" t="str">
        <f>IF(OR(Tabla1[[#This Row],[5]]="TPD"),Tabla1[[#This Row],[7]],"")</f>
        <v/>
      </c>
      <c r="J157" s="52">
        <f>IF(Tabla15[[#This Row],[2]]="",0,VLOOKUP(TRAMOS!$H$2,Tabla5[#All],3,FALSE)*Tabla15[[#This Row],[3]])</f>
        <v>0</v>
      </c>
      <c r="K157" s="52" t="str">
        <f>IF(Tabla1[[#This Row],[5]]="TPL",Tabla1[[#This Row],[6]],"")</f>
        <v>2"</v>
      </c>
      <c r="L157" s="52">
        <f>IF(OR(Tabla1[[#This Row],[5]]="TPL"),Tabla1[[#This Row],[7]],"")</f>
        <v>1</v>
      </c>
      <c r="M157" s="52">
        <f>IF(Tabla15[[#This Row],[5]]="",0,VLOOKUP(TRAMOS!$K$2,Tabla5[#All],3,FALSE)*Tabla15[[#This Row],[6]])</f>
        <v>0.9</v>
      </c>
      <c r="N15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5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57" s="52">
        <f>IF(Tabla15[[#This Row],[8]]="",0,VLOOKUP(TRAMOS!$H$2,Tabla5[#All],3,FALSE)*Tabla15[[#This Row],[9]])</f>
        <v>0</v>
      </c>
      <c r="Q15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5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57" s="52">
        <f>IF(Tabla15[[#This Row],[11]]="",0,VLOOKUP(TRAMOS!$Q$2,Tabla5[#All],3,FALSE)*Tabla15[[#This Row],[12]])</f>
        <v>0</v>
      </c>
      <c r="T15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5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5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5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5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5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5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5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57" s="52">
        <f>IF(Tabla15[[#This Row],[20]]="",0,VLOOKUP("VRP",Tabla5[#All],3,FALSE)*Tabla15[[#This Row],[21]])</f>
        <v>0</v>
      </c>
      <c r="AC15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5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57" s="52">
        <f>IF(Tabla15[[#This Row],[23]]="",0,VLOOKUP("VC",Tabla5[#All],3,FALSE)*Tabla15[[#This Row],[24]])</f>
        <v>0</v>
      </c>
      <c r="AF15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5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57" s="52">
        <f>IF(Tabla15[[#This Row],[26]]="",0,VLOOKUP(TRAMOS!$K$2,Tabla5[#All],3,FALSE)*Tabla15[[#This Row],[27]])</f>
        <v>0</v>
      </c>
      <c r="AI15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5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5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5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5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57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5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58" spans="2:41" x14ac:dyDescent="0.25">
      <c r="B158" s="58" t="str">
        <f>Tabla1[[#This Row],[nudo inicial]]</f>
        <v>N77</v>
      </c>
      <c r="C158" s="58" t="str">
        <f>Tabla1[[#This Row],[nudo final]]</f>
        <v>N78</v>
      </c>
      <c r="D158" s="51">
        <f>Tabla1[[#This Row],[longitud]]</f>
        <v>221.86</v>
      </c>
      <c r="E158" s="51" t="str">
        <f>Tabla1[[#This Row],[diametro]]</f>
        <v>2"</v>
      </c>
      <c r="F158" s="51" t="str">
        <f>Tabla1[[#This Row],[material]]</f>
        <v>PVC</v>
      </c>
      <c r="G15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158" s="52" t="str">
        <f>IF(Tabla1[[#This Row],[5]]="TPD",Tabla1[[#This Row],[6]],"")</f>
        <v/>
      </c>
      <c r="I158" s="52" t="str">
        <f>IF(OR(Tabla1[[#This Row],[5]]="TPD"),Tabla1[[#This Row],[7]],"")</f>
        <v/>
      </c>
      <c r="J158" s="52">
        <f>IF(Tabla15[[#This Row],[2]]="",0,VLOOKUP(TRAMOS!$H$2,Tabla5[#All],3,FALSE)*Tabla15[[#This Row],[3]])</f>
        <v>0</v>
      </c>
      <c r="K158" s="52" t="str">
        <f>IF(Tabla1[[#This Row],[5]]="TPL",Tabla1[[#This Row],[6]],"")</f>
        <v>4"</v>
      </c>
      <c r="L158" s="52">
        <f>IF(OR(Tabla1[[#This Row],[5]]="TPL"),Tabla1[[#This Row],[7]],"")</f>
        <v>1</v>
      </c>
      <c r="M158" s="52">
        <f>IF(Tabla15[[#This Row],[5]]="",0,VLOOKUP(TRAMOS!$K$2,Tabla5[#All],3,FALSE)*Tabla15[[#This Row],[6]])</f>
        <v>0.9</v>
      </c>
      <c r="N15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5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58" s="52">
        <f>IF(Tabla15[[#This Row],[8]]="",0,VLOOKUP(TRAMOS!$H$2,Tabla5[#All],3,FALSE)*Tabla15[[#This Row],[9]])</f>
        <v>0</v>
      </c>
      <c r="Q15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5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58" s="52">
        <f>IF(Tabla15[[#This Row],[11]]="",0,VLOOKUP(TRAMOS!$Q$2,Tabla5[#All],3,FALSE)*Tabla15[[#This Row],[12]])</f>
        <v>0</v>
      </c>
      <c r="T15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158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5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15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5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5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5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5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58" s="52">
        <f>IF(Tabla15[[#This Row],[20]]="",0,VLOOKUP("VRP",Tabla5[#All],3,FALSE)*Tabla15[[#This Row],[21]])</f>
        <v>0</v>
      </c>
      <c r="AC15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5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58" s="52">
        <f>IF(Tabla15[[#This Row],[23]]="",0,VLOOKUP("VC",Tabla5[#All],3,FALSE)*Tabla15[[#This Row],[24]])</f>
        <v>0</v>
      </c>
      <c r="AF15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5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58" s="52">
        <f>IF(Tabla15[[#This Row],[26]]="",0,VLOOKUP(TRAMOS!$K$2,Tabla5[#All],3,FALSE)*Tabla15[[#This Row],[27]])</f>
        <v>0</v>
      </c>
      <c r="AI15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5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5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5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5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5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5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1.27</v>
      </c>
    </row>
    <row r="159" spans="2:41" x14ac:dyDescent="0.25">
      <c r="B159" s="58" t="str">
        <f>Tabla1[[#This Row],[nudo inicial]]</f>
        <v>N78</v>
      </c>
      <c r="C159" s="58" t="str">
        <f>Tabla1[[#This Row],[nudo final]]</f>
        <v>N79</v>
      </c>
      <c r="D159" s="51">
        <f>Tabla1[[#This Row],[longitud]]</f>
        <v>71.5</v>
      </c>
      <c r="E159" s="51" t="str">
        <f>Tabla1[[#This Row],[diametro]]</f>
        <v>4"</v>
      </c>
      <c r="F159" s="51" t="str">
        <f>Tabla1[[#This Row],[material]]</f>
        <v>PVC</v>
      </c>
      <c r="G15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59" s="52" t="str">
        <f>IF(Tabla1[[#This Row],[5]]="TPD",Tabla1[[#This Row],[6]],"")</f>
        <v/>
      </c>
      <c r="I159" s="52" t="str">
        <f>IF(OR(Tabla1[[#This Row],[5]]="TPD"),Tabla1[[#This Row],[7]],"")</f>
        <v/>
      </c>
      <c r="J159" s="52">
        <f>IF(Tabla15[[#This Row],[2]]="",0,VLOOKUP(TRAMOS!$H$2,Tabla5[#All],3,FALSE)*Tabla15[[#This Row],[3]])</f>
        <v>0</v>
      </c>
      <c r="K159" s="52" t="str">
        <f>IF(Tabla1[[#This Row],[5]]="TPL",Tabla1[[#This Row],[6]],"")</f>
        <v>2"</v>
      </c>
      <c r="L159" s="52">
        <f>IF(OR(Tabla1[[#This Row],[5]]="TPL"),Tabla1[[#This Row],[7]],"")</f>
        <v>1</v>
      </c>
      <c r="M159" s="52">
        <f>IF(Tabla15[[#This Row],[5]]="",0,VLOOKUP(TRAMOS!$K$2,Tabla5[#All],3,FALSE)*Tabla15[[#This Row],[6]])</f>
        <v>0.9</v>
      </c>
      <c r="N15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5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59" s="52">
        <f>IF(Tabla15[[#This Row],[8]]="",0,VLOOKUP(TRAMOS!$H$2,Tabla5[#All],3,FALSE)*Tabla15[[#This Row],[9]])</f>
        <v>0</v>
      </c>
      <c r="Q15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4"</v>
      </c>
      <c r="R159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2</v>
      </c>
      <c r="S159" s="52">
        <f>IF(Tabla15[[#This Row],[11]]="",0,VLOOKUP(TRAMOS!$Q$2,Tabla5[#All],3,FALSE)*Tabla15[[#This Row],[12]])</f>
        <v>1.8</v>
      </c>
      <c r="T15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5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5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5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>4"</v>
      </c>
      <c r="X159" s="52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>1</v>
      </c>
      <c r="Y15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0.68</v>
      </c>
      <c r="Z15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5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59" s="52">
        <f>IF(Tabla15[[#This Row],[20]]="",0,VLOOKUP("VRP",Tabla5[#All],3,FALSE)*Tabla15[[#This Row],[21]])</f>
        <v>0</v>
      </c>
      <c r="AC15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5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59" s="52">
        <f>IF(Tabla15[[#This Row],[23]]="",0,VLOOKUP("VC",Tabla5[#All],3,FALSE)*Tabla15[[#This Row],[24]])</f>
        <v>0</v>
      </c>
      <c r="AF15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5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59" s="52">
        <f>IF(Tabla15[[#This Row],[26]]="",0,VLOOKUP(TRAMOS!$K$2,Tabla5[#All],3,FALSE)*Tabla15[[#This Row],[27]])</f>
        <v>0</v>
      </c>
      <c r="AI15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5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5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5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5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5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5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3.3800000000000003</v>
      </c>
    </row>
    <row r="160" spans="2:41" x14ac:dyDescent="0.25">
      <c r="B160" s="58" t="str">
        <f>Tabla1[[#This Row],[nudo inicial]]</f>
        <v>N79</v>
      </c>
      <c r="C160" s="58" t="str">
        <f>Tabla1[[#This Row],[nudo final]]</f>
        <v>N80</v>
      </c>
      <c r="D160" s="51">
        <f>Tabla1[[#This Row],[longitud]]</f>
        <v>85.539999999999992</v>
      </c>
      <c r="E160" s="51" t="str">
        <f>Tabla1[[#This Row],[diametro]]</f>
        <v>6"</v>
      </c>
      <c r="F160" s="51" t="str">
        <f>Tabla1[[#This Row],[material]]</f>
        <v>PVC</v>
      </c>
      <c r="G16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160" s="52" t="str">
        <f>IF(Tabla1[[#This Row],[5]]="TPD",Tabla1[[#This Row],[6]],"")</f>
        <v/>
      </c>
      <c r="I160" s="52" t="str">
        <f>IF(OR(Tabla1[[#This Row],[5]]="TPD"),Tabla1[[#This Row],[7]],"")</f>
        <v/>
      </c>
      <c r="J160" s="52">
        <f>IF(Tabla15[[#This Row],[2]]="",0,VLOOKUP(TRAMOS!$H$2,Tabla5[#All],3,FALSE)*Tabla15[[#This Row],[3]])</f>
        <v>0</v>
      </c>
      <c r="K160" s="52" t="str">
        <f>IF(Tabla1[[#This Row],[5]]="TPL",Tabla1[[#This Row],[6]],"")</f>
        <v/>
      </c>
      <c r="L160" s="52" t="str">
        <f>IF(OR(Tabla1[[#This Row],[5]]="TPL"),Tabla1[[#This Row],[7]],"")</f>
        <v/>
      </c>
      <c r="M160" s="52">
        <f>IF(Tabla15[[#This Row],[5]]="",0,VLOOKUP(TRAMOS!$K$2,Tabla5[#All],3,FALSE)*Tabla15[[#This Row],[6]])</f>
        <v>0</v>
      </c>
      <c r="N16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6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60" s="52">
        <f>IF(Tabla15[[#This Row],[8]]="",0,VLOOKUP(TRAMOS!$H$2,Tabla5[#All],3,FALSE)*Tabla15[[#This Row],[9]])</f>
        <v>0</v>
      </c>
      <c r="Q16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6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60" s="52">
        <f>IF(Tabla15[[#This Row],[11]]="",0,VLOOKUP(TRAMOS!$Q$2,Tabla5[#All],3,FALSE)*Tabla15[[#This Row],[12]])</f>
        <v>0</v>
      </c>
      <c r="T16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6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6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6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>6"</v>
      </c>
      <c r="X160" s="52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>1</v>
      </c>
      <c r="Y16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0.57000000000000006</v>
      </c>
      <c r="Z16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6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60" s="52">
        <f>IF(Tabla15[[#This Row],[20]]="",0,VLOOKUP("VRP",Tabla5[#All],3,FALSE)*Tabla15[[#This Row],[21]])</f>
        <v>0</v>
      </c>
      <c r="AC16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6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60" s="52">
        <f>IF(Tabla15[[#This Row],[23]]="",0,VLOOKUP("VC",Tabla5[#All],3,FALSE)*Tabla15[[#This Row],[24]])</f>
        <v>0</v>
      </c>
      <c r="AF16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6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60" s="52">
        <f>IF(Tabla15[[#This Row],[26]]="",0,VLOOKUP(TRAMOS!$K$2,Tabla5[#All],3,FALSE)*Tabla15[[#This Row],[27]])</f>
        <v>0</v>
      </c>
      <c r="AI16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6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6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6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6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6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6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0.57000000000000006</v>
      </c>
    </row>
    <row r="161" spans="2:41" x14ac:dyDescent="0.25">
      <c r="B161" s="58" t="str">
        <f>Tabla1[[#This Row],[nudo inicial]]</f>
        <v>N80</v>
      </c>
      <c r="C161" s="58" t="str">
        <f>Tabla1[[#This Row],[nudo final]]</f>
        <v>N81</v>
      </c>
      <c r="D161" s="51">
        <f>Tabla1[[#This Row],[longitud]]</f>
        <v>57.15</v>
      </c>
      <c r="E161" s="51" t="str">
        <f>Tabla1[[#This Row],[diametro]]</f>
        <v>2"</v>
      </c>
      <c r="F161" s="51" t="str">
        <f>Tabla1[[#This Row],[material]]</f>
        <v>PVC</v>
      </c>
      <c r="G16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161" s="52" t="str">
        <f>IF(Tabla1[[#This Row],[5]]="TPD",Tabla1[[#This Row],[6]],"")</f>
        <v/>
      </c>
      <c r="I161" s="52" t="str">
        <f>IF(OR(Tabla1[[#This Row],[5]]="TPD"),Tabla1[[#This Row],[7]],"")</f>
        <v/>
      </c>
      <c r="J161" s="52">
        <f>IF(Tabla15[[#This Row],[2]]="",0,VLOOKUP(TRAMOS!$H$2,Tabla5[#All],3,FALSE)*Tabla15[[#This Row],[3]])</f>
        <v>0</v>
      </c>
      <c r="K161" s="52" t="str">
        <f>IF(Tabla1[[#This Row],[5]]="TPL",Tabla1[[#This Row],[6]],"")</f>
        <v>6"</v>
      </c>
      <c r="L161" s="52">
        <f>IF(OR(Tabla1[[#This Row],[5]]="TPL"),Tabla1[[#This Row],[7]],"")</f>
        <v>1</v>
      </c>
      <c r="M161" s="52">
        <f>IF(Tabla15[[#This Row],[5]]="",0,VLOOKUP(TRAMOS!$K$2,Tabla5[#All],3,FALSE)*Tabla15[[#This Row],[6]])</f>
        <v>0.9</v>
      </c>
      <c r="N16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6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61" s="52">
        <f>IF(Tabla15[[#This Row],[8]]="",0,VLOOKUP(TRAMOS!$H$2,Tabla5[#All],3,FALSE)*Tabla15[[#This Row],[9]])</f>
        <v>0</v>
      </c>
      <c r="Q16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6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61" s="52">
        <f>IF(Tabla15[[#This Row],[11]]="",0,VLOOKUP(TRAMOS!$Q$2,Tabla5[#All],3,FALSE)*Tabla15[[#This Row],[12]])</f>
        <v>0</v>
      </c>
      <c r="T16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161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6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0.43</v>
      </c>
      <c r="W16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6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6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6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6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61" s="52">
        <f>IF(Tabla15[[#This Row],[20]]="",0,VLOOKUP("VRP",Tabla5[#All],3,FALSE)*Tabla15[[#This Row],[21]])</f>
        <v>0</v>
      </c>
      <c r="AC16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161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161" s="52">
        <f>IF(Tabla15[[#This Row],[23]]="",0,VLOOKUP("VC",Tabla5[#All],3,FALSE)*Tabla15[[#This Row],[24]])</f>
        <v>0.25</v>
      </c>
      <c r="AF16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6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61" s="52">
        <f>IF(Tabla15[[#This Row],[26]]="",0,VLOOKUP(TRAMOS!$K$2,Tabla5[#All],3,FALSE)*Tabla15[[#This Row],[27]])</f>
        <v>0</v>
      </c>
      <c r="AI16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6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6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6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6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6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6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1.58</v>
      </c>
    </row>
    <row r="162" spans="2:41" x14ac:dyDescent="0.25">
      <c r="B162" s="58" t="str">
        <f>Tabla1[[#This Row],[nudo inicial]]</f>
        <v>N81</v>
      </c>
      <c r="C162" s="58" t="str">
        <f>Tabla1[[#This Row],[nudo final]]</f>
        <v>TP54</v>
      </c>
      <c r="D162" s="51">
        <f>Tabla1[[#This Row],[longitud]]</f>
        <v>65.010000000000005</v>
      </c>
      <c r="E162" s="51" t="str">
        <f>Tabla1[[#This Row],[diametro]]</f>
        <v>2"</v>
      </c>
      <c r="F162" s="51" t="str">
        <f>Tabla1[[#This Row],[material]]</f>
        <v>PVC</v>
      </c>
      <c r="G16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62" s="52" t="str">
        <f>IF(Tabla1[[#This Row],[5]]="TPD",Tabla1[[#This Row],[6]],"")</f>
        <v/>
      </c>
      <c r="I162" s="52" t="str">
        <f>IF(OR(Tabla1[[#This Row],[5]]="TPD"),Tabla1[[#This Row],[7]],"")</f>
        <v/>
      </c>
      <c r="J162" s="52">
        <f>IF(Tabla15[[#This Row],[2]]="",0,VLOOKUP(TRAMOS!$H$2,Tabla5[#All],3,FALSE)*Tabla15[[#This Row],[3]])</f>
        <v>0</v>
      </c>
      <c r="K162" s="52" t="str">
        <f>IF(Tabla1[[#This Row],[5]]="TPL",Tabla1[[#This Row],[6]],"")</f>
        <v>2"</v>
      </c>
      <c r="L162" s="52">
        <f>IF(OR(Tabla1[[#This Row],[5]]="TPL"),Tabla1[[#This Row],[7]],"")</f>
        <v>1</v>
      </c>
      <c r="M162" s="52">
        <f>IF(Tabla15[[#This Row],[5]]="",0,VLOOKUP(TRAMOS!$K$2,Tabla5[#All],3,FALSE)*Tabla15[[#This Row],[6]])</f>
        <v>0.9</v>
      </c>
      <c r="N16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6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62" s="52">
        <f>IF(Tabla15[[#This Row],[8]]="",0,VLOOKUP(TRAMOS!$H$2,Tabla5[#All],3,FALSE)*Tabla15[[#This Row],[9]])</f>
        <v>0</v>
      </c>
      <c r="Q16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6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62" s="52">
        <f>IF(Tabla15[[#This Row],[11]]="",0,VLOOKUP(TRAMOS!$Q$2,Tabla5[#All],3,FALSE)*Tabla15[[#This Row],[12]])</f>
        <v>0</v>
      </c>
      <c r="T16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6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6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6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6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6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6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6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62" s="52">
        <f>IF(Tabla15[[#This Row],[20]]="",0,VLOOKUP("VRP",Tabla5[#All],3,FALSE)*Tabla15[[#This Row],[21]])</f>
        <v>0</v>
      </c>
      <c r="AC16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6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62" s="52">
        <f>IF(Tabla15[[#This Row],[23]]="",0,VLOOKUP("VC",Tabla5[#All],3,FALSE)*Tabla15[[#This Row],[24]])</f>
        <v>0</v>
      </c>
      <c r="AF16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6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62" s="52">
        <f>IF(Tabla15[[#This Row],[26]]="",0,VLOOKUP(TRAMOS!$K$2,Tabla5[#All],3,FALSE)*Tabla15[[#This Row],[27]])</f>
        <v>0</v>
      </c>
      <c r="AI16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6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6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6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6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62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6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63" spans="2:41" x14ac:dyDescent="0.25">
      <c r="B163" s="58" t="str">
        <f>Tabla1[[#This Row],[nudo inicial]]</f>
        <v>N81</v>
      </c>
      <c r="C163" s="58" t="str">
        <f>Tabla1[[#This Row],[nudo final]]</f>
        <v>N82</v>
      </c>
      <c r="D163" s="51">
        <f>Tabla1[[#This Row],[longitud]]</f>
        <v>28.81</v>
      </c>
      <c r="E163" s="51" t="str">
        <f>Tabla1[[#This Row],[diametro]]</f>
        <v>2"</v>
      </c>
      <c r="F163" s="51" t="str">
        <f>Tabla1[[#This Row],[material]]</f>
        <v>PVC</v>
      </c>
      <c r="G16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63" s="52" t="str">
        <f>IF(Tabla1[[#This Row],[5]]="TPD",Tabla1[[#This Row],[6]],"")</f>
        <v>2"</v>
      </c>
      <c r="I163" s="52">
        <f>IF(OR(Tabla1[[#This Row],[5]]="TPD"),Tabla1[[#This Row],[7]],"")</f>
        <v>1</v>
      </c>
      <c r="J163" s="52">
        <f>IF(Tabla15[[#This Row],[2]]="",0,VLOOKUP(TRAMOS!$H$2,Tabla5[#All],3,FALSE)*Tabla15[[#This Row],[3]])</f>
        <v>0.15</v>
      </c>
      <c r="K163" s="52" t="str">
        <f>IF(Tabla1[[#This Row],[5]]="TPL",Tabla1[[#This Row],[6]],"")</f>
        <v/>
      </c>
      <c r="L163" s="52" t="str">
        <f>IF(OR(Tabla1[[#This Row],[5]]="TPL"),Tabla1[[#This Row],[7]],"")</f>
        <v/>
      </c>
      <c r="M163" s="52">
        <f>IF(Tabla15[[#This Row],[5]]="",0,VLOOKUP(TRAMOS!$K$2,Tabla5[#All],3,FALSE)*Tabla15[[#This Row],[6]])</f>
        <v>0</v>
      </c>
      <c r="N16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6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63" s="52">
        <f>IF(Tabla15[[#This Row],[8]]="",0,VLOOKUP(TRAMOS!$H$2,Tabla5[#All],3,FALSE)*Tabla15[[#This Row],[9]])</f>
        <v>0</v>
      </c>
      <c r="Q16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6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63" s="52">
        <f>IF(Tabla15[[#This Row],[11]]="",0,VLOOKUP(TRAMOS!$Q$2,Tabla5[#All],3,FALSE)*Tabla15[[#This Row],[12]])</f>
        <v>0</v>
      </c>
      <c r="T16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6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6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6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6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6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6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6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63" s="52">
        <f>IF(Tabla15[[#This Row],[20]]="",0,VLOOKUP("VRP",Tabla5[#All],3,FALSE)*Tabla15[[#This Row],[21]])</f>
        <v>0</v>
      </c>
      <c r="AC16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6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63" s="52">
        <f>IF(Tabla15[[#This Row],[23]]="",0,VLOOKUP("VC",Tabla5[#All],3,FALSE)*Tabla15[[#This Row],[24]])</f>
        <v>0</v>
      </c>
      <c r="AF16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6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63" s="52">
        <f>IF(Tabla15[[#This Row],[26]]="",0,VLOOKUP(TRAMOS!$K$2,Tabla5[#All],3,FALSE)*Tabla15[[#This Row],[27]])</f>
        <v>0</v>
      </c>
      <c r="AI16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6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6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6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6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6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6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64" spans="2:41" x14ac:dyDescent="0.25">
      <c r="B164" s="58" t="str">
        <f>Tabla1[[#This Row],[nudo inicial]]</f>
        <v>N82</v>
      </c>
      <c r="C164" s="58" t="str">
        <f>Tabla1[[#This Row],[nudo final]]</f>
        <v>TP55</v>
      </c>
      <c r="D164" s="51">
        <f>Tabla1[[#This Row],[longitud]]</f>
        <v>73.430000000000007</v>
      </c>
      <c r="E164" s="51" t="str">
        <f>Tabla1[[#This Row],[diametro]]</f>
        <v>2"</v>
      </c>
      <c r="F164" s="51" t="str">
        <f>Tabla1[[#This Row],[material]]</f>
        <v>PVC</v>
      </c>
      <c r="G16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64" s="52" t="str">
        <f>IF(Tabla1[[#This Row],[5]]="TPD",Tabla1[[#This Row],[6]],"")</f>
        <v/>
      </c>
      <c r="I164" s="52" t="str">
        <f>IF(OR(Tabla1[[#This Row],[5]]="TPD"),Tabla1[[#This Row],[7]],"")</f>
        <v/>
      </c>
      <c r="J164" s="52">
        <f>IF(Tabla15[[#This Row],[2]]="",0,VLOOKUP(TRAMOS!$H$2,Tabla5[#All],3,FALSE)*Tabla15[[#This Row],[3]])</f>
        <v>0</v>
      </c>
      <c r="K164" s="52" t="str">
        <f>IF(Tabla1[[#This Row],[5]]="TPL",Tabla1[[#This Row],[6]],"")</f>
        <v>2"</v>
      </c>
      <c r="L164" s="52">
        <f>IF(OR(Tabla1[[#This Row],[5]]="TPL"),Tabla1[[#This Row],[7]],"")</f>
        <v>1</v>
      </c>
      <c r="M164" s="52">
        <f>IF(Tabla15[[#This Row],[5]]="",0,VLOOKUP(TRAMOS!$K$2,Tabla5[#All],3,FALSE)*Tabla15[[#This Row],[6]])</f>
        <v>0.9</v>
      </c>
      <c r="N16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6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64" s="52">
        <f>IF(Tabla15[[#This Row],[8]]="",0,VLOOKUP(TRAMOS!$H$2,Tabla5[#All],3,FALSE)*Tabla15[[#This Row],[9]])</f>
        <v>0</v>
      </c>
      <c r="Q16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6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64" s="52">
        <f>IF(Tabla15[[#This Row],[11]]="",0,VLOOKUP(TRAMOS!$Q$2,Tabla5[#All],3,FALSE)*Tabla15[[#This Row],[12]])</f>
        <v>0</v>
      </c>
      <c r="T16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6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6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6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6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6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6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6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64" s="52">
        <f>IF(Tabla15[[#This Row],[20]]="",0,VLOOKUP("VRP",Tabla5[#All],3,FALSE)*Tabla15[[#This Row],[21]])</f>
        <v>0</v>
      </c>
      <c r="AC16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6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64" s="52">
        <f>IF(Tabla15[[#This Row],[23]]="",0,VLOOKUP("VC",Tabla5[#All],3,FALSE)*Tabla15[[#This Row],[24]])</f>
        <v>0</v>
      </c>
      <c r="AF16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6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64" s="52">
        <f>IF(Tabla15[[#This Row],[26]]="",0,VLOOKUP(TRAMOS!$K$2,Tabla5[#All],3,FALSE)*Tabla15[[#This Row],[27]])</f>
        <v>0</v>
      </c>
      <c r="AI16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6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6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6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6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64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6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65" spans="2:41" x14ac:dyDescent="0.25">
      <c r="B165" s="58" t="str">
        <f>Tabla1[[#This Row],[nudo inicial]]</f>
        <v>N82</v>
      </c>
      <c r="C165" s="58" t="str">
        <f>Tabla1[[#This Row],[nudo final]]</f>
        <v>N83</v>
      </c>
      <c r="D165" s="51">
        <f>Tabla1[[#This Row],[longitud]]</f>
        <v>28.58</v>
      </c>
      <c r="E165" s="51" t="str">
        <f>Tabla1[[#This Row],[diametro]]</f>
        <v>2"</v>
      </c>
      <c r="F165" s="51" t="str">
        <f>Tabla1[[#This Row],[material]]</f>
        <v>PVC</v>
      </c>
      <c r="G16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65" s="52" t="str">
        <f>IF(Tabla1[[#This Row],[5]]="TPD",Tabla1[[#This Row],[6]],"")</f>
        <v>2"</v>
      </c>
      <c r="I165" s="52">
        <f>IF(OR(Tabla1[[#This Row],[5]]="TPD"),Tabla1[[#This Row],[7]],"")</f>
        <v>1</v>
      </c>
      <c r="J165" s="52">
        <f>IF(Tabla15[[#This Row],[2]]="",0,VLOOKUP(TRAMOS!$H$2,Tabla5[#All],3,FALSE)*Tabla15[[#This Row],[3]])</f>
        <v>0.15</v>
      </c>
      <c r="K165" s="52" t="str">
        <f>IF(Tabla1[[#This Row],[5]]="TPL",Tabla1[[#This Row],[6]],"")</f>
        <v/>
      </c>
      <c r="L165" s="52" t="str">
        <f>IF(OR(Tabla1[[#This Row],[5]]="TPL"),Tabla1[[#This Row],[7]],"")</f>
        <v/>
      </c>
      <c r="M165" s="52">
        <f>IF(Tabla15[[#This Row],[5]]="",0,VLOOKUP(TRAMOS!$K$2,Tabla5[#All],3,FALSE)*Tabla15[[#This Row],[6]])</f>
        <v>0</v>
      </c>
      <c r="N16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6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65" s="52">
        <f>IF(Tabla15[[#This Row],[8]]="",0,VLOOKUP(TRAMOS!$H$2,Tabla5[#All],3,FALSE)*Tabla15[[#This Row],[9]])</f>
        <v>0</v>
      </c>
      <c r="Q16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6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65" s="52">
        <f>IF(Tabla15[[#This Row],[11]]="",0,VLOOKUP(TRAMOS!$Q$2,Tabla5[#All],3,FALSE)*Tabla15[[#This Row],[12]])</f>
        <v>0</v>
      </c>
      <c r="T16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6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6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6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6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6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6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6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65" s="52">
        <f>IF(Tabla15[[#This Row],[20]]="",0,VLOOKUP("VRP",Tabla5[#All],3,FALSE)*Tabla15[[#This Row],[21]])</f>
        <v>0</v>
      </c>
      <c r="AC16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6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65" s="52">
        <f>IF(Tabla15[[#This Row],[23]]="",0,VLOOKUP("VC",Tabla5[#All],3,FALSE)*Tabla15[[#This Row],[24]])</f>
        <v>0</v>
      </c>
      <c r="AF16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6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65" s="52">
        <f>IF(Tabla15[[#This Row],[26]]="",0,VLOOKUP(TRAMOS!$K$2,Tabla5[#All],3,FALSE)*Tabla15[[#This Row],[27]])</f>
        <v>0</v>
      </c>
      <c r="AI16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6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6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6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6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6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6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66" spans="2:41" x14ac:dyDescent="0.25">
      <c r="B166" s="58" t="str">
        <f>Tabla1[[#This Row],[nudo inicial]]</f>
        <v>N83</v>
      </c>
      <c r="C166" s="58" t="str">
        <f>Tabla1[[#This Row],[nudo final]]</f>
        <v>TP56</v>
      </c>
      <c r="D166" s="51">
        <f>Tabla1[[#This Row],[longitud]]</f>
        <v>31.07</v>
      </c>
      <c r="E166" s="51" t="str">
        <f>Tabla1[[#This Row],[diametro]]</f>
        <v>2"</v>
      </c>
      <c r="F166" s="51" t="str">
        <f>Tabla1[[#This Row],[material]]</f>
        <v>PVC</v>
      </c>
      <c r="G16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66" s="52" t="str">
        <f>IF(Tabla1[[#This Row],[5]]="TPD",Tabla1[[#This Row],[6]],"")</f>
        <v/>
      </c>
      <c r="I166" s="52" t="str">
        <f>IF(OR(Tabla1[[#This Row],[5]]="TPD"),Tabla1[[#This Row],[7]],"")</f>
        <v/>
      </c>
      <c r="J166" s="52">
        <f>IF(Tabla15[[#This Row],[2]]="",0,VLOOKUP(TRAMOS!$H$2,Tabla5[#All],3,FALSE)*Tabla15[[#This Row],[3]])</f>
        <v>0</v>
      </c>
      <c r="K166" s="52" t="str">
        <f>IF(Tabla1[[#This Row],[5]]="TPL",Tabla1[[#This Row],[6]],"")</f>
        <v>2"</v>
      </c>
      <c r="L166" s="52">
        <f>IF(OR(Tabla1[[#This Row],[5]]="TPL"),Tabla1[[#This Row],[7]],"")</f>
        <v>1</v>
      </c>
      <c r="M166" s="52">
        <f>IF(Tabla15[[#This Row],[5]]="",0,VLOOKUP(TRAMOS!$K$2,Tabla5[#All],3,FALSE)*Tabla15[[#This Row],[6]])</f>
        <v>0.9</v>
      </c>
      <c r="N16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6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66" s="52">
        <f>IF(Tabla15[[#This Row],[8]]="",0,VLOOKUP(TRAMOS!$H$2,Tabla5[#All],3,FALSE)*Tabla15[[#This Row],[9]])</f>
        <v>0</v>
      </c>
      <c r="Q16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6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66" s="52">
        <f>IF(Tabla15[[#This Row],[11]]="",0,VLOOKUP(TRAMOS!$Q$2,Tabla5[#All],3,FALSE)*Tabla15[[#This Row],[12]])</f>
        <v>0</v>
      </c>
      <c r="T16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6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6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6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6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6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6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6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66" s="52">
        <f>IF(Tabla15[[#This Row],[20]]="",0,VLOOKUP("VRP",Tabla5[#All],3,FALSE)*Tabla15[[#This Row],[21]])</f>
        <v>0</v>
      </c>
      <c r="AC16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6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66" s="52">
        <f>IF(Tabla15[[#This Row],[23]]="",0,VLOOKUP("VC",Tabla5[#All],3,FALSE)*Tabla15[[#This Row],[24]])</f>
        <v>0</v>
      </c>
      <c r="AF16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6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66" s="52">
        <f>IF(Tabla15[[#This Row],[26]]="",0,VLOOKUP(TRAMOS!$K$2,Tabla5[#All],3,FALSE)*Tabla15[[#This Row],[27]])</f>
        <v>0</v>
      </c>
      <c r="AI16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6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6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6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6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6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6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67" spans="2:41" x14ac:dyDescent="0.25">
      <c r="B167" s="58" t="str">
        <f>Tabla1[[#This Row],[nudo inicial]]</f>
        <v>N83</v>
      </c>
      <c r="C167" s="58" t="str">
        <f>Tabla1[[#This Row],[nudo final]]</f>
        <v>N84</v>
      </c>
      <c r="D167" s="51">
        <f>Tabla1[[#This Row],[longitud]]</f>
        <v>1.35</v>
      </c>
      <c r="E167" s="51" t="str">
        <f>Tabla1[[#This Row],[diametro]]</f>
        <v>2"</v>
      </c>
      <c r="F167" s="51" t="str">
        <f>Tabla1[[#This Row],[material]]</f>
        <v>PVC</v>
      </c>
      <c r="G16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67" s="52" t="str">
        <f>IF(Tabla1[[#This Row],[5]]="TPD",Tabla1[[#This Row],[6]],"")</f>
        <v>2"</v>
      </c>
      <c r="I167" s="52">
        <f>IF(OR(Tabla1[[#This Row],[5]]="TPD"),Tabla1[[#This Row],[7]],"")</f>
        <v>1</v>
      </c>
      <c r="J167" s="52">
        <f>IF(Tabla15[[#This Row],[2]]="",0,VLOOKUP(TRAMOS!$H$2,Tabla5[#All],3,FALSE)*Tabla15[[#This Row],[3]])</f>
        <v>0.15</v>
      </c>
      <c r="K167" s="52" t="str">
        <f>IF(Tabla1[[#This Row],[5]]="TPL",Tabla1[[#This Row],[6]],"")</f>
        <v/>
      </c>
      <c r="L167" s="52" t="str">
        <f>IF(OR(Tabla1[[#This Row],[5]]="TPL"),Tabla1[[#This Row],[7]],"")</f>
        <v/>
      </c>
      <c r="M167" s="52">
        <f>IF(Tabla15[[#This Row],[5]]="",0,VLOOKUP(TRAMOS!$K$2,Tabla5[#All],3,FALSE)*Tabla15[[#This Row],[6]])</f>
        <v>0</v>
      </c>
      <c r="N16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6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67" s="52">
        <f>IF(Tabla15[[#This Row],[8]]="",0,VLOOKUP(TRAMOS!$H$2,Tabla5[#All],3,FALSE)*Tabla15[[#This Row],[9]])</f>
        <v>0</v>
      </c>
      <c r="Q16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6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67" s="52">
        <f>IF(Tabla15[[#This Row],[11]]="",0,VLOOKUP(TRAMOS!$Q$2,Tabla5[#All],3,FALSE)*Tabla15[[#This Row],[12]])</f>
        <v>0</v>
      </c>
      <c r="T16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6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6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6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6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6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6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6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67" s="52">
        <f>IF(Tabla15[[#This Row],[20]]="",0,VLOOKUP("VRP",Tabla5[#All],3,FALSE)*Tabla15[[#This Row],[21]])</f>
        <v>0</v>
      </c>
      <c r="AC16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6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67" s="52">
        <f>IF(Tabla15[[#This Row],[23]]="",0,VLOOKUP("VC",Tabla5[#All],3,FALSE)*Tabla15[[#This Row],[24]])</f>
        <v>0</v>
      </c>
      <c r="AF16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6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67" s="52">
        <f>IF(Tabla15[[#This Row],[26]]="",0,VLOOKUP(TRAMOS!$K$2,Tabla5[#All],3,FALSE)*Tabla15[[#This Row],[27]])</f>
        <v>0</v>
      </c>
      <c r="AI16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6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6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6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6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6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6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68" spans="2:41" x14ac:dyDescent="0.25">
      <c r="B168" s="58" t="str">
        <f>Tabla1[[#This Row],[nudo inicial]]</f>
        <v>N84</v>
      </c>
      <c r="C168" s="58" t="str">
        <f>Tabla1[[#This Row],[nudo final]]</f>
        <v>TP57</v>
      </c>
      <c r="D168" s="51">
        <f>Tabla1[[#This Row],[longitud]]</f>
        <v>75.19</v>
      </c>
      <c r="E168" s="51" t="str">
        <f>Tabla1[[#This Row],[diametro]]</f>
        <v>2"</v>
      </c>
      <c r="F168" s="51" t="str">
        <f>Tabla1[[#This Row],[material]]</f>
        <v>PVC</v>
      </c>
      <c r="G16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68" s="52" t="str">
        <f>IF(Tabla1[[#This Row],[5]]="TPD",Tabla1[[#This Row],[6]],"")</f>
        <v/>
      </c>
      <c r="I168" s="52" t="str">
        <f>IF(OR(Tabla1[[#This Row],[5]]="TPD"),Tabla1[[#This Row],[7]],"")</f>
        <v/>
      </c>
      <c r="J168" s="52">
        <f>IF(Tabla15[[#This Row],[2]]="",0,VLOOKUP(TRAMOS!$H$2,Tabla5[#All],3,FALSE)*Tabla15[[#This Row],[3]])</f>
        <v>0</v>
      </c>
      <c r="K168" s="52" t="str">
        <f>IF(Tabla1[[#This Row],[5]]="TPL",Tabla1[[#This Row],[6]],"")</f>
        <v>2"</v>
      </c>
      <c r="L168" s="52">
        <f>IF(OR(Tabla1[[#This Row],[5]]="TPL"),Tabla1[[#This Row],[7]],"")</f>
        <v>1</v>
      </c>
      <c r="M168" s="52">
        <f>IF(Tabla15[[#This Row],[5]]="",0,VLOOKUP(TRAMOS!$K$2,Tabla5[#All],3,FALSE)*Tabla15[[#This Row],[6]])</f>
        <v>0.9</v>
      </c>
      <c r="N16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6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68" s="52">
        <f>IF(Tabla15[[#This Row],[8]]="",0,VLOOKUP(TRAMOS!$H$2,Tabla5[#All],3,FALSE)*Tabla15[[#This Row],[9]])</f>
        <v>0</v>
      </c>
      <c r="Q16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6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68" s="52">
        <f>IF(Tabla15[[#This Row],[11]]="",0,VLOOKUP(TRAMOS!$Q$2,Tabla5[#All],3,FALSE)*Tabla15[[#This Row],[12]])</f>
        <v>0</v>
      </c>
      <c r="T16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6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6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6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6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6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6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6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68" s="52">
        <f>IF(Tabla15[[#This Row],[20]]="",0,VLOOKUP("VRP",Tabla5[#All],3,FALSE)*Tabla15[[#This Row],[21]])</f>
        <v>0</v>
      </c>
      <c r="AC16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6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68" s="52">
        <f>IF(Tabla15[[#This Row],[23]]="",0,VLOOKUP("VC",Tabla5[#All],3,FALSE)*Tabla15[[#This Row],[24]])</f>
        <v>0</v>
      </c>
      <c r="AF16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6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68" s="52">
        <f>IF(Tabla15[[#This Row],[26]]="",0,VLOOKUP(TRAMOS!$K$2,Tabla5[#All],3,FALSE)*Tabla15[[#This Row],[27]])</f>
        <v>0</v>
      </c>
      <c r="AI16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6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6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6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6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68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6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69" spans="2:41" x14ac:dyDescent="0.25">
      <c r="B169" s="58" t="str">
        <f>Tabla1[[#This Row],[nudo inicial]]</f>
        <v>N84</v>
      </c>
      <c r="C169" s="58" t="str">
        <f>Tabla1[[#This Row],[nudo final]]</f>
        <v>TP58</v>
      </c>
      <c r="D169" s="51">
        <f>Tabla1[[#This Row],[longitud]]</f>
        <v>45.03</v>
      </c>
      <c r="E169" s="51" t="str">
        <f>Tabla1[[#This Row],[diametro]]</f>
        <v>2"</v>
      </c>
      <c r="F169" s="51" t="str">
        <f>Tabla1[[#This Row],[material]]</f>
        <v>PVC</v>
      </c>
      <c r="G16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69" s="52" t="str">
        <f>IF(Tabla1[[#This Row],[5]]="TPD",Tabla1[[#This Row],[6]],"")</f>
        <v>2"</v>
      </c>
      <c r="I169" s="52">
        <f>IF(OR(Tabla1[[#This Row],[5]]="TPD"),Tabla1[[#This Row],[7]],"")</f>
        <v>1</v>
      </c>
      <c r="J169" s="52">
        <f>IF(Tabla15[[#This Row],[2]]="",0,VLOOKUP(TRAMOS!$H$2,Tabla5[#All],3,FALSE)*Tabla15[[#This Row],[3]])</f>
        <v>0.15</v>
      </c>
      <c r="K169" s="52" t="str">
        <f>IF(Tabla1[[#This Row],[5]]="TPL",Tabla1[[#This Row],[6]],"")</f>
        <v/>
      </c>
      <c r="L169" s="52" t="str">
        <f>IF(OR(Tabla1[[#This Row],[5]]="TPL"),Tabla1[[#This Row],[7]],"")</f>
        <v/>
      </c>
      <c r="M169" s="52">
        <f>IF(Tabla15[[#This Row],[5]]="",0,VLOOKUP(TRAMOS!$K$2,Tabla5[#All],3,FALSE)*Tabla15[[#This Row],[6]])</f>
        <v>0</v>
      </c>
      <c r="N16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6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69" s="52">
        <f>IF(Tabla15[[#This Row],[8]]="",0,VLOOKUP(TRAMOS!$H$2,Tabla5[#All],3,FALSE)*Tabla15[[#This Row],[9]])</f>
        <v>0</v>
      </c>
      <c r="Q16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169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169" s="52">
        <f>IF(Tabla15[[#This Row],[11]]="",0,VLOOKUP(TRAMOS!$Q$2,Tabla5[#All],3,FALSE)*Tabla15[[#This Row],[12]])</f>
        <v>0.9</v>
      </c>
      <c r="T16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6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6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6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6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6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6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6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69" s="52">
        <f>IF(Tabla15[[#This Row],[20]]="",0,VLOOKUP("VRP",Tabla5[#All],3,FALSE)*Tabla15[[#This Row],[21]])</f>
        <v>0</v>
      </c>
      <c r="AC16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6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69" s="52">
        <f>IF(Tabla15[[#This Row],[23]]="",0,VLOOKUP("VC",Tabla5[#All],3,FALSE)*Tabla15[[#This Row],[24]])</f>
        <v>0</v>
      </c>
      <c r="AF16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6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69" s="52">
        <f>IF(Tabla15[[#This Row],[26]]="",0,VLOOKUP(TRAMOS!$K$2,Tabla5[#All],3,FALSE)*Tabla15[[#This Row],[27]])</f>
        <v>0</v>
      </c>
      <c r="AI16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6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6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6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6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69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6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170" spans="2:41" x14ac:dyDescent="0.25">
      <c r="B170" s="58" t="str">
        <f>Tabla1[[#This Row],[nudo inicial]]</f>
        <v>N80</v>
      </c>
      <c r="C170" s="58" t="str">
        <f>Tabla1[[#This Row],[nudo final]]</f>
        <v>N85</v>
      </c>
      <c r="D170" s="51">
        <f>Tabla1[[#This Row],[longitud]]</f>
        <v>48.97</v>
      </c>
      <c r="E170" s="51" t="str">
        <f>Tabla1[[#This Row],[diametro]]</f>
        <v>6"</v>
      </c>
      <c r="F170" s="51" t="str">
        <f>Tabla1[[#This Row],[material]]</f>
        <v>PVC</v>
      </c>
      <c r="G17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170" s="52" t="str">
        <f>IF(Tabla1[[#This Row],[5]]="TPD",Tabla1[[#This Row],[6]],"")</f>
        <v>6"</v>
      </c>
      <c r="I170" s="52">
        <f>IF(OR(Tabla1[[#This Row],[5]]="TPD"),Tabla1[[#This Row],[7]],"")</f>
        <v>1</v>
      </c>
      <c r="J170" s="52">
        <f>IF(Tabla15[[#This Row],[2]]="",0,VLOOKUP(TRAMOS!$H$2,Tabla5[#All],3,FALSE)*Tabla15[[#This Row],[3]])</f>
        <v>0.15</v>
      </c>
      <c r="K170" s="52" t="str">
        <f>IF(Tabla1[[#This Row],[5]]="TPL",Tabla1[[#This Row],[6]],"")</f>
        <v/>
      </c>
      <c r="L170" s="52" t="str">
        <f>IF(OR(Tabla1[[#This Row],[5]]="TPL"),Tabla1[[#This Row],[7]],"")</f>
        <v/>
      </c>
      <c r="M170" s="52">
        <f>IF(Tabla15[[#This Row],[5]]="",0,VLOOKUP(TRAMOS!$K$2,Tabla5[#All],3,FALSE)*Tabla15[[#This Row],[6]])</f>
        <v>0</v>
      </c>
      <c r="N17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7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70" s="52">
        <f>IF(Tabla15[[#This Row],[8]]="",0,VLOOKUP(TRAMOS!$H$2,Tabla5[#All],3,FALSE)*Tabla15[[#This Row],[9]])</f>
        <v>0</v>
      </c>
      <c r="Q17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7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70" s="52">
        <f>IF(Tabla15[[#This Row],[11]]="",0,VLOOKUP(TRAMOS!$Q$2,Tabla5[#All],3,FALSE)*Tabla15[[#This Row],[12]])</f>
        <v>0</v>
      </c>
      <c r="T17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7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7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7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7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7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7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7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70" s="52">
        <f>IF(Tabla15[[#This Row],[20]]="",0,VLOOKUP("VRP",Tabla5[#All],3,FALSE)*Tabla15[[#This Row],[21]])</f>
        <v>0</v>
      </c>
      <c r="AC17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7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70" s="52">
        <f>IF(Tabla15[[#This Row],[23]]="",0,VLOOKUP("VC",Tabla5[#All],3,FALSE)*Tabla15[[#This Row],[24]])</f>
        <v>0</v>
      </c>
      <c r="AF17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7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70" s="52">
        <f>IF(Tabla15[[#This Row],[26]]="",0,VLOOKUP(TRAMOS!$K$2,Tabla5[#All],3,FALSE)*Tabla15[[#This Row],[27]])</f>
        <v>0</v>
      </c>
      <c r="AI17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7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7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7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7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7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7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71" spans="2:41" x14ac:dyDescent="0.25">
      <c r="B171" s="58" t="str">
        <f>Tabla1[[#This Row],[nudo inicial]]</f>
        <v>N85</v>
      </c>
      <c r="C171" s="58" t="str">
        <f>Tabla1[[#This Row],[nudo final]]</f>
        <v>TP59</v>
      </c>
      <c r="D171" s="51">
        <f>Tabla1[[#This Row],[longitud]]</f>
        <v>267.11</v>
      </c>
      <c r="E171" s="51" t="str">
        <f>Tabla1[[#This Row],[diametro]]</f>
        <v>2"</v>
      </c>
      <c r="F171" s="51" t="str">
        <f>Tabla1[[#This Row],[material]]</f>
        <v>PVC</v>
      </c>
      <c r="G17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171" s="52" t="str">
        <f>IF(Tabla1[[#This Row],[5]]="TPD",Tabla1[[#This Row],[6]],"")</f>
        <v/>
      </c>
      <c r="I171" s="52" t="str">
        <f>IF(OR(Tabla1[[#This Row],[5]]="TPD"),Tabla1[[#This Row],[7]],"")</f>
        <v/>
      </c>
      <c r="J171" s="52">
        <f>IF(Tabla15[[#This Row],[2]]="",0,VLOOKUP(TRAMOS!$H$2,Tabla5[#All],3,FALSE)*Tabla15[[#This Row],[3]])</f>
        <v>0</v>
      </c>
      <c r="K171" s="52" t="str">
        <f>IF(Tabla1[[#This Row],[5]]="TPL",Tabla1[[#This Row],[6]],"")</f>
        <v>6"</v>
      </c>
      <c r="L171" s="52">
        <f>IF(OR(Tabla1[[#This Row],[5]]="TPL"),Tabla1[[#This Row],[7]],"")</f>
        <v>1</v>
      </c>
      <c r="M171" s="52">
        <f>IF(Tabla15[[#This Row],[5]]="",0,VLOOKUP(TRAMOS!$K$2,Tabla5[#All],3,FALSE)*Tabla15[[#This Row],[6]])</f>
        <v>0.9</v>
      </c>
      <c r="N17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7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71" s="52">
        <f>IF(Tabla15[[#This Row],[8]]="",0,VLOOKUP(TRAMOS!$H$2,Tabla5[#All],3,FALSE)*Tabla15[[#This Row],[9]])</f>
        <v>0</v>
      </c>
      <c r="Q17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7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71" s="52">
        <f>IF(Tabla15[[#This Row],[11]]="",0,VLOOKUP(TRAMOS!$Q$2,Tabla5[#All],3,FALSE)*Tabla15[[#This Row],[12]])</f>
        <v>0</v>
      </c>
      <c r="T17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171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7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0.43</v>
      </c>
      <c r="W17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7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7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7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7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71" s="52">
        <f>IF(Tabla15[[#This Row],[20]]="",0,VLOOKUP("VRP",Tabla5[#All],3,FALSE)*Tabla15[[#This Row],[21]])</f>
        <v>0</v>
      </c>
      <c r="AC17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7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71" s="52">
        <f>IF(Tabla15[[#This Row],[23]]="",0,VLOOKUP("VC",Tabla5[#All],3,FALSE)*Tabla15[[#This Row],[24]])</f>
        <v>0</v>
      </c>
      <c r="AF17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7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71" s="52">
        <f>IF(Tabla15[[#This Row],[26]]="",0,VLOOKUP(TRAMOS!$K$2,Tabla5[#All],3,FALSE)*Tabla15[[#This Row],[27]])</f>
        <v>0</v>
      </c>
      <c r="AI17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7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7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7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7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71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7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1.33</v>
      </c>
    </row>
    <row r="172" spans="2:41" x14ac:dyDescent="0.25">
      <c r="B172" s="58" t="str">
        <f>Tabla1[[#This Row],[nudo inicial]]</f>
        <v>N85</v>
      </c>
      <c r="C172" s="58" t="str">
        <f>Tabla1[[#This Row],[nudo final]]</f>
        <v>N86</v>
      </c>
      <c r="D172" s="51">
        <f>Tabla1[[#This Row],[longitud]]</f>
        <v>7.86</v>
      </c>
      <c r="E172" s="51" t="str">
        <f>Tabla1[[#This Row],[diametro]]</f>
        <v>6"</v>
      </c>
      <c r="F172" s="51" t="str">
        <f>Tabla1[[#This Row],[material]]</f>
        <v>PVC</v>
      </c>
      <c r="G17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172" s="52" t="str">
        <f>IF(Tabla1[[#This Row],[5]]="TPD",Tabla1[[#This Row],[6]],"")</f>
        <v/>
      </c>
      <c r="I172" s="52" t="str">
        <f>IF(OR(Tabla1[[#This Row],[5]]="TPD"),Tabla1[[#This Row],[7]],"")</f>
        <v/>
      </c>
      <c r="J172" s="52">
        <f>IF(Tabla15[[#This Row],[2]]="",0,VLOOKUP(TRAMOS!$H$2,Tabla5[#All],3,FALSE)*Tabla15[[#This Row],[3]])</f>
        <v>0</v>
      </c>
      <c r="K172" s="52" t="str">
        <f>IF(Tabla1[[#This Row],[5]]="TPL",Tabla1[[#This Row],[6]],"")</f>
        <v>6"</v>
      </c>
      <c r="L172" s="52">
        <f>IF(OR(Tabla1[[#This Row],[5]]="TPL"),Tabla1[[#This Row],[7]],"")</f>
        <v>1</v>
      </c>
      <c r="M172" s="52">
        <f>IF(Tabla15[[#This Row],[5]]="",0,VLOOKUP(TRAMOS!$K$2,Tabla5[#All],3,FALSE)*Tabla15[[#This Row],[6]])</f>
        <v>0.9</v>
      </c>
      <c r="N17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7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72" s="52">
        <f>IF(Tabla15[[#This Row],[8]]="",0,VLOOKUP(TRAMOS!$H$2,Tabla5[#All],3,FALSE)*Tabla15[[#This Row],[9]])</f>
        <v>0</v>
      </c>
      <c r="Q17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7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72" s="52">
        <f>IF(Tabla15[[#This Row],[11]]="",0,VLOOKUP(TRAMOS!$Q$2,Tabla5[#All],3,FALSE)*Tabla15[[#This Row],[12]])</f>
        <v>0</v>
      </c>
      <c r="T17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7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7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7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7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7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7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7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72" s="52">
        <f>IF(Tabla15[[#This Row],[20]]="",0,VLOOKUP("VRP",Tabla5[#All],3,FALSE)*Tabla15[[#This Row],[21]])</f>
        <v>0</v>
      </c>
      <c r="AC17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7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72" s="52">
        <f>IF(Tabla15[[#This Row],[23]]="",0,VLOOKUP("VC",Tabla5[#All],3,FALSE)*Tabla15[[#This Row],[24]])</f>
        <v>0</v>
      </c>
      <c r="AF17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7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72" s="52">
        <f>IF(Tabla15[[#This Row],[26]]="",0,VLOOKUP(TRAMOS!$K$2,Tabla5[#All],3,FALSE)*Tabla15[[#This Row],[27]])</f>
        <v>0</v>
      </c>
      <c r="AI17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7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7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7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7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7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7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73" spans="2:41" x14ac:dyDescent="0.25">
      <c r="B173" s="58" t="str">
        <f>Tabla1[[#This Row],[nudo inicial]]</f>
        <v>N86</v>
      </c>
      <c r="C173" s="58" t="str">
        <f>Tabla1[[#This Row],[nudo final]]</f>
        <v>TP60</v>
      </c>
      <c r="D173" s="51">
        <f>Tabla1[[#This Row],[longitud]]</f>
        <v>102.27</v>
      </c>
      <c r="E173" s="51" t="str">
        <f>Tabla1[[#This Row],[diametro]]</f>
        <v>2"</v>
      </c>
      <c r="F173" s="51" t="str">
        <f>Tabla1[[#This Row],[material]]</f>
        <v>PVC</v>
      </c>
      <c r="G17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173" s="52" t="str">
        <f>IF(Tabla1[[#This Row],[5]]="TPD",Tabla1[[#This Row],[6]],"")</f>
        <v>6"</v>
      </c>
      <c r="I173" s="52">
        <f>IF(OR(Tabla1[[#This Row],[5]]="TPD"),Tabla1[[#This Row],[7]],"")</f>
        <v>1</v>
      </c>
      <c r="J173" s="52">
        <f>IF(Tabla15[[#This Row],[2]]="",0,VLOOKUP(TRAMOS!$H$2,Tabla5[#All],3,FALSE)*Tabla15[[#This Row],[3]])</f>
        <v>0.15</v>
      </c>
      <c r="K173" s="52" t="str">
        <f>IF(Tabla1[[#This Row],[5]]="TPL",Tabla1[[#This Row],[6]],"")</f>
        <v/>
      </c>
      <c r="L173" s="52" t="str">
        <f>IF(OR(Tabla1[[#This Row],[5]]="TPL"),Tabla1[[#This Row],[7]],"")</f>
        <v/>
      </c>
      <c r="M173" s="52">
        <f>IF(Tabla15[[#This Row],[5]]="",0,VLOOKUP(TRAMOS!$K$2,Tabla5[#All],3,FALSE)*Tabla15[[#This Row],[6]])</f>
        <v>0</v>
      </c>
      <c r="N17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7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73" s="52">
        <f>IF(Tabla15[[#This Row],[8]]="",0,VLOOKUP(TRAMOS!$H$2,Tabla5[#All],3,FALSE)*Tabla15[[#This Row],[9]])</f>
        <v>0</v>
      </c>
      <c r="Q17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7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73" s="52">
        <f>IF(Tabla15[[#This Row],[11]]="",0,VLOOKUP(TRAMOS!$Q$2,Tabla5[#All],3,FALSE)*Tabla15[[#This Row],[12]])</f>
        <v>0</v>
      </c>
      <c r="T17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173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7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0.43</v>
      </c>
      <c r="W17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7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7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7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7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73" s="52">
        <f>IF(Tabla15[[#This Row],[20]]="",0,VLOOKUP("VRP",Tabla5[#All],3,FALSE)*Tabla15[[#This Row],[21]])</f>
        <v>0</v>
      </c>
      <c r="AC17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7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73" s="52">
        <f>IF(Tabla15[[#This Row],[23]]="",0,VLOOKUP("VC",Tabla5[#All],3,FALSE)*Tabla15[[#This Row],[24]])</f>
        <v>0</v>
      </c>
      <c r="AF17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7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73" s="52">
        <f>IF(Tabla15[[#This Row],[26]]="",0,VLOOKUP(TRAMOS!$K$2,Tabla5[#All],3,FALSE)*Tabla15[[#This Row],[27]])</f>
        <v>0</v>
      </c>
      <c r="AI17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7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7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7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7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73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7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0.57999999999999996</v>
      </c>
    </row>
    <row r="174" spans="2:41" x14ac:dyDescent="0.25">
      <c r="B174" s="58" t="str">
        <f>Tabla1[[#This Row],[nudo inicial]]</f>
        <v>N86</v>
      </c>
      <c r="C174" s="58" t="str">
        <f>Tabla1[[#This Row],[nudo final]]</f>
        <v>N87</v>
      </c>
      <c r="D174" s="51">
        <f>Tabla1[[#This Row],[longitud]]</f>
        <v>359.28</v>
      </c>
      <c r="E174" s="51" t="str">
        <f>Tabla1[[#This Row],[diametro]]</f>
        <v>6"</v>
      </c>
      <c r="F174" s="51" t="str">
        <f>Tabla1[[#This Row],[material]]</f>
        <v>PVC</v>
      </c>
      <c r="G17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174" s="52" t="str">
        <f>IF(Tabla1[[#This Row],[5]]="TPD",Tabla1[[#This Row],[6]],"")</f>
        <v/>
      </c>
      <c r="I174" s="52" t="str">
        <f>IF(OR(Tabla1[[#This Row],[5]]="TPD"),Tabla1[[#This Row],[7]],"")</f>
        <v/>
      </c>
      <c r="J174" s="52">
        <f>IF(Tabla15[[#This Row],[2]]="",0,VLOOKUP(TRAMOS!$H$2,Tabla5[#All],3,FALSE)*Tabla15[[#This Row],[3]])</f>
        <v>0</v>
      </c>
      <c r="K174" s="52" t="str">
        <f>IF(Tabla1[[#This Row],[5]]="TPL",Tabla1[[#This Row],[6]],"")</f>
        <v>6"</v>
      </c>
      <c r="L174" s="52">
        <f>IF(OR(Tabla1[[#This Row],[5]]="TPL"),Tabla1[[#This Row],[7]],"")</f>
        <v>1</v>
      </c>
      <c r="M174" s="52">
        <f>IF(Tabla15[[#This Row],[5]]="",0,VLOOKUP(TRAMOS!$K$2,Tabla5[#All],3,FALSE)*Tabla15[[#This Row],[6]])</f>
        <v>0.9</v>
      </c>
      <c r="N17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7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74" s="52">
        <f>IF(Tabla15[[#This Row],[8]]="",0,VLOOKUP(TRAMOS!$H$2,Tabla5[#All],3,FALSE)*Tabla15[[#This Row],[9]])</f>
        <v>0</v>
      </c>
      <c r="Q17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6"</v>
      </c>
      <c r="R174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2</v>
      </c>
      <c r="S174" s="52">
        <f>IF(Tabla15[[#This Row],[11]]="",0,VLOOKUP(TRAMOS!$Q$2,Tabla5[#All],3,FALSE)*Tabla15[[#This Row],[12]])</f>
        <v>1.8</v>
      </c>
      <c r="T17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7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7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7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7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7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7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7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74" s="52">
        <f>IF(Tabla15[[#This Row],[20]]="",0,VLOOKUP("VRP",Tabla5[#All],3,FALSE)*Tabla15[[#This Row],[21]])</f>
        <v>0</v>
      </c>
      <c r="AC17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6"</v>
      </c>
      <c r="AD174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174" s="52">
        <f>IF(Tabla15[[#This Row],[23]]="",0,VLOOKUP("VC",Tabla5[#All],3,FALSE)*Tabla15[[#This Row],[24]])</f>
        <v>0.25</v>
      </c>
      <c r="AF17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7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74" s="52">
        <f>IF(Tabla15[[#This Row],[26]]="",0,VLOOKUP(TRAMOS!$K$2,Tabla5[#All],3,FALSE)*Tabla15[[#This Row],[27]])</f>
        <v>0</v>
      </c>
      <c r="AI17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7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7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7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7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7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7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2.95</v>
      </c>
    </row>
    <row r="175" spans="2:41" x14ac:dyDescent="0.25">
      <c r="B175" s="58" t="str">
        <f>Tabla1[[#This Row],[nudo inicial]]</f>
        <v>N87</v>
      </c>
      <c r="C175" s="58" t="str">
        <f>Tabla1[[#This Row],[nudo final]]</f>
        <v>N88</v>
      </c>
      <c r="D175" s="51">
        <f>Tabla1[[#This Row],[longitud]]</f>
        <v>61.97</v>
      </c>
      <c r="E175" s="51" t="str">
        <f>Tabla1[[#This Row],[diametro]]</f>
        <v>3"</v>
      </c>
      <c r="F175" s="51" t="str">
        <f>Tabla1[[#This Row],[material]]</f>
        <v>PVC</v>
      </c>
      <c r="G17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175" s="52" t="str">
        <f>IF(Tabla1[[#This Row],[5]]="TPD",Tabla1[[#This Row],[6]],"")</f>
        <v/>
      </c>
      <c r="I175" s="52" t="str">
        <f>IF(OR(Tabla1[[#This Row],[5]]="TPD"),Tabla1[[#This Row],[7]],"")</f>
        <v/>
      </c>
      <c r="J175" s="52">
        <f>IF(Tabla15[[#This Row],[2]]="",0,VLOOKUP(TRAMOS!$H$2,Tabla5[#All],3,FALSE)*Tabla15[[#This Row],[3]])</f>
        <v>0</v>
      </c>
      <c r="K175" s="52" t="str">
        <f>IF(Tabla1[[#This Row],[5]]="TPL",Tabla1[[#This Row],[6]],"")</f>
        <v>6"</v>
      </c>
      <c r="L175" s="52">
        <f>IF(OR(Tabla1[[#This Row],[5]]="TPL"),Tabla1[[#This Row],[7]],"")</f>
        <v>1</v>
      </c>
      <c r="M175" s="52">
        <f>IF(Tabla15[[#This Row],[5]]="",0,VLOOKUP(TRAMOS!$K$2,Tabla5[#All],3,FALSE)*Tabla15[[#This Row],[6]])</f>
        <v>0.9</v>
      </c>
      <c r="N17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7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75" s="52">
        <f>IF(Tabla15[[#This Row],[8]]="",0,VLOOKUP(TRAMOS!$H$2,Tabla5[#All],3,FALSE)*Tabla15[[#This Row],[9]])</f>
        <v>0</v>
      </c>
      <c r="Q17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7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75" s="52">
        <f>IF(Tabla15[[#This Row],[11]]="",0,VLOOKUP(TRAMOS!$Q$2,Tabla5[#All],3,FALSE)*Tabla15[[#This Row],[12]])</f>
        <v>0</v>
      </c>
      <c r="T17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175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7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17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7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7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7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7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75" s="52">
        <f>IF(Tabla15[[#This Row],[20]]="",0,VLOOKUP("VRP",Tabla5[#All],3,FALSE)*Tabla15[[#This Row],[21]])</f>
        <v>0</v>
      </c>
      <c r="AC17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7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75" s="52">
        <f>IF(Tabla15[[#This Row],[23]]="",0,VLOOKUP("VC",Tabla5[#All],3,FALSE)*Tabla15[[#This Row],[24]])</f>
        <v>0</v>
      </c>
      <c r="AF17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7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75" s="52">
        <f>IF(Tabla15[[#This Row],[26]]="",0,VLOOKUP(TRAMOS!$K$2,Tabla5[#All],3,FALSE)*Tabla15[[#This Row],[27]])</f>
        <v>0</v>
      </c>
      <c r="AI17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7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7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7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7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7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7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1.27</v>
      </c>
    </row>
    <row r="176" spans="2:41" x14ac:dyDescent="0.25">
      <c r="B176" s="58" t="str">
        <f>Tabla1[[#This Row],[nudo inicial]]</f>
        <v>N88</v>
      </c>
      <c r="C176" s="58" t="str">
        <f>Tabla1[[#This Row],[nudo final]]</f>
        <v>TP61</v>
      </c>
      <c r="D176" s="51">
        <f>Tabla1[[#This Row],[longitud]]</f>
        <v>164.5</v>
      </c>
      <c r="E176" s="51" t="str">
        <f>Tabla1[[#This Row],[diametro]]</f>
        <v>3"</v>
      </c>
      <c r="F176" s="51" t="str">
        <f>Tabla1[[#This Row],[material]]</f>
        <v>PVC</v>
      </c>
      <c r="G17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76" s="52" t="str">
        <f>IF(Tabla1[[#This Row],[5]]="TPD",Tabla1[[#This Row],[6]],"")</f>
        <v/>
      </c>
      <c r="I176" s="52" t="str">
        <f>IF(OR(Tabla1[[#This Row],[5]]="TPD"),Tabla1[[#This Row],[7]],"")</f>
        <v/>
      </c>
      <c r="J176" s="52">
        <f>IF(Tabla15[[#This Row],[2]]="",0,VLOOKUP(TRAMOS!$H$2,Tabla5[#All],3,FALSE)*Tabla15[[#This Row],[3]])</f>
        <v>0</v>
      </c>
      <c r="K176" s="52" t="str">
        <f>IF(Tabla1[[#This Row],[5]]="TPL",Tabla1[[#This Row],[6]],"")</f>
        <v>3"</v>
      </c>
      <c r="L176" s="52">
        <f>IF(OR(Tabla1[[#This Row],[5]]="TPL"),Tabla1[[#This Row],[7]],"")</f>
        <v>1</v>
      </c>
      <c r="M176" s="52">
        <f>IF(Tabla15[[#This Row],[5]]="",0,VLOOKUP(TRAMOS!$K$2,Tabla5[#All],3,FALSE)*Tabla15[[#This Row],[6]])</f>
        <v>0.9</v>
      </c>
      <c r="N17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7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76" s="52">
        <f>IF(Tabla15[[#This Row],[8]]="",0,VLOOKUP(TRAMOS!$H$2,Tabla5[#All],3,FALSE)*Tabla15[[#This Row],[9]])</f>
        <v>0</v>
      </c>
      <c r="Q17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7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76" s="52">
        <f>IF(Tabla15[[#This Row],[11]]="",0,VLOOKUP(TRAMOS!$Q$2,Tabla5[#All],3,FALSE)*Tabla15[[#This Row],[12]])</f>
        <v>0</v>
      </c>
      <c r="T17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7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7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7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7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7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7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7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76" s="52">
        <f>IF(Tabla15[[#This Row],[20]]="",0,VLOOKUP("VRP",Tabla5[#All],3,FALSE)*Tabla15[[#This Row],[21]])</f>
        <v>0</v>
      </c>
      <c r="AC17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7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76" s="52">
        <f>IF(Tabla15[[#This Row],[23]]="",0,VLOOKUP("VC",Tabla5[#All],3,FALSE)*Tabla15[[#This Row],[24]])</f>
        <v>0</v>
      </c>
      <c r="AF17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7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76" s="52">
        <f>IF(Tabla15[[#This Row],[26]]="",0,VLOOKUP(TRAMOS!$K$2,Tabla5[#All],3,FALSE)*Tabla15[[#This Row],[27]])</f>
        <v>0</v>
      </c>
      <c r="AI17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7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7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7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7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17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7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77" spans="2:41" x14ac:dyDescent="0.25">
      <c r="B177" s="58" t="str">
        <f>Tabla1[[#This Row],[nudo inicial]]</f>
        <v>N88</v>
      </c>
      <c r="C177" s="58" t="str">
        <f>Tabla1[[#This Row],[nudo final]]</f>
        <v>N89</v>
      </c>
      <c r="D177" s="51">
        <f>Tabla1[[#This Row],[longitud]]</f>
        <v>232.28</v>
      </c>
      <c r="E177" s="51" t="str">
        <f>Tabla1[[#This Row],[diametro]]</f>
        <v>3"</v>
      </c>
      <c r="F177" s="51" t="str">
        <f>Tabla1[[#This Row],[material]]</f>
        <v>PVC</v>
      </c>
      <c r="G17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77" s="52" t="str">
        <f>IF(Tabla1[[#This Row],[5]]="TPD",Tabla1[[#This Row],[6]],"")</f>
        <v>3"</v>
      </c>
      <c r="I177" s="52">
        <f>IF(OR(Tabla1[[#This Row],[5]]="TPD"),Tabla1[[#This Row],[7]],"")</f>
        <v>1</v>
      </c>
      <c r="J177" s="52">
        <f>IF(Tabla15[[#This Row],[2]]="",0,VLOOKUP(TRAMOS!$H$2,Tabla5[#All],3,FALSE)*Tabla15[[#This Row],[3]])</f>
        <v>0.15</v>
      </c>
      <c r="K177" s="52" t="str">
        <f>IF(Tabla1[[#This Row],[5]]="TPL",Tabla1[[#This Row],[6]],"")</f>
        <v/>
      </c>
      <c r="L177" s="52" t="str">
        <f>IF(OR(Tabla1[[#This Row],[5]]="TPL"),Tabla1[[#This Row],[7]],"")</f>
        <v/>
      </c>
      <c r="M177" s="52">
        <f>IF(Tabla15[[#This Row],[5]]="",0,VLOOKUP(TRAMOS!$K$2,Tabla5[#All],3,FALSE)*Tabla15[[#This Row],[6]])</f>
        <v>0</v>
      </c>
      <c r="N17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7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77" s="52">
        <f>IF(Tabla15[[#This Row],[8]]="",0,VLOOKUP(TRAMOS!$H$2,Tabla5[#All],3,FALSE)*Tabla15[[#This Row],[9]])</f>
        <v>0</v>
      </c>
      <c r="Q17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3"</v>
      </c>
      <c r="R177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177" s="52">
        <f>IF(Tabla15[[#This Row],[11]]="",0,VLOOKUP(TRAMOS!$Q$2,Tabla5[#All],3,FALSE)*Tabla15[[#This Row],[12]])</f>
        <v>0.9</v>
      </c>
      <c r="T17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7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7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7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7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7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7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7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77" s="52">
        <f>IF(Tabla15[[#This Row],[20]]="",0,VLOOKUP("VRP",Tabla5[#All],3,FALSE)*Tabla15[[#This Row],[21]])</f>
        <v>0</v>
      </c>
      <c r="AC17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7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77" s="52">
        <f>IF(Tabla15[[#This Row],[23]]="",0,VLOOKUP("VC",Tabla5[#All],3,FALSE)*Tabla15[[#This Row],[24]])</f>
        <v>0</v>
      </c>
      <c r="AF17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7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77" s="52">
        <f>IF(Tabla15[[#This Row],[26]]="",0,VLOOKUP(TRAMOS!$K$2,Tabla5[#All],3,FALSE)*Tabla15[[#This Row],[27]])</f>
        <v>0</v>
      </c>
      <c r="AI17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7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7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7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7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7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7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178" spans="2:41" x14ac:dyDescent="0.25">
      <c r="B178" s="58" t="str">
        <f>Tabla1[[#This Row],[nudo inicial]]</f>
        <v>N89</v>
      </c>
      <c r="C178" s="58" t="str">
        <f>Tabla1[[#This Row],[nudo final]]</f>
        <v>TP62</v>
      </c>
      <c r="D178" s="51">
        <f>Tabla1[[#This Row],[longitud]]</f>
        <v>86.45</v>
      </c>
      <c r="E178" s="51" t="str">
        <f>Tabla1[[#This Row],[diametro]]</f>
        <v>2"</v>
      </c>
      <c r="F178" s="51" t="str">
        <f>Tabla1[[#This Row],[material]]</f>
        <v>PVC</v>
      </c>
      <c r="G17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78" s="52" t="str">
        <f>IF(Tabla1[[#This Row],[5]]="TPD",Tabla1[[#This Row],[6]],"")</f>
        <v/>
      </c>
      <c r="I178" s="52" t="str">
        <f>IF(OR(Tabla1[[#This Row],[5]]="TPD"),Tabla1[[#This Row],[7]],"")</f>
        <v/>
      </c>
      <c r="J178" s="52">
        <f>IF(Tabla15[[#This Row],[2]]="",0,VLOOKUP(TRAMOS!$H$2,Tabla5[#All],3,FALSE)*Tabla15[[#This Row],[3]])</f>
        <v>0</v>
      </c>
      <c r="K178" s="52" t="str">
        <f>IF(Tabla1[[#This Row],[5]]="TPL",Tabla1[[#This Row],[6]],"")</f>
        <v>3"</v>
      </c>
      <c r="L178" s="52">
        <f>IF(OR(Tabla1[[#This Row],[5]]="TPL"),Tabla1[[#This Row],[7]],"")</f>
        <v>1</v>
      </c>
      <c r="M178" s="52">
        <f>IF(Tabla15[[#This Row],[5]]="",0,VLOOKUP(TRAMOS!$K$2,Tabla5[#All],3,FALSE)*Tabla15[[#This Row],[6]])</f>
        <v>0.9</v>
      </c>
      <c r="N17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7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78" s="52">
        <f>IF(Tabla15[[#This Row],[8]]="",0,VLOOKUP(TRAMOS!$H$2,Tabla5[#All],3,FALSE)*Tabla15[[#This Row],[9]])</f>
        <v>0</v>
      </c>
      <c r="Q17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7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78" s="52">
        <f>IF(Tabla15[[#This Row],[11]]="",0,VLOOKUP(TRAMOS!$Q$2,Tabla5[#All],3,FALSE)*Tabla15[[#This Row],[12]])</f>
        <v>0</v>
      </c>
      <c r="T17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178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7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17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7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7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7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7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78" s="52">
        <f>IF(Tabla15[[#This Row],[20]]="",0,VLOOKUP("VRP",Tabla5[#All],3,FALSE)*Tabla15[[#This Row],[21]])</f>
        <v>0</v>
      </c>
      <c r="AC17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7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78" s="52">
        <f>IF(Tabla15[[#This Row],[23]]="",0,VLOOKUP("VC",Tabla5[#All],3,FALSE)*Tabla15[[#This Row],[24]])</f>
        <v>0</v>
      </c>
      <c r="AF17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7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78" s="52">
        <f>IF(Tabla15[[#This Row],[26]]="",0,VLOOKUP(TRAMOS!$K$2,Tabla5[#All],3,FALSE)*Tabla15[[#This Row],[27]])</f>
        <v>0</v>
      </c>
      <c r="AI17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7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7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7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7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178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7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179" spans="2:41" x14ac:dyDescent="0.25">
      <c r="B179" s="58" t="str">
        <f>Tabla1[[#This Row],[nudo inicial]]</f>
        <v>N89</v>
      </c>
      <c r="C179" s="58" t="str">
        <f>Tabla1[[#This Row],[nudo final]]</f>
        <v>N90</v>
      </c>
      <c r="D179" s="51">
        <f>Tabla1[[#This Row],[longitud]]</f>
        <v>34.08</v>
      </c>
      <c r="E179" s="51" t="str">
        <f>Tabla1[[#This Row],[diametro]]</f>
        <v>3"</v>
      </c>
      <c r="F179" s="51" t="str">
        <f>Tabla1[[#This Row],[material]]</f>
        <v>PVC</v>
      </c>
      <c r="G17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79" s="52" t="str">
        <f>IF(Tabla1[[#This Row],[5]]="TPD",Tabla1[[#This Row],[6]],"")</f>
        <v>3"</v>
      </c>
      <c r="I179" s="52">
        <f>IF(OR(Tabla1[[#This Row],[5]]="TPD"),Tabla1[[#This Row],[7]],"")</f>
        <v>1</v>
      </c>
      <c r="J179" s="52">
        <f>IF(Tabla15[[#This Row],[2]]="",0,VLOOKUP(TRAMOS!$H$2,Tabla5[#All],3,FALSE)*Tabla15[[#This Row],[3]])</f>
        <v>0.15</v>
      </c>
      <c r="K179" s="52" t="str">
        <f>IF(Tabla1[[#This Row],[5]]="TPL",Tabla1[[#This Row],[6]],"")</f>
        <v/>
      </c>
      <c r="L179" s="52" t="str">
        <f>IF(OR(Tabla1[[#This Row],[5]]="TPL"),Tabla1[[#This Row],[7]],"")</f>
        <v/>
      </c>
      <c r="M179" s="52">
        <f>IF(Tabla15[[#This Row],[5]]="",0,VLOOKUP(TRAMOS!$K$2,Tabla5[#All],3,FALSE)*Tabla15[[#This Row],[6]])</f>
        <v>0</v>
      </c>
      <c r="N17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7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79" s="52">
        <f>IF(Tabla15[[#This Row],[8]]="",0,VLOOKUP(TRAMOS!$H$2,Tabla5[#All],3,FALSE)*Tabla15[[#This Row],[9]])</f>
        <v>0</v>
      </c>
      <c r="Q17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7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79" s="52">
        <f>IF(Tabla15[[#This Row],[11]]="",0,VLOOKUP(TRAMOS!$Q$2,Tabla5[#All],3,FALSE)*Tabla15[[#This Row],[12]])</f>
        <v>0</v>
      </c>
      <c r="T17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7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7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7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7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7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7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7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79" s="52">
        <f>IF(Tabla15[[#This Row],[20]]="",0,VLOOKUP("VRP",Tabla5[#All],3,FALSE)*Tabla15[[#This Row],[21]])</f>
        <v>0</v>
      </c>
      <c r="AC17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7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79" s="52">
        <f>IF(Tabla15[[#This Row],[23]]="",0,VLOOKUP("VC",Tabla5[#All],3,FALSE)*Tabla15[[#This Row],[24]])</f>
        <v>0</v>
      </c>
      <c r="AF17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7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79" s="52">
        <f>IF(Tabla15[[#This Row],[26]]="",0,VLOOKUP(TRAMOS!$K$2,Tabla5[#All],3,FALSE)*Tabla15[[#This Row],[27]])</f>
        <v>0</v>
      </c>
      <c r="AI17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7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7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7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7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7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7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80" spans="2:41" x14ac:dyDescent="0.25">
      <c r="B180" s="58" t="str">
        <f>Tabla1[[#This Row],[nudo inicial]]</f>
        <v>N90</v>
      </c>
      <c r="C180" s="58" t="str">
        <f>Tabla1[[#This Row],[nudo final]]</f>
        <v>N91</v>
      </c>
      <c r="D180" s="51">
        <f>Tabla1[[#This Row],[longitud]]</f>
        <v>53.12</v>
      </c>
      <c r="E180" s="51" t="str">
        <f>Tabla1[[#This Row],[diametro]]</f>
        <v>2"</v>
      </c>
      <c r="F180" s="51" t="str">
        <f>Tabla1[[#This Row],[material]]</f>
        <v>PVC</v>
      </c>
      <c r="G18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80" s="52" t="str">
        <f>IF(Tabla1[[#This Row],[5]]="TPD",Tabla1[[#This Row],[6]],"")</f>
        <v/>
      </c>
      <c r="I180" s="52" t="str">
        <f>IF(OR(Tabla1[[#This Row],[5]]="TPD"),Tabla1[[#This Row],[7]],"")</f>
        <v/>
      </c>
      <c r="J180" s="52">
        <f>IF(Tabla15[[#This Row],[2]]="",0,VLOOKUP(TRAMOS!$H$2,Tabla5[#All],3,FALSE)*Tabla15[[#This Row],[3]])</f>
        <v>0</v>
      </c>
      <c r="K180" s="52" t="str">
        <f>IF(Tabla1[[#This Row],[5]]="TPL",Tabla1[[#This Row],[6]],"")</f>
        <v/>
      </c>
      <c r="L180" s="52" t="str">
        <f>IF(OR(Tabla1[[#This Row],[5]]="TPL"),Tabla1[[#This Row],[7]],"")</f>
        <v/>
      </c>
      <c r="M180" s="52">
        <f>IF(Tabla15[[#This Row],[5]]="",0,VLOOKUP(TRAMOS!$K$2,Tabla5[#All],3,FALSE)*Tabla15[[#This Row],[6]])</f>
        <v>0</v>
      </c>
      <c r="N18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8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80" s="52">
        <f>IF(Tabla15[[#This Row],[8]]="",0,VLOOKUP(TRAMOS!$H$2,Tabla5[#All],3,FALSE)*Tabla15[[#This Row],[9]])</f>
        <v>0</v>
      </c>
      <c r="Q18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3"</v>
      </c>
      <c r="R180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180" s="52">
        <f>IF(Tabla15[[#This Row],[11]]="",0,VLOOKUP(TRAMOS!$Q$2,Tabla5[#All],3,FALSE)*Tabla15[[#This Row],[12]])</f>
        <v>0.9</v>
      </c>
      <c r="T18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180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8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18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8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8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8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8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80" s="52">
        <f>IF(Tabla15[[#This Row],[20]]="",0,VLOOKUP("VRP",Tabla5[#All],3,FALSE)*Tabla15[[#This Row],[21]])</f>
        <v>0</v>
      </c>
      <c r="AC18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8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80" s="52">
        <f>IF(Tabla15[[#This Row],[23]]="",0,VLOOKUP("VC",Tabla5[#All],3,FALSE)*Tabla15[[#This Row],[24]])</f>
        <v>0</v>
      </c>
      <c r="AF18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8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80" s="52">
        <f>IF(Tabla15[[#This Row],[26]]="",0,VLOOKUP(TRAMOS!$K$2,Tabla5[#All],3,FALSE)*Tabla15[[#This Row],[27]])</f>
        <v>0</v>
      </c>
      <c r="AI18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8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8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8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8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8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8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181" spans="2:41" x14ac:dyDescent="0.25">
      <c r="B181" s="58" t="str">
        <f>Tabla1[[#This Row],[nudo inicial]]</f>
        <v>N91</v>
      </c>
      <c r="C181" s="58" t="str">
        <f>Tabla1[[#This Row],[nudo final]]</f>
        <v>TP63</v>
      </c>
      <c r="D181" s="51">
        <f>Tabla1[[#This Row],[longitud]]</f>
        <v>75.55</v>
      </c>
      <c r="E181" s="51" t="str">
        <f>Tabla1[[#This Row],[diametro]]</f>
        <v>2"</v>
      </c>
      <c r="F181" s="51" t="str">
        <f>Tabla1[[#This Row],[material]]</f>
        <v>PVC</v>
      </c>
      <c r="G18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81" s="52" t="str">
        <f>IF(Tabla1[[#This Row],[5]]="TPD",Tabla1[[#This Row],[6]],"")</f>
        <v/>
      </c>
      <c r="I181" s="52" t="str">
        <f>IF(OR(Tabla1[[#This Row],[5]]="TPD"),Tabla1[[#This Row],[7]],"")</f>
        <v/>
      </c>
      <c r="J181" s="52">
        <f>IF(Tabla15[[#This Row],[2]]="",0,VLOOKUP(TRAMOS!$H$2,Tabla5[#All],3,FALSE)*Tabla15[[#This Row],[3]])</f>
        <v>0</v>
      </c>
      <c r="K181" s="52" t="str">
        <f>IF(Tabla1[[#This Row],[5]]="TPL",Tabla1[[#This Row],[6]],"")</f>
        <v>2"</v>
      </c>
      <c r="L181" s="52">
        <f>IF(OR(Tabla1[[#This Row],[5]]="TPL"),Tabla1[[#This Row],[7]],"")</f>
        <v>1</v>
      </c>
      <c r="M181" s="52">
        <f>IF(Tabla15[[#This Row],[5]]="",0,VLOOKUP(TRAMOS!$K$2,Tabla5[#All],3,FALSE)*Tabla15[[#This Row],[6]])</f>
        <v>0.9</v>
      </c>
      <c r="N18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8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81" s="52">
        <f>IF(Tabla15[[#This Row],[8]]="",0,VLOOKUP(TRAMOS!$H$2,Tabla5[#All],3,FALSE)*Tabla15[[#This Row],[9]])</f>
        <v>0</v>
      </c>
      <c r="Q18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8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81" s="52">
        <f>IF(Tabla15[[#This Row],[11]]="",0,VLOOKUP(TRAMOS!$Q$2,Tabla5[#All],3,FALSE)*Tabla15[[#This Row],[12]])</f>
        <v>0</v>
      </c>
      <c r="T18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8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8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8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8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8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8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8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81" s="52">
        <f>IF(Tabla15[[#This Row],[20]]="",0,VLOOKUP("VRP",Tabla5[#All],3,FALSE)*Tabla15[[#This Row],[21]])</f>
        <v>0</v>
      </c>
      <c r="AC18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8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81" s="52">
        <f>IF(Tabla15[[#This Row],[23]]="",0,VLOOKUP("VC",Tabla5[#All],3,FALSE)*Tabla15[[#This Row],[24]])</f>
        <v>0</v>
      </c>
      <c r="AF18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8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81" s="52">
        <f>IF(Tabla15[[#This Row],[26]]="",0,VLOOKUP(TRAMOS!$K$2,Tabla5[#All],3,FALSE)*Tabla15[[#This Row],[27]])</f>
        <v>0</v>
      </c>
      <c r="AI18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8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8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8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8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81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8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82" spans="2:41" x14ac:dyDescent="0.25">
      <c r="B182" s="58" t="str">
        <f>Tabla1[[#This Row],[nudo inicial]]</f>
        <v>N91</v>
      </c>
      <c r="C182" s="58" t="str">
        <f>Tabla1[[#This Row],[nudo final]]</f>
        <v>N92</v>
      </c>
      <c r="D182" s="51">
        <f>Tabla1[[#This Row],[longitud]]</f>
        <v>100.93</v>
      </c>
      <c r="E182" s="51" t="str">
        <f>Tabla1[[#This Row],[diametro]]</f>
        <v>2"</v>
      </c>
      <c r="F182" s="51" t="str">
        <f>Tabla1[[#This Row],[material]]</f>
        <v>PVC</v>
      </c>
      <c r="G18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82" s="52" t="str">
        <f>IF(Tabla1[[#This Row],[5]]="TPD",Tabla1[[#This Row],[6]],"")</f>
        <v/>
      </c>
      <c r="I182" s="52" t="str">
        <f>IF(OR(Tabla1[[#This Row],[5]]="TPD"),Tabla1[[#This Row],[7]],"")</f>
        <v/>
      </c>
      <c r="J182" s="52">
        <f>IF(Tabla15[[#This Row],[2]]="",0,VLOOKUP(TRAMOS!$H$2,Tabla5[#All],3,FALSE)*Tabla15[[#This Row],[3]])</f>
        <v>0</v>
      </c>
      <c r="K182" s="52" t="str">
        <f>IF(Tabla1[[#This Row],[5]]="TPL",Tabla1[[#This Row],[6]],"")</f>
        <v>2"</v>
      </c>
      <c r="L182" s="52">
        <f>IF(OR(Tabla1[[#This Row],[5]]="TPL"),Tabla1[[#This Row],[7]],"")</f>
        <v>1</v>
      </c>
      <c r="M182" s="52">
        <f>IF(Tabla15[[#This Row],[5]]="",0,VLOOKUP(TRAMOS!$K$2,Tabla5[#All],3,FALSE)*Tabla15[[#This Row],[6]])</f>
        <v>0.9</v>
      </c>
      <c r="N18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8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82" s="52">
        <f>IF(Tabla15[[#This Row],[8]]="",0,VLOOKUP(TRAMOS!$H$2,Tabla5[#All],3,FALSE)*Tabla15[[#This Row],[9]])</f>
        <v>0</v>
      </c>
      <c r="Q18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182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182" s="52">
        <f>IF(Tabla15[[#This Row],[11]]="",0,VLOOKUP(TRAMOS!$Q$2,Tabla5[#All],3,FALSE)*Tabla15[[#This Row],[12]])</f>
        <v>0.9</v>
      </c>
      <c r="T18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8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8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8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8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8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8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8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82" s="52">
        <f>IF(Tabla15[[#This Row],[20]]="",0,VLOOKUP("VRP",Tabla5[#All],3,FALSE)*Tabla15[[#This Row],[21]])</f>
        <v>0</v>
      </c>
      <c r="AC18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8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82" s="52">
        <f>IF(Tabla15[[#This Row],[23]]="",0,VLOOKUP("VC",Tabla5[#All],3,FALSE)*Tabla15[[#This Row],[24]])</f>
        <v>0</v>
      </c>
      <c r="AF18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8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82" s="52">
        <f>IF(Tabla15[[#This Row],[26]]="",0,VLOOKUP(TRAMOS!$K$2,Tabla5[#All],3,FALSE)*Tabla15[[#This Row],[27]])</f>
        <v>0</v>
      </c>
      <c r="AI18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8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8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8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8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8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8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1.8</v>
      </c>
    </row>
    <row r="183" spans="2:41" x14ac:dyDescent="0.25">
      <c r="B183" s="58" t="str">
        <f>Tabla1[[#This Row],[nudo inicial]]</f>
        <v>N92</v>
      </c>
      <c r="C183" s="58" t="str">
        <f>Tabla1[[#This Row],[nudo final]]</f>
        <v>TP64</v>
      </c>
      <c r="D183" s="51">
        <f>Tabla1[[#This Row],[longitud]]</f>
        <v>48.07</v>
      </c>
      <c r="E183" s="51" t="str">
        <f>Tabla1[[#This Row],[diametro]]</f>
        <v>2"</v>
      </c>
      <c r="F183" s="51" t="str">
        <f>Tabla1[[#This Row],[material]]</f>
        <v>PVC</v>
      </c>
      <c r="G18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83" s="52" t="str">
        <f>IF(Tabla1[[#This Row],[5]]="TPD",Tabla1[[#This Row],[6]],"")</f>
        <v/>
      </c>
      <c r="I183" s="52" t="str">
        <f>IF(OR(Tabla1[[#This Row],[5]]="TPD"),Tabla1[[#This Row],[7]],"")</f>
        <v/>
      </c>
      <c r="J183" s="52">
        <f>IF(Tabla15[[#This Row],[2]]="",0,VLOOKUP(TRAMOS!$H$2,Tabla5[#All],3,FALSE)*Tabla15[[#This Row],[3]])</f>
        <v>0</v>
      </c>
      <c r="K183" s="52" t="str">
        <f>IF(Tabla1[[#This Row],[5]]="TPL",Tabla1[[#This Row],[6]],"")</f>
        <v>2"</v>
      </c>
      <c r="L183" s="52">
        <f>IF(OR(Tabla1[[#This Row],[5]]="TPL"),Tabla1[[#This Row],[7]],"")</f>
        <v>1</v>
      </c>
      <c r="M183" s="52">
        <f>IF(Tabla15[[#This Row],[5]]="",0,VLOOKUP(TRAMOS!$K$2,Tabla5[#All],3,FALSE)*Tabla15[[#This Row],[6]])</f>
        <v>0.9</v>
      </c>
      <c r="N18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8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83" s="52">
        <f>IF(Tabla15[[#This Row],[8]]="",0,VLOOKUP(TRAMOS!$H$2,Tabla5[#All],3,FALSE)*Tabla15[[#This Row],[9]])</f>
        <v>0</v>
      </c>
      <c r="Q18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8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83" s="52">
        <f>IF(Tabla15[[#This Row],[11]]="",0,VLOOKUP(TRAMOS!$Q$2,Tabla5[#All],3,FALSE)*Tabla15[[#This Row],[12]])</f>
        <v>0</v>
      </c>
      <c r="T18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8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8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8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8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8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8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8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83" s="52">
        <f>IF(Tabla15[[#This Row],[20]]="",0,VLOOKUP("VRP",Tabla5[#All],3,FALSE)*Tabla15[[#This Row],[21]])</f>
        <v>0</v>
      </c>
      <c r="AC18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8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83" s="52">
        <f>IF(Tabla15[[#This Row],[23]]="",0,VLOOKUP("VC",Tabla5[#All],3,FALSE)*Tabla15[[#This Row],[24]])</f>
        <v>0</v>
      </c>
      <c r="AF18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8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83" s="52">
        <f>IF(Tabla15[[#This Row],[26]]="",0,VLOOKUP(TRAMOS!$K$2,Tabla5[#All],3,FALSE)*Tabla15[[#This Row],[27]])</f>
        <v>0</v>
      </c>
      <c r="AI18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8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8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8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8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83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8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84" spans="2:41" x14ac:dyDescent="0.25">
      <c r="B184" s="58" t="str">
        <f>Tabla1[[#This Row],[nudo inicial]]</f>
        <v>N92</v>
      </c>
      <c r="C184" s="58" t="str">
        <f>Tabla1[[#This Row],[nudo final]]</f>
        <v>N93</v>
      </c>
      <c r="D184" s="51">
        <f>Tabla1[[#This Row],[longitud]]</f>
        <v>56.85</v>
      </c>
      <c r="E184" s="51" t="str">
        <f>Tabla1[[#This Row],[diametro]]</f>
        <v>2"</v>
      </c>
      <c r="F184" s="51" t="str">
        <f>Tabla1[[#This Row],[material]]</f>
        <v>PVC</v>
      </c>
      <c r="G18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84" s="52" t="str">
        <f>IF(Tabla1[[#This Row],[5]]="TPD",Tabla1[[#This Row],[6]],"")</f>
        <v>2"</v>
      </c>
      <c r="I184" s="52">
        <f>IF(OR(Tabla1[[#This Row],[5]]="TPD"),Tabla1[[#This Row],[7]],"")</f>
        <v>1</v>
      </c>
      <c r="J184" s="52">
        <f>IF(Tabla15[[#This Row],[2]]="",0,VLOOKUP(TRAMOS!$H$2,Tabla5[#All],3,FALSE)*Tabla15[[#This Row],[3]])</f>
        <v>0.15</v>
      </c>
      <c r="K184" s="52" t="str">
        <f>IF(Tabla1[[#This Row],[5]]="TPL",Tabla1[[#This Row],[6]],"")</f>
        <v/>
      </c>
      <c r="L184" s="52" t="str">
        <f>IF(OR(Tabla1[[#This Row],[5]]="TPL"),Tabla1[[#This Row],[7]],"")</f>
        <v/>
      </c>
      <c r="M184" s="52">
        <f>IF(Tabla15[[#This Row],[5]]="",0,VLOOKUP(TRAMOS!$K$2,Tabla5[#All],3,FALSE)*Tabla15[[#This Row],[6]])</f>
        <v>0</v>
      </c>
      <c r="N18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8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84" s="52">
        <f>IF(Tabla15[[#This Row],[8]]="",0,VLOOKUP(TRAMOS!$H$2,Tabla5[#All],3,FALSE)*Tabla15[[#This Row],[9]])</f>
        <v>0</v>
      </c>
      <c r="Q18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8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84" s="52">
        <f>IF(Tabla15[[#This Row],[11]]="",0,VLOOKUP(TRAMOS!$Q$2,Tabla5[#All],3,FALSE)*Tabla15[[#This Row],[12]])</f>
        <v>0</v>
      </c>
      <c r="T18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8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8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8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8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8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8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8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84" s="52">
        <f>IF(Tabla15[[#This Row],[20]]="",0,VLOOKUP("VRP",Tabla5[#All],3,FALSE)*Tabla15[[#This Row],[21]])</f>
        <v>0</v>
      </c>
      <c r="AC18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8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84" s="52">
        <f>IF(Tabla15[[#This Row],[23]]="",0,VLOOKUP("VC",Tabla5[#All],3,FALSE)*Tabla15[[#This Row],[24]])</f>
        <v>0</v>
      </c>
      <c r="AF18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8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84" s="52">
        <f>IF(Tabla15[[#This Row],[26]]="",0,VLOOKUP(TRAMOS!$K$2,Tabla5[#All],3,FALSE)*Tabla15[[#This Row],[27]])</f>
        <v>0</v>
      </c>
      <c r="AI18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8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8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8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8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8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8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85" spans="2:41" x14ac:dyDescent="0.25">
      <c r="B185" s="58" t="str">
        <f>Tabla1[[#This Row],[nudo inicial]]</f>
        <v>N93</v>
      </c>
      <c r="C185" s="58" t="str">
        <f>Tabla1[[#This Row],[nudo final]]</f>
        <v>TP65</v>
      </c>
      <c r="D185" s="51">
        <f>Tabla1[[#This Row],[longitud]]</f>
        <v>151.9</v>
      </c>
      <c r="E185" s="51" t="str">
        <f>Tabla1[[#This Row],[diametro]]</f>
        <v>1"</v>
      </c>
      <c r="F185" s="51" t="str">
        <f>Tabla1[[#This Row],[material]]</f>
        <v>PVC</v>
      </c>
      <c r="G18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85" s="52" t="str">
        <f>IF(Tabla1[[#This Row],[5]]="TPD",Tabla1[[#This Row],[6]],"")</f>
        <v/>
      </c>
      <c r="I185" s="52" t="str">
        <f>IF(OR(Tabla1[[#This Row],[5]]="TPD"),Tabla1[[#This Row],[7]],"")</f>
        <v/>
      </c>
      <c r="J185" s="52">
        <f>IF(Tabla15[[#This Row],[2]]="",0,VLOOKUP(TRAMOS!$H$2,Tabla5[#All],3,FALSE)*Tabla15[[#This Row],[3]])</f>
        <v>0</v>
      </c>
      <c r="K185" s="52" t="str">
        <f>IF(Tabla1[[#This Row],[5]]="TPL",Tabla1[[#This Row],[6]],"")</f>
        <v/>
      </c>
      <c r="L185" s="52" t="str">
        <f>IF(OR(Tabla1[[#This Row],[5]]="TPL"),Tabla1[[#This Row],[7]],"")</f>
        <v/>
      </c>
      <c r="M185" s="52">
        <f>IF(Tabla15[[#This Row],[5]]="",0,VLOOKUP(TRAMOS!$K$2,Tabla5[#All],3,FALSE)*Tabla15[[#This Row],[6]])</f>
        <v>0</v>
      </c>
      <c r="N18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8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85" s="52">
        <f>IF(Tabla15[[#This Row],[8]]="",0,VLOOKUP(TRAMOS!$H$2,Tabla5[#All],3,FALSE)*Tabla15[[#This Row],[9]])</f>
        <v>0</v>
      </c>
      <c r="Q18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8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85" s="52">
        <f>IF(Tabla15[[#This Row],[11]]="",0,VLOOKUP(TRAMOS!$Q$2,Tabla5[#All],3,FALSE)*Tabla15[[#This Row],[12]])</f>
        <v>0</v>
      </c>
      <c r="T18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1"</v>
      </c>
      <c r="U185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8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18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8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8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8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8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85" s="52">
        <f>IF(Tabla15[[#This Row],[20]]="",0,VLOOKUP("VRP",Tabla5[#All],3,FALSE)*Tabla15[[#This Row],[21]])</f>
        <v>0</v>
      </c>
      <c r="AC18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8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85" s="52">
        <f>IF(Tabla15[[#This Row],[23]]="",0,VLOOKUP("VC",Tabla5[#All],3,FALSE)*Tabla15[[#This Row],[24]])</f>
        <v>0</v>
      </c>
      <c r="AF18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8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85" s="52">
        <f>IF(Tabla15[[#This Row],[26]]="",0,VLOOKUP(TRAMOS!$K$2,Tabla5[#All],3,FALSE)*Tabla15[[#This Row],[27]])</f>
        <v>0</v>
      </c>
      <c r="AI18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8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8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8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8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1"</v>
      </c>
      <c r="AN185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8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0.37</v>
      </c>
    </row>
    <row r="186" spans="2:41" x14ac:dyDescent="0.25">
      <c r="B186" s="58" t="str">
        <f>Tabla1[[#This Row],[nudo inicial]]</f>
        <v>N87</v>
      </c>
      <c r="C186" s="58" t="str">
        <f>Tabla1[[#This Row],[nudo final]]</f>
        <v>N94</v>
      </c>
      <c r="D186" s="51">
        <f>Tabla1[[#This Row],[longitud]]</f>
        <v>2.17</v>
      </c>
      <c r="E186" s="51" t="str">
        <f>Tabla1[[#This Row],[diametro]]</f>
        <v>6"</v>
      </c>
      <c r="F186" s="51" t="str">
        <f>Tabla1[[#This Row],[material]]</f>
        <v>PVC</v>
      </c>
      <c r="G18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186" s="52" t="str">
        <f>IF(Tabla1[[#This Row],[5]]="TPD",Tabla1[[#This Row],[6]],"")</f>
        <v/>
      </c>
      <c r="I186" s="52" t="str">
        <f>IF(OR(Tabla1[[#This Row],[5]]="TPD"),Tabla1[[#This Row],[7]],"")</f>
        <v/>
      </c>
      <c r="J186" s="52">
        <f>IF(Tabla15[[#This Row],[2]]="",0,VLOOKUP(TRAMOS!$H$2,Tabla5[#All],3,FALSE)*Tabla15[[#This Row],[3]])</f>
        <v>0</v>
      </c>
      <c r="K186" s="52" t="str">
        <f>IF(Tabla1[[#This Row],[5]]="TPL",Tabla1[[#This Row],[6]],"")</f>
        <v>6"</v>
      </c>
      <c r="L186" s="52">
        <f>IF(OR(Tabla1[[#This Row],[5]]="TPL"),Tabla1[[#This Row],[7]],"")</f>
        <v>1</v>
      </c>
      <c r="M186" s="52">
        <f>IF(Tabla15[[#This Row],[5]]="",0,VLOOKUP(TRAMOS!$K$2,Tabla5[#All],3,FALSE)*Tabla15[[#This Row],[6]])</f>
        <v>0.9</v>
      </c>
      <c r="N18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8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86" s="52">
        <f>IF(Tabla15[[#This Row],[8]]="",0,VLOOKUP(TRAMOS!$H$2,Tabla5[#All],3,FALSE)*Tabla15[[#This Row],[9]])</f>
        <v>0</v>
      </c>
      <c r="Q18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8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86" s="52">
        <f>IF(Tabla15[[#This Row],[11]]="",0,VLOOKUP(TRAMOS!$Q$2,Tabla5[#All],3,FALSE)*Tabla15[[#This Row],[12]])</f>
        <v>0</v>
      </c>
      <c r="T18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8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8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8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8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8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8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8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86" s="52">
        <f>IF(Tabla15[[#This Row],[20]]="",0,VLOOKUP("VRP",Tabla5[#All],3,FALSE)*Tabla15[[#This Row],[21]])</f>
        <v>0</v>
      </c>
      <c r="AC18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6"</v>
      </c>
      <c r="AD186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186" s="52">
        <f>IF(Tabla15[[#This Row],[23]]="",0,VLOOKUP("VC",Tabla5[#All],3,FALSE)*Tabla15[[#This Row],[24]])</f>
        <v>0.25</v>
      </c>
      <c r="AF18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8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86" s="52">
        <f>IF(Tabla15[[#This Row],[26]]="",0,VLOOKUP(TRAMOS!$K$2,Tabla5[#All],3,FALSE)*Tabla15[[#This Row],[27]])</f>
        <v>0</v>
      </c>
      <c r="AI18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8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8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8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8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8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8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1.1499999999999999</v>
      </c>
    </row>
    <row r="187" spans="2:41" x14ac:dyDescent="0.25">
      <c r="B187" s="58" t="str">
        <f>Tabla1[[#This Row],[nudo inicial]]</f>
        <v>N94</v>
      </c>
      <c r="C187" s="58" t="str">
        <f>Tabla1[[#This Row],[nudo final]]</f>
        <v>N95</v>
      </c>
      <c r="D187" s="51">
        <f>Tabla1[[#This Row],[longitud]]</f>
        <v>48.71</v>
      </c>
      <c r="E187" s="51" t="str">
        <f>Tabla1[[#This Row],[diametro]]</f>
        <v>3"</v>
      </c>
      <c r="F187" s="51" t="str">
        <f>Tabla1[[#This Row],[material]]</f>
        <v>PVC</v>
      </c>
      <c r="G18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187" s="52" t="str">
        <f>IF(Tabla1[[#This Row],[5]]="TPD",Tabla1[[#This Row],[6]],"")</f>
        <v/>
      </c>
      <c r="I187" s="52" t="str">
        <f>IF(OR(Tabla1[[#This Row],[5]]="TPD"),Tabla1[[#This Row],[7]],"")</f>
        <v/>
      </c>
      <c r="J187" s="52">
        <f>IF(Tabla15[[#This Row],[2]]="",0,VLOOKUP(TRAMOS!$H$2,Tabla5[#All],3,FALSE)*Tabla15[[#This Row],[3]])</f>
        <v>0</v>
      </c>
      <c r="K187" s="52" t="str">
        <f>IF(Tabla1[[#This Row],[5]]="TPL",Tabla1[[#This Row],[6]],"")</f>
        <v>6"</v>
      </c>
      <c r="L187" s="52">
        <f>IF(OR(Tabla1[[#This Row],[5]]="TPL"),Tabla1[[#This Row],[7]],"")</f>
        <v>1</v>
      </c>
      <c r="M187" s="52">
        <f>IF(Tabla15[[#This Row],[5]]="",0,VLOOKUP(TRAMOS!$K$2,Tabla5[#All],3,FALSE)*Tabla15[[#This Row],[6]])</f>
        <v>0.9</v>
      </c>
      <c r="N18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8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87" s="52">
        <f>IF(Tabla15[[#This Row],[8]]="",0,VLOOKUP(TRAMOS!$H$2,Tabla5[#All],3,FALSE)*Tabla15[[#This Row],[9]])</f>
        <v>0</v>
      </c>
      <c r="Q18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8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87" s="52">
        <f>IF(Tabla15[[#This Row],[11]]="",0,VLOOKUP(TRAMOS!$Q$2,Tabla5[#All],3,FALSE)*Tabla15[[#This Row],[12]])</f>
        <v>0</v>
      </c>
      <c r="T18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187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8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18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8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8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8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8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87" s="52">
        <f>IF(Tabla15[[#This Row],[20]]="",0,VLOOKUP("VRP",Tabla5[#All],3,FALSE)*Tabla15[[#This Row],[21]])</f>
        <v>0</v>
      </c>
      <c r="AC18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8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87" s="52">
        <f>IF(Tabla15[[#This Row],[23]]="",0,VLOOKUP("VC",Tabla5[#All],3,FALSE)*Tabla15[[#This Row],[24]])</f>
        <v>0</v>
      </c>
      <c r="AF18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8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87" s="52">
        <f>IF(Tabla15[[#This Row],[26]]="",0,VLOOKUP(TRAMOS!$K$2,Tabla5[#All],3,FALSE)*Tabla15[[#This Row],[27]])</f>
        <v>0</v>
      </c>
      <c r="AI18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8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8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8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8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8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8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1.27</v>
      </c>
    </row>
    <row r="188" spans="2:41" x14ac:dyDescent="0.25">
      <c r="B188" s="58" t="str">
        <f>Tabla1[[#This Row],[nudo inicial]]</f>
        <v>N95</v>
      </c>
      <c r="C188" s="58" t="str">
        <f>Tabla1[[#This Row],[nudo final]]</f>
        <v>TP66</v>
      </c>
      <c r="D188" s="51">
        <f>Tabla1[[#This Row],[longitud]]</f>
        <v>92.86</v>
      </c>
      <c r="E188" s="51" t="str">
        <f>Tabla1[[#This Row],[diametro]]</f>
        <v>1 1/2"</v>
      </c>
      <c r="F188" s="51" t="str">
        <f>Tabla1[[#This Row],[material]]</f>
        <v>PVC</v>
      </c>
      <c r="G18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88" s="52" t="str">
        <f>IF(Tabla1[[#This Row],[5]]="TPD",Tabla1[[#This Row],[6]],"")</f>
        <v/>
      </c>
      <c r="I188" s="52" t="str">
        <f>IF(OR(Tabla1[[#This Row],[5]]="TPD"),Tabla1[[#This Row],[7]],"")</f>
        <v/>
      </c>
      <c r="J188" s="52">
        <f>IF(Tabla15[[#This Row],[2]]="",0,VLOOKUP(TRAMOS!$H$2,Tabla5[#All],3,FALSE)*Tabla15[[#This Row],[3]])</f>
        <v>0</v>
      </c>
      <c r="K188" s="52" t="str">
        <f>IF(Tabla1[[#This Row],[5]]="TPL",Tabla1[[#This Row],[6]],"")</f>
        <v>3"</v>
      </c>
      <c r="L188" s="52">
        <f>IF(OR(Tabla1[[#This Row],[5]]="TPL"),Tabla1[[#This Row],[7]],"")</f>
        <v>1</v>
      </c>
      <c r="M188" s="52">
        <f>IF(Tabla15[[#This Row],[5]]="",0,VLOOKUP(TRAMOS!$K$2,Tabla5[#All],3,FALSE)*Tabla15[[#This Row],[6]])</f>
        <v>0.9</v>
      </c>
      <c r="N18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8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88" s="52">
        <f>IF(Tabla15[[#This Row],[8]]="",0,VLOOKUP(TRAMOS!$H$2,Tabla5[#All],3,FALSE)*Tabla15[[#This Row],[9]])</f>
        <v>0</v>
      </c>
      <c r="Q18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8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88" s="52">
        <f>IF(Tabla15[[#This Row],[11]]="",0,VLOOKUP(TRAMOS!$Q$2,Tabla5[#All],3,FALSE)*Tabla15[[#This Row],[12]])</f>
        <v>0</v>
      </c>
      <c r="T18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 1/2"</v>
      </c>
      <c r="U188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8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18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8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8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8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8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88" s="52">
        <f>IF(Tabla15[[#This Row],[20]]="",0,VLOOKUP("VRP",Tabla5[#All],3,FALSE)*Tabla15[[#This Row],[21]])</f>
        <v>0</v>
      </c>
      <c r="AC18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8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88" s="52">
        <f>IF(Tabla15[[#This Row],[23]]="",0,VLOOKUP("VC",Tabla5[#All],3,FALSE)*Tabla15[[#This Row],[24]])</f>
        <v>0</v>
      </c>
      <c r="AF18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8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88" s="52">
        <f>IF(Tabla15[[#This Row],[26]]="",0,VLOOKUP(TRAMOS!$K$2,Tabla5[#All],3,FALSE)*Tabla15[[#This Row],[27]])</f>
        <v>0</v>
      </c>
      <c r="AI18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8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8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8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8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 1/2"</v>
      </c>
      <c r="AN188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8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1.27</v>
      </c>
    </row>
    <row r="189" spans="2:41" x14ac:dyDescent="0.25">
      <c r="B189" s="58" t="str">
        <f>Tabla1[[#This Row],[nudo inicial]]</f>
        <v>N95</v>
      </c>
      <c r="C189" s="58" t="str">
        <f>Tabla1[[#This Row],[nudo final]]</f>
        <v>N96</v>
      </c>
      <c r="D189" s="51">
        <f>Tabla1[[#This Row],[longitud]]</f>
        <v>11.3</v>
      </c>
      <c r="E189" s="51" t="str">
        <f>Tabla1[[#This Row],[diametro]]</f>
        <v>3"</v>
      </c>
      <c r="F189" s="51" t="str">
        <f>Tabla1[[#This Row],[material]]</f>
        <v>PVC</v>
      </c>
      <c r="G18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89" s="52" t="str">
        <f>IF(Tabla1[[#This Row],[5]]="TPD",Tabla1[[#This Row],[6]],"")</f>
        <v>3"</v>
      </c>
      <c r="I189" s="52">
        <f>IF(OR(Tabla1[[#This Row],[5]]="TPD"),Tabla1[[#This Row],[7]],"")</f>
        <v>1</v>
      </c>
      <c r="J189" s="52">
        <f>IF(Tabla15[[#This Row],[2]]="",0,VLOOKUP(TRAMOS!$H$2,Tabla5[#All],3,FALSE)*Tabla15[[#This Row],[3]])</f>
        <v>0.15</v>
      </c>
      <c r="K189" s="52" t="str">
        <f>IF(Tabla1[[#This Row],[5]]="TPL",Tabla1[[#This Row],[6]],"")</f>
        <v/>
      </c>
      <c r="L189" s="52" t="str">
        <f>IF(OR(Tabla1[[#This Row],[5]]="TPL"),Tabla1[[#This Row],[7]],"")</f>
        <v/>
      </c>
      <c r="M189" s="52">
        <f>IF(Tabla15[[#This Row],[5]]="",0,VLOOKUP(TRAMOS!$K$2,Tabla5[#All],3,FALSE)*Tabla15[[#This Row],[6]])</f>
        <v>0</v>
      </c>
      <c r="N18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8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89" s="52">
        <f>IF(Tabla15[[#This Row],[8]]="",0,VLOOKUP(TRAMOS!$H$2,Tabla5[#All],3,FALSE)*Tabla15[[#This Row],[9]])</f>
        <v>0</v>
      </c>
      <c r="Q18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8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89" s="52">
        <f>IF(Tabla15[[#This Row],[11]]="",0,VLOOKUP(TRAMOS!$Q$2,Tabla5[#All],3,FALSE)*Tabla15[[#This Row],[12]])</f>
        <v>0</v>
      </c>
      <c r="T18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8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8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8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8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8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8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8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89" s="52">
        <f>IF(Tabla15[[#This Row],[20]]="",0,VLOOKUP("VRP",Tabla5[#All],3,FALSE)*Tabla15[[#This Row],[21]])</f>
        <v>0</v>
      </c>
      <c r="AC18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8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89" s="52">
        <f>IF(Tabla15[[#This Row],[23]]="",0,VLOOKUP("VC",Tabla5[#All],3,FALSE)*Tabla15[[#This Row],[24]])</f>
        <v>0</v>
      </c>
      <c r="AF18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8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89" s="52">
        <f>IF(Tabla15[[#This Row],[26]]="",0,VLOOKUP(TRAMOS!$K$2,Tabla5[#All],3,FALSE)*Tabla15[[#This Row],[27]])</f>
        <v>0</v>
      </c>
      <c r="AI18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8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8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8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8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8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8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90" spans="2:41" x14ac:dyDescent="0.25">
      <c r="B190" s="58" t="str">
        <f>Tabla1[[#This Row],[nudo inicial]]</f>
        <v>N96</v>
      </c>
      <c r="C190" s="58" t="str">
        <f>Tabla1[[#This Row],[nudo final]]</f>
        <v>TP67</v>
      </c>
      <c r="D190" s="51">
        <f>Tabla1[[#This Row],[longitud]]</f>
        <v>93.53</v>
      </c>
      <c r="E190" s="51" t="str">
        <f>Tabla1[[#This Row],[diametro]]</f>
        <v>1 1/2"</v>
      </c>
      <c r="F190" s="51" t="str">
        <f>Tabla1[[#This Row],[material]]</f>
        <v>PVC</v>
      </c>
      <c r="G19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90" s="52" t="str">
        <f>IF(Tabla1[[#This Row],[5]]="TPD",Tabla1[[#This Row],[6]],"")</f>
        <v/>
      </c>
      <c r="I190" s="52" t="str">
        <f>IF(OR(Tabla1[[#This Row],[5]]="TPD"),Tabla1[[#This Row],[7]],"")</f>
        <v/>
      </c>
      <c r="J190" s="52">
        <f>IF(Tabla15[[#This Row],[2]]="",0,VLOOKUP(TRAMOS!$H$2,Tabla5[#All],3,FALSE)*Tabla15[[#This Row],[3]])</f>
        <v>0</v>
      </c>
      <c r="K190" s="52" t="str">
        <f>IF(Tabla1[[#This Row],[5]]="TPL",Tabla1[[#This Row],[6]],"")</f>
        <v>3"</v>
      </c>
      <c r="L190" s="52">
        <f>IF(OR(Tabla1[[#This Row],[5]]="TPL"),Tabla1[[#This Row],[7]],"")</f>
        <v>1</v>
      </c>
      <c r="M190" s="52">
        <f>IF(Tabla15[[#This Row],[5]]="",0,VLOOKUP(TRAMOS!$K$2,Tabla5[#All],3,FALSE)*Tabla15[[#This Row],[6]])</f>
        <v>0.9</v>
      </c>
      <c r="N19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9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90" s="52">
        <f>IF(Tabla15[[#This Row],[8]]="",0,VLOOKUP(TRAMOS!$H$2,Tabla5[#All],3,FALSE)*Tabla15[[#This Row],[9]])</f>
        <v>0</v>
      </c>
      <c r="Q19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9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90" s="52">
        <f>IF(Tabla15[[#This Row],[11]]="",0,VLOOKUP(TRAMOS!$Q$2,Tabla5[#All],3,FALSE)*Tabla15[[#This Row],[12]])</f>
        <v>0</v>
      </c>
      <c r="T19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 1/2"</v>
      </c>
      <c r="U190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9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19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9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9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9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9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90" s="52">
        <f>IF(Tabla15[[#This Row],[20]]="",0,VLOOKUP("VRP",Tabla5[#All],3,FALSE)*Tabla15[[#This Row],[21]])</f>
        <v>0</v>
      </c>
      <c r="AC19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9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90" s="52">
        <f>IF(Tabla15[[#This Row],[23]]="",0,VLOOKUP("VC",Tabla5[#All],3,FALSE)*Tabla15[[#This Row],[24]])</f>
        <v>0</v>
      </c>
      <c r="AF19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9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90" s="52">
        <f>IF(Tabla15[[#This Row],[26]]="",0,VLOOKUP(TRAMOS!$K$2,Tabla5[#All],3,FALSE)*Tabla15[[#This Row],[27]])</f>
        <v>0</v>
      </c>
      <c r="AI19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9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9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9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9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 1/2"</v>
      </c>
      <c r="AN190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9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1.27</v>
      </c>
    </row>
    <row r="191" spans="2:41" x14ac:dyDescent="0.25">
      <c r="B191" s="58" t="str">
        <f>Tabla1[[#This Row],[nudo inicial]]</f>
        <v>N96</v>
      </c>
      <c r="C191" s="58" t="str">
        <f>Tabla1[[#This Row],[nudo final]]</f>
        <v>N97</v>
      </c>
      <c r="D191" s="51">
        <f>Tabla1[[#This Row],[longitud]]</f>
        <v>48.32</v>
      </c>
      <c r="E191" s="51" t="str">
        <f>Tabla1[[#This Row],[diametro]]</f>
        <v>3"</v>
      </c>
      <c r="F191" s="51" t="str">
        <f>Tabla1[[#This Row],[material]]</f>
        <v>PVC</v>
      </c>
      <c r="G19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91" s="52" t="str">
        <f>IF(Tabla1[[#This Row],[5]]="TPD",Tabla1[[#This Row],[6]],"")</f>
        <v>3"</v>
      </c>
      <c r="I191" s="52">
        <f>IF(OR(Tabla1[[#This Row],[5]]="TPD"),Tabla1[[#This Row],[7]],"")</f>
        <v>1</v>
      </c>
      <c r="J191" s="52">
        <f>IF(Tabla15[[#This Row],[2]]="",0,VLOOKUP(TRAMOS!$H$2,Tabla5[#All],3,FALSE)*Tabla15[[#This Row],[3]])</f>
        <v>0.15</v>
      </c>
      <c r="K191" s="52" t="str">
        <f>IF(Tabla1[[#This Row],[5]]="TPL",Tabla1[[#This Row],[6]],"")</f>
        <v/>
      </c>
      <c r="L191" s="52" t="str">
        <f>IF(OR(Tabla1[[#This Row],[5]]="TPL"),Tabla1[[#This Row],[7]],"")</f>
        <v/>
      </c>
      <c r="M191" s="52">
        <f>IF(Tabla15[[#This Row],[5]]="",0,VLOOKUP(TRAMOS!$K$2,Tabla5[#All],3,FALSE)*Tabla15[[#This Row],[6]])</f>
        <v>0</v>
      </c>
      <c r="N19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9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91" s="52">
        <f>IF(Tabla15[[#This Row],[8]]="",0,VLOOKUP(TRAMOS!$H$2,Tabla5[#All],3,FALSE)*Tabla15[[#This Row],[9]])</f>
        <v>0</v>
      </c>
      <c r="Q19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9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91" s="52">
        <f>IF(Tabla15[[#This Row],[11]]="",0,VLOOKUP(TRAMOS!$Q$2,Tabla5[#All],3,FALSE)*Tabla15[[#This Row],[12]])</f>
        <v>0</v>
      </c>
      <c r="T19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9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9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9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9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9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9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9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91" s="52">
        <f>IF(Tabla15[[#This Row],[20]]="",0,VLOOKUP("VRP",Tabla5[#All],3,FALSE)*Tabla15[[#This Row],[21]])</f>
        <v>0</v>
      </c>
      <c r="AC19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9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91" s="52">
        <f>IF(Tabla15[[#This Row],[23]]="",0,VLOOKUP("VC",Tabla5[#All],3,FALSE)*Tabla15[[#This Row],[24]])</f>
        <v>0</v>
      </c>
      <c r="AF19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9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91" s="52">
        <f>IF(Tabla15[[#This Row],[26]]="",0,VLOOKUP(TRAMOS!$K$2,Tabla5[#All],3,FALSE)*Tabla15[[#This Row],[27]])</f>
        <v>0</v>
      </c>
      <c r="AI19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9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9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9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9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9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9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92" spans="2:41" x14ac:dyDescent="0.25">
      <c r="B192" s="58" t="str">
        <f>Tabla1[[#This Row],[nudo inicial]]</f>
        <v>N97</v>
      </c>
      <c r="C192" s="58" t="str">
        <f>Tabla1[[#This Row],[nudo final]]</f>
        <v>TP68</v>
      </c>
      <c r="D192" s="51">
        <f>Tabla1[[#This Row],[longitud]]</f>
        <v>90.17</v>
      </c>
      <c r="E192" s="51" t="str">
        <f>Tabla1[[#This Row],[diametro]]</f>
        <v>1 1/2"</v>
      </c>
      <c r="F192" s="51" t="str">
        <f>Tabla1[[#This Row],[material]]</f>
        <v>PVC</v>
      </c>
      <c r="G19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92" s="52" t="str">
        <f>IF(Tabla1[[#This Row],[5]]="TPD",Tabla1[[#This Row],[6]],"")</f>
        <v/>
      </c>
      <c r="I192" s="52" t="str">
        <f>IF(OR(Tabla1[[#This Row],[5]]="TPD"),Tabla1[[#This Row],[7]],"")</f>
        <v/>
      </c>
      <c r="J192" s="52">
        <f>IF(Tabla15[[#This Row],[2]]="",0,VLOOKUP(TRAMOS!$H$2,Tabla5[#All],3,FALSE)*Tabla15[[#This Row],[3]])</f>
        <v>0</v>
      </c>
      <c r="K192" s="52" t="str">
        <f>IF(Tabla1[[#This Row],[5]]="TPL",Tabla1[[#This Row],[6]],"")</f>
        <v>3"</v>
      </c>
      <c r="L192" s="52">
        <f>IF(OR(Tabla1[[#This Row],[5]]="TPL"),Tabla1[[#This Row],[7]],"")</f>
        <v>1</v>
      </c>
      <c r="M192" s="52">
        <f>IF(Tabla15[[#This Row],[5]]="",0,VLOOKUP(TRAMOS!$K$2,Tabla5[#All],3,FALSE)*Tabla15[[#This Row],[6]])</f>
        <v>0.9</v>
      </c>
      <c r="N19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9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92" s="52">
        <f>IF(Tabla15[[#This Row],[8]]="",0,VLOOKUP(TRAMOS!$H$2,Tabla5[#All],3,FALSE)*Tabla15[[#This Row],[9]])</f>
        <v>0</v>
      </c>
      <c r="Q19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9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92" s="52">
        <f>IF(Tabla15[[#This Row],[11]]="",0,VLOOKUP(TRAMOS!$Q$2,Tabla5[#All],3,FALSE)*Tabla15[[#This Row],[12]])</f>
        <v>0</v>
      </c>
      <c r="T19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 1/2"</v>
      </c>
      <c r="U192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9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19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9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9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9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9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92" s="52">
        <f>IF(Tabla15[[#This Row],[20]]="",0,VLOOKUP("VRP",Tabla5[#All],3,FALSE)*Tabla15[[#This Row],[21]])</f>
        <v>0</v>
      </c>
      <c r="AC19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9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92" s="52">
        <f>IF(Tabla15[[#This Row],[23]]="",0,VLOOKUP("VC",Tabla5[#All],3,FALSE)*Tabla15[[#This Row],[24]])</f>
        <v>0</v>
      </c>
      <c r="AF19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9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92" s="52">
        <f>IF(Tabla15[[#This Row],[26]]="",0,VLOOKUP(TRAMOS!$K$2,Tabla5[#All],3,FALSE)*Tabla15[[#This Row],[27]])</f>
        <v>0</v>
      </c>
      <c r="AI19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9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9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9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9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 1/2"</v>
      </c>
      <c r="AN192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9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1.27</v>
      </c>
    </row>
    <row r="193" spans="2:41" x14ac:dyDescent="0.25">
      <c r="B193" s="58" t="str">
        <f>Tabla1[[#This Row],[nudo inicial]]</f>
        <v>N97</v>
      </c>
      <c r="C193" s="58" t="str">
        <f>Tabla1[[#This Row],[nudo final]]</f>
        <v>N98</v>
      </c>
      <c r="D193" s="51">
        <f>Tabla1[[#This Row],[longitud]]</f>
        <v>5.63</v>
      </c>
      <c r="E193" s="51" t="str">
        <f>Tabla1[[#This Row],[diametro]]</f>
        <v>3"</v>
      </c>
      <c r="F193" s="51" t="str">
        <f>Tabla1[[#This Row],[material]]</f>
        <v>PVC</v>
      </c>
      <c r="G19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93" s="52" t="str">
        <f>IF(Tabla1[[#This Row],[5]]="TPD",Tabla1[[#This Row],[6]],"")</f>
        <v>3"</v>
      </c>
      <c r="I193" s="52">
        <f>IF(OR(Tabla1[[#This Row],[5]]="TPD"),Tabla1[[#This Row],[7]],"")</f>
        <v>1</v>
      </c>
      <c r="J193" s="52">
        <f>IF(Tabla15[[#This Row],[2]]="",0,VLOOKUP(TRAMOS!$H$2,Tabla5[#All],3,FALSE)*Tabla15[[#This Row],[3]])</f>
        <v>0.15</v>
      </c>
      <c r="K193" s="52" t="str">
        <f>IF(Tabla1[[#This Row],[5]]="TPL",Tabla1[[#This Row],[6]],"")</f>
        <v/>
      </c>
      <c r="L193" s="52" t="str">
        <f>IF(OR(Tabla1[[#This Row],[5]]="TPL"),Tabla1[[#This Row],[7]],"")</f>
        <v/>
      </c>
      <c r="M193" s="52">
        <f>IF(Tabla15[[#This Row],[5]]="",0,VLOOKUP(TRAMOS!$K$2,Tabla5[#All],3,FALSE)*Tabla15[[#This Row],[6]])</f>
        <v>0</v>
      </c>
      <c r="N19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9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93" s="52">
        <f>IF(Tabla15[[#This Row],[8]]="",0,VLOOKUP(TRAMOS!$H$2,Tabla5[#All],3,FALSE)*Tabla15[[#This Row],[9]])</f>
        <v>0</v>
      </c>
      <c r="Q19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9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93" s="52">
        <f>IF(Tabla15[[#This Row],[11]]="",0,VLOOKUP(TRAMOS!$Q$2,Tabla5[#All],3,FALSE)*Tabla15[[#This Row],[12]])</f>
        <v>0</v>
      </c>
      <c r="T19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9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9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9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9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9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9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9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93" s="52">
        <f>IF(Tabla15[[#This Row],[20]]="",0,VLOOKUP("VRP",Tabla5[#All],3,FALSE)*Tabla15[[#This Row],[21]])</f>
        <v>0</v>
      </c>
      <c r="AC19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9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93" s="52">
        <f>IF(Tabla15[[#This Row],[23]]="",0,VLOOKUP("VC",Tabla5[#All],3,FALSE)*Tabla15[[#This Row],[24]])</f>
        <v>0</v>
      </c>
      <c r="AF19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9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93" s="52">
        <f>IF(Tabla15[[#This Row],[26]]="",0,VLOOKUP(TRAMOS!$K$2,Tabla5[#All],3,FALSE)*Tabla15[[#This Row],[27]])</f>
        <v>0</v>
      </c>
      <c r="AI19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9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9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9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9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9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9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94" spans="2:41" x14ac:dyDescent="0.25">
      <c r="B194" s="58" t="str">
        <f>Tabla1[[#This Row],[nudo inicial]]</f>
        <v>N98</v>
      </c>
      <c r="C194" s="58" t="str">
        <f>Tabla1[[#This Row],[nudo final]]</f>
        <v>TP69</v>
      </c>
      <c r="D194" s="51">
        <f>Tabla1[[#This Row],[longitud]]</f>
        <v>90.74</v>
      </c>
      <c r="E194" s="51" t="str">
        <f>Tabla1[[#This Row],[diametro]]</f>
        <v>1 1/2"</v>
      </c>
      <c r="F194" s="51" t="str">
        <f>Tabla1[[#This Row],[material]]</f>
        <v>PVC</v>
      </c>
      <c r="G19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94" s="52" t="str">
        <f>IF(Tabla1[[#This Row],[5]]="TPD",Tabla1[[#This Row],[6]],"")</f>
        <v/>
      </c>
      <c r="I194" s="52" t="str">
        <f>IF(OR(Tabla1[[#This Row],[5]]="TPD"),Tabla1[[#This Row],[7]],"")</f>
        <v/>
      </c>
      <c r="J194" s="52">
        <f>IF(Tabla15[[#This Row],[2]]="",0,VLOOKUP(TRAMOS!$H$2,Tabla5[#All],3,FALSE)*Tabla15[[#This Row],[3]])</f>
        <v>0</v>
      </c>
      <c r="K194" s="52" t="str">
        <f>IF(Tabla1[[#This Row],[5]]="TPL",Tabla1[[#This Row],[6]],"")</f>
        <v>3"</v>
      </c>
      <c r="L194" s="52">
        <f>IF(OR(Tabla1[[#This Row],[5]]="TPL"),Tabla1[[#This Row],[7]],"")</f>
        <v>1</v>
      </c>
      <c r="M194" s="52">
        <f>IF(Tabla15[[#This Row],[5]]="",0,VLOOKUP(TRAMOS!$K$2,Tabla5[#All],3,FALSE)*Tabla15[[#This Row],[6]])</f>
        <v>0.9</v>
      </c>
      <c r="N19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9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94" s="52">
        <f>IF(Tabla15[[#This Row],[8]]="",0,VLOOKUP(TRAMOS!$H$2,Tabla5[#All],3,FALSE)*Tabla15[[#This Row],[9]])</f>
        <v>0</v>
      </c>
      <c r="Q19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9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94" s="52">
        <f>IF(Tabla15[[#This Row],[11]]="",0,VLOOKUP(TRAMOS!$Q$2,Tabla5[#All],3,FALSE)*Tabla15[[#This Row],[12]])</f>
        <v>0</v>
      </c>
      <c r="T19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 1/2"</v>
      </c>
      <c r="U194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9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19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9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9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9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9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94" s="52">
        <f>IF(Tabla15[[#This Row],[20]]="",0,VLOOKUP("VRP",Tabla5[#All],3,FALSE)*Tabla15[[#This Row],[21]])</f>
        <v>0</v>
      </c>
      <c r="AC19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9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94" s="52">
        <f>IF(Tabla15[[#This Row],[23]]="",0,VLOOKUP("VC",Tabla5[#All],3,FALSE)*Tabla15[[#This Row],[24]])</f>
        <v>0</v>
      </c>
      <c r="AF19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9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94" s="52">
        <f>IF(Tabla15[[#This Row],[26]]="",0,VLOOKUP(TRAMOS!$K$2,Tabla5[#All],3,FALSE)*Tabla15[[#This Row],[27]])</f>
        <v>0</v>
      </c>
      <c r="AI19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9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9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9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9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 1/2"</v>
      </c>
      <c r="AN194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9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1.27</v>
      </c>
    </row>
    <row r="195" spans="2:41" x14ac:dyDescent="0.25">
      <c r="B195" s="58" t="str">
        <f>Tabla1[[#This Row],[nudo inicial]]</f>
        <v>N98</v>
      </c>
      <c r="C195" s="58" t="str">
        <f>Tabla1[[#This Row],[nudo final]]</f>
        <v>N99</v>
      </c>
      <c r="D195" s="51">
        <f>Tabla1[[#This Row],[longitud]]</f>
        <v>30.03</v>
      </c>
      <c r="E195" s="51" t="str">
        <f>Tabla1[[#This Row],[diametro]]</f>
        <v>3"</v>
      </c>
      <c r="F195" s="51" t="str">
        <f>Tabla1[[#This Row],[material]]</f>
        <v>PVC</v>
      </c>
      <c r="G19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95" s="52" t="str">
        <f>IF(Tabla1[[#This Row],[5]]="TPD",Tabla1[[#This Row],[6]],"")</f>
        <v>3"</v>
      </c>
      <c r="I195" s="52">
        <f>IF(OR(Tabla1[[#This Row],[5]]="TPD"),Tabla1[[#This Row],[7]],"")</f>
        <v>1</v>
      </c>
      <c r="J195" s="52">
        <f>IF(Tabla15[[#This Row],[2]]="",0,VLOOKUP(TRAMOS!$H$2,Tabla5[#All],3,FALSE)*Tabla15[[#This Row],[3]])</f>
        <v>0.15</v>
      </c>
      <c r="K195" s="52" t="str">
        <f>IF(Tabla1[[#This Row],[5]]="TPL",Tabla1[[#This Row],[6]],"")</f>
        <v/>
      </c>
      <c r="L195" s="52" t="str">
        <f>IF(OR(Tabla1[[#This Row],[5]]="TPL"),Tabla1[[#This Row],[7]],"")</f>
        <v/>
      </c>
      <c r="M195" s="52">
        <f>IF(Tabla15[[#This Row],[5]]="",0,VLOOKUP(TRAMOS!$K$2,Tabla5[#All],3,FALSE)*Tabla15[[#This Row],[6]])</f>
        <v>0</v>
      </c>
      <c r="N19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9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95" s="52">
        <f>IF(Tabla15[[#This Row],[8]]="",0,VLOOKUP(TRAMOS!$H$2,Tabla5[#All],3,FALSE)*Tabla15[[#This Row],[9]])</f>
        <v>0</v>
      </c>
      <c r="Q19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9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95" s="52">
        <f>IF(Tabla15[[#This Row],[11]]="",0,VLOOKUP(TRAMOS!$Q$2,Tabla5[#All],3,FALSE)*Tabla15[[#This Row],[12]])</f>
        <v>0</v>
      </c>
      <c r="T19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9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9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9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9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9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9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9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95" s="52">
        <f>IF(Tabla15[[#This Row],[20]]="",0,VLOOKUP("VRP",Tabla5[#All],3,FALSE)*Tabla15[[#This Row],[21]])</f>
        <v>0</v>
      </c>
      <c r="AC19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9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95" s="52">
        <f>IF(Tabla15[[#This Row],[23]]="",0,VLOOKUP("VC",Tabla5[#All],3,FALSE)*Tabla15[[#This Row],[24]])</f>
        <v>0</v>
      </c>
      <c r="AF19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9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95" s="52">
        <f>IF(Tabla15[[#This Row],[26]]="",0,VLOOKUP(TRAMOS!$K$2,Tabla5[#All],3,FALSE)*Tabla15[[#This Row],[27]])</f>
        <v>0</v>
      </c>
      <c r="AI19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9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9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9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9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9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9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96" spans="2:41" x14ac:dyDescent="0.25">
      <c r="B196" s="58" t="str">
        <f>Tabla1[[#This Row],[nudo inicial]]</f>
        <v>N99</v>
      </c>
      <c r="C196" s="58" t="str">
        <f>Tabla1[[#This Row],[nudo final]]</f>
        <v>TP70</v>
      </c>
      <c r="D196" s="51">
        <f>Tabla1[[#This Row],[longitud]]</f>
        <v>71.349999999999994</v>
      </c>
      <c r="E196" s="51" t="str">
        <f>Tabla1[[#This Row],[diametro]]</f>
        <v>1 1/2"</v>
      </c>
      <c r="F196" s="51" t="str">
        <f>Tabla1[[#This Row],[material]]</f>
        <v>PVC</v>
      </c>
      <c r="G19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96" s="52" t="str">
        <f>IF(Tabla1[[#This Row],[5]]="TPD",Tabla1[[#This Row],[6]],"")</f>
        <v/>
      </c>
      <c r="I196" s="52" t="str">
        <f>IF(OR(Tabla1[[#This Row],[5]]="TPD"),Tabla1[[#This Row],[7]],"")</f>
        <v/>
      </c>
      <c r="J196" s="52">
        <f>IF(Tabla15[[#This Row],[2]]="",0,VLOOKUP(TRAMOS!$H$2,Tabla5[#All],3,FALSE)*Tabla15[[#This Row],[3]])</f>
        <v>0</v>
      </c>
      <c r="K196" s="52" t="str">
        <f>IF(Tabla1[[#This Row],[5]]="TPL",Tabla1[[#This Row],[6]],"")</f>
        <v>3"</v>
      </c>
      <c r="L196" s="52">
        <f>IF(OR(Tabla1[[#This Row],[5]]="TPL"),Tabla1[[#This Row],[7]],"")</f>
        <v>1</v>
      </c>
      <c r="M196" s="52">
        <f>IF(Tabla15[[#This Row],[5]]="",0,VLOOKUP(TRAMOS!$K$2,Tabla5[#All],3,FALSE)*Tabla15[[#This Row],[6]])</f>
        <v>0.9</v>
      </c>
      <c r="N19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9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96" s="52">
        <f>IF(Tabla15[[#This Row],[8]]="",0,VLOOKUP(TRAMOS!$H$2,Tabla5[#All],3,FALSE)*Tabla15[[#This Row],[9]])</f>
        <v>0</v>
      </c>
      <c r="Q19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9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96" s="52">
        <f>IF(Tabla15[[#This Row],[11]]="",0,VLOOKUP(TRAMOS!$Q$2,Tabla5[#All],3,FALSE)*Tabla15[[#This Row],[12]])</f>
        <v>0</v>
      </c>
      <c r="T19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 1/2"</v>
      </c>
      <c r="U196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9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19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9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9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9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9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96" s="52">
        <f>IF(Tabla15[[#This Row],[20]]="",0,VLOOKUP("VRP",Tabla5[#All],3,FALSE)*Tabla15[[#This Row],[21]])</f>
        <v>0</v>
      </c>
      <c r="AC19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9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96" s="52">
        <f>IF(Tabla15[[#This Row],[23]]="",0,VLOOKUP("VC",Tabla5[#All],3,FALSE)*Tabla15[[#This Row],[24]])</f>
        <v>0</v>
      </c>
      <c r="AF19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9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96" s="52">
        <f>IF(Tabla15[[#This Row],[26]]="",0,VLOOKUP(TRAMOS!$K$2,Tabla5[#All],3,FALSE)*Tabla15[[#This Row],[27]])</f>
        <v>0</v>
      </c>
      <c r="AI19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9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9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9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9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 1/2"</v>
      </c>
      <c r="AN19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9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1.27</v>
      </c>
    </row>
    <row r="197" spans="2:41" x14ac:dyDescent="0.25">
      <c r="B197" s="58" t="str">
        <f>Tabla1[[#This Row],[nudo inicial]]</f>
        <v>N99</v>
      </c>
      <c r="C197" s="58" t="str">
        <f>Tabla1[[#This Row],[nudo final]]</f>
        <v>N100</v>
      </c>
      <c r="D197" s="51">
        <f>Tabla1[[#This Row],[longitud]]</f>
        <v>8.42</v>
      </c>
      <c r="E197" s="51" t="str">
        <f>Tabla1[[#This Row],[diametro]]</f>
        <v>3"</v>
      </c>
      <c r="F197" s="51" t="str">
        <f>Tabla1[[#This Row],[material]]</f>
        <v>PVC</v>
      </c>
      <c r="G19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97" s="52" t="str">
        <f>IF(Tabla1[[#This Row],[5]]="TPD",Tabla1[[#This Row],[6]],"")</f>
        <v>3"</v>
      </c>
      <c r="I197" s="52">
        <f>IF(OR(Tabla1[[#This Row],[5]]="TPD"),Tabla1[[#This Row],[7]],"")</f>
        <v>0</v>
      </c>
      <c r="J197" s="52">
        <f>IF(Tabla15[[#This Row],[2]]="",0,VLOOKUP(TRAMOS!$H$2,Tabla5[#All],3,FALSE)*Tabla15[[#This Row],[3]])</f>
        <v>0</v>
      </c>
      <c r="K197" s="52" t="str">
        <f>IF(Tabla1[[#This Row],[5]]="TPL",Tabla1[[#This Row],[6]],"")</f>
        <v/>
      </c>
      <c r="L197" s="52" t="str">
        <f>IF(OR(Tabla1[[#This Row],[5]]="TPL"),Tabla1[[#This Row],[7]],"")</f>
        <v/>
      </c>
      <c r="M197" s="52">
        <f>IF(Tabla15[[#This Row],[5]]="",0,VLOOKUP(TRAMOS!$K$2,Tabla5[#All],3,FALSE)*Tabla15[[#This Row],[6]])</f>
        <v>0</v>
      </c>
      <c r="N19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9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97" s="52">
        <f>IF(Tabla15[[#This Row],[8]]="",0,VLOOKUP(TRAMOS!$H$2,Tabla5[#All],3,FALSE)*Tabla15[[#This Row],[9]])</f>
        <v>0</v>
      </c>
      <c r="Q19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9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97" s="52">
        <f>IF(Tabla15[[#This Row],[11]]="",0,VLOOKUP(TRAMOS!$Q$2,Tabla5[#All],3,FALSE)*Tabla15[[#This Row],[12]])</f>
        <v>0</v>
      </c>
      <c r="T19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9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9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9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9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9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9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9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97" s="52">
        <f>IF(Tabla15[[#This Row],[20]]="",0,VLOOKUP("VRP",Tabla5[#All],3,FALSE)*Tabla15[[#This Row],[21]])</f>
        <v>0</v>
      </c>
      <c r="AC19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9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97" s="52">
        <f>IF(Tabla15[[#This Row],[23]]="",0,VLOOKUP("VC",Tabla5[#All],3,FALSE)*Tabla15[[#This Row],[24]])</f>
        <v>0</v>
      </c>
      <c r="AF19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9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97" s="52">
        <f>IF(Tabla15[[#This Row],[26]]="",0,VLOOKUP(TRAMOS!$K$2,Tabla5[#All],3,FALSE)*Tabla15[[#This Row],[27]])</f>
        <v>0</v>
      </c>
      <c r="AI19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9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9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9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9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9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9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</v>
      </c>
    </row>
    <row r="198" spans="2:41" x14ac:dyDescent="0.25">
      <c r="B198" s="58" t="str">
        <f>Tabla1[[#This Row],[nudo inicial]]</f>
        <v>N100</v>
      </c>
      <c r="C198" s="58" t="str">
        <f>Tabla1[[#This Row],[nudo final]]</f>
        <v>TP71</v>
      </c>
      <c r="D198" s="51">
        <f>Tabla1[[#This Row],[longitud]]</f>
        <v>72.02</v>
      </c>
      <c r="E198" s="51" t="str">
        <f>Tabla1[[#This Row],[diametro]]</f>
        <v>1 1/2"</v>
      </c>
      <c r="F198" s="51" t="str">
        <f>Tabla1[[#This Row],[material]]</f>
        <v>PVC</v>
      </c>
      <c r="G19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98" s="52" t="str">
        <f>IF(Tabla1[[#This Row],[5]]="TPD",Tabla1[[#This Row],[6]],"")</f>
        <v/>
      </c>
      <c r="I198" s="52" t="str">
        <f>IF(OR(Tabla1[[#This Row],[5]]="TPD"),Tabla1[[#This Row],[7]],"")</f>
        <v/>
      </c>
      <c r="J198" s="52">
        <f>IF(Tabla15[[#This Row],[2]]="",0,VLOOKUP(TRAMOS!$H$2,Tabla5[#All],3,FALSE)*Tabla15[[#This Row],[3]])</f>
        <v>0</v>
      </c>
      <c r="K198" s="52" t="str">
        <f>IF(Tabla1[[#This Row],[5]]="TPL",Tabla1[[#This Row],[6]],"")</f>
        <v/>
      </c>
      <c r="L198" s="52" t="str">
        <f>IF(OR(Tabla1[[#This Row],[5]]="TPL"),Tabla1[[#This Row],[7]],"")</f>
        <v/>
      </c>
      <c r="M198" s="52">
        <f>IF(Tabla15[[#This Row],[5]]="",0,VLOOKUP(TRAMOS!$K$2,Tabla5[#All],3,FALSE)*Tabla15[[#This Row],[6]])</f>
        <v>0</v>
      </c>
      <c r="N19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9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98" s="52">
        <f>IF(Tabla15[[#This Row],[8]]="",0,VLOOKUP(TRAMOS!$H$2,Tabla5[#All],3,FALSE)*Tabla15[[#This Row],[9]])</f>
        <v>0</v>
      </c>
      <c r="Q19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3"</v>
      </c>
      <c r="R198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198" s="52">
        <f>IF(Tabla15[[#This Row],[11]]="",0,VLOOKUP(TRAMOS!$Q$2,Tabla5[#All],3,FALSE)*Tabla15[[#This Row],[12]])</f>
        <v>0.9</v>
      </c>
      <c r="T19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 1/2"</v>
      </c>
      <c r="U198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9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19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9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9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9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9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98" s="52">
        <f>IF(Tabla15[[#This Row],[20]]="",0,VLOOKUP("VRP",Tabla5[#All],3,FALSE)*Tabla15[[#This Row],[21]])</f>
        <v>0</v>
      </c>
      <c r="AC19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9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98" s="52">
        <f>IF(Tabla15[[#This Row],[23]]="",0,VLOOKUP("VC",Tabla5[#All],3,FALSE)*Tabla15[[#This Row],[24]])</f>
        <v>0</v>
      </c>
      <c r="AF19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9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98" s="52">
        <f>IF(Tabla15[[#This Row],[26]]="",0,VLOOKUP(TRAMOS!$K$2,Tabla5[#All],3,FALSE)*Tabla15[[#This Row],[27]])</f>
        <v>0</v>
      </c>
      <c r="AI19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9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9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9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9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 1/2"</v>
      </c>
      <c r="AN198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9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1.27</v>
      </c>
    </row>
    <row r="199" spans="2:41" x14ac:dyDescent="0.25">
      <c r="B199" s="58" t="str">
        <f>Tabla1[[#This Row],[nudo inicial]]</f>
        <v>N94</v>
      </c>
      <c r="C199" s="58" t="str">
        <f>Tabla1[[#This Row],[nudo final]]</f>
        <v>N101</v>
      </c>
      <c r="D199" s="51">
        <f>Tabla1[[#This Row],[longitud]]</f>
        <v>108.52</v>
      </c>
      <c r="E199" s="51" t="str">
        <f>Tabla1[[#This Row],[diametro]]</f>
        <v>4"</v>
      </c>
      <c r="F199" s="51" t="str">
        <f>Tabla1[[#This Row],[material]]</f>
        <v>PVC</v>
      </c>
      <c r="G19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199" s="52" t="str">
        <f>IF(Tabla1[[#This Row],[5]]="TPD",Tabla1[[#This Row],[6]],"")</f>
        <v>6"</v>
      </c>
      <c r="I199" s="52">
        <f>IF(OR(Tabla1[[#This Row],[5]]="TPD"),Tabla1[[#This Row],[7]],"")</f>
        <v>1</v>
      </c>
      <c r="J199" s="52">
        <f>IF(Tabla15[[#This Row],[2]]="",0,VLOOKUP(TRAMOS!$H$2,Tabla5[#All],3,FALSE)*Tabla15[[#This Row],[3]])</f>
        <v>0.15</v>
      </c>
      <c r="K199" s="52" t="str">
        <f>IF(Tabla1[[#This Row],[5]]="TPL",Tabla1[[#This Row],[6]],"")</f>
        <v/>
      </c>
      <c r="L199" s="52" t="str">
        <f>IF(OR(Tabla1[[#This Row],[5]]="TPL"),Tabla1[[#This Row],[7]],"")</f>
        <v/>
      </c>
      <c r="M199" s="52">
        <f>IF(Tabla15[[#This Row],[5]]="",0,VLOOKUP(TRAMOS!$K$2,Tabla5[#All],3,FALSE)*Tabla15[[#This Row],[6]])</f>
        <v>0</v>
      </c>
      <c r="N19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9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99" s="52">
        <f>IF(Tabla15[[#This Row],[8]]="",0,VLOOKUP(TRAMOS!$H$2,Tabla5[#All],3,FALSE)*Tabla15[[#This Row],[9]])</f>
        <v>0</v>
      </c>
      <c r="Q19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9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99" s="52">
        <f>IF(Tabla15[[#This Row],[11]]="",0,VLOOKUP(TRAMOS!$Q$2,Tabla5[#All],3,FALSE)*Tabla15[[#This Row],[12]])</f>
        <v>0</v>
      </c>
      <c r="T19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4"</v>
      </c>
      <c r="U199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9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19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9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9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9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9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99" s="52">
        <f>IF(Tabla15[[#This Row],[20]]="",0,VLOOKUP("VRP",Tabla5[#All],3,FALSE)*Tabla15[[#This Row],[21]])</f>
        <v>0</v>
      </c>
      <c r="AC19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9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99" s="52">
        <f>IF(Tabla15[[#This Row],[23]]="",0,VLOOKUP("VC",Tabla5[#All],3,FALSE)*Tabla15[[#This Row],[24]])</f>
        <v>0</v>
      </c>
      <c r="AF19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9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99" s="52">
        <f>IF(Tabla15[[#This Row],[26]]="",0,VLOOKUP(TRAMOS!$K$2,Tabla5[#All],3,FALSE)*Tabla15[[#This Row],[27]])</f>
        <v>0</v>
      </c>
      <c r="AI19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9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9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9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9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9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9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0.36499999999999999</v>
      </c>
    </row>
    <row r="200" spans="2:41" x14ac:dyDescent="0.25">
      <c r="B200" s="58" t="str">
        <f>Tabla1[[#This Row],[nudo inicial]]</f>
        <v>N101</v>
      </c>
      <c r="C200" s="58" t="str">
        <f>Tabla1[[#This Row],[nudo final]]</f>
        <v>N102</v>
      </c>
      <c r="D200" s="51">
        <f>Tabla1[[#This Row],[longitud]]</f>
        <v>56.65</v>
      </c>
      <c r="E200" s="51" t="str">
        <f>Tabla1[[#This Row],[diametro]]</f>
        <v>3"</v>
      </c>
      <c r="F200" s="51" t="str">
        <f>Tabla1[[#This Row],[material]]</f>
        <v>PVC</v>
      </c>
      <c r="G20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200" s="52" t="str">
        <f>IF(Tabla1[[#This Row],[5]]="TPD",Tabla1[[#This Row],[6]],"")</f>
        <v/>
      </c>
      <c r="I200" s="52" t="str">
        <f>IF(OR(Tabla1[[#This Row],[5]]="TPD"),Tabla1[[#This Row],[7]],"")</f>
        <v/>
      </c>
      <c r="J200" s="52">
        <f>IF(Tabla15[[#This Row],[2]]="",0,VLOOKUP(TRAMOS!$H$2,Tabla5[#All],3,FALSE)*Tabla15[[#This Row],[3]])</f>
        <v>0</v>
      </c>
      <c r="K200" s="52" t="str">
        <f>IF(Tabla1[[#This Row],[5]]="TPL",Tabla1[[#This Row],[6]],"")</f>
        <v>4"</v>
      </c>
      <c r="L200" s="52">
        <f>IF(OR(Tabla1[[#This Row],[5]]="TPL"),Tabla1[[#This Row],[7]],"")</f>
        <v>1</v>
      </c>
      <c r="M200" s="52">
        <f>IF(Tabla15[[#This Row],[5]]="",0,VLOOKUP(TRAMOS!$K$2,Tabla5[#All],3,FALSE)*Tabla15[[#This Row],[6]])</f>
        <v>0.9</v>
      </c>
      <c r="N20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0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00" s="52">
        <f>IF(Tabla15[[#This Row],[8]]="",0,VLOOKUP(TRAMOS!$H$2,Tabla5[#All],3,FALSE)*Tabla15[[#This Row],[9]])</f>
        <v>0</v>
      </c>
      <c r="Q20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0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00" s="52">
        <f>IF(Tabla15[[#This Row],[11]]="",0,VLOOKUP(TRAMOS!$Q$2,Tabla5[#All],3,FALSE)*Tabla15[[#This Row],[12]])</f>
        <v>0</v>
      </c>
      <c r="T20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200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20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0.13850000000000007</v>
      </c>
      <c r="W20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0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0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0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0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00" s="52">
        <f>IF(Tabla15[[#This Row],[20]]="",0,VLOOKUP("VRP",Tabla5[#All],3,FALSE)*Tabla15[[#This Row],[21]])</f>
        <v>0</v>
      </c>
      <c r="AC20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0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00" s="52">
        <f>IF(Tabla15[[#This Row],[23]]="",0,VLOOKUP("VC",Tabla5[#All],3,FALSE)*Tabla15[[#This Row],[24]])</f>
        <v>0</v>
      </c>
      <c r="AF20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0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00" s="52">
        <f>IF(Tabla15[[#This Row],[26]]="",0,VLOOKUP(TRAMOS!$K$2,Tabla5[#All],3,FALSE)*Tabla15[[#This Row],[27]])</f>
        <v>0</v>
      </c>
      <c r="AI20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0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0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0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0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0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0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1.0385</v>
      </c>
    </row>
    <row r="201" spans="2:41" x14ac:dyDescent="0.25">
      <c r="B201" s="58" t="str">
        <f>Tabla1[[#This Row],[nudo inicial]]</f>
        <v>N102</v>
      </c>
      <c r="C201" s="58" t="str">
        <f>Tabla1[[#This Row],[nudo final]]</f>
        <v>TP72</v>
      </c>
      <c r="D201" s="51">
        <f>Tabla1[[#This Row],[longitud]]</f>
        <v>99.1</v>
      </c>
      <c r="E201" s="51" t="str">
        <f>Tabla1[[#This Row],[diametro]]</f>
        <v>1 1/2"</v>
      </c>
      <c r="F201" s="51" t="str">
        <f>Tabla1[[#This Row],[material]]</f>
        <v>PVC</v>
      </c>
      <c r="G20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01" s="52" t="str">
        <f>IF(Tabla1[[#This Row],[5]]="TPD",Tabla1[[#This Row],[6]],"")</f>
        <v/>
      </c>
      <c r="I201" s="52" t="str">
        <f>IF(OR(Tabla1[[#This Row],[5]]="TPD"),Tabla1[[#This Row],[7]],"")</f>
        <v/>
      </c>
      <c r="J201" s="52">
        <f>IF(Tabla15[[#This Row],[2]]="",0,VLOOKUP(TRAMOS!$H$2,Tabla5[#All],3,FALSE)*Tabla15[[#This Row],[3]])</f>
        <v>0</v>
      </c>
      <c r="K201" s="52" t="str">
        <f>IF(Tabla1[[#This Row],[5]]="TPL",Tabla1[[#This Row],[6]],"")</f>
        <v>3"</v>
      </c>
      <c r="L201" s="52">
        <f>IF(OR(Tabla1[[#This Row],[5]]="TPL"),Tabla1[[#This Row],[7]],"")</f>
        <v>1</v>
      </c>
      <c r="M201" s="52">
        <f>IF(Tabla15[[#This Row],[5]]="",0,VLOOKUP(TRAMOS!$K$2,Tabla5[#All],3,FALSE)*Tabla15[[#This Row],[6]])</f>
        <v>0.9</v>
      </c>
      <c r="N20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0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01" s="52">
        <f>IF(Tabla15[[#This Row],[8]]="",0,VLOOKUP(TRAMOS!$H$2,Tabla5[#All],3,FALSE)*Tabla15[[#This Row],[9]])</f>
        <v>0</v>
      </c>
      <c r="Q20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0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01" s="52">
        <f>IF(Tabla15[[#This Row],[11]]="",0,VLOOKUP(TRAMOS!$Q$2,Tabla5[#All],3,FALSE)*Tabla15[[#This Row],[12]])</f>
        <v>0</v>
      </c>
      <c r="T20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 1/2"</v>
      </c>
      <c r="U201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20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20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0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0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0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0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01" s="52">
        <f>IF(Tabla15[[#This Row],[20]]="",0,VLOOKUP("VRP",Tabla5[#All],3,FALSE)*Tabla15[[#This Row],[21]])</f>
        <v>0</v>
      </c>
      <c r="AC20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0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01" s="52">
        <f>IF(Tabla15[[#This Row],[23]]="",0,VLOOKUP("VC",Tabla5[#All],3,FALSE)*Tabla15[[#This Row],[24]])</f>
        <v>0</v>
      </c>
      <c r="AF20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0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01" s="52">
        <f>IF(Tabla15[[#This Row],[26]]="",0,VLOOKUP(TRAMOS!$K$2,Tabla5[#All],3,FALSE)*Tabla15[[#This Row],[27]])</f>
        <v>0</v>
      </c>
      <c r="AI20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0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0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0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0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 1/2"</v>
      </c>
      <c r="AN201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20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1.27</v>
      </c>
    </row>
    <row r="202" spans="2:41" x14ac:dyDescent="0.25">
      <c r="B202" s="58" t="str">
        <f>Tabla1[[#This Row],[nudo inicial]]</f>
        <v>N102</v>
      </c>
      <c r="C202" s="58" t="str">
        <f>Tabla1[[#This Row],[nudo final]]</f>
        <v>N647</v>
      </c>
      <c r="D202" s="51">
        <f>Tabla1[[#This Row],[longitud]]</f>
        <v>5.83</v>
      </c>
      <c r="E202" s="51" t="str">
        <f>Tabla1[[#This Row],[diametro]]</f>
        <v>3"</v>
      </c>
      <c r="F202" s="51" t="str">
        <f>Tabla1[[#This Row],[material]]</f>
        <v>PVC</v>
      </c>
      <c r="G20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02" s="52" t="str">
        <f>IF(Tabla1[[#This Row],[5]]="TPD",Tabla1[[#This Row],[6]],"")</f>
        <v>3"</v>
      </c>
      <c r="I202" s="52">
        <f>IF(OR(Tabla1[[#This Row],[5]]="TPD"),Tabla1[[#This Row],[7]],"")</f>
        <v>1</v>
      </c>
      <c r="J202" s="52">
        <f>IF(Tabla15[[#This Row],[2]]="",0,VLOOKUP(TRAMOS!$H$2,Tabla5[#All],3,FALSE)*Tabla15[[#This Row],[3]])</f>
        <v>0.15</v>
      </c>
      <c r="K202" s="52" t="str">
        <f>IF(Tabla1[[#This Row],[5]]="TPL",Tabla1[[#This Row],[6]],"")</f>
        <v/>
      </c>
      <c r="L202" s="52" t="str">
        <f>IF(OR(Tabla1[[#This Row],[5]]="TPL"),Tabla1[[#This Row],[7]],"")</f>
        <v/>
      </c>
      <c r="M202" s="52">
        <f>IF(Tabla15[[#This Row],[5]]="",0,VLOOKUP(TRAMOS!$K$2,Tabla5[#All],3,FALSE)*Tabla15[[#This Row],[6]])</f>
        <v>0</v>
      </c>
      <c r="N20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0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02" s="52">
        <f>IF(Tabla15[[#This Row],[8]]="",0,VLOOKUP(TRAMOS!$H$2,Tabla5[#All],3,FALSE)*Tabla15[[#This Row],[9]])</f>
        <v>0</v>
      </c>
      <c r="Q20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0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02" s="52">
        <f>IF(Tabla15[[#This Row],[11]]="",0,VLOOKUP(TRAMOS!$Q$2,Tabla5[#All],3,FALSE)*Tabla15[[#This Row],[12]])</f>
        <v>0</v>
      </c>
      <c r="T20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0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0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0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0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0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0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0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02" s="52">
        <f>IF(Tabla15[[#This Row],[20]]="",0,VLOOKUP("VRP",Tabla5[#All],3,FALSE)*Tabla15[[#This Row],[21]])</f>
        <v>0</v>
      </c>
      <c r="AC20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0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02" s="52">
        <f>IF(Tabla15[[#This Row],[23]]="",0,VLOOKUP("VC",Tabla5[#All],3,FALSE)*Tabla15[[#This Row],[24]])</f>
        <v>0</v>
      </c>
      <c r="AF20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0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02" s="52">
        <f>IF(Tabla15[[#This Row],[26]]="",0,VLOOKUP(TRAMOS!$K$2,Tabla5[#All],3,FALSE)*Tabla15[[#This Row],[27]])</f>
        <v>0</v>
      </c>
      <c r="AI20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0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0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0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0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0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0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203" spans="2:41" x14ac:dyDescent="0.25">
      <c r="B203" s="58" t="str">
        <f>Tabla1[[#This Row],[nudo inicial]]</f>
        <v>N647</v>
      </c>
      <c r="C203" s="58" t="str">
        <f>Tabla1[[#This Row],[nudo final]]</f>
        <v>N103</v>
      </c>
      <c r="D203" s="51">
        <f>Tabla1[[#This Row],[longitud]]</f>
        <v>45.74</v>
      </c>
      <c r="E203" s="51" t="str">
        <f>Tabla1[[#This Row],[diametro]]</f>
        <v>3"</v>
      </c>
      <c r="F203" s="51" t="str">
        <f>Tabla1[[#This Row],[material]]</f>
        <v>PVC</v>
      </c>
      <c r="G20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03" s="52" t="str">
        <f>IF(Tabla1[[#This Row],[5]]="TPD",Tabla1[[#This Row],[6]],"")</f>
        <v>3"</v>
      </c>
      <c r="I203" s="52">
        <f>IF(OR(Tabla1[[#This Row],[5]]="TPD"),Tabla1[[#This Row],[7]],"")</f>
        <v>1</v>
      </c>
      <c r="J203" s="52">
        <f>IF(Tabla15[[#This Row],[2]]="",0,VLOOKUP(TRAMOS!$H$2,Tabla5[#All],3,FALSE)*Tabla15[[#This Row],[3]])</f>
        <v>0.15</v>
      </c>
      <c r="K203" s="52" t="str">
        <f>IF(Tabla1[[#This Row],[5]]="TPL",Tabla1[[#This Row],[6]],"")</f>
        <v/>
      </c>
      <c r="L203" s="52" t="str">
        <f>IF(OR(Tabla1[[#This Row],[5]]="TPL"),Tabla1[[#This Row],[7]],"")</f>
        <v/>
      </c>
      <c r="M203" s="52">
        <f>IF(Tabla15[[#This Row],[5]]="",0,VLOOKUP(TRAMOS!$K$2,Tabla5[#All],3,FALSE)*Tabla15[[#This Row],[6]])</f>
        <v>0</v>
      </c>
      <c r="N20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0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03" s="52">
        <f>IF(Tabla15[[#This Row],[8]]="",0,VLOOKUP(TRAMOS!$H$2,Tabla5[#All],3,FALSE)*Tabla15[[#This Row],[9]])</f>
        <v>0</v>
      </c>
      <c r="Q20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0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03" s="52">
        <f>IF(Tabla15[[#This Row],[11]]="",0,VLOOKUP(TRAMOS!$Q$2,Tabla5[#All],3,FALSE)*Tabla15[[#This Row],[12]])</f>
        <v>0</v>
      </c>
      <c r="T20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0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0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0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0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0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0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0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03" s="52">
        <f>IF(Tabla15[[#This Row],[20]]="",0,VLOOKUP("VRP",Tabla5[#All],3,FALSE)*Tabla15[[#This Row],[21]])</f>
        <v>0</v>
      </c>
      <c r="AC20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0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03" s="52">
        <f>IF(Tabla15[[#This Row],[23]]="",0,VLOOKUP("VC",Tabla5[#All],3,FALSE)*Tabla15[[#This Row],[24]])</f>
        <v>0</v>
      </c>
      <c r="AF20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0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03" s="52">
        <f>IF(Tabla15[[#This Row],[26]]="",0,VLOOKUP(TRAMOS!$K$2,Tabla5[#All],3,FALSE)*Tabla15[[#This Row],[27]])</f>
        <v>0</v>
      </c>
      <c r="AI20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0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0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0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0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0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0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204" spans="2:41" x14ac:dyDescent="0.25">
      <c r="B204" s="58" t="str">
        <f>Tabla1[[#This Row],[nudo inicial]]</f>
        <v>N103</v>
      </c>
      <c r="C204" s="58" t="str">
        <f>Tabla1[[#This Row],[nudo final]]</f>
        <v>TP73</v>
      </c>
      <c r="D204" s="51">
        <f>Tabla1[[#This Row],[longitud]]</f>
        <v>51.28</v>
      </c>
      <c r="E204" s="51" t="str">
        <f>Tabla1[[#This Row],[diametro]]</f>
        <v>1 1/2"</v>
      </c>
      <c r="F204" s="51" t="str">
        <f>Tabla1[[#This Row],[material]]</f>
        <v>PVC</v>
      </c>
      <c r="G20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04" s="52" t="str">
        <f>IF(Tabla1[[#This Row],[5]]="TPD",Tabla1[[#This Row],[6]],"")</f>
        <v/>
      </c>
      <c r="I204" s="52" t="str">
        <f>IF(OR(Tabla1[[#This Row],[5]]="TPD"),Tabla1[[#This Row],[7]],"")</f>
        <v/>
      </c>
      <c r="J204" s="52">
        <f>IF(Tabla15[[#This Row],[2]]="",0,VLOOKUP(TRAMOS!$H$2,Tabla5[#All],3,FALSE)*Tabla15[[#This Row],[3]])</f>
        <v>0</v>
      </c>
      <c r="K204" s="52" t="str">
        <f>IF(Tabla1[[#This Row],[5]]="TPL",Tabla1[[#This Row],[6]],"")</f>
        <v>3"</v>
      </c>
      <c r="L204" s="52">
        <f>IF(OR(Tabla1[[#This Row],[5]]="TPL"),Tabla1[[#This Row],[7]],"")</f>
        <v>1</v>
      </c>
      <c r="M204" s="52">
        <f>IF(Tabla15[[#This Row],[5]]="",0,VLOOKUP(TRAMOS!$K$2,Tabla5[#All],3,FALSE)*Tabla15[[#This Row],[6]])</f>
        <v>0.9</v>
      </c>
      <c r="N20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0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04" s="52">
        <f>IF(Tabla15[[#This Row],[8]]="",0,VLOOKUP(TRAMOS!$H$2,Tabla5[#All],3,FALSE)*Tabla15[[#This Row],[9]])</f>
        <v>0</v>
      </c>
      <c r="Q20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0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04" s="52">
        <f>IF(Tabla15[[#This Row],[11]]="",0,VLOOKUP(TRAMOS!$Q$2,Tabla5[#All],3,FALSE)*Tabla15[[#This Row],[12]])</f>
        <v>0</v>
      </c>
      <c r="T20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 1/2"</v>
      </c>
      <c r="U204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20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20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0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0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0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0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04" s="52">
        <f>IF(Tabla15[[#This Row],[20]]="",0,VLOOKUP("VRP",Tabla5[#All],3,FALSE)*Tabla15[[#This Row],[21]])</f>
        <v>0</v>
      </c>
      <c r="AC20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0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04" s="52">
        <f>IF(Tabla15[[#This Row],[23]]="",0,VLOOKUP("VC",Tabla5[#All],3,FALSE)*Tabla15[[#This Row],[24]])</f>
        <v>0</v>
      </c>
      <c r="AF20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0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04" s="52">
        <f>IF(Tabla15[[#This Row],[26]]="",0,VLOOKUP(TRAMOS!$K$2,Tabla5[#All],3,FALSE)*Tabla15[[#This Row],[27]])</f>
        <v>0</v>
      </c>
      <c r="AI20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0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0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0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0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 1/2"</v>
      </c>
      <c r="AN204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20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1.27</v>
      </c>
    </row>
    <row r="205" spans="2:41" x14ac:dyDescent="0.25">
      <c r="B205" s="58" t="str">
        <f>Tabla1[[#This Row],[nudo inicial]]</f>
        <v>N103</v>
      </c>
      <c r="C205" s="58" t="str">
        <f>Tabla1[[#This Row],[nudo final]]</f>
        <v>N104</v>
      </c>
      <c r="D205" s="51">
        <f>Tabla1[[#This Row],[longitud]]</f>
        <v>5.13</v>
      </c>
      <c r="E205" s="51" t="str">
        <f>Tabla1[[#This Row],[diametro]]</f>
        <v>3"</v>
      </c>
      <c r="F205" s="51" t="str">
        <f>Tabla1[[#This Row],[material]]</f>
        <v>PVC</v>
      </c>
      <c r="G20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05" s="52" t="str">
        <f>IF(Tabla1[[#This Row],[5]]="TPD",Tabla1[[#This Row],[6]],"")</f>
        <v>3"</v>
      </c>
      <c r="I205" s="52">
        <f>IF(OR(Tabla1[[#This Row],[5]]="TPD"),Tabla1[[#This Row],[7]],"")</f>
        <v>1</v>
      </c>
      <c r="J205" s="52">
        <f>IF(Tabla15[[#This Row],[2]]="",0,VLOOKUP(TRAMOS!$H$2,Tabla5[#All],3,FALSE)*Tabla15[[#This Row],[3]])</f>
        <v>0.15</v>
      </c>
      <c r="K205" s="52" t="str">
        <f>IF(Tabla1[[#This Row],[5]]="TPL",Tabla1[[#This Row],[6]],"")</f>
        <v/>
      </c>
      <c r="L205" s="52" t="str">
        <f>IF(OR(Tabla1[[#This Row],[5]]="TPL"),Tabla1[[#This Row],[7]],"")</f>
        <v/>
      </c>
      <c r="M205" s="52">
        <f>IF(Tabla15[[#This Row],[5]]="",0,VLOOKUP(TRAMOS!$K$2,Tabla5[#All],3,FALSE)*Tabla15[[#This Row],[6]])</f>
        <v>0</v>
      </c>
      <c r="N20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0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05" s="52">
        <f>IF(Tabla15[[#This Row],[8]]="",0,VLOOKUP(TRAMOS!$H$2,Tabla5[#All],3,FALSE)*Tabla15[[#This Row],[9]])</f>
        <v>0</v>
      </c>
      <c r="Q20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0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05" s="52">
        <f>IF(Tabla15[[#This Row],[11]]="",0,VLOOKUP(TRAMOS!$Q$2,Tabla5[#All],3,FALSE)*Tabla15[[#This Row],[12]])</f>
        <v>0</v>
      </c>
      <c r="T20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0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0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0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0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0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0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0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05" s="52">
        <f>IF(Tabla15[[#This Row],[20]]="",0,VLOOKUP("VRP",Tabla5[#All],3,FALSE)*Tabla15[[#This Row],[21]])</f>
        <v>0</v>
      </c>
      <c r="AC20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0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05" s="52">
        <f>IF(Tabla15[[#This Row],[23]]="",0,VLOOKUP("VC",Tabla5[#All],3,FALSE)*Tabla15[[#This Row],[24]])</f>
        <v>0</v>
      </c>
      <c r="AF20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0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05" s="52">
        <f>IF(Tabla15[[#This Row],[26]]="",0,VLOOKUP(TRAMOS!$K$2,Tabla5[#All],3,FALSE)*Tabla15[[#This Row],[27]])</f>
        <v>0</v>
      </c>
      <c r="AI20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0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0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0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0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0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0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206" spans="2:41" x14ac:dyDescent="0.25">
      <c r="B206" s="58" t="str">
        <f>Tabla1[[#This Row],[nudo inicial]]</f>
        <v>N104</v>
      </c>
      <c r="C206" s="58" t="str">
        <f>Tabla1[[#This Row],[nudo final]]</f>
        <v>TP74</v>
      </c>
      <c r="D206" s="51">
        <f>Tabla1[[#This Row],[longitud]]</f>
        <v>51.71</v>
      </c>
      <c r="E206" s="51" t="str">
        <f>Tabla1[[#This Row],[diametro]]</f>
        <v>1 1/2"</v>
      </c>
      <c r="F206" s="51" t="str">
        <f>Tabla1[[#This Row],[material]]</f>
        <v>PVC</v>
      </c>
      <c r="G20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06" s="52" t="str">
        <f>IF(Tabla1[[#This Row],[5]]="TPD",Tabla1[[#This Row],[6]],"")</f>
        <v/>
      </c>
      <c r="I206" s="52" t="str">
        <f>IF(OR(Tabla1[[#This Row],[5]]="TPD"),Tabla1[[#This Row],[7]],"")</f>
        <v/>
      </c>
      <c r="J206" s="52">
        <f>IF(Tabla15[[#This Row],[2]]="",0,VLOOKUP(TRAMOS!$H$2,Tabla5[#All],3,FALSE)*Tabla15[[#This Row],[3]])</f>
        <v>0</v>
      </c>
      <c r="K206" s="52" t="str">
        <f>IF(Tabla1[[#This Row],[5]]="TPL",Tabla1[[#This Row],[6]],"")</f>
        <v>3"</v>
      </c>
      <c r="L206" s="52">
        <f>IF(OR(Tabla1[[#This Row],[5]]="TPL"),Tabla1[[#This Row],[7]],"")</f>
        <v>1</v>
      </c>
      <c r="M206" s="52">
        <f>IF(Tabla15[[#This Row],[5]]="",0,VLOOKUP(TRAMOS!$K$2,Tabla5[#All],3,FALSE)*Tabla15[[#This Row],[6]])</f>
        <v>0.9</v>
      </c>
      <c r="N20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0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06" s="52">
        <f>IF(Tabla15[[#This Row],[8]]="",0,VLOOKUP(TRAMOS!$H$2,Tabla5[#All],3,FALSE)*Tabla15[[#This Row],[9]])</f>
        <v>0</v>
      </c>
      <c r="Q20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0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06" s="52">
        <f>IF(Tabla15[[#This Row],[11]]="",0,VLOOKUP(TRAMOS!$Q$2,Tabla5[#All],3,FALSE)*Tabla15[[#This Row],[12]])</f>
        <v>0</v>
      </c>
      <c r="T20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 1/2"</v>
      </c>
      <c r="U206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20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20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0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0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0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0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06" s="52">
        <f>IF(Tabla15[[#This Row],[20]]="",0,VLOOKUP("VRP",Tabla5[#All],3,FALSE)*Tabla15[[#This Row],[21]])</f>
        <v>0</v>
      </c>
      <c r="AC20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0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06" s="52">
        <f>IF(Tabla15[[#This Row],[23]]="",0,VLOOKUP("VC",Tabla5[#All],3,FALSE)*Tabla15[[#This Row],[24]])</f>
        <v>0</v>
      </c>
      <c r="AF20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0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06" s="52">
        <f>IF(Tabla15[[#This Row],[26]]="",0,VLOOKUP(TRAMOS!$K$2,Tabla5[#All],3,FALSE)*Tabla15[[#This Row],[27]])</f>
        <v>0</v>
      </c>
      <c r="AI20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0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0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0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0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 1/2"</v>
      </c>
      <c r="AN20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20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1.27</v>
      </c>
    </row>
    <row r="207" spans="2:41" x14ac:dyDescent="0.25">
      <c r="B207" s="58" t="str">
        <f>Tabla1[[#This Row],[nudo inicial]]</f>
        <v>N104</v>
      </c>
      <c r="C207" s="58" t="str">
        <f>Tabla1[[#This Row],[nudo final]]</f>
        <v>N105</v>
      </c>
      <c r="D207" s="51">
        <f>Tabla1[[#This Row],[longitud]]</f>
        <v>36.04</v>
      </c>
      <c r="E207" s="51" t="str">
        <f>Tabla1[[#This Row],[diametro]]</f>
        <v>3"</v>
      </c>
      <c r="F207" s="51" t="str">
        <f>Tabla1[[#This Row],[material]]</f>
        <v>PVC</v>
      </c>
      <c r="G20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07" s="52" t="str">
        <f>IF(Tabla1[[#This Row],[5]]="TPD",Tabla1[[#This Row],[6]],"")</f>
        <v>3"</v>
      </c>
      <c r="I207" s="52">
        <f>IF(OR(Tabla1[[#This Row],[5]]="TPD"),Tabla1[[#This Row],[7]],"")</f>
        <v>1</v>
      </c>
      <c r="J207" s="52">
        <f>IF(Tabla15[[#This Row],[2]]="",0,VLOOKUP(TRAMOS!$H$2,Tabla5[#All],3,FALSE)*Tabla15[[#This Row],[3]])</f>
        <v>0.15</v>
      </c>
      <c r="K207" s="52" t="str">
        <f>IF(Tabla1[[#This Row],[5]]="TPL",Tabla1[[#This Row],[6]],"")</f>
        <v/>
      </c>
      <c r="L207" s="52" t="str">
        <f>IF(OR(Tabla1[[#This Row],[5]]="TPL"),Tabla1[[#This Row],[7]],"")</f>
        <v/>
      </c>
      <c r="M207" s="52">
        <f>IF(Tabla15[[#This Row],[5]]="",0,VLOOKUP(TRAMOS!$K$2,Tabla5[#All],3,FALSE)*Tabla15[[#This Row],[6]])</f>
        <v>0</v>
      </c>
      <c r="N20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0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07" s="52">
        <f>IF(Tabla15[[#This Row],[8]]="",0,VLOOKUP(TRAMOS!$H$2,Tabla5[#All],3,FALSE)*Tabla15[[#This Row],[9]])</f>
        <v>0</v>
      </c>
      <c r="Q20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3"</v>
      </c>
      <c r="R207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2</v>
      </c>
      <c r="S207" s="52">
        <f>IF(Tabla15[[#This Row],[11]]="",0,VLOOKUP(TRAMOS!$Q$2,Tabla5[#All],3,FALSE)*Tabla15[[#This Row],[12]])</f>
        <v>1.8</v>
      </c>
      <c r="T20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0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0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0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0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0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0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0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07" s="52">
        <f>IF(Tabla15[[#This Row],[20]]="",0,VLOOKUP("VRP",Tabla5[#All],3,FALSE)*Tabla15[[#This Row],[21]])</f>
        <v>0</v>
      </c>
      <c r="AC20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0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07" s="52">
        <f>IF(Tabla15[[#This Row],[23]]="",0,VLOOKUP("VC",Tabla5[#All],3,FALSE)*Tabla15[[#This Row],[24]])</f>
        <v>0</v>
      </c>
      <c r="AF20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0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07" s="52">
        <f>IF(Tabla15[[#This Row],[26]]="",0,VLOOKUP(TRAMOS!$K$2,Tabla5[#All],3,FALSE)*Tabla15[[#This Row],[27]])</f>
        <v>0</v>
      </c>
      <c r="AI20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0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0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0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0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0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0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1.95</v>
      </c>
    </row>
    <row r="208" spans="2:41" x14ac:dyDescent="0.25">
      <c r="B208" s="58" t="str">
        <f>Tabla1[[#This Row],[nudo inicial]]</f>
        <v>N105</v>
      </c>
      <c r="C208" s="58" t="str">
        <f>Tabla1[[#This Row],[nudo final]]</f>
        <v>N106</v>
      </c>
      <c r="D208" s="51">
        <f>Tabla1[[#This Row],[longitud]]</f>
        <v>56.82</v>
      </c>
      <c r="E208" s="51" t="str">
        <f>Tabla1[[#This Row],[diametro]]</f>
        <v>3"</v>
      </c>
      <c r="F208" s="51" t="str">
        <f>Tabla1[[#This Row],[material]]</f>
        <v>PVC</v>
      </c>
      <c r="G20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08" s="52" t="str">
        <f>IF(Tabla1[[#This Row],[5]]="TPD",Tabla1[[#This Row],[6]],"")</f>
        <v>3"</v>
      </c>
      <c r="I208" s="52">
        <f>IF(OR(Tabla1[[#This Row],[5]]="TPD"),Tabla1[[#This Row],[7]],"")</f>
        <v>1</v>
      </c>
      <c r="J208" s="52">
        <f>IF(Tabla15[[#This Row],[2]]="",0,VLOOKUP(TRAMOS!$H$2,Tabla5[#All],3,FALSE)*Tabla15[[#This Row],[3]])</f>
        <v>0.15</v>
      </c>
      <c r="K208" s="52" t="str">
        <f>IF(Tabla1[[#This Row],[5]]="TPL",Tabla1[[#This Row],[6]],"")</f>
        <v/>
      </c>
      <c r="L208" s="52" t="str">
        <f>IF(OR(Tabla1[[#This Row],[5]]="TPL"),Tabla1[[#This Row],[7]],"")</f>
        <v/>
      </c>
      <c r="M208" s="52">
        <f>IF(Tabla15[[#This Row],[5]]="",0,VLOOKUP(TRAMOS!$K$2,Tabla5[#All],3,FALSE)*Tabla15[[#This Row],[6]])</f>
        <v>0</v>
      </c>
      <c r="N20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0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08" s="52">
        <f>IF(Tabla15[[#This Row],[8]]="",0,VLOOKUP(TRAMOS!$H$2,Tabla5[#All],3,FALSE)*Tabla15[[#This Row],[9]])</f>
        <v>0</v>
      </c>
      <c r="Q20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3"</v>
      </c>
      <c r="R208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2</v>
      </c>
      <c r="S208" s="52">
        <f>IF(Tabla15[[#This Row],[11]]="",0,VLOOKUP(TRAMOS!$Q$2,Tabla5[#All],3,FALSE)*Tabla15[[#This Row],[12]])</f>
        <v>1.8</v>
      </c>
      <c r="T20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0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0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0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0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0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0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0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08" s="52">
        <f>IF(Tabla15[[#This Row],[20]]="",0,VLOOKUP("VRP",Tabla5[#All],3,FALSE)*Tabla15[[#This Row],[21]])</f>
        <v>0</v>
      </c>
      <c r="AC20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0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08" s="52">
        <f>IF(Tabla15[[#This Row],[23]]="",0,VLOOKUP("VC",Tabla5[#All],3,FALSE)*Tabla15[[#This Row],[24]])</f>
        <v>0</v>
      </c>
      <c r="AF20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0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08" s="52">
        <f>IF(Tabla15[[#This Row],[26]]="",0,VLOOKUP(TRAMOS!$K$2,Tabla5[#All],3,FALSE)*Tabla15[[#This Row],[27]])</f>
        <v>0</v>
      </c>
      <c r="AI20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0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0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0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0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0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0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1.95</v>
      </c>
    </row>
    <row r="209" spans="2:41" x14ac:dyDescent="0.25">
      <c r="B209" s="58" t="str">
        <f>Tabla1[[#This Row],[nudo inicial]]</f>
        <v>N106</v>
      </c>
      <c r="C209" s="58" t="str">
        <f>Tabla1[[#This Row],[nudo final]]</f>
        <v>N107</v>
      </c>
      <c r="D209" s="51">
        <f>Tabla1[[#This Row],[longitud]]</f>
        <v>62.57</v>
      </c>
      <c r="E209" s="51" t="str">
        <f>Tabla1[[#This Row],[diametro]]</f>
        <v>3"</v>
      </c>
      <c r="F209" s="51" t="str">
        <f>Tabla1[[#This Row],[material]]</f>
        <v>PVC</v>
      </c>
      <c r="G20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09" s="52" t="str">
        <f>IF(Tabla1[[#This Row],[5]]="TPD",Tabla1[[#This Row],[6]],"")</f>
        <v/>
      </c>
      <c r="I209" s="52" t="str">
        <f>IF(OR(Tabla1[[#This Row],[5]]="TPD"),Tabla1[[#This Row],[7]],"")</f>
        <v/>
      </c>
      <c r="J209" s="52">
        <f>IF(Tabla15[[#This Row],[2]]="",0,VLOOKUP(TRAMOS!$H$2,Tabla5[#All],3,FALSE)*Tabla15[[#This Row],[3]])</f>
        <v>0</v>
      </c>
      <c r="K209" s="52" t="str">
        <f>IF(Tabla1[[#This Row],[5]]="TPL",Tabla1[[#This Row],[6]],"")</f>
        <v>3"</v>
      </c>
      <c r="L209" s="52">
        <f>IF(OR(Tabla1[[#This Row],[5]]="TPL"),Tabla1[[#This Row],[7]],"")</f>
        <v>1</v>
      </c>
      <c r="M209" s="52">
        <f>IF(Tabla15[[#This Row],[5]]="",0,VLOOKUP(TRAMOS!$K$2,Tabla5[#All],3,FALSE)*Tabla15[[#This Row],[6]])</f>
        <v>0.9</v>
      </c>
      <c r="N20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0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09" s="52">
        <f>IF(Tabla15[[#This Row],[8]]="",0,VLOOKUP(TRAMOS!$H$2,Tabla5[#All],3,FALSE)*Tabla15[[#This Row],[9]])</f>
        <v>0</v>
      </c>
      <c r="Q20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0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09" s="52">
        <f>IF(Tabla15[[#This Row],[11]]="",0,VLOOKUP(TRAMOS!$Q$2,Tabla5[#All],3,FALSE)*Tabla15[[#This Row],[12]])</f>
        <v>0</v>
      </c>
      <c r="T20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0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0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0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0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0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0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0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09" s="52">
        <f>IF(Tabla15[[#This Row],[20]]="",0,VLOOKUP("VRP",Tabla5[#All],3,FALSE)*Tabla15[[#This Row],[21]])</f>
        <v>0</v>
      </c>
      <c r="AC20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0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09" s="52">
        <f>IF(Tabla15[[#This Row],[23]]="",0,VLOOKUP("VC",Tabla5[#All],3,FALSE)*Tabla15[[#This Row],[24]])</f>
        <v>0</v>
      </c>
      <c r="AF20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0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09" s="52">
        <f>IF(Tabla15[[#This Row],[26]]="",0,VLOOKUP(TRAMOS!$K$2,Tabla5[#All],3,FALSE)*Tabla15[[#This Row],[27]])</f>
        <v>0</v>
      </c>
      <c r="AI20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0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0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0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0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0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0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210" spans="2:41" x14ac:dyDescent="0.25">
      <c r="B210" s="58" t="str">
        <f>Tabla1[[#This Row],[nudo inicial]]</f>
        <v>N107</v>
      </c>
      <c r="C210" s="58" t="str">
        <f>Tabla1[[#This Row],[nudo final]]</f>
        <v>TP75</v>
      </c>
      <c r="D210" s="51">
        <f>Tabla1[[#This Row],[longitud]]</f>
        <v>33.119999999999997</v>
      </c>
      <c r="E210" s="51" t="str">
        <f>Tabla1[[#This Row],[diametro]]</f>
        <v>3"</v>
      </c>
      <c r="F210" s="51" t="str">
        <f>Tabla1[[#This Row],[material]]</f>
        <v>PVC</v>
      </c>
      <c r="G21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10" s="52" t="str">
        <f>IF(Tabla1[[#This Row],[5]]="TPD",Tabla1[[#This Row],[6]],"")</f>
        <v>3"</v>
      </c>
      <c r="I210" s="52">
        <f>IF(OR(Tabla1[[#This Row],[5]]="TPD"),Tabla1[[#This Row],[7]],"")</f>
        <v>1</v>
      </c>
      <c r="J210" s="52">
        <f>IF(Tabla15[[#This Row],[2]]="",0,VLOOKUP(TRAMOS!$H$2,Tabla5[#All],3,FALSE)*Tabla15[[#This Row],[3]])</f>
        <v>0.15</v>
      </c>
      <c r="K210" s="52" t="str">
        <f>IF(Tabla1[[#This Row],[5]]="TPL",Tabla1[[#This Row],[6]],"")</f>
        <v/>
      </c>
      <c r="L210" s="52" t="str">
        <f>IF(OR(Tabla1[[#This Row],[5]]="TPL"),Tabla1[[#This Row],[7]],"")</f>
        <v/>
      </c>
      <c r="M210" s="52">
        <f>IF(Tabla15[[#This Row],[5]]="",0,VLOOKUP(TRAMOS!$K$2,Tabla5[#All],3,FALSE)*Tabla15[[#This Row],[6]])</f>
        <v>0</v>
      </c>
      <c r="N21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1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10" s="52">
        <f>IF(Tabla15[[#This Row],[8]]="",0,VLOOKUP(TRAMOS!$H$2,Tabla5[#All],3,FALSE)*Tabla15[[#This Row],[9]])</f>
        <v>0</v>
      </c>
      <c r="Q21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1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10" s="52">
        <f>IF(Tabla15[[#This Row],[11]]="",0,VLOOKUP(TRAMOS!$Q$2,Tabla5[#All],3,FALSE)*Tabla15[[#This Row],[12]])</f>
        <v>0</v>
      </c>
      <c r="T21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1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1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1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1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1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1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1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10" s="52">
        <f>IF(Tabla15[[#This Row],[20]]="",0,VLOOKUP("VRP",Tabla5[#All],3,FALSE)*Tabla15[[#This Row],[21]])</f>
        <v>0</v>
      </c>
      <c r="AC21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1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10" s="52">
        <f>IF(Tabla15[[#This Row],[23]]="",0,VLOOKUP("VC",Tabla5[#All],3,FALSE)*Tabla15[[#This Row],[24]])</f>
        <v>0</v>
      </c>
      <c r="AF21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1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10" s="52">
        <f>IF(Tabla15[[#This Row],[26]]="",0,VLOOKUP(TRAMOS!$K$2,Tabla5[#All],3,FALSE)*Tabla15[[#This Row],[27]])</f>
        <v>0</v>
      </c>
      <c r="AI21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1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1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1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1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210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21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211" spans="2:41" x14ac:dyDescent="0.25">
      <c r="B211" s="58" t="str">
        <f>Tabla1[[#This Row],[nudo inicial]]</f>
        <v>N107</v>
      </c>
      <c r="C211" s="58" t="str">
        <f>Tabla1[[#This Row],[nudo final]]</f>
        <v>N108</v>
      </c>
      <c r="D211" s="51">
        <f>Tabla1[[#This Row],[longitud]]</f>
        <v>22.55</v>
      </c>
      <c r="E211" s="51" t="str">
        <f>Tabla1[[#This Row],[diametro]]</f>
        <v>3"</v>
      </c>
      <c r="F211" s="51" t="str">
        <f>Tabla1[[#This Row],[material]]</f>
        <v>PVC</v>
      </c>
      <c r="G21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11" s="52" t="str">
        <f>IF(Tabla1[[#This Row],[5]]="TPD",Tabla1[[#This Row],[6]],"")</f>
        <v/>
      </c>
      <c r="I211" s="52" t="str">
        <f>IF(OR(Tabla1[[#This Row],[5]]="TPD"),Tabla1[[#This Row],[7]],"")</f>
        <v/>
      </c>
      <c r="J211" s="52">
        <f>IF(Tabla15[[#This Row],[2]]="",0,VLOOKUP(TRAMOS!$H$2,Tabla5[#All],3,FALSE)*Tabla15[[#This Row],[3]])</f>
        <v>0</v>
      </c>
      <c r="K211" s="52" t="str">
        <f>IF(Tabla1[[#This Row],[5]]="TPL",Tabla1[[#This Row],[6]],"")</f>
        <v>3"</v>
      </c>
      <c r="L211" s="52">
        <f>IF(OR(Tabla1[[#This Row],[5]]="TPL"),Tabla1[[#This Row],[7]],"")</f>
        <v>1</v>
      </c>
      <c r="M211" s="52">
        <f>IF(Tabla15[[#This Row],[5]]="",0,VLOOKUP(TRAMOS!$K$2,Tabla5[#All],3,FALSE)*Tabla15[[#This Row],[6]])</f>
        <v>0.9</v>
      </c>
      <c r="N21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1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11" s="52">
        <f>IF(Tabla15[[#This Row],[8]]="",0,VLOOKUP(TRAMOS!$H$2,Tabla5[#All],3,FALSE)*Tabla15[[#This Row],[9]])</f>
        <v>0</v>
      </c>
      <c r="Q21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1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11" s="52">
        <f>IF(Tabla15[[#This Row],[11]]="",0,VLOOKUP(TRAMOS!$Q$2,Tabla5[#All],3,FALSE)*Tabla15[[#This Row],[12]])</f>
        <v>0</v>
      </c>
      <c r="T21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1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1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1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1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1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1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1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11" s="52">
        <f>IF(Tabla15[[#This Row],[20]]="",0,VLOOKUP("VRP",Tabla5[#All],3,FALSE)*Tabla15[[#This Row],[21]])</f>
        <v>0</v>
      </c>
      <c r="AC21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1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11" s="52">
        <f>IF(Tabla15[[#This Row],[23]]="",0,VLOOKUP("VC",Tabla5[#All],3,FALSE)*Tabla15[[#This Row],[24]])</f>
        <v>0</v>
      </c>
      <c r="AF21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1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11" s="52">
        <f>IF(Tabla15[[#This Row],[26]]="",0,VLOOKUP(TRAMOS!$K$2,Tabla5[#All],3,FALSE)*Tabla15[[#This Row],[27]])</f>
        <v>0</v>
      </c>
      <c r="AI21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1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1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1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1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1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1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212" spans="2:41" x14ac:dyDescent="0.25">
      <c r="B212" s="58" t="str">
        <f>Tabla1[[#This Row],[nudo inicial]]</f>
        <v>N108</v>
      </c>
      <c r="C212" s="58" t="str">
        <f>Tabla1[[#This Row],[nudo final]]</f>
        <v>TP76</v>
      </c>
      <c r="D212" s="51">
        <f>Tabla1[[#This Row],[longitud]]</f>
        <v>33.770000000000003</v>
      </c>
      <c r="E212" s="51" t="str">
        <f>Tabla1[[#This Row],[diametro]]</f>
        <v>3"</v>
      </c>
      <c r="F212" s="51" t="str">
        <f>Tabla1[[#This Row],[material]]</f>
        <v>PVC</v>
      </c>
      <c r="G21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12" s="52" t="str">
        <f>IF(Tabla1[[#This Row],[5]]="TPD",Tabla1[[#This Row],[6]],"")</f>
        <v/>
      </c>
      <c r="I212" s="52" t="str">
        <f>IF(OR(Tabla1[[#This Row],[5]]="TPD"),Tabla1[[#This Row],[7]],"")</f>
        <v/>
      </c>
      <c r="J212" s="52">
        <f>IF(Tabla15[[#This Row],[2]]="",0,VLOOKUP(TRAMOS!$H$2,Tabla5[#All],3,FALSE)*Tabla15[[#This Row],[3]])</f>
        <v>0</v>
      </c>
      <c r="K212" s="52" t="str">
        <f>IF(Tabla1[[#This Row],[5]]="TPL",Tabla1[[#This Row],[6]],"")</f>
        <v>3"</v>
      </c>
      <c r="L212" s="52">
        <f>IF(OR(Tabla1[[#This Row],[5]]="TPL"),Tabla1[[#This Row],[7]],"")</f>
        <v>1</v>
      </c>
      <c r="M212" s="52">
        <f>IF(Tabla15[[#This Row],[5]]="",0,VLOOKUP(TRAMOS!$K$2,Tabla5[#All],3,FALSE)*Tabla15[[#This Row],[6]])</f>
        <v>0.9</v>
      </c>
      <c r="N21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1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12" s="52">
        <f>IF(Tabla15[[#This Row],[8]]="",0,VLOOKUP(TRAMOS!$H$2,Tabla5[#All],3,FALSE)*Tabla15[[#This Row],[9]])</f>
        <v>0</v>
      </c>
      <c r="Q21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1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12" s="52">
        <f>IF(Tabla15[[#This Row],[11]]="",0,VLOOKUP(TRAMOS!$Q$2,Tabla5[#All],3,FALSE)*Tabla15[[#This Row],[12]])</f>
        <v>0</v>
      </c>
      <c r="T21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1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1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1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1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1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1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1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12" s="52">
        <f>IF(Tabla15[[#This Row],[20]]="",0,VLOOKUP("VRP",Tabla5[#All],3,FALSE)*Tabla15[[#This Row],[21]])</f>
        <v>0</v>
      </c>
      <c r="AC21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1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12" s="52">
        <f>IF(Tabla15[[#This Row],[23]]="",0,VLOOKUP("VC",Tabla5[#All],3,FALSE)*Tabla15[[#This Row],[24]])</f>
        <v>0</v>
      </c>
      <c r="AF21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1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12" s="52">
        <f>IF(Tabla15[[#This Row],[26]]="",0,VLOOKUP(TRAMOS!$K$2,Tabla5[#All],3,FALSE)*Tabla15[[#This Row],[27]])</f>
        <v>0</v>
      </c>
      <c r="AI21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1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1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1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1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212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21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213" spans="2:41" x14ac:dyDescent="0.25">
      <c r="B213" s="58" t="str">
        <f>Tabla1[[#This Row],[nudo inicial]]</f>
        <v>N108</v>
      </c>
      <c r="C213" s="58" t="str">
        <f>Tabla1[[#This Row],[nudo final]]</f>
        <v>N109</v>
      </c>
      <c r="D213" s="51">
        <f>Tabla1[[#This Row],[longitud]]</f>
        <v>11</v>
      </c>
      <c r="E213" s="51" t="str">
        <f>Tabla1[[#This Row],[diametro]]</f>
        <v>3"</v>
      </c>
      <c r="F213" s="51" t="str">
        <f>Tabla1[[#This Row],[material]]</f>
        <v>PVC</v>
      </c>
      <c r="G21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13" s="52" t="str">
        <f>IF(Tabla1[[#This Row],[5]]="TPD",Tabla1[[#This Row],[6]],"")</f>
        <v>3"</v>
      </c>
      <c r="I213" s="52">
        <f>IF(OR(Tabla1[[#This Row],[5]]="TPD"),Tabla1[[#This Row],[7]],"")</f>
        <v>1</v>
      </c>
      <c r="J213" s="52">
        <f>IF(Tabla15[[#This Row],[2]]="",0,VLOOKUP(TRAMOS!$H$2,Tabla5[#All],3,FALSE)*Tabla15[[#This Row],[3]])</f>
        <v>0.15</v>
      </c>
      <c r="K213" s="52" t="str">
        <f>IF(Tabla1[[#This Row],[5]]="TPL",Tabla1[[#This Row],[6]],"")</f>
        <v/>
      </c>
      <c r="L213" s="52" t="str">
        <f>IF(OR(Tabla1[[#This Row],[5]]="TPL"),Tabla1[[#This Row],[7]],"")</f>
        <v/>
      </c>
      <c r="M213" s="52">
        <f>IF(Tabla15[[#This Row],[5]]="",0,VLOOKUP(TRAMOS!$K$2,Tabla5[#All],3,FALSE)*Tabla15[[#This Row],[6]])</f>
        <v>0</v>
      </c>
      <c r="N21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1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13" s="52">
        <f>IF(Tabla15[[#This Row],[8]]="",0,VLOOKUP(TRAMOS!$H$2,Tabla5[#All],3,FALSE)*Tabla15[[#This Row],[9]])</f>
        <v>0</v>
      </c>
      <c r="Q21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1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13" s="52">
        <f>IF(Tabla15[[#This Row],[11]]="",0,VLOOKUP(TRAMOS!$Q$2,Tabla5[#All],3,FALSE)*Tabla15[[#This Row],[12]])</f>
        <v>0</v>
      </c>
      <c r="T21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1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1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1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1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1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1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1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13" s="52">
        <f>IF(Tabla15[[#This Row],[20]]="",0,VLOOKUP("VRP",Tabla5[#All],3,FALSE)*Tabla15[[#This Row],[21]])</f>
        <v>0</v>
      </c>
      <c r="AC21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1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13" s="52">
        <f>IF(Tabla15[[#This Row],[23]]="",0,VLOOKUP("VC",Tabla5[#All],3,FALSE)*Tabla15[[#This Row],[24]])</f>
        <v>0</v>
      </c>
      <c r="AF21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1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13" s="52">
        <f>IF(Tabla15[[#This Row],[26]]="",0,VLOOKUP(TRAMOS!$K$2,Tabla5[#All],3,FALSE)*Tabla15[[#This Row],[27]])</f>
        <v>0</v>
      </c>
      <c r="AI21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1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1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1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1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1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1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214" spans="2:41" x14ac:dyDescent="0.25">
      <c r="B214" s="58" t="str">
        <f>Tabla1[[#This Row],[nudo inicial]]</f>
        <v>N109</v>
      </c>
      <c r="C214" s="58" t="str">
        <f>Tabla1[[#This Row],[nudo final]]</f>
        <v>TP77</v>
      </c>
      <c r="D214" s="51">
        <f>Tabla1[[#This Row],[longitud]]</f>
        <v>63.77</v>
      </c>
      <c r="E214" s="51" t="str">
        <f>Tabla1[[#This Row],[diametro]]</f>
        <v>3"</v>
      </c>
      <c r="F214" s="51" t="str">
        <f>Tabla1[[#This Row],[material]]</f>
        <v>PVC</v>
      </c>
      <c r="G21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14" s="52" t="str">
        <f>IF(Tabla1[[#This Row],[5]]="TPD",Tabla1[[#This Row],[6]],"")</f>
        <v>3"</v>
      </c>
      <c r="I214" s="52">
        <f>IF(OR(Tabla1[[#This Row],[5]]="TPD"),Tabla1[[#This Row],[7]],"")</f>
        <v>1</v>
      </c>
      <c r="J214" s="52">
        <f>IF(Tabla15[[#This Row],[2]]="",0,VLOOKUP(TRAMOS!$H$2,Tabla5[#All],3,FALSE)*Tabla15[[#This Row],[3]])</f>
        <v>0.15</v>
      </c>
      <c r="K214" s="52" t="str">
        <f>IF(Tabla1[[#This Row],[5]]="TPL",Tabla1[[#This Row],[6]],"")</f>
        <v/>
      </c>
      <c r="L214" s="52" t="str">
        <f>IF(OR(Tabla1[[#This Row],[5]]="TPL"),Tabla1[[#This Row],[7]],"")</f>
        <v/>
      </c>
      <c r="M214" s="52">
        <f>IF(Tabla15[[#This Row],[5]]="",0,VLOOKUP(TRAMOS!$K$2,Tabla5[#All],3,FALSE)*Tabla15[[#This Row],[6]])</f>
        <v>0</v>
      </c>
      <c r="N21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1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14" s="52">
        <f>IF(Tabla15[[#This Row],[8]]="",0,VLOOKUP(TRAMOS!$H$2,Tabla5[#All],3,FALSE)*Tabla15[[#This Row],[9]])</f>
        <v>0</v>
      </c>
      <c r="Q21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3"</v>
      </c>
      <c r="R214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214" s="52">
        <f>IF(Tabla15[[#This Row],[11]]="",0,VLOOKUP(TRAMOS!$Q$2,Tabla5[#All],3,FALSE)*Tabla15[[#This Row],[12]])</f>
        <v>0.9</v>
      </c>
      <c r="T21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1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1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1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1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1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1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1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14" s="52">
        <f>IF(Tabla15[[#This Row],[20]]="",0,VLOOKUP("VRP",Tabla5[#All],3,FALSE)*Tabla15[[#This Row],[21]])</f>
        <v>0</v>
      </c>
      <c r="AC21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1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14" s="52">
        <f>IF(Tabla15[[#This Row],[23]]="",0,VLOOKUP("VC",Tabla5[#All],3,FALSE)*Tabla15[[#This Row],[24]])</f>
        <v>0</v>
      </c>
      <c r="AF21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1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14" s="52">
        <f>IF(Tabla15[[#This Row],[26]]="",0,VLOOKUP(TRAMOS!$K$2,Tabla5[#All],3,FALSE)*Tabla15[[#This Row],[27]])</f>
        <v>0</v>
      </c>
      <c r="AI21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1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1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1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1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214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21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215" spans="2:41" x14ac:dyDescent="0.25">
      <c r="B215" s="58" t="str">
        <f>Tabla1[[#This Row],[nudo inicial]]</f>
        <v>N109</v>
      </c>
      <c r="C215" s="58" t="str">
        <f>Tabla1[[#This Row],[nudo final]]</f>
        <v>N110</v>
      </c>
      <c r="D215" s="51">
        <f>Tabla1[[#This Row],[longitud]]</f>
        <v>73.45</v>
      </c>
      <c r="E215" s="51" t="str">
        <f>Tabla1[[#This Row],[diametro]]</f>
        <v>3"</v>
      </c>
      <c r="F215" s="51" t="str">
        <f>Tabla1[[#This Row],[material]]</f>
        <v>PVC</v>
      </c>
      <c r="G21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15" s="52" t="str">
        <f>IF(Tabla1[[#This Row],[5]]="TPD",Tabla1[[#This Row],[6]],"")</f>
        <v/>
      </c>
      <c r="I215" s="52" t="str">
        <f>IF(OR(Tabla1[[#This Row],[5]]="TPD"),Tabla1[[#This Row],[7]],"")</f>
        <v/>
      </c>
      <c r="J215" s="52">
        <f>IF(Tabla15[[#This Row],[2]]="",0,VLOOKUP(TRAMOS!$H$2,Tabla5[#All],3,FALSE)*Tabla15[[#This Row],[3]])</f>
        <v>0</v>
      </c>
      <c r="K215" s="52" t="str">
        <f>IF(Tabla1[[#This Row],[5]]="TPL",Tabla1[[#This Row],[6]],"")</f>
        <v>3"</v>
      </c>
      <c r="L215" s="52">
        <f>IF(OR(Tabla1[[#This Row],[5]]="TPL"),Tabla1[[#This Row],[7]],"")</f>
        <v>1</v>
      </c>
      <c r="M215" s="52">
        <f>IF(Tabla15[[#This Row],[5]]="",0,VLOOKUP(TRAMOS!$K$2,Tabla5[#All],3,FALSE)*Tabla15[[#This Row],[6]])</f>
        <v>0.9</v>
      </c>
      <c r="N21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1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15" s="52">
        <f>IF(Tabla15[[#This Row],[8]]="",0,VLOOKUP(TRAMOS!$H$2,Tabla5[#All],3,FALSE)*Tabla15[[#This Row],[9]])</f>
        <v>0</v>
      </c>
      <c r="Q21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3"</v>
      </c>
      <c r="R215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215" s="52">
        <f>IF(Tabla15[[#This Row],[11]]="",0,VLOOKUP(TRAMOS!$Q$2,Tabla5[#All],3,FALSE)*Tabla15[[#This Row],[12]])</f>
        <v>0.9</v>
      </c>
      <c r="T21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1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1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1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1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1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1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1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15" s="52">
        <f>IF(Tabla15[[#This Row],[20]]="",0,VLOOKUP("VRP",Tabla5[#All],3,FALSE)*Tabla15[[#This Row],[21]])</f>
        <v>0</v>
      </c>
      <c r="AC21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1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15" s="52">
        <f>IF(Tabla15[[#This Row],[23]]="",0,VLOOKUP("VC",Tabla5[#All],3,FALSE)*Tabla15[[#This Row],[24]])</f>
        <v>0</v>
      </c>
      <c r="AF21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1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15" s="52">
        <f>IF(Tabla15[[#This Row],[26]]="",0,VLOOKUP(TRAMOS!$K$2,Tabla5[#All],3,FALSE)*Tabla15[[#This Row],[27]])</f>
        <v>0</v>
      </c>
      <c r="AI21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1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1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1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1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1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1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1.8</v>
      </c>
    </row>
    <row r="216" spans="2:41" x14ac:dyDescent="0.25">
      <c r="B216" s="58" t="str">
        <f>Tabla1[[#This Row],[nudo inicial]]</f>
        <v>N106</v>
      </c>
      <c r="C216" s="58" t="str">
        <f>Tabla1[[#This Row],[nudo final]]</f>
        <v>N110</v>
      </c>
      <c r="D216" s="51">
        <f>Tabla1[[#This Row],[longitud]]</f>
        <v>23.3</v>
      </c>
      <c r="E216" s="51" t="str">
        <f>Tabla1[[#This Row],[diametro]]</f>
        <v>3"</v>
      </c>
      <c r="F216" s="51" t="str">
        <f>Tabla1[[#This Row],[material]]</f>
        <v>PVC</v>
      </c>
      <c r="G21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16" s="52" t="str">
        <f>IF(Tabla1[[#This Row],[5]]="TPD",Tabla1[[#This Row],[6]],"")</f>
        <v>3"</v>
      </c>
      <c r="I216" s="52">
        <f>IF(OR(Tabla1[[#This Row],[5]]="TPD"),Tabla1[[#This Row],[7]],"")</f>
        <v>1</v>
      </c>
      <c r="J216" s="52">
        <f>IF(Tabla15[[#This Row],[2]]="",0,VLOOKUP(TRAMOS!$H$2,Tabla5[#All],3,FALSE)*Tabla15[[#This Row],[3]])</f>
        <v>0.15</v>
      </c>
      <c r="K216" s="52" t="str">
        <f>IF(Tabla1[[#This Row],[5]]="TPL",Tabla1[[#This Row],[6]],"")</f>
        <v/>
      </c>
      <c r="L216" s="52" t="str">
        <f>IF(OR(Tabla1[[#This Row],[5]]="TPL"),Tabla1[[#This Row],[7]],"")</f>
        <v/>
      </c>
      <c r="M216" s="52">
        <f>IF(Tabla15[[#This Row],[5]]="",0,VLOOKUP(TRAMOS!$K$2,Tabla5[#All],3,FALSE)*Tabla15[[#This Row],[6]])</f>
        <v>0</v>
      </c>
      <c r="N21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1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16" s="52">
        <f>IF(Tabla15[[#This Row],[8]]="",0,VLOOKUP(TRAMOS!$H$2,Tabla5[#All],3,FALSE)*Tabla15[[#This Row],[9]])</f>
        <v>0</v>
      </c>
      <c r="Q21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1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16" s="52">
        <f>IF(Tabla15[[#This Row],[11]]="",0,VLOOKUP(TRAMOS!$Q$2,Tabla5[#All],3,FALSE)*Tabla15[[#This Row],[12]])</f>
        <v>0</v>
      </c>
      <c r="T21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1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1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1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1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1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1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1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16" s="52">
        <f>IF(Tabla15[[#This Row],[20]]="",0,VLOOKUP("VRP",Tabla5[#All],3,FALSE)*Tabla15[[#This Row],[21]])</f>
        <v>0</v>
      </c>
      <c r="AC21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1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16" s="52">
        <f>IF(Tabla15[[#This Row],[23]]="",0,VLOOKUP("VC",Tabla5[#All],3,FALSE)*Tabla15[[#This Row],[24]])</f>
        <v>0</v>
      </c>
      <c r="AF21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1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16" s="52">
        <f>IF(Tabla15[[#This Row],[26]]="",0,VLOOKUP(TRAMOS!$K$2,Tabla5[#All],3,FALSE)*Tabla15[[#This Row],[27]])</f>
        <v>0</v>
      </c>
      <c r="AI21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1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1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1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1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1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1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217" spans="2:41" x14ac:dyDescent="0.25">
      <c r="B217" s="58" t="str">
        <f>Tabla1[[#This Row],[nudo inicial]]</f>
        <v>N110</v>
      </c>
      <c r="C217" s="58" t="str">
        <f>Tabla1[[#This Row],[nudo final]]</f>
        <v>N111</v>
      </c>
      <c r="D217" s="51">
        <f>Tabla1[[#This Row],[longitud]]</f>
        <v>79.27</v>
      </c>
      <c r="E217" s="51" t="str">
        <f>Tabla1[[#This Row],[diametro]]</f>
        <v>3"</v>
      </c>
      <c r="F217" s="51" t="str">
        <f>Tabla1[[#This Row],[material]]</f>
        <v>PVC</v>
      </c>
      <c r="G21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17" s="52" t="str">
        <f>IF(Tabla1[[#This Row],[5]]="TPD",Tabla1[[#This Row],[6]],"")</f>
        <v/>
      </c>
      <c r="I217" s="52" t="str">
        <f>IF(OR(Tabla1[[#This Row],[5]]="TPD"),Tabla1[[#This Row],[7]],"")</f>
        <v/>
      </c>
      <c r="J217" s="52">
        <f>IF(Tabla15[[#This Row],[2]]="",0,VLOOKUP(TRAMOS!$H$2,Tabla5[#All],3,FALSE)*Tabla15[[#This Row],[3]])</f>
        <v>0</v>
      </c>
      <c r="K217" s="52" t="str">
        <f>IF(Tabla1[[#This Row],[5]]="TPL",Tabla1[[#This Row],[6]],"")</f>
        <v>3"</v>
      </c>
      <c r="L217" s="52">
        <f>IF(OR(Tabla1[[#This Row],[5]]="TPL"),Tabla1[[#This Row],[7]],"")</f>
        <v>1</v>
      </c>
      <c r="M217" s="52">
        <f>IF(Tabla15[[#This Row],[5]]="",0,VLOOKUP(TRAMOS!$K$2,Tabla5[#All],3,FALSE)*Tabla15[[#This Row],[6]])</f>
        <v>0.9</v>
      </c>
      <c r="N21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1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17" s="52">
        <f>IF(Tabla15[[#This Row],[8]]="",0,VLOOKUP(TRAMOS!$H$2,Tabla5[#All],3,FALSE)*Tabla15[[#This Row],[9]])</f>
        <v>0</v>
      </c>
      <c r="Q21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3"</v>
      </c>
      <c r="R217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217" s="52">
        <f>IF(Tabla15[[#This Row],[11]]="",0,VLOOKUP(TRAMOS!$Q$2,Tabla5[#All],3,FALSE)*Tabla15[[#This Row],[12]])</f>
        <v>0.9</v>
      </c>
      <c r="T21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1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1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1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1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1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1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1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17" s="52">
        <f>IF(Tabla15[[#This Row],[20]]="",0,VLOOKUP("VRP",Tabla5[#All],3,FALSE)*Tabla15[[#This Row],[21]])</f>
        <v>0</v>
      </c>
      <c r="AC21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1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17" s="52">
        <f>IF(Tabla15[[#This Row],[23]]="",0,VLOOKUP("VC",Tabla5[#All],3,FALSE)*Tabla15[[#This Row],[24]])</f>
        <v>0</v>
      </c>
      <c r="AF21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1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17" s="52">
        <f>IF(Tabla15[[#This Row],[26]]="",0,VLOOKUP(TRAMOS!$K$2,Tabla5[#All],3,FALSE)*Tabla15[[#This Row],[27]])</f>
        <v>0</v>
      </c>
      <c r="AI21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1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1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1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1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1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1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1.8</v>
      </c>
    </row>
    <row r="218" spans="2:41" x14ac:dyDescent="0.25">
      <c r="B218" s="58" t="str">
        <f>Tabla1[[#This Row],[nudo inicial]]</f>
        <v>N111</v>
      </c>
      <c r="C218" s="58" t="str">
        <f>Tabla1[[#This Row],[nudo final]]</f>
        <v>N112</v>
      </c>
      <c r="D218" s="51">
        <f>Tabla1[[#This Row],[longitud]]</f>
        <v>48.5</v>
      </c>
      <c r="E218" s="51" t="str">
        <f>Tabla1[[#This Row],[diametro]]</f>
        <v>3"</v>
      </c>
      <c r="F218" s="51" t="str">
        <f>Tabla1[[#This Row],[material]]</f>
        <v>PVC</v>
      </c>
      <c r="G21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18" s="52" t="str">
        <f>IF(Tabla1[[#This Row],[5]]="TPD",Tabla1[[#This Row],[6]],"")</f>
        <v/>
      </c>
      <c r="I218" s="52" t="str">
        <f>IF(OR(Tabla1[[#This Row],[5]]="TPD"),Tabla1[[#This Row],[7]],"")</f>
        <v/>
      </c>
      <c r="J218" s="52">
        <f>IF(Tabla15[[#This Row],[2]]="",0,VLOOKUP(TRAMOS!$H$2,Tabla5[#All],3,FALSE)*Tabla15[[#This Row],[3]])</f>
        <v>0</v>
      </c>
      <c r="K218" s="52" t="str">
        <f>IF(Tabla1[[#This Row],[5]]="TPL",Tabla1[[#This Row],[6]],"")</f>
        <v>3"</v>
      </c>
      <c r="L218" s="52">
        <f>IF(OR(Tabla1[[#This Row],[5]]="TPL"),Tabla1[[#This Row],[7]],"")</f>
        <v>1</v>
      </c>
      <c r="M218" s="52">
        <f>IF(Tabla15[[#This Row],[5]]="",0,VLOOKUP(TRAMOS!$K$2,Tabla5[#All],3,FALSE)*Tabla15[[#This Row],[6]])</f>
        <v>0.9</v>
      </c>
      <c r="N21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1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18" s="52">
        <f>IF(Tabla15[[#This Row],[8]]="",0,VLOOKUP(TRAMOS!$H$2,Tabla5[#All],3,FALSE)*Tabla15[[#This Row],[9]])</f>
        <v>0</v>
      </c>
      <c r="Q21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1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18" s="52">
        <f>IF(Tabla15[[#This Row],[11]]="",0,VLOOKUP(TRAMOS!$Q$2,Tabla5[#All],3,FALSE)*Tabla15[[#This Row],[12]])</f>
        <v>0</v>
      </c>
      <c r="T21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1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1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1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1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1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1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1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18" s="52">
        <f>IF(Tabla15[[#This Row],[20]]="",0,VLOOKUP("VRP",Tabla5[#All],3,FALSE)*Tabla15[[#This Row],[21]])</f>
        <v>0</v>
      </c>
      <c r="AC21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1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18" s="52">
        <f>IF(Tabla15[[#This Row],[23]]="",0,VLOOKUP("VC",Tabla5[#All],3,FALSE)*Tabla15[[#This Row],[24]])</f>
        <v>0</v>
      </c>
      <c r="AF21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1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18" s="52">
        <f>IF(Tabla15[[#This Row],[26]]="",0,VLOOKUP(TRAMOS!$K$2,Tabla5[#All],3,FALSE)*Tabla15[[#This Row],[27]])</f>
        <v>0</v>
      </c>
      <c r="AI21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1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1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1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1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1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1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219" spans="2:41" x14ac:dyDescent="0.25">
      <c r="B219" s="58" t="str">
        <f>Tabla1[[#This Row],[nudo inicial]]</f>
        <v>N112</v>
      </c>
      <c r="C219" s="58" t="str">
        <f>Tabla1[[#This Row],[nudo final]]</f>
        <v>TP78</v>
      </c>
      <c r="D219" s="51">
        <f>Tabla1[[#This Row],[longitud]]</f>
        <v>38.35</v>
      </c>
      <c r="E219" s="51" t="str">
        <f>Tabla1[[#This Row],[diametro]]</f>
        <v>3"</v>
      </c>
      <c r="F219" s="51" t="str">
        <f>Tabla1[[#This Row],[material]]</f>
        <v>PVC</v>
      </c>
      <c r="G21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19" s="52" t="str">
        <f>IF(Tabla1[[#This Row],[5]]="TPD",Tabla1[[#This Row],[6]],"")</f>
        <v/>
      </c>
      <c r="I219" s="52" t="str">
        <f>IF(OR(Tabla1[[#This Row],[5]]="TPD"),Tabla1[[#This Row],[7]],"")</f>
        <v/>
      </c>
      <c r="J219" s="52">
        <f>IF(Tabla15[[#This Row],[2]]="",0,VLOOKUP(TRAMOS!$H$2,Tabla5[#All],3,FALSE)*Tabla15[[#This Row],[3]])</f>
        <v>0</v>
      </c>
      <c r="K219" s="52" t="str">
        <f>IF(Tabla1[[#This Row],[5]]="TPL",Tabla1[[#This Row],[6]],"")</f>
        <v>3"</v>
      </c>
      <c r="L219" s="52">
        <f>IF(OR(Tabla1[[#This Row],[5]]="TPL"),Tabla1[[#This Row],[7]],"")</f>
        <v>1</v>
      </c>
      <c r="M219" s="52">
        <f>IF(Tabla15[[#This Row],[5]]="",0,VLOOKUP(TRAMOS!$K$2,Tabla5[#All],3,FALSE)*Tabla15[[#This Row],[6]])</f>
        <v>0.9</v>
      </c>
      <c r="N21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1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19" s="52">
        <f>IF(Tabla15[[#This Row],[8]]="",0,VLOOKUP(TRAMOS!$H$2,Tabla5[#All],3,FALSE)*Tabla15[[#This Row],[9]])</f>
        <v>0</v>
      </c>
      <c r="Q21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1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19" s="52">
        <f>IF(Tabla15[[#This Row],[11]]="",0,VLOOKUP(TRAMOS!$Q$2,Tabla5[#All],3,FALSE)*Tabla15[[#This Row],[12]])</f>
        <v>0</v>
      </c>
      <c r="T21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1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1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1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1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1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1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1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19" s="52">
        <f>IF(Tabla15[[#This Row],[20]]="",0,VLOOKUP("VRP",Tabla5[#All],3,FALSE)*Tabla15[[#This Row],[21]])</f>
        <v>0</v>
      </c>
      <c r="AC21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1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19" s="52">
        <f>IF(Tabla15[[#This Row],[23]]="",0,VLOOKUP("VC",Tabla5[#All],3,FALSE)*Tabla15[[#This Row],[24]])</f>
        <v>0</v>
      </c>
      <c r="AF21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1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19" s="52">
        <f>IF(Tabla15[[#This Row],[26]]="",0,VLOOKUP(TRAMOS!$K$2,Tabla5[#All],3,FALSE)*Tabla15[[#This Row],[27]])</f>
        <v>0</v>
      </c>
      <c r="AI21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1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1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1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1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219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21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220" spans="2:41" x14ac:dyDescent="0.25">
      <c r="B220" s="58" t="str">
        <f>Tabla1[[#This Row],[nudo inicial]]</f>
        <v>N105</v>
      </c>
      <c r="C220" s="58" t="str">
        <f>Tabla1[[#This Row],[nudo final]]</f>
        <v>N113</v>
      </c>
      <c r="D220" s="51">
        <f>Tabla1[[#This Row],[longitud]]</f>
        <v>49.01</v>
      </c>
      <c r="E220" s="51" t="str">
        <f>Tabla1[[#This Row],[diametro]]</f>
        <v>3"</v>
      </c>
      <c r="F220" s="51" t="str">
        <f>Tabla1[[#This Row],[material]]</f>
        <v>PVC</v>
      </c>
      <c r="G22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20" s="52" t="str">
        <f>IF(Tabla1[[#This Row],[5]]="TPD",Tabla1[[#This Row],[6]],"")</f>
        <v/>
      </c>
      <c r="I220" s="52" t="str">
        <f>IF(OR(Tabla1[[#This Row],[5]]="TPD"),Tabla1[[#This Row],[7]],"")</f>
        <v/>
      </c>
      <c r="J220" s="52">
        <f>IF(Tabla15[[#This Row],[2]]="",0,VLOOKUP(TRAMOS!$H$2,Tabla5[#All],3,FALSE)*Tabla15[[#This Row],[3]])</f>
        <v>0</v>
      </c>
      <c r="K220" s="52" t="str">
        <f>IF(Tabla1[[#This Row],[5]]="TPL",Tabla1[[#This Row],[6]],"")</f>
        <v>3"</v>
      </c>
      <c r="L220" s="52">
        <f>IF(OR(Tabla1[[#This Row],[5]]="TPL"),Tabla1[[#This Row],[7]],"")</f>
        <v>1</v>
      </c>
      <c r="M220" s="52">
        <f>IF(Tabla15[[#This Row],[5]]="",0,VLOOKUP(TRAMOS!$K$2,Tabla5[#All],3,FALSE)*Tabla15[[#This Row],[6]])</f>
        <v>0.9</v>
      </c>
      <c r="N22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2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20" s="52">
        <f>IF(Tabla15[[#This Row],[8]]="",0,VLOOKUP(TRAMOS!$H$2,Tabla5[#All],3,FALSE)*Tabla15[[#This Row],[9]])</f>
        <v>0</v>
      </c>
      <c r="Q22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2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20" s="52">
        <f>IF(Tabla15[[#This Row],[11]]="",0,VLOOKUP(TRAMOS!$Q$2,Tabla5[#All],3,FALSE)*Tabla15[[#This Row],[12]])</f>
        <v>0</v>
      </c>
      <c r="T22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2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2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2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2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2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2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2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20" s="52">
        <f>IF(Tabla15[[#This Row],[20]]="",0,VLOOKUP("VRP",Tabla5[#All],3,FALSE)*Tabla15[[#This Row],[21]])</f>
        <v>0</v>
      </c>
      <c r="AC22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2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20" s="52">
        <f>IF(Tabla15[[#This Row],[23]]="",0,VLOOKUP("VC",Tabla5[#All],3,FALSE)*Tabla15[[#This Row],[24]])</f>
        <v>0</v>
      </c>
      <c r="AF22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2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20" s="52">
        <f>IF(Tabla15[[#This Row],[26]]="",0,VLOOKUP(TRAMOS!$K$2,Tabla5[#All],3,FALSE)*Tabla15[[#This Row],[27]])</f>
        <v>0</v>
      </c>
      <c r="AI22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2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2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2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2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2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2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221" spans="2:41" x14ac:dyDescent="0.25">
      <c r="B221" s="58" t="str">
        <f>Tabla1[[#This Row],[nudo inicial]]</f>
        <v>N113</v>
      </c>
      <c r="C221" s="58" t="str">
        <f>Tabla1[[#This Row],[nudo final]]</f>
        <v>TP79</v>
      </c>
      <c r="D221" s="51">
        <f>Tabla1[[#This Row],[longitud]]</f>
        <v>41.23</v>
      </c>
      <c r="E221" s="51" t="str">
        <f>Tabla1[[#This Row],[diametro]]</f>
        <v>3"</v>
      </c>
      <c r="F221" s="51" t="str">
        <f>Tabla1[[#This Row],[material]]</f>
        <v>PVC</v>
      </c>
      <c r="G22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21" s="52" t="str">
        <f>IF(Tabla1[[#This Row],[5]]="TPD",Tabla1[[#This Row],[6]],"")</f>
        <v>3"</v>
      </c>
      <c r="I221" s="52">
        <f>IF(OR(Tabla1[[#This Row],[5]]="TPD"),Tabla1[[#This Row],[7]],"")</f>
        <v>1</v>
      </c>
      <c r="J221" s="52">
        <f>IF(Tabla15[[#This Row],[2]]="",0,VLOOKUP(TRAMOS!$H$2,Tabla5[#All],3,FALSE)*Tabla15[[#This Row],[3]])</f>
        <v>0.15</v>
      </c>
      <c r="K221" s="52" t="str">
        <f>IF(Tabla1[[#This Row],[5]]="TPL",Tabla1[[#This Row],[6]],"")</f>
        <v/>
      </c>
      <c r="L221" s="52" t="str">
        <f>IF(OR(Tabla1[[#This Row],[5]]="TPL"),Tabla1[[#This Row],[7]],"")</f>
        <v/>
      </c>
      <c r="M221" s="52">
        <f>IF(Tabla15[[#This Row],[5]]="",0,VLOOKUP(TRAMOS!$K$2,Tabla5[#All],3,FALSE)*Tabla15[[#This Row],[6]])</f>
        <v>0</v>
      </c>
      <c r="N22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2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21" s="52">
        <f>IF(Tabla15[[#This Row],[8]]="",0,VLOOKUP(TRAMOS!$H$2,Tabla5[#All],3,FALSE)*Tabla15[[#This Row],[9]])</f>
        <v>0</v>
      </c>
      <c r="Q22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2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21" s="52">
        <f>IF(Tabla15[[#This Row],[11]]="",0,VLOOKUP(TRAMOS!$Q$2,Tabla5[#All],3,FALSE)*Tabla15[[#This Row],[12]])</f>
        <v>0</v>
      </c>
      <c r="T22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2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2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2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2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2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2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2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21" s="52">
        <f>IF(Tabla15[[#This Row],[20]]="",0,VLOOKUP("VRP",Tabla5[#All],3,FALSE)*Tabla15[[#This Row],[21]])</f>
        <v>0</v>
      </c>
      <c r="AC22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2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21" s="52">
        <f>IF(Tabla15[[#This Row],[23]]="",0,VLOOKUP("VC",Tabla5[#All],3,FALSE)*Tabla15[[#This Row],[24]])</f>
        <v>0</v>
      </c>
      <c r="AF22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2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21" s="52">
        <f>IF(Tabla15[[#This Row],[26]]="",0,VLOOKUP(TRAMOS!$K$2,Tabla5[#All],3,FALSE)*Tabla15[[#This Row],[27]])</f>
        <v>0</v>
      </c>
      <c r="AI22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2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2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2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2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221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22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222" spans="2:41" x14ac:dyDescent="0.25">
      <c r="B222" s="58" t="str">
        <f>Tabla1[[#This Row],[nudo inicial]]</f>
        <v>N113</v>
      </c>
      <c r="C222" s="58" t="str">
        <f>Tabla1[[#This Row],[nudo final]]</f>
        <v>N111</v>
      </c>
      <c r="D222" s="51">
        <f>Tabla1[[#This Row],[longitud]]</f>
        <v>45.29</v>
      </c>
      <c r="E222" s="51" t="str">
        <f>Tabla1[[#This Row],[diametro]]</f>
        <v>3"</v>
      </c>
      <c r="F222" s="51" t="str">
        <f>Tabla1[[#This Row],[material]]</f>
        <v>PVC</v>
      </c>
      <c r="G22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22" s="52" t="str">
        <f>IF(Tabla1[[#This Row],[5]]="TPD",Tabla1[[#This Row],[6]],"")</f>
        <v/>
      </c>
      <c r="I222" s="52" t="str">
        <f>IF(OR(Tabla1[[#This Row],[5]]="TPD"),Tabla1[[#This Row],[7]],"")</f>
        <v/>
      </c>
      <c r="J222" s="52">
        <f>IF(Tabla15[[#This Row],[2]]="",0,VLOOKUP(TRAMOS!$H$2,Tabla5[#All],3,FALSE)*Tabla15[[#This Row],[3]])</f>
        <v>0</v>
      </c>
      <c r="K222" s="52" t="str">
        <f>IF(Tabla1[[#This Row],[5]]="TPL",Tabla1[[#This Row],[6]],"")</f>
        <v>3"</v>
      </c>
      <c r="L222" s="52">
        <f>IF(OR(Tabla1[[#This Row],[5]]="TPL"),Tabla1[[#This Row],[7]],"")</f>
        <v>0</v>
      </c>
      <c r="M222" s="52">
        <f>IF(Tabla15[[#This Row],[5]]="",0,VLOOKUP(TRAMOS!$K$2,Tabla5[#All],3,FALSE)*Tabla15[[#This Row],[6]])</f>
        <v>0</v>
      </c>
      <c r="N22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2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22" s="52">
        <f>IF(Tabla15[[#This Row],[8]]="",0,VLOOKUP(TRAMOS!$H$2,Tabla5[#All],3,FALSE)*Tabla15[[#This Row],[9]])</f>
        <v>0</v>
      </c>
      <c r="Q22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2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22" s="52">
        <f>IF(Tabla15[[#This Row],[11]]="",0,VLOOKUP(TRAMOS!$Q$2,Tabla5[#All],3,FALSE)*Tabla15[[#This Row],[12]])</f>
        <v>0</v>
      </c>
      <c r="T22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2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2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2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2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2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2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2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22" s="52">
        <f>IF(Tabla15[[#This Row],[20]]="",0,VLOOKUP("VRP",Tabla5[#All],3,FALSE)*Tabla15[[#This Row],[21]])</f>
        <v>0</v>
      </c>
      <c r="AC22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2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22" s="52">
        <f>IF(Tabla15[[#This Row],[23]]="",0,VLOOKUP("VC",Tabla5[#All],3,FALSE)*Tabla15[[#This Row],[24]])</f>
        <v>0</v>
      </c>
      <c r="AF22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2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22" s="52">
        <f>IF(Tabla15[[#This Row],[26]]="",0,VLOOKUP(TRAMOS!$K$2,Tabla5[#All],3,FALSE)*Tabla15[[#This Row],[27]])</f>
        <v>0</v>
      </c>
      <c r="AI22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2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2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2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2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2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2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</v>
      </c>
    </row>
    <row r="223" spans="2:41" x14ac:dyDescent="0.25">
      <c r="B223" s="58" t="str">
        <f>Tabla1[[#This Row],[nudo inicial]]</f>
        <v>N112</v>
      </c>
      <c r="C223" s="58" t="str">
        <f>Tabla1[[#This Row],[nudo final]]</f>
        <v>TP80</v>
      </c>
      <c r="D223" s="51">
        <f>Tabla1[[#This Row],[longitud]]</f>
        <v>121.05</v>
      </c>
      <c r="E223" s="51" t="str">
        <f>Tabla1[[#This Row],[diametro]]</f>
        <v>3"</v>
      </c>
      <c r="F223" s="51" t="str">
        <f>Tabla1[[#This Row],[material]]</f>
        <v>PVC</v>
      </c>
      <c r="G22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23" s="52" t="str">
        <f>IF(Tabla1[[#This Row],[5]]="TPD",Tabla1[[#This Row],[6]],"")</f>
        <v/>
      </c>
      <c r="I223" s="52" t="str">
        <f>IF(OR(Tabla1[[#This Row],[5]]="TPD"),Tabla1[[#This Row],[7]],"")</f>
        <v/>
      </c>
      <c r="J223" s="52">
        <f>IF(Tabla15[[#This Row],[2]]="",0,VLOOKUP(TRAMOS!$H$2,Tabla5[#All],3,FALSE)*Tabla15[[#This Row],[3]])</f>
        <v>0</v>
      </c>
      <c r="K223" s="52" t="str">
        <f>IF(Tabla1[[#This Row],[5]]="TPL",Tabla1[[#This Row],[6]],"")</f>
        <v>3"</v>
      </c>
      <c r="L223" s="52">
        <f>IF(OR(Tabla1[[#This Row],[5]]="TPL"),Tabla1[[#This Row],[7]],"")</f>
        <v>1</v>
      </c>
      <c r="M223" s="52">
        <f>IF(Tabla15[[#This Row],[5]]="",0,VLOOKUP(TRAMOS!$K$2,Tabla5[#All],3,FALSE)*Tabla15[[#This Row],[6]])</f>
        <v>0.9</v>
      </c>
      <c r="N22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2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23" s="52">
        <f>IF(Tabla15[[#This Row],[8]]="",0,VLOOKUP(TRAMOS!$H$2,Tabla5[#All],3,FALSE)*Tabla15[[#This Row],[9]])</f>
        <v>0</v>
      </c>
      <c r="Q22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2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23" s="52">
        <f>IF(Tabla15[[#This Row],[11]]="",0,VLOOKUP(TRAMOS!$Q$2,Tabla5[#All],3,FALSE)*Tabla15[[#This Row],[12]])</f>
        <v>0</v>
      </c>
      <c r="T22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2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2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2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2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2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2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2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23" s="52">
        <f>IF(Tabla15[[#This Row],[20]]="",0,VLOOKUP("VRP",Tabla5[#All],3,FALSE)*Tabla15[[#This Row],[21]])</f>
        <v>0</v>
      </c>
      <c r="AC22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2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23" s="52">
        <f>IF(Tabla15[[#This Row],[23]]="",0,VLOOKUP("VC",Tabla5[#All],3,FALSE)*Tabla15[[#This Row],[24]])</f>
        <v>0</v>
      </c>
      <c r="AF22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2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23" s="52">
        <f>IF(Tabla15[[#This Row],[26]]="",0,VLOOKUP(TRAMOS!$K$2,Tabla5[#All],3,FALSE)*Tabla15[[#This Row],[27]])</f>
        <v>0</v>
      </c>
      <c r="AI22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2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2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2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2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223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22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224" spans="2:41" x14ac:dyDescent="0.25">
      <c r="B224" s="58" t="str">
        <f>Tabla1[[#This Row],[nudo inicial]]</f>
        <v>N647</v>
      </c>
      <c r="C224" s="58" t="str">
        <f>Tabla1[[#This Row],[nudo final]]</f>
        <v>N114</v>
      </c>
      <c r="D224" s="51">
        <f>Tabla1[[#This Row],[longitud]]</f>
        <v>57.31</v>
      </c>
      <c r="E224" s="51" t="str">
        <f>Tabla1[[#This Row],[diametro]]</f>
        <v>1 1/2"</v>
      </c>
      <c r="F224" s="51" t="str">
        <f>Tabla1[[#This Row],[material]]</f>
        <v>PVC</v>
      </c>
      <c r="G22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24" s="52" t="str">
        <f>IF(Tabla1[[#This Row],[5]]="TPD",Tabla1[[#This Row],[6]],"")</f>
        <v/>
      </c>
      <c r="I224" s="52" t="str">
        <f>IF(OR(Tabla1[[#This Row],[5]]="TPD"),Tabla1[[#This Row],[7]],"")</f>
        <v/>
      </c>
      <c r="J224" s="52">
        <f>IF(Tabla15[[#This Row],[2]]="",0,VLOOKUP(TRAMOS!$H$2,Tabla5[#All],3,FALSE)*Tabla15[[#This Row],[3]])</f>
        <v>0</v>
      </c>
      <c r="K224" s="52" t="str">
        <f>IF(Tabla1[[#This Row],[5]]="TPL",Tabla1[[#This Row],[6]],"")</f>
        <v>3"</v>
      </c>
      <c r="L224" s="52">
        <f>IF(OR(Tabla1[[#This Row],[5]]="TPL"),Tabla1[[#This Row],[7]],"")</f>
        <v>1</v>
      </c>
      <c r="M224" s="52">
        <f>IF(Tabla15[[#This Row],[5]]="",0,VLOOKUP(TRAMOS!$K$2,Tabla5[#All],3,FALSE)*Tabla15[[#This Row],[6]])</f>
        <v>0.9</v>
      </c>
      <c r="N22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2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24" s="52">
        <f>IF(Tabla15[[#This Row],[8]]="",0,VLOOKUP(TRAMOS!$H$2,Tabla5[#All],3,FALSE)*Tabla15[[#This Row],[9]])</f>
        <v>0</v>
      </c>
      <c r="Q22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2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24" s="52">
        <f>IF(Tabla15[[#This Row],[11]]="",0,VLOOKUP(TRAMOS!$Q$2,Tabla5[#All],3,FALSE)*Tabla15[[#This Row],[12]])</f>
        <v>0</v>
      </c>
      <c r="T22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 1/2"</v>
      </c>
      <c r="U224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22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22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2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2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2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2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24" s="52">
        <f>IF(Tabla15[[#This Row],[20]]="",0,VLOOKUP("VRP",Tabla5[#All],3,FALSE)*Tabla15[[#This Row],[21]])</f>
        <v>0</v>
      </c>
      <c r="AC22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2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24" s="52">
        <f>IF(Tabla15[[#This Row],[23]]="",0,VLOOKUP("VC",Tabla5[#All],3,FALSE)*Tabla15[[#This Row],[24]])</f>
        <v>0</v>
      </c>
      <c r="AF22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2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24" s="52">
        <f>IF(Tabla15[[#This Row],[26]]="",0,VLOOKUP(TRAMOS!$K$2,Tabla5[#All],3,FALSE)*Tabla15[[#This Row],[27]])</f>
        <v>0</v>
      </c>
      <c r="AI22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2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2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2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2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2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2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1.27</v>
      </c>
    </row>
    <row r="225" spans="2:41" x14ac:dyDescent="0.25">
      <c r="B225" s="58" t="str">
        <f>Tabla1[[#This Row],[nudo inicial]]</f>
        <v>N114</v>
      </c>
      <c r="C225" s="58" t="str">
        <f>Tabla1[[#This Row],[nudo final]]</f>
        <v>TP81</v>
      </c>
      <c r="D225" s="51">
        <f>Tabla1[[#This Row],[longitud]]</f>
        <v>67.44</v>
      </c>
      <c r="E225" s="51" t="str">
        <f>Tabla1[[#This Row],[diametro]]</f>
        <v>1 1/2"</v>
      </c>
      <c r="F225" s="51" t="str">
        <f>Tabla1[[#This Row],[material]]</f>
        <v>PVC</v>
      </c>
      <c r="G22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 1/2"</v>
      </c>
      <c r="H225" s="52" t="str">
        <f>IF(Tabla1[[#This Row],[5]]="TPD",Tabla1[[#This Row],[6]],"")</f>
        <v/>
      </c>
      <c r="I225" s="52" t="str">
        <f>IF(OR(Tabla1[[#This Row],[5]]="TPD"),Tabla1[[#This Row],[7]],"")</f>
        <v/>
      </c>
      <c r="J225" s="52">
        <f>IF(Tabla15[[#This Row],[2]]="",0,VLOOKUP(TRAMOS!$H$2,Tabla5[#All],3,FALSE)*Tabla15[[#This Row],[3]])</f>
        <v>0</v>
      </c>
      <c r="K225" s="52" t="str">
        <f>IF(Tabla1[[#This Row],[5]]="TPL",Tabla1[[#This Row],[6]],"")</f>
        <v>1 1/2"</v>
      </c>
      <c r="L225" s="52">
        <f>IF(OR(Tabla1[[#This Row],[5]]="TPL"),Tabla1[[#This Row],[7]],"")</f>
        <v>1</v>
      </c>
      <c r="M225" s="52">
        <f>IF(Tabla15[[#This Row],[5]]="",0,VLOOKUP(TRAMOS!$K$2,Tabla5[#All],3,FALSE)*Tabla15[[#This Row],[6]])</f>
        <v>0.9</v>
      </c>
      <c r="N22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2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25" s="52">
        <f>IF(Tabla15[[#This Row],[8]]="",0,VLOOKUP(TRAMOS!$H$2,Tabla5[#All],3,FALSE)*Tabla15[[#This Row],[9]])</f>
        <v>0</v>
      </c>
      <c r="Q22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2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25" s="52">
        <f>IF(Tabla15[[#This Row],[11]]="",0,VLOOKUP(TRAMOS!$Q$2,Tabla5[#All],3,FALSE)*Tabla15[[#This Row],[12]])</f>
        <v>0</v>
      </c>
      <c r="T22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2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2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2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2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2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2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2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25" s="52">
        <f>IF(Tabla15[[#This Row],[20]]="",0,VLOOKUP("VRP",Tabla5[#All],3,FALSE)*Tabla15[[#This Row],[21]])</f>
        <v>0</v>
      </c>
      <c r="AC22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2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25" s="52">
        <f>IF(Tabla15[[#This Row],[23]]="",0,VLOOKUP("VC",Tabla5[#All],3,FALSE)*Tabla15[[#This Row],[24]])</f>
        <v>0</v>
      </c>
      <c r="AF22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2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25" s="52">
        <f>IF(Tabla15[[#This Row],[26]]="",0,VLOOKUP(TRAMOS!$K$2,Tabla5[#All],3,FALSE)*Tabla15[[#This Row],[27]])</f>
        <v>0</v>
      </c>
      <c r="AI22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2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2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2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2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 1/2"</v>
      </c>
      <c r="AN225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22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226" spans="2:41" x14ac:dyDescent="0.25">
      <c r="B226" s="58" t="str">
        <f>Tabla1[[#This Row],[nudo inicial]]</f>
        <v>N114</v>
      </c>
      <c r="C226" s="58" t="str">
        <f>Tabla1[[#This Row],[nudo final]]</f>
        <v>TP82</v>
      </c>
      <c r="D226" s="51">
        <f>Tabla1[[#This Row],[longitud]]</f>
        <v>75.11</v>
      </c>
      <c r="E226" s="51" t="str">
        <f>Tabla1[[#This Row],[diametro]]</f>
        <v>1 1/2"</v>
      </c>
      <c r="F226" s="51" t="str">
        <f>Tabla1[[#This Row],[material]]</f>
        <v>PVC</v>
      </c>
      <c r="G22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 1/2"</v>
      </c>
      <c r="H226" s="52" t="str">
        <f>IF(Tabla1[[#This Row],[5]]="TPD",Tabla1[[#This Row],[6]],"")</f>
        <v>1 1/2"</v>
      </c>
      <c r="I226" s="52">
        <f>IF(OR(Tabla1[[#This Row],[5]]="TPD"),Tabla1[[#This Row],[7]],"")</f>
        <v>1</v>
      </c>
      <c r="J226" s="52">
        <f>IF(Tabla15[[#This Row],[2]]="",0,VLOOKUP(TRAMOS!$H$2,Tabla5[#All],3,FALSE)*Tabla15[[#This Row],[3]])</f>
        <v>0.15</v>
      </c>
      <c r="K226" s="52" t="str">
        <f>IF(Tabla1[[#This Row],[5]]="TPL",Tabla1[[#This Row],[6]],"")</f>
        <v/>
      </c>
      <c r="L226" s="52" t="str">
        <f>IF(OR(Tabla1[[#This Row],[5]]="TPL"),Tabla1[[#This Row],[7]],"")</f>
        <v/>
      </c>
      <c r="M226" s="52">
        <f>IF(Tabla15[[#This Row],[5]]="",0,VLOOKUP(TRAMOS!$K$2,Tabla5[#All],3,FALSE)*Tabla15[[#This Row],[6]])</f>
        <v>0</v>
      </c>
      <c r="N22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2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26" s="52">
        <f>IF(Tabla15[[#This Row],[8]]="",0,VLOOKUP(TRAMOS!$H$2,Tabla5[#All],3,FALSE)*Tabla15[[#This Row],[9]])</f>
        <v>0</v>
      </c>
      <c r="Q22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1 1/2"</v>
      </c>
      <c r="R226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226" s="52">
        <f>IF(Tabla15[[#This Row],[11]]="",0,VLOOKUP(TRAMOS!$Q$2,Tabla5[#All],3,FALSE)*Tabla15[[#This Row],[12]])</f>
        <v>0.9</v>
      </c>
      <c r="T22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2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2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2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2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2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2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2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26" s="52">
        <f>IF(Tabla15[[#This Row],[20]]="",0,VLOOKUP("VRP",Tabla5[#All],3,FALSE)*Tabla15[[#This Row],[21]])</f>
        <v>0</v>
      </c>
      <c r="AC22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2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26" s="52">
        <f>IF(Tabla15[[#This Row],[23]]="",0,VLOOKUP("VC",Tabla5[#All],3,FALSE)*Tabla15[[#This Row],[24]])</f>
        <v>0</v>
      </c>
      <c r="AF22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2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26" s="52">
        <f>IF(Tabla15[[#This Row],[26]]="",0,VLOOKUP(TRAMOS!$K$2,Tabla5[#All],3,FALSE)*Tabla15[[#This Row],[27]])</f>
        <v>0</v>
      </c>
      <c r="AI22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2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2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2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2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 1/2"</v>
      </c>
      <c r="AN22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22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227" spans="2:41" x14ac:dyDescent="0.25">
      <c r="B227" s="58" t="str">
        <f>Tabla1[[#This Row],[nudo inicial]]</f>
        <v>N101</v>
      </c>
      <c r="C227" s="58" t="str">
        <f>Tabla1[[#This Row],[nudo final]]</f>
        <v>N115</v>
      </c>
      <c r="D227" s="51">
        <f>Tabla1[[#This Row],[longitud]]</f>
        <v>44.32</v>
      </c>
      <c r="E227" s="51" t="str">
        <f>Tabla1[[#This Row],[diametro]]</f>
        <v>4"</v>
      </c>
      <c r="F227" s="51" t="str">
        <f>Tabla1[[#This Row],[material]]</f>
        <v>PVC</v>
      </c>
      <c r="G22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227" s="52" t="str">
        <f>IF(Tabla1[[#This Row],[5]]="TPD",Tabla1[[#This Row],[6]],"")</f>
        <v>4"</v>
      </c>
      <c r="I227" s="52">
        <f>IF(OR(Tabla1[[#This Row],[5]]="TPD"),Tabla1[[#This Row],[7]],"")</f>
        <v>0</v>
      </c>
      <c r="J227" s="52">
        <f>IF(Tabla15[[#This Row],[2]]="",0,VLOOKUP(TRAMOS!$H$2,Tabla5[#All],3,FALSE)*Tabla15[[#This Row],[3]])</f>
        <v>0</v>
      </c>
      <c r="K227" s="52" t="str">
        <f>IF(Tabla1[[#This Row],[5]]="TPL",Tabla1[[#This Row],[6]],"")</f>
        <v/>
      </c>
      <c r="L227" s="52" t="str">
        <f>IF(OR(Tabla1[[#This Row],[5]]="TPL"),Tabla1[[#This Row],[7]],"")</f>
        <v/>
      </c>
      <c r="M227" s="52">
        <f>IF(Tabla15[[#This Row],[5]]="",0,VLOOKUP(TRAMOS!$K$2,Tabla5[#All],3,FALSE)*Tabla15[[#This Row],[6]])</f>
        <v>0</v>
      </c>
      <c r="N22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2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27" s="52">
        <f>IF(Tabla15[[#This Row],[8]]="",0,VLOOKUP(TRAMOS!$H$2,Tabla5[#All],3,FALSE)*Tabla15[[#This Row],[9]])</f>
        <v>0</v>
      </c>
      <c r="Q22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2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27" s="52">
        <f>IF(Tabla15[[#This Row],[11]]="",0,VLOOKUP(TRAMOS!$Q$2,Tabla5[#All],3,FALSE)*Tabla15[[#This Row],[12]])</f>
        <v>0</v>
      </c>
      <c r="T22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2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2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2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2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2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2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2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27" s="52">
        <f>IF(Tabla15[[#This Row],[20]]="",0,VLOOKUP("VRP",Tabla5[#All],3,FALSE)*Tabla15[[#This Row],[21]])</f>
        <v>0</v>
      </c>
      <c r="AC22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2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27" s="52">
        <f>IF(Tabla15[[#This Row],[23]]="",0,VLOOKUP("VC",Tabla5[#All],3,FALSE)*Tabla15[[#This Row],[24]])</f>
        <v>0</v>
      </c>
      <c r="AF22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2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27" s="52">
        <f>IF(Tabla15[[#This Row],[26]]="",0,VLOOKUP(TRAMOS!$K$2,Tabla5[#All],3,FALSE)*Tabla15[[#This Row],[27]])</f>
        <v>0</v>
      </c>
      <c r="AI22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2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2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2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2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2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2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</v>
      </c>
    </row>
    <row r="228" spans="2:41" x14ac:dyDescent="0.25">
      <c r="B228" s="58" t="str">
        <f>Tabla1[[#This Row],[nudo inicial]]</f>
        <v>N115</v>
      </c>
      <c r="C228" s="58" t="str">
        <f>Tabla1[[#This Row],[nudo final]]</f>
        <v>N116</v>
      </c>
      <c r="D228" s="51">
        <f>Tabla1[[#This Row],[longitud]]</f>
        <v>19.53</v>
      </c>
      <c r="E228" s="51" t="str">
        <f>Tabla1[[#This Row],[diametro]]</f>
        <v>2"</v>
      </c>
      <c r="F228" s="51" t="str">
        <f>Tabla1[[#This Row],[material]]</f>
        <v>PVC</v>
      </c>
      <c r="G22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228" s="52" t="str">
        <f>IF(Tabla1[[#This Row],[5]]="TPD",Tabla1[[#This Row],[6]],"")</f>
        <v/>
      </c>
      <c r="I228" s="52" t="str">
        <f>IF(OR(Tabla1[[#This Row],[5]]="TPD"),Tabla1[[#This Row],[7]],"")</f>
        <v/>
      </c>
      <c r="J228" s="52">
        <f>IF(Tabla15[[#This Row],[2]]="",0,VLOOKUP(TRAMOS!$H$2,Tabla5[#All],3,FALSE)*Tabla15[[#This Row],[3]])</f>
        <v>0</v>
      </c>
      <c r="K228" s="52" t="str">
        <f>IF(Tabla1[[#This Row],[5]]="TPL",Tabla1[[#This Row],[6]],"")</f>
        <v>4"</v>
      </c>
      <c r="L228" s="52">
        <f>IF(OR(Tabla1[[#This Row],[5]]="TPL"),Tabla1[[#This Row],[7]],"")</f>
        <v>1</v>
      </c>
      <c r="M228" s="52">
        <f>IF(Tabla15[[#This Row],[5]]="",0,VLOOKUP(TRAMOS!$K$2,Tabla5[#All],3,FALSE)*Tabla15[[#This Row],[6]])</f>
        <v>0.9</v>
      </c>
      <c r="N22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2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28" s="52">
        <f>IF(Tabla15[[#This Row],[8]]="",0,VLOOKUP(TRAMOS!$H$2,Tabla5[#All],3,FALSE)*Tabla15[[#This Row],[9]])</f>
        <v>0</v>
      </c>
      <c r="Q22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2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28" s="52">
        <f>IF(Tabla15[[#This Row],[11]]="",0,VLOOKUP(TRAMOS!$Q$2,Tabla5[#All],3,FALSE)*Tabla15[[#This Row],[12]])</f>
        <v>0</v>
      </c>
      <c r="T22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228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22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22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2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2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2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2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28" s="52">
        <f>IF(Tabla15[[#This Row],[20]]="",0,VLOOKUP("VRP",Tabla5[#All],3,FALSE)*Tabla15[[#This Row],[21]])</f>
        <v>0</v>
      </c>
      <c r="AC22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228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228" s="52">
        <f>IF(Tabla15[[#This Row],[23]]="",0,VLOOKUP("VC",Tabla5[#All],3,FALSE)*Tabla15[[#This Row],[24]])</f>
        <v>0.25</v>
      </c>
      <c r="AF22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2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28" s="52">
        <f>IF(Tabla15[[#This Row],[26]]="",0,VLOOKUP(TRAMOS!$K$2,Tabla5[#All],3,FALSE)*Tabla15[[#This Row],[27]])</f>
        <v>0</v>
      </c>
      <c r="AI22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2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2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2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2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2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2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1.52</v>
      </c>
    </row>
    <row r="229" spans="2:41" x14ac:dyDescent="0.25">
      <c r="B229" s="58" t="str">
        <f>Tabla1[[#This Row],[nudo inicial]]</f>
        <v>N116</v>
      </c>
      <c r="C229" s="58" t="str">
        <f>Tabla1[[#This Row],[nudo final]]</f>
        <v>TP83</v>
      </c>
      <c r="D229" s="51">
        <f>Tabla1[[#This Row],[longitud]]</f>
        <v>39.409999999999997</v>
      </c>
      <c r="E229" s="51" t="str">
        <f>Tabla1[[#This Row],[diametro]]</f>
        <v>2"</v>
      </c>
      <c r="F229" s="51" t="str">
        <f>Tabla1[[#This Row],[material]]</f>
        <v>PVC</v>
      </c>
      <c r="G22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229" s="52" t="str">
        <f>IF(Tabla1[[#This Row],[5]]="TPD",Tabla1[[#This Row],[6]],"")</f>
        <v>2"</v>
      </c>
      <c r="I229" s="52">
        <f>IF(OR(Tabla1[[#This Row],[5]]="TPD"),Tabla1[[#This Row],[7]],"")</f>
        <v>1</v>
      </c>
      <c r="J229" s="52">
        <f>IF(Tabla15[[#This Row],[2]]="",0,VLOOKUP(TRAMOS!$H$2,Tabla5[#All],3,FALSE)*Tabla15[[#This Row],[3]])</f>
        <v>0.15</v>
      </c>
      <c r="K229" s="52" t="str">
        <f>IF(Tabla1[[#This Row],[5]]="TPL",Tabla1[[#This Row],[6]],"")</f>
        <v/>
      </c>
      <c r="L229" s="52" t="str">
        <f>IF(OR(Tabla1[[#This Row],[5]]="TPL"),Tabla1[[#This Row],[7]],"")</f>
        <v/>
      </c>
      <c r="M229" s="52">
        <f>IF(Tabla15[[#This Row],[5]]="",0,VLOOKUP(TRAMOS!$K$2,Tabla5[#All],3,FALSE)*Tabla15[[#This Row],[6]])</f>
        <v>0</v>
      </c>
      <c r="N22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2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29" s="52">
        <f>IF(Tabla15[[#This Row],[8]]="",0,VLOOKUP(TRAMOS!$H$2,Tabla5[#All],3,FALSE)*Tabla15[[#This Row],[9]])</f>
        <v>0</v>
      </c>
      <c r="Q22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2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29" s="52">
        <f>IF(Tabla15[[#This Row],[11]]="",0,VLOOKUP(TRAMOS!$Q$2,Tabla5[#All],3,FALSE)*Tabla15[[#This Row],[12]])</f>
        <v>0</v>
      </c>
      <c r="T22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2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2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2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2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2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2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2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29" s="52">
        <f>IF(Tabla15[[#This Row],[20]]="",0,VLOOKUP("VRP",Tabla5[#All],3,FALSE)*Tabla15[[#This Row],[21]])</f>
        <v>0</v>
      </c>
      <c r="AC22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2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29" s="52">
        <f>IF(Tabla15[[#This Row],[23]]="",0,VLOOKUP("VC",Tabla5[#All],3,FALSE)*Tabla15[[#This Row],[24]])</f>
        <v>0</v>
      </c>
      <c r="AF22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2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29" s="52">
        <f>IF(Tabla15[[#This Row],[26]]="",0,VLOOKUP(TRAMOS!$K$2,Tabla5[#All],3,FALSE)*Tabla15[[#This Row],[27]])</f>
        <v>0</v>
      </c>
      <c r="AI22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2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2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2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2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229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22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230" spans="2:41" x14ac:dyDescent="0.25">
      <c r="B230" s="58" t="str">
        <f>Tabla1[[#This Row],[nudo inicial]]</f>
        <v>N116</v>
      </c>
      <c r="C230" s="58" t="str">
        <f>Tabla1[[#This Row],[nudo final]]</f>
        <v>N117</v>
      </c>
      <c r="D230" s="51">
        <f>Tabla1[[#This Row],[longitud]]</f>
        <v>36.479999999999997</v>
      </c>
      <c r="E230" s="51" t="str">
        <f>Tabla1[[#This Row],[diametro]]</f>
        <v>2"</v>
      </c>
      <c r="F230" s="51" t="str">
        <f>Tabla1[[#This Row],[material]]</f>
        <v>PVC</v>
      </c>
      <c r="G23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230" s="52" t="str">
        <f>IF(Tabla1[[#This Row],[5]]="TPD",Tabla1[[#This Row],[6]],"")</f>
        <v/>
      </c>
      <c r="I230" s="52" t="str">
        <f>IF(OR(Tabla1[[#This Row],[5]]="TPD"),Tabla1[[#This Row],[7]],"")</f>
        <v/>
      </c>
      <c r="J230" s="52">
        <f>IF(Tabla15[[#This Row],[2]]="",0,VLOOKUP(TRAMOS!$H$2,Tabla5[#All],3,FALSE)*Tabla15[[#This Row],[3]])</f>
        <v>0</v>
      </c>
      <c r="K230" s="52" t="str">
        <f>IF(Tabla1[[#This Row],[5]]="TPL",Tabla1[[#This Row],[6]],"")</f>
        <v>2"</v>
      </c>
      <c r="L230" s="52">
        <f>IF(OR(Tabla1[[#This Row],[5]]="TPL"),Tabla1[[#This Row],[7]],"")</f>
        <v>1</v>
      </c>
      <c r="M230" s="52">
        <f>IF(Tabla15[[#This Row],[5]]="",0,VLOOKUP(TRAMOS!$K$2,Tabla5[#All],3,FALSE)*Tabla15[[#This Row],[6]])</f>
        <v>0.9</v>
      </c>
      <c r="N23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3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30" s="52">
        <f>IF(Tabla15[[#This Row],[8]]="",0,VLOOKUP(TRAMOS!$H$2,Tabla5[#All],3,FALSE)*Tabla15[[#This Row],[9]])</f>
        <v>0</v>
      </c>
      <c r="Q23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3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30" s="52">
        <f>IF(Tabla15[[#This Row],[11]]="",0,VLOOKUP(TRAMOS!$Q$2,Tabla5[#All],3,FALSE)*Tabla15[[#This Row],[12]])</f>
        <v>0</v>
      </c>
      <c r="T23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3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3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3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3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3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3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3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30" s="52">
        <f>IF(Tabla15[[#This Row],[20]]="",0,VLOOKUP("VRP",Tabla5[#All],3,FALSE)*Tabla15[[#This Row],[21]])</f>
        <v>0</v>
      </c>
      <c r="AC23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3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30" s="52">
        <f>IF(Tabla15[[#This Row],[23]]="",0,VLOOKUP("VC",Tabla5[#All],3,FALSE)*Tabla15[[#This Row],[24]])</f>
        <v>0</v>
      </c>
      <c r="AF23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3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30" s="52">
        <f>IF(Tabla15[[#This Row],[26]]="",0,VLOOKUP(TRAMOS!$K$2,Tabla5[#All],3,FALSE)*Tabla15[[#This Row],[27]])</f>
        <v>0</v>
      </c>
      <c r="AI23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3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3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3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3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3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3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231" spans="2:41" x14ac:dyDescent="0.25">
      <c r="B231" s="58" t="str">
        <f>Tabla1[[#This Row],[nudo inicial]]</f>
        <v>N117</v>
      </c>
      <c r="C231" s="58" t="str">
        <f>Tabla1[[#This Row],[nudo final]]</f>
        <v>TP84</v>
      </c>
      <c r="D231" s="51">
        <f>Tabla1[[#This Row],[longitud]]</f>
        <v>229.38</v>
      </c>
      <c r="E231" s="51" t="str">
        <f>Tabla1[[#This Row],[diametro]]</f>
        <v>2"</v>
      </c>
      <c r="F231" s="51" t="str">
        <f>Tabla1[[#This Row],[material]]</f>
        <v>PVC</v>
      </c>
      <c r="G23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231" s="52" t="str">
        <f>IF(Tabla1[[#This Row],[5]]="TPD",Tabla1[[#This Row],[6]],"")</f>
        <v/>
      </c>
      <c r="I231" s="52" t="str">
        <f>IF(OR(Tabla1[[#This Row],[5]]="TPD"),Tabla1[[#This Row],[7]],"")</f>
        <v/>
      </c>
      <c r="J231" s="52">
        <f>IF(Tabla15[[#This Row],[2]]="",0,VLOOKUP(TRAMOS!$H$2,Tabla5[#All],3,FALSE)*Tabla15[[#This Row],[3]])</f>
        <v>0</v>
      </c>
      <c r="K231" s="52" t="str">
        <f>IF(Tabla1[[#This Row],[5]]="TPL",Tabla1[[#This Row],[6]],"")</f>
        <v>2"</v>
      </c>
      <c r="L231" s="52">
        <f>IF(OR(Tabla1[[#This Row],[5]]="TPL"),Tabla1[[#This Row],[7]],"")</f>
        <v>1</v>
      </c>
      <c r="M231" s="52">
        <f>IF(Tabla15[[#This Row],[5]]="",0,VLOOKUP(TRAMOS!$K$2,Tabla5[#All],3,FALSE)*Tabla15[[#This Row],[6]])</f>
        <v>0.9</v>
      </c>
      <c r="N23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3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31" s="52">
        <f>IF(Tabla15[[#This Row],[8]]="",0,VLOOKUP(TRAMOS!$H$2,Tabla5[#All],3,FALSE)*Tabla15[[#This Row],[9]])</f>
        <v>0</v>
      </c>
      <c r="Q23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3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31" s="52">
        <f>IF(Tabla15[[#This Row],[11]]="",0,VLOOKUP(TRAMOS!$Q$2,Tabla5[#All],3,FALSE)*Tabla15[[#This Row],[12]])</f>
        <v>0</v>
      </c>
      <c r="T23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3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3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3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3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3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3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3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31" s="52">
        <f>IF(Tabla15[[#This Row],[20]]="",0,VLOOKUP("VRP",Tabla5[#All],3,FALSE)*Tabla15[[#This Row],[21]])</f>
        <v>0</v>
      </c>
      <c r="AC23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231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231" s="52">
        <f>IF(Tabla15[[#This Row],[23]]="",0,VLOOKUP("VC",Tabla5[#All],3,FALSE)*Tabla15[[#This Row],[24]])</f>
        <v>0.25</v>
      </c>
      <c r="AF23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3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31" s="52">
        <f>IF(Tabla15[[#This Row],[26]]="",0,VLOOKUP(TRAMOS!$K$2,Tabla5[#All],3,FALSE)*Tabla15[[#This Row],[27]])</f>
        <v>0</v>
      </c>
      <c r="AI23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3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3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3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3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231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23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1.1499999999999999</v>
      </c>
    </row>
    <row r="232" spans="2:41" x14ac:dyDescent="0.25">
      <c r="B232" s="58" t="str">
        <f>Tabla1[[#This Row],[nudo inicial]]</f>
        <v>N117</v>
      </c>
      <c r="C232" s="58" t="str">
        <f>Tabla1[[#This Row],[nudo final]]</f>
        <v>TP85</v>
      </c>
      <c r="D232" s="51">
        <f>Tabla1[[#This Row],[longitud]]</f>
        <v>18.36</v>
      </c>
      <c r="E232" s="51" t="str">
        <f>Tabla1[[#This Row],[diametro]]</f>
        <v>2"</v>
      </c>
      <c r="F232" s="51" t="str">
        <f>Tabla1[[#This Row],[material]]</f>
        <v>PVC</v>
      </c>
      <c r="G23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232" s="52" t="str">
        <f>IF(Tabla1[[#This Row],[5]]="TPD",Tabla1[[#This Row],[6]],"")</f>
        <v>2"</v>
      </c>
      <c r="I232" s="52">
        <f>IF(OR(Tabla1[[#This Row],[5]]="TPD"),Tabla1[[#This Row],[7]],"")</f>
        <v>1</v>
      </c>
      <c r="J232" s="52">
        <f>IF(Tabla15[[#This Row],[2]]="",0,VLOOKUP(TRAMOS!$H$2,Tabla5[#All],3,FALSE)*Tabla15[[#This Row],[3]])</f>
        <v>0.15</v>
      </c>
      <c r="K232" s="52" t="str">
        <f>IF(Tabla1[[#This Row],[5]]="TPL",Tabla1[[#This Row],[6]],"")</f>
        <v/>
      </c>
      <c r="L232" s="52" t="str">
        <f>IF(OR(Tabla1[[#This Row],[5]]="TPL"),Tabla1[[#This Row],[7]],"")</f>
        <v/>
      </c>
      <c r="M232" s="52">
        <f>IF(Tabla15[[#This Row],[5]]="",0,VLOOKUP(TRAMOS!$K$2,Tabla5[#All],3,FALSE)*Tabla15[[#This Row],[6]])</f>
        <v>0</v>
      </c>
      <c r="N23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3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32" s="52">
        <f>IF(Tabla15[[#This Row],[8]]="",0,VLOOKUP(TRAMOS!$H$2,Tabla5[#All],3,FALSE)*Tabla15[[#This Row],[9]])</f>
        <v>0</v>
      </c>
      <c r="Q23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3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32" s="52">
        <f>IF(Tabla15[[#This Row],[11]]="",0,VLOOKUP(TRAMOS!$Q$2,Tabla5[#All],3,FALSE)*Tabla15[[#This Row],[12]])</f>
        <v>0</v>
      </c>
      <c r="T23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3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3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3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3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3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3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3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32" s="52">
        <f>IF(Tabla15[[#This Row],[20]]="",0,VLOOKUP("VRP",Tabla5[#All],3,FALSE)*Tabla15[[#This Row],[21]])</f>
        <v>0</v>
      </c>
      <c r="AC23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3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32" s="52">
        <f>IF(Tabla15[[#This Row],[23]]="",0,VLOOKUP("VC",Tabla5[#All],3,FALSE)*Tabla15[[#This Row],[24]])</f>
        <v>0</v>
      </c>
      <c r="AF23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3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32" s="52">
        <f>IF(Tabla15[[#This Row],[26]]="",0,VLOOKUP(TRAMOS!$K$2,Tabla5[#All],3,FALSE)*Tabla15[[#This Row],[27]])</f>
        <v>0</v>
      </c>
      <c r="AI23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3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3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3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3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232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23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233" spans="2:41" x14ac:dyDescent="0.25">
      <c r="B233" s="58" t="str">
        <f>Tabla1[[#This Row],[nudo inicial]]</f>
        <v>N115</v>
      </c>
      <c r="C233" s="58" t="str">
        <f>Tabla1[[#This Row],[nudo final]]</f>
        <v>N118</v>
      </c>
      <c r="D233" s="51">
        <f>Tabla1[[#This Row],[longitud]]</f>
        <v>57.24</v>
      </c>
      <c r="E233" s="51" t="str">
        <f>Tabla1[[#This Row],[diametro]]</f>
        <v>4"</v>
      </c>
      <c r="F233" s="51" t="str">
        <f>Tabla1[[#This Row],[material]]</f>
        <v>PVC</v>
      </c>
      <c r="G23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233" s="52" t="str">
        <f>IF(Tabla1[[#This Row],[5]]="TPD",Tabla1[[#This Row],[6]],"")</f>
        <v>4"</v>
      </c>
      <c r="I233" s="52">
        <f>IF(OR(Tabla1[[#This Row],[5]]="TPD"),Tabla1[[#This Row],[7]],"")</f>
        <v>1</v>
      </c>
      <c r="J233" s="52">
        <f>IF(Tabla15[[#This Row],[2]]="",0,VLOOKUP(TRAMOS!$H$2,Tabla5[#All],3,FALSE)*Tabla15[[#This Row],[3]])</f>
        <v>0.15</v>
      </c>
      <c r="K233" s="52" t="str">
        <f>IF(Tabla1[[#This Row],[5]]="TPL",Tabla1[[#This Row],[6]],"")</f>
        <v/>
      </c>
      <c r="L233" s="52" t="str">
        <f>IF(OR(Tabla1[[#This Row],[5]]="TPL"),Tabla1[[#This Row],[7]],"")</f>
        <v/>
      </c>
      <c r="M233" s="52">
        <f>IF(Tabla15[[#This Row],[5]]="",0,VLOOKUP(TRAMOS!$K$2,Tabla5[#All],3,FALSE)*Tabla15[[#This Row],[6]])</f>
        <v>0</v>
      </c>
      <c r="N23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3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33" s="52">
        <f>IF(Tabla15[[#This Row],[8]]="",0,VLOOKUP(TRAMOS!$H$2,Tabla5[#All],3,FALSE)*Tabla15[[#This Row],[9]])</f>
        <v>0</v>
      </c>
      <c r="Q23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3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33" s="52">
        <f>IF(Tabla15[[#This Row],[11]]="",0,VLOOKUP(TRAMOS!$Q$2,Tabla5[#All],3,FALSE)*Tabla15[[#This Row],[12]])</f>
        <v>0</v>
      </c>
      <c r="T23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3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3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3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3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3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3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3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33" s="52">
        <f>IF(Tabla15[[#This Row],[20]]="",0,VLOOKUP("VRP",Tabla5[#All],3,FALSE)*Tabla15[[#This Row],[21]])</f>
        <v>0</v>
      </c>
      <c r="AC23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3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33" s="52">
        <f>IF(Tabla15[[#This Row],[23]]="",0,VLOOKUP("VC",Tabla5[#All],3,FALSE)*Tabla15[[#This Row],[24]])</f>
        <v>0</v>
      </c>
      <c r="AF23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3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33" s="52">
        <f>IF(Tabla15[[#This Row],[26]]="",0,VLOOKUP(TRAMOS!$K$2,Tabla5[#All],3,FALSE)*Tabla15[[#This Row],[27]])</f>
        <v>0</v>
      </c>
      <c r="AI23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3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3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3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3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3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3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234" spans="2:41" x14ac:dyDescent="0.25">
      <c r="B234" s="58" t="str">
        <f>Tabla1[[#This Row],[nudo inicial]]</f>
        <v>N118</v>
      </c>
      <c r="C234" s="58" t="str">
        <f>Tabla1[[#This Row],[nudo final]]</f>
        <v>N119</v>
      </c>
      <c r="D234" s="51">
        <f>Tabla1[[#This Row],[longitud]]</f>
        <v>44.33</v>
      </c>
      <c r="E234" s="51" t="str">
        <f>Tabla1[[#This Row],[diametro]]</f>
        <v>3"</v>
      </c>
      <c r="F234" s="51" t="str">
        <f>Tabla1[[#This Row],[material]]</f>
        <v>PVC</v>
      </c>
      <c r="G23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234" s="52" t="str">
        <f>IF(Tabla1[[#This Row],[5]]="TPD",Tabla1[[#This Row],[6]],"")</f>
        <v/>
      </c>
      <c r="I234" s="52" t="str">
        <f>IF(OR(Tabla1[[#This Row],[5]]="TPD"),Tabla1[[#This Row],[7]],"")</f>
        <v/>
      </c>
      <c r="J234" s="52">
        <f>IF(Tabla15[[#This Row],[2]]="",0,VLOOKUP(TRAMOS!$H$2,Tabla5[#All],3,FALSE)*Tabla15[[#This Row],[3]])</f>
        <v>0</v>
      </c>
      <c r="K234" s="52" t="str">
        <f>IF(Tabla1[[#This Row],[5]]="TPL",Tabla1[[#This Row],[6]],"")</f>
        <v>4"</v>
      </c>
      <c r="L234" s="52">
        <f>IF(OR(Tabla1[[#This Row],[5]]="TPL"),Tabla1[[#This Row],[7]],"")</f>
        <v>1</v>
      </c>
      <c r="M234" s="52">
        <f>IF(Tabla15[[#This Row],[5]]="",0,VLOOKUP(TRAMOS!$K$2,Tabla5[#All],3,FALSE)*Tabla15[[#This Row],[6]])</f>
        <v>0.9</v>
      </c>
      <c r="N23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3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34" s="52">
        <f>IF(Tabla15[[#This Row],[8]]="",0,VLOOKUP(TRAMOS!$H$2,Tabla5[#All],3,FALSE)*Tabla15[[#This Row],[9]])</f>
        <v>0</v>
      </c>
      <c r="Q23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3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34" s="52">
        <f>IF(Tabla15[[#This Row],[11]]="",0,VLOOKUP(TRAMOS!$Q$2,Tabla5[#All],3,FALSE)*Tabla15[[#This Row],[12]])</f>
        <v>0</v>
      </c>
      <c r="T23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234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23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0.13850000000000007</v>
      </c>
      <c r="W23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3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3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3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3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34" s="52">
        <f>IF(Tabla15[[#This Row],[20]]="",0,VLOOKUP("VRP",Tabla5[#All],3,FALSE)*Tabla15[[#This Row],[21]])</f>
        <v>0</v>
      </c>
      <c r="AC23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234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234" s="52">
        <f>IF(Tabla15[[#This Row],[23]]="",0,VLOOKUP("VC",Tabla5[#All],3,FALSE)*Tabla15[[#This Row],[24]])</f>
        <v>0.25</v>
      </c>
      <c r="AF23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3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34" s="52">
        <f>IF(Tabla15[[#This Row],[26]]="",0,VLOOKUP(TRAMOS!$K$2,Tabla5[#All],3,FALSE)*Tabla15[[#This Row],[27]])</f>
        <v>0</v>
      </c>
      <c r="AI23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3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3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3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3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3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3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1.2885</v>
      </c>
    </row>
    <row r="235" spans="2:41" x14ac:dyDescent="0.25">
      <c r="B235" s="58" t="str">
        <f>Tabla1[[#This Row],[nudo inicial]]</f>
        <v>N118</v>
      </c>
      <c r="C235" s="58" t="str">
        <f>Tabla1[[#This Row],[nudo final]]</f>
        <v>N120</v>
      </c>
      <c r="D235" s="51">
        <f>Tabla1[[#This Row],[longitud]]</f>
        <v>206.59</v>
      </c>
      <c r="E235" s="51" t="str">
        <f>Tabla1[[#This Row],[diametro]]</f>
        <v>4"</v>
      </c>
      <c r="F235" s="51" t="str">
        <f>Tabla1[[#This Row],[material]]</f>
        <v>PVC</v>
      </c>
      <c r="G23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235" s="52" t="str">
        <f>IF(Tabla1[[#This Row],[5]]="TPD",Tabla1[[#This Row],[6]],"")</f>
        <v>4"</v>
      </c>
      <c r="I235" s="52">
        <f>IF(OR(Tabla1[[#This Row],[5]]="TPD"),Tabla1[[#This Row],[7]],"")</f>
        <v>1</v>
      </c>
      <c r="J235" s="52">
        <f>IF(Tabla15[[#This Row],[2]]="",0,VLOOKUP(TRAMOS!$H$2,Tabla5[#All],3,FALSE)*Tabla15[[#This Row],[3]])</f>
        <v>0.15</v>
      </c>
      <c r="K235" s="52" t="str">
        <f>IF(Tabla1[[#This Row],[5]]="TPL",Tabla1[[#This Row],[6]],"")</f>
        <v/>
      </c>
      <c r="L235" s="52" t="str">
        <f>IF(OR(Tabla1[[#This Row],[5]]="TPL"),Tabla1[[#This Row],[7]],"")</f>
        <v/>
      </c>
      <c r="M235" s="52">
        <f>IF(Tabla15[[#This Row],[5]]="",0,VLOOKUP(TRAMOS!$K$2,Tabla5[#All],3,FALSE)*Tabla15[[#This Row],[6]])</f>
        <v>0</v>
      </c>
      <c r="N23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3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35" s="52">
        <f>IF(Tabla15[[#This Row],[8]]="",0,VLOOKUP(TRAMOS!$H$2,Tabla5[#All],3,FALSE)*Tabla15[[#This Row],[9]])</f>
        <v>0</v>
      </c>
      <c r="Q23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3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35" s="52">
        <f>IF(Tabla15[[#This Row],[11]]="",0,VLOOKUP(TRAMOS!$Q$2,Tabla5[#All],3,FALSE)*Tabla15[[#This Row],[12]])</f>
        <v>0</v>
      </c>
      <c r="T23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3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3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3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3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3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3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3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35" s="52">
        <f>IF(Tabla15[[#This Row],[20]]="",0,VLOOKUP("VRP",Tabla5[#All],3,FALSE)*Tabla15[[#This Row],[21]])</f>
        <v>0</v>
      </c>
      <c r="AC23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3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35" s="52">
        <f>IF(Tabla15[[#This Row],[23]]="",0,VLOOKUP("VC",Tabla5[#All],3,FALSE)*Tabla15[[#This Row],[24]])</f>
        <v>0</v>
      </c>
      <c r="AF23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3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35" s="52">
        <f>IF(Tabla15[[#This Row],[26]]="",0,VLOOKUP(TRAMOS!$K$2,Tabla5[#All],3,FALSE)*Tabla15[[#This Row],[27]])</f>
        <v>0</v>
      </c>
      <c r="AI23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3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3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3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3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3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3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236" spans="2:41" x14ac:dyDescent="0.25">
      <c r="B236" s="58" t="str">
        <f>Tabla1[[#This Row],[nudo inicial]]</f>
        <v>N78</v>
      </c>
      <c r="C236" s="58" t="str">
        <f>Tabla1[[#This Row],[nudo final]]</f>
        <v>CQ4</v>
      </c>
      <c r="D236" s="51">
        <f>Tabla1[[#This Row],[longitud]]</f>
        <v>10.11</v>
      </c>
      <c r="E236" s="51" t="str">
        <f>Tabla1[[#This Row],[diametro]]</f>
        <v>2"</v>
      </c>
      <c r="F236" s="51" t="str">
        <f>Tabla1[[#This Row],[material]]</f>
        <v>PVC</v>
      </c>
      <c r="G23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236" s="52" t="str">
        <f>IF(Tabla1[[#This Row],[5]]="TPD",Tabla1[[#This Row],[6]],"")</f>
        <v>2"</v>
      </c>
      <c r="I236" s="52">
        <f>IF(OR(Tabla1[[#This Row],[5]]="TPD"),Tabla1[[#This Row],[7]],"")</f>
        <v>1</v>
      </c>
      <c r="J236" s="52">
        <f>IF(Tabla15[[#This Row],[2]]="",0,VLOOKUP(TRAMOS!$H$2,Tabla5[#All],3,FALSE)*Tabla15[[#This Row],[3]])</f>
        <v>0.15</v>
      </c>
      <c r="K236" s="52" t="str">
        <f>IF(Tabla1[[#This Row],[5]]="TPL",Tabla1[[#This Row],[6]],"")</f>
        <v/>
      </c>
      <c r="L236" s="52" t="str">
        <f>IF(OR(Tabla1[[#This Row],[5]]="TPL"),Tabla1[[#This Row],[7]],"")</f>
        <v/>
      </c>
      <c r="M236" s="52">
        <f>IF(Tabla15[[#This Row],[5]]="",0,VLOOKUP(TRAMOS!$K$2,Tabla5[#All],3,FALSE)*Tabla15[[#This Row],[6]])</f>
        <v>0</v>
      </c>
      <c r="N23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3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36" s="52">
        <f>IF(Tabla15[[#This Row],[8]]="",0,VLOOKUP(TRAMOS!$H$2,Tabla5[#All],3,FALSE)*Tabla15[[#This Row],[9]])</f>
        <v>0</v>
      </c>
      <c r="Q23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3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36" s="52">
        <f>IF(Tabla15[[#This Row],[11]]="",0,VLOOKUP(TRAMOS!$Q$2,Tabla5[#All],3,FALSE)*Tabla15[[#This Row],[12]])</f>
        <v>0</v>
      </c>
      <c r="T23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3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3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3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3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3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3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3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36" s="52">
        <f>IF(Tabla15[[#This Row],[20]]="",0,VLOOKUP("VRP",Tabla5[#All],3,FALSE)*Tabla15[[#This Row],[21]])</f>
        <v>0</v>
      </c>
      <c r="AC23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3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36" s="52">
        <f>IF(Tabla15[[#This Row],[23]]="",0,VLOOKUP("VC",Tabla5[#All],3,FALSE)*Tabla15[[#This Row],[24]])</f>
        <v>0</v>
      </c>
      <c r="AF23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3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36" s="52">
        <f>IF(Tabla15[[#This Row],[26]]="",0,VLOOKUP(TRAMOS!$K$2,Tabla5[#All],3,FALSE)*Tabla15[[#This Row],[27]])</f>
        <v>0</v>
      </c>
      <c r="AI23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3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3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3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3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3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3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237" spans="2:41" x14ac:dyDescent="0.25">
      <c r="B237" s="58" t="str">
        <f>Tabla1[[#This Row],[nudo inicial]]</f>
        <v>CQ4</v>
      </c>
      <c r="C237" s="58" t="str">
        <f>Tabla1[[#This Row],[nudo final]]</f>
        <v>N121</v>
      </c>
      <c r="D237" s="51">
        <f>Tabla1[[#This Row],[longitud]]</f>
        <v>311.98</v>
      </c>
      <c r="E237" s="51" t="str">
        <f>Tabla1[[#This Row],[diametro]]</f>
        <v>6"</v>
      </c>
      <c r="F237" s="51" t="str">
        <f>Tabla1[[#This Row],[material]]</f>
        <v>PVC</v>
      </c>
      <c r="G23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237" s="52" t="str">
        <f>IF(Tabla1[[#This Row],[5]]="TPD",Tabla1[[#This Row],[6]],"")</f>
        <v/>
      </c>
      <c r="I237" s="52" t="str">
        <f>IF(OR(Tabla1[[#This Row],[5]]="TPD"),Tabla1[[#This Row],[7]],"")</f>
        <v/>
      </c>
      <c r="J237" s="52">
        <f>IF(Tabla15[[#This Row],[2]]="",0,VLOOKUP(TRAMOS!$H$2,Tabla5[#All],3,FALSE)*Tabla15[[#This Row],[3]])</f>
        <v>0</v>
      </c>
      <c r="K237" s="52" t="str">
        <f>IF(Tabla1[[#This Row],[5]]="TPL",Tabla1[[#This Row],[6]],"")</f>
        <v/>
      </c>
      <c r="L237" s="52" t="str">
        <f>IF(OR(Tabla1[[#This Row],[5]]="TPL"),Tabla1[[#This Row],[7]],"")</f>
        <v/>
      </c>
      <c r="M237" s="52">
        <f>IF(Tabla15[[#This Row],[5]]="",0,VLOOKUP(TRAMOS!$K$2,Tabla5[#All],3,FALSE)*Tabla15[[#This Row],[6]])</f>
        <v>0</v>
      </c>
      <c r="N23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3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37" s="52">
        <f>IF(Tabla15[[#This Row],[8]]="",0,VLOOKUP(TRAMOS!$H$2,Tabla5[#All],3,FALSE)*Tabla15[[#This Row],[9]])</f>
        <v>0</v>
      </c>
      <c r="Q23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6"</v>
      </c>
      <c r="R237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237" s="52">
        <f>IF(Tabla15[[#This Row],[11]]="",0,VLOOKUP(TRAMOS!$Q$2,Tabla5[#All],3,FALSE)*Tabla15[[#This Row],[12]])</f>
        <v>0.9</v>
      </c>
      <c r="T23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3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3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3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3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3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3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3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37" s="52">
        <f>IF(Tabla15[[#This Row],[20]]="",0,VLOOKUP("VRP",Tabla5[#All],3,FALSE)*Tabla15[[#This Row],[21]])</f>
        <v>0</v>
      </c>
      <c r="AC23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3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37" s="52">
        <f>IF(Tabla15[[#This Row],[23]]="",0,VLOOKUP("VC",Tabla5[#All],3,FALSE)*Tabla15[[#This Row],[24]])</f>
        <v>0</v>
      </c>
      <c r="AF23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3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37" s="52">
        <f>IF(Tabla15[[#This Row],[26]]="",0,VLOOKUP(TRAMOS!$K$2,Tabla5[#All],3,FALSE)*Tabla15[[#This Row],[27]])</f>
        <v>0</v>
      </c>
      <c r="AI23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3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3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3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3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3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3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238" spans="2:41" x14ac:dyDescent="0.25">
      <c r="B238" s="58" t="str">
        <f>Tabla1[[#This Row],[nudo inicial]]</f>
        <v>N121</v>
      </c>
      <c r="C238" s="58" t="str">
        <f>Tabla1[[#This Row],[nudo final]]</f>
        <v>N122</v>
      </c>
      <c r="D238" s="51">
        <f>Tabla1[[#This Row],[longitud]]</f>
        <v>6.53</v>
      </c>
      <c r="E238" s="51" t="str">
        <f>Tabla1[[#This Row],[diametro]]</f>
        <v>6"</v>
      </c>
      <c r="F238" s="51" t="str">
        <f>Tabla1[[#This Row],[material]]</f>
        <v>PVC</v>
      </c>
      <c r="G23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238" s="52" t="str">
        <f>IF(Tabla1[[#This Row],[5]]="TPD",Tabla1[[#This Row],[6]],"")</f>
        <v>6"</v>
      </c>
      <c r="I238" s="52">
        <f>IF(OR(Tabla1[[#This Row],[5]]="TPD"),Tabla1[[#This Row],[7]],"")</f>
        <v>1</v>
      </c>
      <c r="J238" s="52">
        <f>IF(Tabla15[[#This Row],[2]]="",0,VLOOKUP(TRAMOS!$H$2,Tabla5[#All],3,FALSE)*Tabla15[[#This Row],[3]])</f>
        <v>0.15</v>
      </c>
      <c r="K238" s="52" t="str">
        <f>IF(Tabla1[[#This Row],[5]]="TPL",Tabla1[[#This Row],[6]],"")</f>
        <v/>
      </c>
      <c r="L238" s="52" t="str">
        <f>IF(OR(Tabla1[[#This Row],[5]]="TPL"),Tabla1[[#This Row],[7]],"")</f>
        <v/>
      </c>
      <c r="M238" s="52">
        <f>IF(Tabla15[[#This Row],[5]]="",0,VLOOKUP(TRAMOS!$K$2,Tabla5[#All],3,FALSE)*Tabla15[[#This Row],[6]])</f>
        <v>0</v>
      </c>
      <c r="N23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3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38" s="52">
        <f>IF(Tabla15[[#This Row],[8]]="",0,VLOOKUP(TRAMOS!$H$2,Tabla5[#All],3,FALSE)*Tabla15[[#This Row],[9]])</f>
        <v>0</v>
      </c>
      <c r="Q23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3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38" s="52">
        <f>IF(Tabla15[[#This Row],[11]]="",0,VLOOKUP(TRAMOS!$Q$2,Tabla5[#All],3,FALSE)*Tabla15[[#This Row],[12]])</f>
        <v>0</v>
      </c>
      <c r="T23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3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3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3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3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3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3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3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38" s="52">
        <f>IF(Tabla15[[#This Row],[20]]="",0,VLOOKUP("VRP",Tabla5[#All],3,FALSE)*Tabla15[[#This Row],[21]])</f>
        <v>0</v>
      </c>
      <c r="AC23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3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38" s="52">
        <f>IF(Tabla15[[#This Row],[23]]="",0,VLOOKUP("VC",Tabla5[#All],3,FALSE)*Tabla15[[#This Row],[24]])</f>
        <v>0</v>
      </c>
      <c r="AF23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3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38" s="52">
        <f>IF(Tabla15[[#This Row],[26]]="",0,VLOOKUP(TRAMOS!$K$2,Tabla5[#All],3,FALSE)*Tabla15[[#This Row],[27]])</f>
        <v>0</v>
      </c>
      <c r="AI23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3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3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>6"</v>
      </c>
      <c r="AL238" s="52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>1</v>
      </c>
      <c r="AM23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3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3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239" spans="2:41" x14ac:dyDescent="0.25">
      <c r="B239" s="58" t="str">
        <f>Tabla1[[#This Row],[nudo inicial]]</f>
        <v>N122</v>
      </c>
      <c r="C239" s="58" t="str">
        <f>Tabla1[[#This Row],[nudo final]]</f>
        <v>N123</v>
      </c>
      <c r="D239" s="51">
        <f>Tabla1[[#This Row],[longitud]]</f>
        <v>45.96</v>
      </c>
      <c r="E239" s="51" t="str">
        <f>Tabla1[[#This Row],[diametro]]</f>
        <v>3"</v>
      </c>
      <c r="F239" s="51" t="str">
        <f>Tabla1[[#This Row],[material]]</f>
        <v>PVC</v>
      </c>
      <c r="G23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239" s="52" t="str">
        <f>IF(Tabla1[[#This Row],[5]]="TPD",Tabla1[[#This Row],[6]],"")</f>
        <v>6"</v>
      </c>
      <c r="I239" s="52">
        <f>IF(OR(Tabla1[[#This Row],[5]]="TPD"),Tabla1[[#This Row],[7]],"")</f>
        <v>1</v>
      </c>
      <c r="J239" s="52">
        <f>IF(Tabla15[[#This Row],[2]]="",0,VLOOKUP(TRAMOS!$H$2,Tabla5[#All],3,FALSE)*Tabla15[[#This Row],[3]])</f>
        <v>0.15</v>
      </c>
      <c r="K239" s="52" t="str">
        <f>IF(Tabla1[[#This Row],[5]]="TPL",Tabla1[[#This Row],[6]],"")</f>
        <v/>
      </c>
      <c r="L239" s="52" t="str">
        <f>IF(OR(Tabla1[[#This Row],[5]]="TPL"),Tabla1[[#This Row],[7]],"")</f>
        <v/>
      </c>
      <c r="M239" s="52">
        <f>IF(Tabla15[[#This Row],[5]]="",0,VLOOKUP(TRAMOS!$K$2,Tabla5[#All],3,FALSE)*Tabla15[[#This Row],[6]])</f>
        <v>0</v>
      </c>
      <c r="N23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3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39" s="52">
        <f>IF(Tabla15[[#This Row],[8]]="",0,VLOOKUP(TRAMOS!$H$2,Tabla5[#All],3,FALSE)*Tabla15[[#This Row],[9]])</f>
        <v>0</v>
      </c>
      <c r="Q23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3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39" s="52">
        <f>IF(Tabla15[[#This Row],[11]]="",0,VLOOKUP(TRAMOS!$Q$2,Tabla5[#All],3,FALSE)*Tabla15[[#This Row],[12]])</f>
        <v>0</v>
      </c>
      <c r="T23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239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23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23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3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3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3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3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39" s="52">
        <f>IF(Tabla15[[#This Row],[20]]="",0,VLOOKUP("VRP",Tabla5[#All],3,FALSE)*Tabla15[[#This Row],[21]])</f>
        <v>0</v>
      </c>
      <c r="AC23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3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39" s="52">
        <f>IF(Tabla15[[#This Row],[23]]="",0,VLOOKUP("VC",Tabla5[#All],3,FALSE)*Tabla15[[#This Row],[24]])</f>
        <v>0</v>
      </c>
      <c r="AF23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3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39" s="52">
        <f>IF(Tabla15[[#This Row],[26]]="",0,VLOOKUP(TRAMOS!$K$2,Tabla5[#All],3,FALSE)*Tabla15[[#This Row],[27]])</f>
        <v>0</v>
      </c>
      <c r="AI23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3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3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3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3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3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3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0.52</v>
      </c>
    </row>
    <row r="240" spans="2:41" x14ac:dyDescent="0.25">
      <c r="B240" s="58" t="str">
        <f>Tabla1[[#This Row],[nudo inicial]]</f>
        <v>N123</v>
      </c>
      <c r="C240" s="58" t="str">
        <f>Tabla1[[#This Row],[nudo final]]</f>
        <v>TP86</v>
      </c>
      <c r="D240" s="51">
        <f>Tabla1[[#This Row],[longitud]]</f>
        <v>54.86</v>
      </c>
      <c r="E240" s="51" t="str">
        <f>Tabla1[[#This Row],[diametro]]</f>
        <v>1"</v>
      </c>
      <c r="F240" s="51" t="str">
        <f>Tabla1[[#This Row],[material]]</f>
        <v>PVC</v>
      </c>
      <c r="G24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40" s="52" t="str">
        <f>IF(Tabla1[[#This Row],[5]]="TPD",Tabla1[[#This Row],[6]],"")</f>
        <v/>
      </c>
      <c r="I240" s="52" t="str">
        <f>IF(OR(Tabla1[[#This Row],[5]]="TPD"),Tabla1[[#This Row],[7]],"")</f>
        <v/>
      </c>
      <c r="J240" s="52">
        <f>IF(Tabla15[[#This Row],[2]]="",0,VLOOKUP(TRAMOS!$H$2,Tabla5[#All],3,FALSE)*Tabla15[[#This Row],[3]])</f>
        <v>0</v>
      </c>
      <c r="K240" s="52" t="str">
        <f>IF(Tabla1[[#This Row],[5]]="TPL",Tabla1[[#This Row],[6]],"")</f>
        <v/>
      </c>
      <c r="L240" s="52" t="str">
        <f>IF(OR(Tabla1[[#This Row],[5]]="TPL"),Tabla1[[#This Row],[7]],"")</f>
        <v/>
      </c>
      <c r="M240" s="52">
        <f>IF(Tabla15[[#This Row],[5]]="",0,VLOOKUP(TRAMOS!$K$2,Tabla5[#All],3,FALSE)*Tabla15[[#This Row],[6]])</f>
        <v>0</v>
      </c>
      <c r="N24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4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40" s="52">
        <f>IF(Tabla15[[#This Row],[8]]="",0,VLOOKUP(TRAMOS!$H$2,Tabla5[#All],3,FALSE)*Tabla15[[#This Row],[9]])</f>
        <v>0</v>
      </c>
      <c r="Q24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1"</v>
      </c>
      <c r="R240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2</v>
      </c>
      <c r="S240" s="52">
        <f>IF(Tabla15[[#This Row],[11]]="",0,VLOOKUP(TRAMOS!$Q$2,Tabla5[#All],3,FALSE)*Tabla15[[#This Row],[12]])</f>
        <v>1.8</v>
      </c>
      <c r="T24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1"</v>
      </c>
      <c r="U240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24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0.43</v>
      </c>
      <c r="W24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4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4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4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4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40" s="52">
        <f>IF(Tabla15[[#This Row],[20]]="",0,VLOOKUP("VRP",Tabla5[#All],3,FALSE)*Tabla15[[#This Row],[21]])</f>
        <v>0</v>
      </c>
      <c r="AC24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4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40" s="52">
        <f>IF(Tabla15[[#This Row],[23]]="",0,VLOOKUP("VC",Tabla5[#All],3,FALSE)*Tabla15[[#This Row],[24]])</f>
        <v>0</v>
      </c>
      <c r="AF24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4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40" s="52">
        <f>IF(Tabla15[[#This Row],[26]]="",0,VLOOKUP(TRAMOS!$K$2,Tabla5[#All],3,FALSE)*Tabla15[[#This Row],[27]])</f>
        <v>0</v>
      </c>
      <c r="AI24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4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4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4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4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1"</v>
      </c>
      <c r="AN240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24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2.23</v>
      </c>
    </row>
    <row r="241" spans="2:41" x14ac:dyDescent="0.25">
      <c r="B241" s="58" t="str">
        <f>Tabla1[[#This Row],[nudo inicial]]</f>
        <v>N121</v>
      </c>
      <c r="C241" s="58" t="str">
        <f>Tabla1[[#This Row],[nudo final]]</f>
        <v>N124</v>
      </c>
      <c r="D241" s="51">
        <f>Tabla1[[#This Row],[longitud]]</f>
        <v>46.81</v>
      </c>
      <c r="E241" s="51" t="str">
        <f>Tabla1[[#This Row],[diametro]]</f>
        <v>6"</v>
      </c>
      <c r="F241" s="51" t="str">
        <f>Tabla1[[#This Row],[material]]</f>
        <v>PVC</v>
      </c>
      <c r="G24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241" s="52" t="str">
        <f>IF(Tabla1[[#This Row],[5]]="TPD",Tabla1[[#This Row],[6]],"")</f>
        <v/>
      </c>
      <c r="I241" s="52" t="str">
        <f>IF(OR(Tabla1[[#This Row],[5]]="TPD"),Tabla1[[#This Row],[7]],"")</f>
        <v/>
      </c>
      <c r="J241" s="52">
        <f>IF(Tabla15[[#This Row],[2]]="",0,VLOOKUP(TRAMOS!$H$2,Tabla5[#All],3,FALSE)*Tabla15[[#This Row],[3]])</f>
        <v>0</v>
      </c>
      <c r="K241" s="52" t="str">
        <f>IF(Tabla1[[#This Row],[5]]="TPL",Tabla1[[#This Row],[6]],"")</f>
        <v>6"</v>
      </c>
      <c r="L241" s="52">
        <f>IF(OR(Tabla1[[#This Row],[5]]="TPL"),Tabla1[[#This Row],[7]],"")</f>
        <v>0</v>
      </c>
      <c r="M241" s="52">
        <f>IF(Tabla15[[#This Row],[5]]="",0,VLOOKUP(TRAMOS!$K$2,Tabla5[#All],3,FALSE)*Tabla15[[#This Row],[6]])</f>
        <v>0</v>
      </c>
      <c r="N24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4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41" s="52">
        <f>IF(Tabla15[[#This Row],[8]]="",0,VLOOKUP(TRAMOS!$H$2,Tabla5[#All],3,FALSE)*Tabla15[[#This Row],[9]])</f>
        <v>0</v>
      </c>
      <c r="Q24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4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41" s="52">
        <f>IF(Tabla15[[#This Row],[11]]="",0,VLOOKUP(TRAMOS!$Q$2,Tabla5[#All],3,FALSE)*Tabla15[[#This Row],[12]])</f>
        <v>0</v>
      </c>
      <c r="T24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4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4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4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4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4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4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4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41" s="52">
        <f>IF(Tabla15[[#This Row],[20]]="",0,VLOOKUP("VRP",Tabla5[#All],3,FALSE)*Tabla15[[#This Row],[21]])</f>
        <v>0</v>
      </c>
      <c r="AC24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4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41" s="52">
        <f>IF(Tabla15[[#This Row],[23]]="",0,VLOOKUP("VC",Tabla5[#All],3,FALSE)*Tabla15[[#This Row],[24]])</f>
        <v>0</v>
      </c>
      <c r="AF24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4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41" s="52">
        <f>IF(Tabla15[[#This Row],[26]]="",0,VLOOKUP(TRAMOS!$K$2,Tabla5[#All],3,FALSE)*Tabla15[[#This Row],[27]])</f>
        <v>0</v>
      </c>
      <c r="AI24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4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4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4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4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4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4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</v>
      </c>
    </row>
    <row r="242" spans="2:41" x14ac:dyDescent="0.25">
      <c r="B242" s="58" t="str">
        <f>Tabla1[[#This Row],[nudo inicial]]</f>
        <v>N124</v>
      </c>
      <c r="C242" s="58" t="str">
        <f>Tabla1[[#This Row],[nudo final]]</f>
        <v>TP87</v>
      </c>
      <c r="D242" s="51">
        <f>Tabla1[[#This Row],[longitud]]</f>
        <v>14.4</v>
      </c>
      <c r="E242" s="51" t="str">
        <f>Tabla1[[#This Row],[diametro]]</f>
        <v>6"</v>
      </c>
      <c r="F242" s="51" t="str">
        <f>Tabla1[[#This Row],[material]]</f>
        <v>PVC</v>
      </c>
      <c r="G24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242" s="52" t="str">
        <f>IF(Tabla1[[#This Row],[5]]="TPD",Tabla1[[#This Row],[6]],"")</f>
        <v/>
      </c>
      <c r="I242" s="52" t="str">
        <f>IF(OR(Tabla1[[#This Row],[5]]="TPD"),Tabla1[[#This Row],[7]],"")</f>
        <v/>
      </c>
      <c r="J242" s="52">
        <f>IF(Tabla15[[#This Row],[2]]="",0,VLOOKUP(TRAMOS!$H$2,Tabla5[#All],3,FALSE)*Tabla15[[#This Row],[3]])</f>
        <v>0</v>
      </c>
      <c r="K242" s="52" t="str">
        <f>IF(Tabla1[[#This Row],[5]]="TPL",Tabla1[[#This Row],[6]],"")</f>
        <v>6"</v>
      </c>
      <c r="L242" s="52">
        <f>IF(OR(Tabla1[[#This Row],[5]]="TPL"),Tabla1[[#This Row],[7]],"")</f>
        <v>1</v>
      </c>
      <c r="M242" s="52">
        <f>IF(Tabla15[[#This Row],[5]]="",0,VLOOKUP(TRAMOS!$K$2,Tabla5[#All],3,FALSE)*Tabla15[[#This Row],[6]])</f>
        <v>0.9</v>
      </c>
      <c r="N24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4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42" s="52">
        <f>IF(Tabla15[[#This Row],[8]]="",0,VLOOKUP(TRAMOS!$H$2,Tabla5[#All],3,FALSE)*Tabla15[[#This Row],[9]])</f>
        <v>0</v>
      </c>
      <c r="Q24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4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42" s="52">
        <f>IF(Tabla15[[#This Row],[11]]="",0,VLOOKUP(TRAMOS!$Q$2,Tabla5[#All],3,FALSE)*Tabla15[[#This Row],[12]])</f>
        <v>0</v>
      </c>
      <c r="T24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4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4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4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4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4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4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4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42" s="52">
        <f>IF(Tabla15[[#This Row],[20]]="",0,VLOOKUP("VRP",Tabla5[#All],3,FALSE)*Tabla15[[#This Row],[21]])</f>
        <v>0</v>
      </c>
      <c r="AC24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4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42" s="52">
        <f>IF(Tabla15[[#This Row],[23]]="",0,VLOOKUP("VC",Tabla5[#All],3,FALSE)*Tabla15[[#This Row],[24]])</f>
        <v>0</v>
      </c>
      <c r="AF24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4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42" s="52">
        <f>IF(Tabla15[[#This Row],[26]]="",0,VLOOKUP(TRAMOS!$K$2,Tabla5[#All],3,FALSE)*Tabla15[[#This Row],[27]])</f>
        <v>0</v>
      </c>
      <c r="AI24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4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4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4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4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6"</v>
      </c>
      <c r="AN242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24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243" spans="2:41" x14ac:dyDescent="0.25">
      <c r="B243" s="58" t="str">
        <f>Tabla1[[#This Row],[nudo inicial]]</f>
        <v>N124</v>
      </c>
      <c r="C243" s="58" t="str">
        <f>Tabla1[[#This Row],[nudo final]]</f>
        <v>N125</v>
      </c>
      <c r="D243" s="51">
        <f>Tabla1[[#This Row],[longitud]]</f>
        <v>209.42</v>
      </c>
      <c r="E243" s="51" t="str">
        <f>Tabla1[[#This Row],[diametro]]</f>
        <v>6"</v>
      </c>
      <c r="F243" s="51" t="str">
        <f>Tabla1[[#This Row],[material]]</f>
        <v>PVC</v>
      </c>
      <c r="G24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243" s="52" t="str">
        <f>IF(Tabla1[[#This Row],[5]]="TPD",Tabla1[[#This Row],[6]],"")</f>
        <v/>
      </c>
      <c r="I243" s="52" t="str">
        <f>IF(OR(Tabla1[[#This Row],[5]]="TPD"),Tabla1[[#This Row],[7]],"")</f>
        <v/>
      </c>
      <c r="J243" s="52">
        <f>IF(Tabla15[[#This Row],[2]]="",0,VLOOKUP(TRAMOS!$H$2,Tabla5[#All],3,FALSE)*Tabla15[[#This Row],[3]])</f>
        <v>0</v>
      </c>
      <c r="K243" s="52" t="str">
        <f>IF(Tabla1[[#This Row],[5]]="TPL",Tabla1[[#This Row],[6]],"")</f>
        <v>6"</v>
      </c>
      <c r="L243" s="52">
        <f>IF(OR(Tabla1[[#This Row],[5]]="TPL"),Tabla1[[#This Row],[7]],"")</f>
        <v>1</v>
      </c>
      <c r="M243" s="52">
        <f>IF(Tabla15[[#This Row],[5]]="",0,VLOOKUP(TRAMOS!$K$2,Tabla5[#All],3,FALSE)*Tabla15[[#This Row],[6]])</f>
        <v>0.9</v>
      </c>
      <c r="N24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4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43" s="52">
        <f>IF(Tabla15[[#This Row],[8]]="",0,VLOOKUP(TRAMOS!$H$2,Tabla5[#All],3,FALSE)*Tabla15[[#This Row],[9]])</f>
        <v>0</v>
      </c>
      <c r="Q24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6"</v>
      </c>
      <c r="R243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243" s="52">
        <f>IF(Tabla15[[#This Row],[11]]="",0,VLOOKUP(TRAMOS!$Q$2,Tabla5[#All],3,FALSE)*Tabla15[[#This Row],[12]])</f>
        <v>0.9</v>
      </c>
      <c r="T24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4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4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4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4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4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4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4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43" s="52">
        <f>IF(Tabla15[[#This Row],[20]]="",0,VLOOKUP("VRP",Tabla5[#All],3,FALSE)*Tabla15[[#This Row],[21]])</f>
        <v>0</v>
      </c>
      <c r="AC24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4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43" s="52">
        <f>IF(Tabla15[[#This Row],[23]]="",0,VLOOKUP("VC",Tabla5[#All],3,FALSE)*Tabla15[[#This Row],[24]])</f>
        <v>0</v>
      </c>
      <c r="AF24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4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43" s="52">
        <f>IF(Tabla15[[#This Row],[26]]="",0,VLOOKUP(TRAMOS!$K$2,Tabla5[#All],3,FALSE)*Tabla15[[#This Row],[27]])</f>
        <v>0</v>
      </c>
      <c r="AI24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4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4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4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4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4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4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1.8</v>
      </c>
    </row>
    <row r="244" spans="2:41" x14ac:dyDescent="0.25">
      <c r="B244" s="58" t="str">
        <f>Tabla1[[#This Row],[nudo inicial]]</f>
        <v>N125</v>
      </c>
      <c r="C244" s="58" t="str">
        <f>Tabla1[[#This Row],[nudo final]]</f>
        <v>TP88</v>
      </c>
      <c r="D244" s="51">
        <f>Tabla1[[#This Row],[longitud]]</f>
        <v>281.82</v>
      </c>
      <c r="E244" s="51" t="str">
        <f>Tabla1[[#This Row],[diametro]]</f>
        <v>2"</v>
      </c>
      <c r="F244" s="51" t="str">
        <f>Tabla1[[#This Row],[material]]</f>
        <v>PVC</v>
      </c>
      <c r="G24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244" s="52" t="str">
        <f>IF(Tabla1[[#This Row],[5]]="TPD",Tabla1[[#This Row],[6]],"")</f>
        <v/>
      </c>
      <c r="I244" s="52" t="str">
        <f>IF(OR(Tabla1[[#This Row],[5]]="TPD"),Tabla1[[#This Row],[7]],"")</f>
        <v/>
      </c>
      <c r="J244" s="52">
        <f>IF(Tabla15[[#This Row],[2]]="",0,VLOOKUP(TRAMOS!$H$2,Tabla5[#All],3,FALSE)*Tabla15[[#This Row],[3]])</f>
        <v>0</v>
      </c>
      <c r="K244" s="52" t="str">
        <f>IF(Tabla1[[#This Row],[5]]="TPL",Tabla1[[#This Row],[6]],"")</f>
        <v>6"</v>
      </c>
      <c r="L244" s="52">
        <f>IF(OR(Tabla1[[#This Row],[5]]="TPL"),Tabla1[[#This Row],[7]],"")</f>
        <v>1</v>
      </c>
      <c r="M244" s="52">
        <f>IF(Tabla15[[#This Row],[5]]="",0,VLOOKUP(TRAMOS!$K$2,Tabla5[#All],3,FALSE)*Tabla15[[#This Row],[6]])</f>
        <v>0.9</v>
      </c>
      <c r="N24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4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44" s="52">
        <f>IF(Tabla15[[#This Row],[8]]="",0,VLOOKUP(TRAMOS!$H$2,Tabla5[#All],3,FALSE)*Tabla15[[#This Row],[9]])</f>
        <v>0</v>
      </c>
      <c r="Q24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4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44" s="52">
        <f>IF(Tabla15[[#This Row],[11]]="",0,VLOOKUP(TRAMOS!$Q$2,Tabla5[#All],3,FALSE)*Tabla15[[#This Row],[12]])</f>
        <v>0</v>
      </c>
      <c r="T24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244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24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0.43</v>
      </c>
      <c r="W24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4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4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4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4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44" s="52">
        <f>IF(Tabla15[[#This Row],[20]]="",0,VLOOKUP("VRP",Tabla5[#All],3,FALSE)*Tabla15[[#This Row],[21]])</f>
        <v>0</v>
      </c>
      <c r="AC24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4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44" s="52">
        <f>IF(Tabla15[[#This Row],[23]]="",0,VLOOKUP("VC",Tabla5[#All],3,FALSE)*Tabla15[[#This Row],[24]])</f>
        <v>0</v>
      </c>
      <c r="AF24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4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44" s="52">
        <f>IF(Tabla15[[#This Row],[26]]="",0,VLOOKUP(TRAMOS!$K$2,Tabla5[#All],3,FALSE)*Tabla15[[#This Row],[27]])</f>
        <v>0</v>
      </c>
      <c r="AI24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4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4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4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4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244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24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1.33</v>
      </c>
    </row>
    <row r="245" spans="2:41" x14ac:dyDescent="0.25">
      <c r="B245" s="58" t="str">
        <f>Tabla1[[#This Row],[nudo inicial]]</f>
        <v>N125</v>
      </c>
      <c r="C245" s="58" t="str">
        <f>Tabla1[[#This Row],[nudo final]]</f>
        <v>N126</v>
      </c>
      <c r="D245" s="51">
        <f>Tabla1[[#This Row],[longitud]]</f>
        <v>33.86</v>
      </c>
      <c r="E245" s="51" t="str">
        <f>Tabla1[[#This Row],[diametro]]</f>
        <v>6"</v>
      </c>
      <c r="F245" s="51" t="str">
        <f>Tabla1[[#This Row],[material]]</f>
        <v>PVC</v>
      </c>
      <c r="G24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245" s="52" t="str">
        <f>IF(Tabla1[[#This Row],[5]]="TPD",Tabla1[[#This Row],[6]],"")</f>
        <v>6"</v>
      </c>
      <c r="I245" s="52">
        <f>IF(OR(Tabla1[[#This Row],[5]]="TPD"),Tabla1[[#This Row],[7]],"")</f>
        <v>1</v>
      </c>
      <c r="J245" s="52">
        <f>IF(Tabla15[[#This Row],[2]]="",0,VLOOKUP(TRAMOS!$H$2,Tabla5[#All],3,FALSE)*Tabla15[[#This Row],[3]])</f>
        <v>0.15</v>
      </c>
      <c r="K245" s="52" t="str">
        <f>IF(Tabla1[[#This Row],[5]]="TPL",Tabla1[[#This Row],[6]],"")</f>
        <v/>
      </c>
      <c r="L245" s="52" t="str">
        <f>IF(OR(Tabla1[[#This Row],[5]]="TPL"),Tabla1[[#This Row],[7]],"")</f>
        <v/>
      </c>
      <c r="M245" s="52">
        <f>IF(Tabla15[[#This Row],[5]]="",0,VLOOKUP(TRAMOS!$K$2,Tabla5[#All],3,FALSE)*Tabla15[[#This Row],[6]])</f>
        <v>0</v>
      </c>
      <c r="N24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4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45" s="52">
        <f>IF(Tabla15[[#This Row],[8]]="",0,VLOOKUP(TRAMOS!$H$2,Tabla5[#All],3,FALSE)*Tabla15[[#This Row],[9]])</f>
        <v>0</v>
      </c>
      <c r="Q24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4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45" s="52">
        <f>IF(Tabla15[[#This Row],[11]]="",0,VLOOKUP(TRAMOS!$Q$2,Tabla5[#All],3,FALSE)*Tabla15[[#This Row],[12]])</f>
        <v>0</v>
      </c>
      <c r="T24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4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4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4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4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4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4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4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45" s="52">
        <f>IF(Tabla15[[#This Row],[20]]="",0,VLOOKUP("VRP",Tabla5[#All],3,FALSE)*Tabla15[[#This Row],[21]])</f>
        <v>0</v>
      </c>
      <c r="AC24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4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45" s="52">
        <f>IF(Tabla15[[#This Row],[23]]="",0,VLOOKUP("VC",Tabla5[#All],3,FALSE)*Tabla15[[#This Row],[24]])</f>
        <v>0</v>
      </c>
      <c r="AF24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4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45" s="52">
        <f>IF(Tabla15[[#This Row],[26]]="",0,VLOOKUP(TRAMOS!$K$2,Tabla5[#All],3,FALSE)*Tabla15[[#This Row],[27]])</f>
        <v>0</v>
      </c>
      <c r="AI24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4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4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4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4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4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4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246" spans="2:41" x14ac:dyDescent="0.25">
      <c r="B246" s="58" t="str">
        <f>Tabla1[[#This Row],[nudo inicial]]</f>
        <v>N126</v>
      </c>
      <c r="C246" s="58" t="str">
        <f>Tabla1[[#This Row],[nudo final]]</f>
        <v>N127</v>
      </c>
      <c r="D246" s="51">
        <f>Tabla1[[#This Row],[longitud]]</f>
        <v>67.27</v>
      </c>
      <c r="E246" s="51" t="str">
        <f>Tabla1[[#This Row],[diametro]]</f>
        <v>3"</v>
      </c>
      <c r="F246" s="51" t="str">
        <f>Tabla1[[#This Row],[material]]</f>
        <v>AC</v>
      </c>
      <c r="G24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246" s="52" t="str">
        <f>IF(Tabla1[[#This Row],[5]]="TPD",Tabla1[[#This Row],[6]],"")</f>
        <v/>
      </c>
      <c r="I246" s="52" t="str">
        <f>IF(OR(Tabla1[[#This Row],[5]]="TPD"),Tabla1[[#This Row],[7]],"")</f>
        <v/>
      </c>
      <c r="J246" s="52">
        <f>IF(Tabla15[[#This Row],[2]]="",0,VLOOKUP(TRAMOS!$H$2,Tabla5[#All],3,FALSE)*Tabla15[[#This Row],[3]])</f>
        <v>0</v>
      </c>
      <c r="K246" s="52" t="str">
        <f>IF(Tabla1[[#This Row],[5]]="TPL",Tabla1[[#This Row],[6]],"")</f>
        <v>6"</v>
      </c>
      <c r="L246" s="52">
        <f>IF(OR(Tabla1[[#This Row],[5]]="TPL"),Tabla1[[#This Row],[7]],"")</f>
        <v>1</v>
      </c>
      <c r="M246" s="52">
        <f>IF(Tabla15[[#This Row],[5]]="",0,VLOOKUP(TRAMOS!$K$2,Tabla5[#All],3,FALSE)*Tabla15[[#This Row],[6]])</f>
        <v>0.9</v>
      </c>
      <c r="N24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4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46" s="52">
        <f>IF(Tabla15[[#This Row],[8]]="",0,VLOOKUP(TRAMOS!$H$2,Tabla5[#All],3,FALSE)*Tabla15[[#This Row],[9]])</f>
        <v>0</v>
      </c>
      <c r="Q24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4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46" s="52">
        <f>IF(Tabla15[[#This Row],[11]]="",0,VLOOKUP(TRAMOS!$Q$2,Tabla5[#All],3,FALSE)*Tabla15[[#This Row],[12]])</f>
        <v>0</v>
      </c>
      <c r="T24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246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24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24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4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4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4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4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46" s="52">
        <f>IF(Tabla15[[#This Row],[20]]="",0,VLOOKUP("VRP",Tabla5[#All],3,FALSE)*Tabla15[[#This Row],[21]])</f>
        <v>0</v>
      </c>
      <c r="AC24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4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46" s="52">
        <f>IF(Tabla15[[#This Row],[23]]="",0,VLOOKUP("VC",Tabla5[#All],3,FALSE)*Tabla15[[#This Row],[24]])</f>
        <v>0</v>
      </c>
      <c r="AF24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4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46" s="52">
        <f>IF(Tabla15[[#This Row],[26]]="",0,VLOOKUP(TRAMOS!$K$2,Tabla5[#All],3,FALSE)*Tabla15[[#This Row],[27]])</f>
        <v>0</v>
      </c>
      <c r="AI24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4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4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4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4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4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4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1.27</v>
      </c>
    </row>
    <row r="247" spans="2:41" x14ac:dyDescent="0.25">
      <c r="B247" s="58" t="str">
        <f>Tabla1[[#This Row],[nudo inicial]]</f>
        <v>N127</v>
      </c>
      <c r="C247" s="58" t="str">
        <f>Tabla1[[#This Row],[nudo final]]</f>
        <v>N128</v>
      </c>
      <c r="D247" s="51">
        <f>Tabla1[[#This Row],[longitud]]</f>
        <v>54.97</v>
      </c>
      <c r="E247" s="51" t="str">
        <f>Tabla1[[#This Row],[diametro]]</f>
        <v>3"</v>
      </c>
      <c r="F247" s="51" t="str">
        <f>Tabla1[[#This Row],[material]]</f>
        <v>AC</v>
      </c>
      <c r="G24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47" s="52" t="str">
        <f>IF(Tabla1[[#This Row],[5]]="TPD",Tabla1[[#This Row],[6]],"")</f>
        <v/>
      </c>
      <c r="I247" s="52" t="str">
        <f>IF(OR(Tabla1[[#This Row],[5]]="TPD"),Tabla1[[#This Row],[7]],"")</f>
        <v/>
      </c>
      <c r="J247" s="52">
        <f>IF(Tabla15[[#This Row],[2]]="",0,VLOOKUP(TRAMOS!$H$2,Tabla5[#All],3,FALSE)*Tabla15[[#This Row],[3]])</f>
        <v>0</v>
      </c>
      <c r="K247" s="52" t="str">
        <f>IF(Tabla1[[#This Row],[5]]="TPL",Tabla1[[#This Row],[6]],"")</f>
        <v>3"</v>
      </c>
      <c r="L247" s="52">
        <f>IF(OR(Tabla1[[#This Row],[5]]="TPL"),Tabla1[[#This Row],[7]],"")</f>
        <v>1</v>
      </c>
      <c r="M247" s="52">
        <f>IF(Tabla15[[#This Row],[5]]="",0,VLOOKUP(TRAMOS!$K$2,Tabla5[#All],3,FALSE)*Tabla15[[#This Row],[6]])</f>
        <v>0.9</v>
      </c>
      <c r="N24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4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47" s="52">
        <f>IF(Tabla15[[#This Row],[8]]="",0,VLOOKUP(TRAMOS!$H$2,Tabla5[#All],3,FALSE)*Tabla15[[#This Row],[9]])</f>
        <v>0</v>
      </c>
      <c r="Q24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4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47" s="52">
        <f>IF(Tabla15[[#This Row],[11]]="",0,VLOOKUP(TRAMOS!$Q$2,Tabla5[#All],3,FALSE)*Tabla15[[#This Row],[12]])</f>
        <v>0</v>
      </c>
      <c r="T24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4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4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4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4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4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4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4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47" s="52">
        <f>IF(Tabla15[[#This Row],[20]]="",0,VLOOKUP("VRP",Tabla5[#All],3,FALSE)*Tabla15[[#This Row],[21]])</f>
        <v>0</v>
      </c>
      <c r="AC24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247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247" s="52">
        <f>IF(Tabla15[[#This Row],[23]]="",0,VLOOKUP("VC",Tabla5[#All],3,FALSE)*Tabla15[[#This Row],[24]])</f>
        <v>0.25</v>
      </c>
      <c r="AF24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4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47" s="52">
        <f>IF(Tabla15[[#This Row],[26]]="",0,VLOOKUP(TRAMOS!$K$2,Tabla5[#All],3,FALSE)*Tabla15[[#This Row],[27]])</f>
        <v>0</v>
      </c>
      <c r="AI24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4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4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4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4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4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4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1.1499999999999999</v>
      </c>
    </row>
    <row r="248" spans="2:41" x14ac:dyDescent="0.25">
      <c r="B248" s="58" t="str">
        <f>Tabla1[[#This Row],[nudo inicial]]</f>
        <v>N128</v>
      </c>
      <c r="C248" s="58" t="str">
        <f>Tabla1[[#This Row],[nudo final]]</f>
        <v>TP89</v>
      </c>
      <c r="D248" s="51">
        <f>Tabla1[[#This Row],[longitud]]</f>
        <v>94.67</v>
      </c>
      <c r="E248" s="51" t="str">
        <f>Tabla1[[#This Row],[diametro]]</f>
        <v>3"</v>
      </c>
      <c r="F248" s="51" t="str">
        <f>Tabla1[[#This Row],[material]]</f>
        <v>AC</v>
      </c>
      <c r="G24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48" s="52" t="str">
        <f>IF(Tabla1[[#This Row],[5]]="TPD",Tabla1[[#This Row],[6]],"")</f>
        <v/>
      </c>
      <c r="I248" s="52" t="str">
        <f>IF(OR(Tabla1[[#This Row],[5]]="TPD"),Tabla1[[#This Row],[7]],"")</f>
        <v/>
      </c>
      <c r="J248" s="52">
        <f>IF(Tabla15[[#This Row],[2]]="",0,VLOOKUP(TRAMOS!$H$2,Tabla5[#All],3,FALSE)*Tabla15[[#This Row],[3]])</f>
        <v>0</v>
      </c>
      <c r="K248" s="52" t="str">
        <f>IF(Tabla1[[#This Row],[5]]="TPL",Tabla1[[#This Row],[6]],"")</f>
        <v>3"</v>
      </c>
      <c r="L248" s="52">
        <f>IF(OR(Tabla1[[#This Row],[5]]="TPL"),Tabla1[[#This Row],[7]],"")</f>
        <v>1</v>
      </c>
      <c r="M248" s="52">
        <f>IF(Tabla15[[#This Row],[5]]="",0,VLOOKUP(TRAMOS!$K$2,Tabla5[#All],3,FALSE)*Tabla15[[#This Row],[6]])</f>
        <v>0.9</v>
      </c>
      <c r="N24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4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48" s="52">
        <f>IF(Tabla15[[#This Row],[8]]="",0,VLOOKUP(TRAMOS!$H$2,Tabla5[#All],3,FALSE)*Tabla15[[#This Row],[9]])</f>
        <v>0</v>
      </c>
      <c r="Q24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4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48" s="52">
        <f>IF(Tabla15[[#This Row],[11]]="",0,VLOOKUP(TRAMOS!$Q$2,Tabla5[#All],3,FALSE)*Tabla15[[#This Row],[12]])</f>
        <v>0</v>
      </c>
      <c r="T24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4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4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4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4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4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4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4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48" s="52">
        <f>IF(Tabla15[[#This Row],[20]]="",0,VLOOKUP("VRP",Tabla5[#All],3,FALSE)*Tabla15[[#This Row],[21]])</f>
        <v>0</v>
      </c>
      <c r="AC24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4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48" s="52">
        <f>IF(Tabla15[[#This Row],[23]]="",0,VLOOKUP("VC",Tabla5[#All],3,FALSE)*Tabla15[[#This Row],[24]])</f>
        <v>0</v>
      </c>
      <c r="AF24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4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48" s="52">
        <f>IF(Tabla15[[#This Row],[26]]="",0,VLOOKUP(TRAMOS!$K$2,Tabla5[#All],3,FALSE)*Tabla15[[#This Row],[27]])</f>
        <v>0</v>
      </c>
      <c r="AI24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4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4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4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4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248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24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249" spans="2:41" x14ac:dyDescent="0.25">
      <c r="B249" s="58" t="str">
        <f>Tabla1[[#This Row],[nudo inicial]]</f>
        <v>N128</v>
      </c>
      <c r="C249" s="58" t="str">
        <f>Tabla1[[#This Row],[nudo final]]</f>
        <v>TP90</v>
      </c>
      <c r="D249" s="51">
        <f>Tabla1[[#This Row],[longitud]]</f>
        <v>146.37</v>
      </c>
      <c r="E249" s="51" t="str">
        <f>Tabla1[[#This Row],[diametro]]</f>
        <v>3"</v>
      </c>
      <c r="F249" s="51" t="str">
        <f>Tabla1[[#This Row],[material]]</f>
        <v>AC</v>
      </c>
      <c r="G24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49" s="52" t="str">
        <f>IF(Tabla1[[#This Row],[5]]="TPD",Tabla1[[#This Row],[6]],"")</f>
        <v>3"</v>
      </c>
      <c r="I249" s="52">
        <f>IF(OR(Tabla1[[#This Row],[5]]="TPD"),Tabla1[[#This Row],[7]],"")</f>
        <v>1</v>
      </c>
      <c r="J249" s="52">
        <f>IF(Tabla15[[#This Row],[2]]="",0,VLOOKUP(TRAMOS!$H$2,Tabla5[#All],3,FALSE)*Tabla15[[#This Row],[3]])</f>
        <v>0.15</v>
      </c>
      <c r="K249" s="52" t="str">
        <f>IF(Tabla1[[#This Row],[5]]="TPL",Tabla1[[#This Row],[6]],"")</f>
        <v/>
      </c>
      <c r="L249" s="52" t="str">
        <f>IF(OR(Tabla1[[#This Row],[5]]="TPL"),Tabla1[[#This Row],[7]],"")</f>
        <v/>
      </c>
      <c r="M249" s="52">
        <f>IF(Tabla15[[#This Row],[5]]="",0,VLOOKUP(TRAMOS!$K$2,Tabla5[#All],3,FALSE)*Tabla15[[#This Row],[6]])</f>
        <v>0</v>
      </c>
      <c r="N24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4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49" s="52">
        <f>IF(Tabla15[[#This Row],[8]]="",0,VLOOKUP(TRAMOS!$H$2,Tabla5[#All],3,FALSE)*Tabla15[[#This Row],[9]])</f>
        <v>0</v>
      </c>
      <c r="Q24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3"</v>
      </c>
      <c r="R249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249" s="52">
        <f>IF(Tabla15[[#This Row],[11]]="",0,VLOOKUP(TRAMOS!$Q$2,Tabla5[#All],3,FALSE)*Tabla15[[#This Row],[12]])</f>
        <v>0.9</v>
      </c>
      <c r="T24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4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4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4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4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4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4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4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49" s="52">
        <f>IF(Tabla15[[#This Row],[20]]="",0,VLOOKUP("VRP",Tabla5[#All],3,FALSE)*Tabla15[[#This Row],[21]])</f>
        <v>0</v>
      </c>
      <c r="AC24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4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49" s="52">
        <f>IF(Tabla15[[#This Row],[23]]="",0,VLOOKUP("VC",Tabla5[#All],3,FALSE)*Tabla15[[#This Row],[24]])</f>
        <v>0</v>
      </c>
      <c r="AF24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4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49" s="52">
        <f>IF(Tabla15[[#This Row],[26]]="",0,VLOOKUP(TRAMOS!$K$2,Tabla5[#All],3,FALSE)*Tabla15[[#This Row],[27]])</f>
        <v>0</v>
      </c>
      <c r="AI24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4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4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4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4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249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24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250" spans="2:41" x14ac:dyDescent="0.25">
      <c r="B250" s="58" t="str">
        <f>Tabla1[[#This Row],[nudo inicial]]</f>
        <v>N127</v>
      </c>
      <c r="C250" s="58" t="str">
        <f>Tabla1[[#This Row],[nudo final]]</f>
        <v>N129</v>
      </c>
      <c r="D250" s="51">
        <f>Tabla1[[#This Row],[longitud]]</f>
        <v>15.09</v>
      </c>
      <c r="E250" s="51" t="str">
        <f>Tabla1[[#This Row],[diametro]]</f>
        <v>3"</v>
      </c>
      <c r="F250" s="51" t="str">
        <f>Tabla1[[#This Row],[material]]</f>
        <v>AC</v>
      </c>
      <c r="G25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50" s="52" t="str">
        <f>IF(Tabla1[[#This Row],[5]]="TPD",Tabla1[[#This Row],[6]],"")</f>
        <v>3"</v>
      </c>
      <c r="I250" s="52">
        <f>IF(OR(Tabla1[[#This Row],[5]]="TPD"),Tabla1[[#This Row],[7]],"")</f>
        <v>1</v>
      </c>
      <c r="J250" s="52">
        <f>IF(Tabla15[[#This Row],[2]]="",0,VLOOKUP(TRAMOS!$H$2,Tabla5[#All],3,FALSE)*Tabla15[[#This Row],[3]])</f>
        <v>0.15</v>
      </c>
      <c r="K250" s="52" t="str">
        <f>IF(Tabla1[[#This Row],[5]]="TPL",Tabla1[[#This Row],[6]],"")</f>
        <v/>
      </c>
      <c r="L250" s="52" t="str">
        <f>IF(OR(Tabla1[[#This Row],[5]]="TPL"),Tabla1[[#This Row],[7]],"")</f>
        <v/>
      </c>
      <c r="M250" s="52">
        <f>IF(Tabla15[[#This Row],[5]]="",0,VLOOKUP(TRAMOS!$K$2,Tabla5[#All],3,FALSE)*Tabla15[[#This Row],[6]])</f>
        <v>0</v>
      </c>
      <c r="N25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5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50" s="52">
        <f>IF(Tabla15[[#This Row],[8]]="",0,VLOOKUP(TRAMOS!$H$2,Tabla5[#All],3,FALSE)*Tabla15[[#This Row],[9]])</f>
        <v>0</v>
      </c>
      <c r="Q25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5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50" s="52">
        <f>IF(Tabla15[[#This Row],[11]]="",0,VLOOKUP(TRAMOS!$Q$2,Tabla5[#All],3,FALSE)*Tabla15[[#This Row],[12]])</f>
        <v>0</v>
      </c>
      <c r="T25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5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5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5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5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5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5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5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50" s="52">
        <f>IF(Tabla15[[#This Row],[20]]="",0,VLOOKUP("VRP",Tabla5[#All],3,FALSE)*Tabla15[[#This Row],[21]])</f>
        <v>0</v>
      </c>
      <c r="AC25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250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250" s="52">
        <f>IF(Tabla15[[#This Row],[23]]="",0,VLOOKUP("VC",Tabla5[#All],3,FALSE)*Tabla15[[#This Row],[24]])</f>
        <v>0.25</v>
      </c>
      <c r="AF25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5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50" s="52">
        <f>IF(Tabla15[[#This Row],[26]]="",0,VLOOKUP(TRAMOS!$K$2,Tabla5[#All],3,FALSE)*Tabla15[[#This Row],[27]])</f>
        <v>0</v>
      </c>
      <c r="AI25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5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5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5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5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5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5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0.4</v>
      </c>
    </row>
    <row r="251" spans="2:41" x14ac:dyDescent="0.25">
      <c r="B251" s="58" t="str">
        <f>Tabla1[[#This Row],[nudo inicial]]</f>
        <v>N129</v>
      </c>
      <c r="C251" s="58" t="str">
        <f>Tabla1[[#This Row],[nudo final]]</f>
        <v>TP91</v>
      </c>
      <c r="D251" s="51">
        <f>Tabla1[[#This Row],[longitud]]</f>
        <v>164.48</v>
      </c>
      <c r="E251" s="51" t="str">
        <f>Tabla1[[#This Row],[diametro]]</f>
        <v>2"</v>
      </c>
      <c r="F251" s="51" t="str">
        <f>Tabla1[[#This Row],[material]]</f>
        <v>PVC</v>
      </c>
      <c r="G25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51" s="52" t="str">
        <f>IF(Tabla1[[#This Row],[5]]="TPD",Tabla1[[#This Row],[6]],"")</f>
        <v/>
      </c>
      <c r="I251" s="52" t="str">
        <f>IF(OR(Tabla1[[#This Row],[5]]="TPD"),Tabla1[[#This Row],[7]],"")</f>
        <v/>
      </c>
      <c r="J251" s="52">
        <f>IF(Tabla15[[#This Row],[2]]="",0,VLOOKUP(TRAMOS!$H$2,Tabla5[#All],3,FALSE)*Tabla15[[#This Row],[3]])</f>
        <v>0</v>
      </c>
      <c r="K251" s="52" t="str">
        <f>IF(Tabla1[[#This Row],[5]]="TPL",Tabla1[[#This Row],[6]],"")</f>
        <v>3"</v>
      </c>
      <c r="L251" s="52">
        <f>IF(OR(Tabla1[[#This Row],[5]]="TPL"),Tabla1[[#This Row],[7]],"")</f>
        <v>1</v>
      </c>
      <c r="M251" s="52">
        <f>IF(Tabla15[[#This Row],[5]]="",0,VLOOKUP(TRAMOS!$K$2,Tabla5[#All],3,FALSE)*Tabla15[[#This Row],[6]])</f>
        <v>0.9</v>
      </c>
      <c r="N25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5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51" s="52">
        <f>IF(Tabla15[[#This Row],[8]]="",0,VLOOKUP(TRAMOS!$H$2,Tabla5[#All],3,FALSE)*Tabla15[[#This Row],[9]])</f>
        <v>0</v>
      </c>
      <c r="Q25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251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251" s="52">
        <f>IF(Tabla15[[#This Row],[11]]="",0,VLOOKUP(TRAMOS!$Q$2,Tabla5[#All],3,FALSE)*Tabla15[[#This Row],[12]])</f>
        <v>0.9</v>
      </c>
      <c r="T25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251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25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25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5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5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5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5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51" s="52">
        <f>IF(Tabla15[[#This Row],[20]]="",0,VLOOKUP("VRP",Tabla5[#All],3,FALSE)*Tabla15[[#This Row],[21]])</f>
        <v>0</v>
      </c>
      <c r="AC25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5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51" s="52">
        <f>IF(Tabla15[[#This Row],[23]]="",0,VLOOKUP("VC",Tabla5[#All],3,FALSE)*Tabla15[[#This Row],[24]])</f>
        <v>0</v>
      </c>
      <c r="AF25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5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51" s="52">
        <f>IF(Tabla15[[#This Row],[26]]="",0,VLOOKUP(TRAMOS!$K$2,Tabla5[#All],3,FALSE)*Tabla15[[#This Row],[27]])</f>
        <v>0</v>
      </c>
      <c r="AI25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5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5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5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5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251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25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2.0150000000000001</v>
      </c>
    </row>
    <row r="252" spans="2:41" x14ac:dyDescent="0.25">
      <c r="B252" s="58" t="str">
        <f>Tabla1[[#This Row],[nudo inicial]]</f>
        <v>N129</v>
      </c>
      <c r="C252" s="58" t="str">
        <f>Tabla1[[#This Row],[nudo final]]</f>
        <v>TP92</v>
      </c>
      <c r="D252" s="51">
        <f>Tabla1[[#This Row],[longitud]]</f>
        <v>91.22</v>
      </c>
      <c r="E252" s="51" t="str">
        <f>Tabla1[[#This Row],[diametro]]</f>
        <v>3"</v>
      </c>
      <c r="F252" s="51" t="str">
        <f>Tabla1[[#This Row],[material]]</f>
        <v>AC</v>
      </c>
      <c r="G25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52" s="52" t="str">
        <f>IF(Tabla1[[#This Row],[5]]="TPD",Tabla1[[#This Row],[6]],"")</f>
        <v>3"</v>
      </c>
      <c r="I252" s="52">
        <f>IF(OR(Tabla1[[#This Row],[5]]="TPD"),Tabla1[[#This Row],[7]],"")</f>
        <v>1</v>
      </c>
      <c r="J252" s="52">
        <f>IF(Tabla15[[#This Row],[2]]="",0,VLOOKUP(TRAMOS!$H$2,Tabla5[#All],3,FALSE)*Tabla15[[#This Row],[3]])</f>
        <v>0.15</v>
      </c>
      <c r="K252" s="52" t="str">
        <f>IF(Tabla1[[#This Row],[5]]="TPL",Tabla1[[#This Row],[6]],"")</f>
        <v/>
      </c>
      <c r="L252" s="52" t="str">
        <f>IF(OR(Tabla1[[#This Row],[5]]="TPL"),Tabla1[[#This Row],[7]],"")</f>
        <v/>
      </c>
      <c r="M252" s="52">
        <f>IF(Tabla15[[#This Row],[5]]="",0,VLOOKUP(TRAMOS!$K$2,Tabla5[#All],3,FALSE)*Tabla15[[#This Row],[6]])</f>
        <v>0</v>
      </c>
      <c r="N25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5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52" s="52">
        <f>IF(Tabla15[[#This Row],[8]]="",0,VLOOKUP(TRAMOS!$H$2,Tabla5[#All],3,FALSE)*Tabla15[[#This Row],[9]])</f>
        <v>0</v>
      </c>
      <c r="Q25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5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52" s="52">
        <f>IF(Tabla15[[#This Row],[11]]="",0,VLOOKUP(TRAMOS!$Q$2,Tabla5[#All],3,FALSE)*Tabla15[[#This Row],[12]])</f>
        <v>0</v>
      </c>
      <c r="T25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5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5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5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5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5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5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5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52" s="52">
        <f>IF(Tabla15[[#This Row],[20]]="",0,VLOOKUP("VRP",Tabla5[#All],3,FALSE)*Tabla15[[#This Row],[21]])</f>
        <v>0</v>
      </c>
      <c r="AC25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5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52" s="52">
        <f>IF(Tabla15[[#This Row],[23]]="",0,VLOOKUP("VC",Tabla5[#All],3,FALSE)*Tabla15[[#This Row],[24]])</f>
        <v>0</v>
      </c>
      <c r="AF25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5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52" s="52">
        <f>IF(Tabla15[[#This Row],[26]]="",0,VLOOKUP(TRAMOS!$K$2,Tabla5[#All],3,FALSE)*Tabla15[[#This Row],[27]])</f>
        <v>0</v>
      </c>
      <c r="AI25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5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5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5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5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252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25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253" spans="2:41" x14ac:dyDescent="0.25">
      <c r="B253" s="58" t="str">
        <f>Tabla1[[#This Row],[nudo inicial]]</f>
        <v>N126</v>
      </c>
      <c r="C253" s="58" t="str">
        <f>Tabla1[[#This Row],[nudo final]]</f>
        <v>N130</v>
      </c>
      <c r="D253" s="51">
        <f>Tabla1[[#This Row],[longitud]]</f>
        <v>44.4</v>
      </c>
      <c r="E253" s="51" t="str">
        <f>Tabla1[[#This Row],[diametro]]</f>
        <v>6"</v>
      </c>
      <c r="F253" s="51" t="str">
        <f>Tabla1[[#This Row],[material]]</f>
        <v>PVC</v>
      </c>
      <c r="G25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253" s="52" t="str">
        <f>IF(Tabla1[[#This Row],[5]]="TPD",Tabla1[[#This Row],[6]],"")</f>
        <v>6"</v>
      </c>
      <c r="I253" s="52">
        <f>IF(OR(Tabla1[[#This Row],[5]]="TPD"),Tabla1[[#This Row],[7]],"")</f>
        <v>1</v>
      </c>
      <c r="J253" s="52">
        <f>IF(Tabla15[[#This Row],[2]]="",0,VLOOKUP(TRAMOS!$H$2,Tabla5[#All],3,FALSE)*Tabla15[[#This Row],[3]])</f>
        <v>0.15</v>
      </c>
      <c r="K253" s="52" t="str">
        <f>IF(Tabla1[[#This Row],[5]]="TPL",Tabla1[[#This Row],[6]],"")</f>
        <v/>
      </c>
      <c r="L253" s="52" t="str">
        <f>IF(OR(Tabla1[[#This Row],[5]]="TPL"),Tabla1[[#This Row],[7]],"")</f>
        <v/>
      </c>
      <c r="M253" s="52">
        <f>IF(Tabla15[[#This Row],[5]]="",0,VLOOKUP(TRAMOS!$K$2,Tabla5[#All],3,FALSE)*Tabla15[[#This Row],[6]])</f>
        <v>0</v>
      </c>
      <c r="N25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5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53" s="52">
        <f>IF(Tabla15[[#This Row],[8]]="",0,VLOOKUP(TRAMOS!$H$2,Tabla5[#All],3,FALSE)*Tabla15[[#This Row],[9]])</f>
        <v>0</v>
      </c>
      <c r="Q25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5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53" s="52">
        <f>IF(Tabla15[[#This Row],[11]]="",0,VLOOKUP(TRAMOS!$Q$2,Tabla5[#All],3,FALSE)*Tabla15[[#This Row],[12]])</f>
        <v>0</v>
      </c>
      <c r="T25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5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5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5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5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5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5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5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53" s="52">
        <f>IF(Tabla15[[#This Row],[20]]="",0,VLOOKUP("VRP",Tabla5[#All],3,FALSE)*Tabla15[[#This Row],[21]])</f>
        <v>0</v>
      </c>
      <c r="AC25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5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53" s="52">
        <f>IF(Tabla15[[#This Row],[23]]="",0,VLOOKUP("VC",Tabla5[#All],3,FALSE)*Tabla15[[#This Row],[24]])</f>
        <v>0</v>
      </c>
      <c r="AF25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5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53" s="52">
        <f>IF(Tabla15[[#This Row],[26]]="",0,VLOOKUP(TRAMOS!$K$2,Tabla5[#All],3,FALSE)*Tabla15[[#This Row],[27]])</f>
        <v>0</v>
      </c>
      <c r="AI25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5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5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5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5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5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5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254" spans="2:41" x14ac:dyDescent="0.25">
      <c r="B254" s="58" t="str">
        <f>Tabla1[[#This Row],[nudo inicial]]</f>
        <v>N130</v>
      </c>
      <c r="C254" s="58" t="str">
        <f>Tabla1[[#This Row],[nudo final]]</f>
        <v>TP93</v>
      </c>
      <c r="D254" s="51">
        <f>Tabla1[[#This Row],[longitud]]</f>
        <v>64.83</v>
      </c>
      <c r="E254" s="51" t="str">
        <f>Tabla1[[#This Row],[diametro]]</f>
        <v>3"</v>
      </c>
      <c r="F254" s="51" t="str">
        <f>Tabla1[[#This Row],[material]]</f>
        <v>AC</v>
      </c>
      <c r="G25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254" s="52" t="str">
        <f>IF(Tabla1[[#This Row],[5]]="TPD",Tabla1[[#This Row],[6]],"")</f>
        <v/>
      </c>
      <c r="I254" s="52" t="str">
        <f>IF(OR(Tabla1[[#This Row],[5]]="TPD"),Tabla1[[#This Row],[7]],"")</f>
        <v/>
      </c>
      <c r="J254" s="52">
        <f>IF(Tabla15[[#This Row],[2]]="",0,VLOOKUP(TRAMOS!$H$2,Tabla5[#All],3,FALSE)*Tabla15[[#This Row],[3]])</f>
        <v>0</v>
      </c>
      <c r="K254" s="52" t="str">
        <f>IF(Tabla1[[#This Row],[5]]="TPL",Tabla1[[#This Row],[6]],"")</f>
        <v>6"</v>
      </c>
      <c r="L254" s="52">
        <f>IF(OR(Tabla1[[#This Row],[5]]="TPL"),Tabla1[[#This Row],[7]],"")</f>
        <v>1</v>
      </c>
      <c r="M254" s="52">
        <f>IF(Tabla15[[#This Row],[5]]="",0,VLOOKUP(TRAMOS!$K$2,Tabla5[#All],3,FALSE)*Tabla15[[#This Row],[6]])</f>
        <v>0.9</v>
      </c>
      <c r="N25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5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54" s="52">
        <f>IF(Tabla15[[#This Row],[8]]="",0,VLOOKUP(TRAMOS!$H$2,Tabla5[#All],3,FALSE)*Tabla15[[#This Row],[9]])</f>
        <v>0</v>
      </c>
      <c r="Q25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5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54" s="52">
        <f>IF(Tabla15[[#This Row],[11]]="",0,VLOOKUP(TRAMOS!$Q$2,Tabla5[#All],3,FALSE)*Tabla15[[#This Row],[12]])</f>
        <v>0</v>
      </c>
      <c r="T25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254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25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25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5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5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5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5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54" s="52">
        <f>IF(Tabla15[[#This Row],[20]]="",0,VLOOKUP("VRP",Tabla5[#All],3,FALSE)*Tabla15[[#This Row],[21]])</f>
        <v>0</v>
      </c>
      <c r="AC25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5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54" s="52">
        <f>IF(Tabla15[[#This Row],[23]]="",0,VLOOKUP("VC",Tabla5[#All],3,FALSE)*Tabla15[[#This Row],[24]])</f>
        <v>0</v>
      </c>
      <c r="AF25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5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54" s="52">
        <f>IF(Tabla15[[#This Row],[26]]="",0,VLOOKUP(TRAMOS!$K$2,Tabla5[#All],3,FALSE)*Tabla15[[#This Row],[27]])</f>
        <v>0</v>
      </c>
      <c r="AI25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5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5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5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5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254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25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1.27</v>
      </c>
    </row>
    <row r="255" spans="2:41" x14ac:dyDescent="0.25">
      <c r="B255" s="58" t="str">
        <f>Tabla1[[#This Row],[nudo inicial]]</f>
        <v>N130</v>
      </c>
      <c r="C255" s="58" t="str">
        <f>Tabla1[[#This Row],[nudo final]]</f>
        <v>M131</v>
      </c>
      <c r="D255" s="51">
        <f>Tabla1[[#This Row],[longitud]]</f>
        <v>14.23</v>
      </c>
      <c r="E255" s="51" t="str">
        <f>Tabla1[[#This Row],[diametro]]</f>
        <v>6"</v>
      </c>
      <c r="F255" s="51" t="str">
        <f>Tabla1[[#This Row],[material]]</f>
        <v>PVC</v>
      </c>
      <c r="G25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255" s="52" t="str">
        <f>IF(Tabla1[[#This Row],[5]]="TPD",Tabla1[[#This Row],[6]],"")</f>
        <v>6"</v>
      </c>
      <c r="I255" s="52">
        <f>IF(OR(Tabla1[[#This Row],[5]]="TPD"),Tabla1[[#This Row],[7]],"")</f>
        <v>1</v>
      </c>
      <c r="J255" s="52">
        <f>IF(Tabla15[[#This Row],[2]]="",0,VLOOKUP(TRAMOS!$H$2,Tabla5[#All],3,FALSE)*Tabla15[[#This Row],[3]])</f>
        <v>0.15</v>
      </c>
      <c r="K255" s="52" t="str">
        <f>IF(Tabla1[[#This Row],[5]]="TPL",Tabla1[[#This Row],[6]],"")</f>
        <v/>
      </c>
      <c r="L255" s="52" t="str">
        <f>IF(OR(Tabla1[[#This Row],[5]]="TPL"),Tabla1[[#This Row],[7]],"")</f>
        <v/>
      </c>
      <c r="M255" s="52">
        <f>IF(Tabla15[[#This Row],[5]]="",0,VLOOKUP(TRAMOS!$K$2,Tabla5[#All],3,FALSE)*Tabla15[[#This Row],[6]])</f>
        <v>0</v>
      </c>
      <c r="N25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5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55" s="52">
        <f>IF(Tabla15[[#This Row],[8]]="",0,VLOOKUP(TRAMOS!$H$2,Tabla5[#All],3,FALSE)*Tabla15[[#This Row],[9]])</f>
        <v>0</v>
      </c>
      <c r="Q25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5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55" s="52">
        <f>IF(Tabla15[[#This Row],[11]]="",0,VLOOKUP(TRAMOS!$Q$2,Tabla5[#All],3,FALSE)*Tabla15[[#This Row],[12]])</f>
        <v>0</v>
      </c>
      <c r="T25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5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5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5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5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5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5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5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55" s="52">
        <f>IF(Tabla15[[#This Row],[20]]="",0,VLOOKUP("VRP",Tabla5[#All],3,FALSE)*Tabla15[[#This Row],[21]])</f>
        <v>0</v>
      </c>
      <c r="AC25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5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55" s="52">
        <f>IF(Tabla15[[#This Row],[23]]="",0,VLOOKUP("VC",Tabla5[#All],3,FALSE)*Tabla15[[#This Row],[24]])</f>
        <v>0</v>
      </c>
      <c r="AF25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5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55" s="52">
        <f>IF(Tabla15[[#This Row],[26]]="",0,VLOOKUP(TRAMOS!$K$2,Tabla5[#All],3,FALSE)*Tabla15[[#This Row],[27]])</f>
        <v>0</v>
      </c>
      <c r="AI25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5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5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5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5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5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5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256" spans="2:41" x14ac:dyDescent="0.25">
      <c r="B256" s="58" t="str">
        <f>Tabla1[[#This Row],[nudo inicial]]</f>
        <v>N131</v>
      </c>
      <c r="C256" s="58" t="str">
        <f>Tabla1[[#This Row],[nudo final]]</f>
        <v>TP94</v>
      </c>
      <c r="D256" s="51">
        <f>Tabla1[[#This Row],[longitud]]</f>
        <v>56.03</v>
      </c>
      <c r="E256" s="51" t="str">
        <f>Tabla1[[#This Row],[diametro]]</f>
        <v>3"</v>
      </c>
      <c r="F256" s="51" t="str">
        <f>Tabla1[[#This Row],[material]]</f>
        <v>AC</v>
      </c>
      <c r="G25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256" s="52" t="str">
        <f>IF(Tabla1[[#This Row],[5]]="TPD",Tabla1[[#This Row],[6]],"")</f>
        <v/>
      </c>
      <c r="I256" s="52" t="str">
        <f>IF(OR(Tabla1[[#This Row],[5]]="TPD"),Tabla1[[#This Row],[7]],"")</f>
        <v/>
      </c>
      <c r="J256" s="52">
        <f>IF(Tabla15[[#This Row],[2]]="",0,VLOOKUP(TRAMOS!$H$2,Tabla5[#All],3,FALSE)*Tabla15[[#This Row],[3]])</f>
        <v>0</v>
      </c>
      <c r="K256" s="52" t="str">
        <f>IF(Tabla1[[#This Row],[5]]="TPL",Tabla1[[#This Row],[6]],"")</f>
        <v>6"</v>
      </c>
      <c r="L256" s="52">
        <f>IF(OR(Tabla1[[#This Row],[5]]="TPL"),Tabla1[[#This Row],[7]],"")</f>
        <v>1</v>
      </c>
      <c r="M256" s="52">
        <f>IF(Tabla15[[#This Row],[5]]="",0,VLOOKUP(TRAMOS!$K$2,Tabla5[#All],3,FALSE)*Tabla15[[#This Row],[6]])</f>
        <v>0.9</v>
      </c>
      <c r="N25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5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56" s="52">
        <f>IF(Tabla15[[#This Row],[8]]="",0,VLOOKUP(TRAMOS!$H$2,Tabla5[#All],3,FALSE)*Tabla15[[#This Row],[9]])</f>
        <v>0</v>
      </c>
      <c r="Q25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5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56" s="52">
        <f>IF(Tabla15[[#This Row],[11]]="",0,VLOOKUP(TRAMOS!$Q$2,Tabla5[#All],3,FALSE)*Tabla15[[#This Row],[12]])</f>
        <v>0</v>
      </c>
      <c r="T25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256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25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25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5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5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5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5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56" s="52">
        <f>IF(Tabla15[[#This Row],[20]]="",0,VLOOKUP("VRP",Tabla5[#All],3,FALSE)*Tabla15[[#This Row],[21]])</f>
        <v>0</v>
      </c>
      <c r="AC25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5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56" s="52">
        <f>IF(Tabla15[[#This Row],[23]]="",0,VLOOKUP("VC",Tabla5[#All],3,FALSE)*Tabla15[[#This Row],[24]])</f>
        <v>0</v>
      </c>
      <c r="AF25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5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56" s="52">
        <f>IF(Tabla15[[#This Row],[26]]="",0,VLOOKUP(TRAMOS!$K$2,Tabla5[#All],3,FALSE)*Tabla15[[#This Row],[27]])</f>
        <v>0</v>
      </c>
      <c r="AI25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5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5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5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5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25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25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1.27</v>
      </c>
    </row>
    <row r="257" spans="2:41" x14ac:dyDescent="0.25">
      <c r="B257" s="58" t="str">
        <f>Tabla1[[#This Row],[nudo inicial]]</f>
        <v>N131</v>
      </c>
      <c r="C257" s="58" t="str">
        <f>Tabla1[[#This Row],[nudo final]]</f>
        <v>N132</v>
      </c>
      <c r="D257" s="51">
        <f>Tabla1[[#This Row],[longitud]]</f>
        <v>65.84</v>
      </c>
      <c r="E257" s="51" t="str">
        <f>Tabla1[[#This Row],[diametro]]</f>
        <v>6"</v>
      </c>
      <c r="F257" s="51" t="str">
        <f>Tabla1[[#This Row],[material]]</f>
        <v>PVC</v>
      </c>
      <c r="G25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257" s="52" t="str">
        <f>IF(Tabla1[[#This Row],[5]]="TPD",Tabla1[[#This Row],[6]],"")</f>
        <v>6"</v>
      </c>
      <c r="I257" s="52">
        <f>IF(OR(Tabla1[[#This Row],[5]]="TPD"),Tabla1[[#This Row],[7]],"")</f>
        <v>1</v>
      </c>
      <c r="J257" s="52">
        <f>IF(Tabla15[[#This Row],[2]]="",0,VLOOKUP(TRAMOS!$H$2,Tabla5[#All],3,FALSE)*Tabla15[[#This Row],[3]])</f>
        <v>0.15</v>
      </c>
      <c r="K257" s="52" t="str">
        <f>IF(Tabla1[[#This Row],[5]]="TPL",Tabla1[[#This Row],[6]],"")</f>
        <v/>
      </c>
      <c r="L257" s="52" t="str">
        <f>IF(OR(Tabla1[[#This Row],[5]]="TPL"),Tabla1[[#This Row],[7]],"")</f>
        <v/>
      </c>
      <c r="M257" s="52">
        <f>IF(Tabla15[[#This Row],[5]]="",0,VLOOKUP(TRAMOS!$K$2,Tabla5[#All],3,FALSE)*Tabla15[[#This Row],[6]])</f>
        <v>0</v>
      </c>
      <c r="N25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5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57" s="52">
        <f>IF(Tabla15[[#This Row],[8]]="",0,VLOOKUP(TRAMOS!$H$2,Tabla5[#All],3,FALSE)*Tabla15[[#This Row],[9]])</f>
        <v>0</v>
      </c>
      <c r="Q25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5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57" s="52">
        <f>IF(Tabla15[[#This Row],[11]]="",0,VLOOKUP(TRAMOS!$Q$2,Tabla5[#All],3,FALSE)*Tabla15[[#This Row],[12]])</f>
        <v>0</v>
      </c>
      <c r="T25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5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5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5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5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5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5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5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57" s="52">
        <f>IF(Tabla15[[#This Row],[20]]="",0,VLOOKUP("VRP",Tabla5[#All],3,FALSE)*Tabla15[[#This Row],[21]])</f>
        <v>0</v>
      </c>
      <c r="AC25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5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57" s="52">
        <f>IF(Tabla15[[#This Row],[23]]="",0,VLOOKUP("VC",Tabla5[#All],3,FALSE)*Tabla15[[#This Row],[24]])</f>
        <v>0</v>
      </c>
      <c r="AF25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5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57" s="52">
        <f>IF(Tabla15[[#This Row],[26]]="",0,VLOOKUP(TRAMOS!$K$2,Tabla5[#All],3,FALSE)*Tabla15[[#This Row],[27]])</f>
        <v>0</v>
      </c>
      <c r="AI25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5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5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5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5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5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5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258" spans="2:41" x14ac:dyDescent="0.25">
      <c r="B258" s="58" t="str">
        <f>Tabla1[[#This Row],[nudo inicial]]</f>
        <v>N132</v>
      </c>
      <c r="C258" s="58" t="str">
        <f>Tabla1[[#This Row],[nudo final]]</f>
        <v>TP95</v>
      </c>
      <c r="D258" s="51">
        <f>Tabla1[[#This Row],[longitud]]</f>
        <v>59.43</v>
      </c>
      <c r="E258" s="51" t="str">
        <f>Tabla1[[#This Row],[diametro]]</f>
        <v>3"</v>
      </c>
      <c r="F258" s="51" t="str">
        <f>Tabla1[[#This Row],[material]]</f>
        <v>AC</v>
      </c>
      <c r="G25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258" s="52" t="str">
        <f>IF(Tabla1[[#This Row],[5]]="TPD",Tabla1[[#This Row],[6]],"")</f>
        <v/>
      </c>
      <c r="I258" s="52" t="str">
        <f>IF(OR(Tabla1[[#This Row],[5]]="TPD"),Tabla1[[#This Row],[7]],"")</f>
        <v/>
      </c>
      <c r="J258" s="52">
        <f>IF(Tabla15[[#This Row],[2]]="",0,VLOOKUP(TRAMOS!$H$2,Tabla5[#All],3,FALSE)*Tabla15[[#This Row],[3]])</f>
        <v>0</v>
      </c>
      <c r="K258" s="52" t="str">
        <f>IF(Tabla1[[#This Row],[5]]="TPL",Tabla1[[#This Row],[6]],"")</f>
        <v>6"</v>
      </c>
      <c r="L258" s="52">
        <f>IF(OR(Tabla1[[#This Row],[5]]="TPL"),Tabla1[[#This Row],[7]],"")</f>
        <v>1</v>
      </c>
      <c r="M258" s="52">
        <f>IF(Tabla15[[#This Row],[5]]="",0,VLOOKUP(TRAMOS!$K$2,Tabla5[#All],3,FALSE)*Tabla15[[#This Row],[6]])</f>
        <v>0.9</v>
      </c>
      <c r="N25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5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58" s="52">
        <f>IF(Tabla15[[#This Row],[8]]="",0,VLOOKUP(TRAMOS!$H$2,Tabla5[#All],3,FALSE)*Tabla15[[#This Row],[9]])</f>
        <v>0</v>
      </c>
      <c r="Q25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5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58" s="52">
        <f>IF(Tabla15[[#This Row],[11]]="",0,VLOOKUP(TRAMOS!$Q$2,Tabla5[#All],3,FALSE)*Tabla15[[#This Row],[12]])</f>
        <v>0</v>
      </c>
      <c r="T25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258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25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25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5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5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5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5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58" s="52">
        <f>IF(Tabla15[[#This Row],[20]]="",0,VLOOKUP("VRP",Tabla5[#All],3,FALSE)*Tabla15[[#This Row],[21]])</f>
        <v>0</v>
      </c>
      <c r="AC25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5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58" s="52">
        <f>IF(Tabla15[[#This Row],[23]]="",0,VLOOKUP("VC",Tabla5[#All],3,FALSE)*Tabla15[[#This Row],[24]])</f>
        <v>0</v>
      </c>
      <c r="AF25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5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58" s="52">
        <f>IF(Tabla15[[#This Row],[26]]="",0,VLOOKUP(TRAMOS!$K$2,Tabla5[#All],3,FALSE)*Tabla15[[#This Row],[27]])</f>
        <v>0</v>
      </c>
      <c r="AI25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5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5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5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5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258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25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1.27</v>
      </c>
    </row>
    <row r="259" spans="2:41" x14ac:dyDescent="0.25">
      <c r="B259" s="58" t="str">
        <f>Tabla1[[#This Row],[nudo inicial]]</f>
        <v>N132</v>
      </c>
      <c r="C259" s="58" t="str">
        <f>Tabla1[[#This Row],[nudo final]]</f>
        <v>N120</v>
      </c>
      <c r="D259" s="51">
        <f>Tabla1[[#This Row],[longitud]]</f>
        <v>54.78</v>
      </c>
      <c r="E259" s="51" t="str">
        <f>Tabla1[[#This Row],[diametro]]</f>
        <v>6"</v>
      </c>
      <c r="F259" s="51" t="str">
        <f>Tabla1[[#This Row],[material]]</f>
        <v>PVC</v>
      </c>
      <c r="G25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259" s="52" t="str">
        <f>IF(Tabla1[[#This Row],[5]]="TPD",Tabla1[[#This Row],[6]],"")</f>
        <v>6"</v>
      </c>
      <c r="I259" s="52">
        <f>IF(OR(Tabla1[[#This Row],[5]]="TPD"),Tabla1[[#This Row],[7]],"")</f>
        <v>1</v>
      </c>
      <c r="J259" s="52">
        <f>IF(Tabla15[[#This Row],[2]]="",0,VLOOKUP(TRAMOS!$H$2,Tabla5[#All],3,FALSE)*Tabla15[[#This Row],[3]])</f>
        <v>0.15</v>
      </c>
      <c r="K259" s="52" t="str">
        <f>IF(Tabla1[[#This Row],[5]]="TPL",Tabla1[[#This Row],[6]],"")</f>
        <v/>
      </c>
      <c r="L259" s="52" t="str">
        <f>IF(OR(Tabla1[[#This Row],[5]]="TPL"),Tabla1[[#This Row],[7]],"")</f>
        <v/>
      </c>
      <c r="M259" s="52">
        <f>IF(Tabla15[[#This Row],[5]]="",0,VLOOKUP(TRAMOS!$K$2,Tabla5[#All],3,FALSE)*Tabla15[[#This Row],[6]])</f>
        <v>0</v>
      </c>
      <c r="N25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5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59" s="52">
        <f>IF(Tabla15[[#This Row],[8]]="",0,VLOOKUP(TRAMOS!$H$2,Tabla5[#All],3,FALSE)*Tabla15[[#This Row],[9]])</f>
        <v>0</v>
      </c>
      <c r="Q25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5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59" s="52">
        <f>IF(Tabla15[[#This Row],[11]]="",0,VLOOKUP(TRAMOS!$Q$2,Tabla5[#All],3,FALSE)*Tabla15[[#This Row],[12]])</f>
        <v>0</v>
      </c>
      <c r="T25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5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5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5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5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5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5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5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59" s="52">
        <f>IF(Tabla15[[#This Row],[20]]="",0,VLOOKUP("VRP",Tabla5[#All],3,FALSE)*Tabla15[[#This Row],[21]])</f>
        <v>0</v>
      </c>
      <c r="AC25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6"</v>
      </c>
      <c r="AD259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259" s="52">
        <f>IF(Tabla15[[#This Row],[23]]="",0,VLOOKUP("VC",Tabla5[#All],3,FALSE)*Tabla15[[#This Row],[24]])</f>
        <v>0.25</v>
      </c>
      <c r="AF25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5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59" s="52">
        <f>IF(Tabla15[[#This Row],[26]]="",0,VLOOKUP(TRAMOS!$K$2,Tabla5[#All],3,FALSE)*Tabla15[[#This Row],[27]])</f>
        <v>0</v>
      </c>
      <c r="AI25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5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5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5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5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5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5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0.4</v>
      </c>
    </row>
    <row r="260" spans="2:41" x14ac:dyDescent="0.25">
      <c r="B260" s="58" t="str">
        <f>Tabla1[[#This Row],[nudo inicial]]</f>
        <v>N120</v>
      </c>
      <c r="C260" s="58" t="str">
        <f>Tabla1[[#This Row],[nudo final]]</f>
        <v>N133</v>
      </c>
      <c r="D260" s="51">
        <f>Tabla1[[#This Row],[longitud]]</f>
        <v>50.26</v>
      </c>
      <c r="E260" s="51" t="str">
        <f>Tabla1[[#This Row],[diametro]]</f>
        <v>4"</v>
      </c>
      <c r="F260" s="51" t="str">
        <f>Tabla1[[#This Row],[material]]</f>
        <v>PVC</v>
      </c>
      <c r="G26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260" s="52" t="str">
        <f>IF(Tabla1[[#This Row],[5]]="TPD",Tabla1[[#This Row],[6]],"")</f>
        <v>4"</v>
      </c>
      <c r="I260" s="52">
        <f>IF(OR(Tabla1[[#This Row],[5]]="TPD"),Tabla1[[#This Row],[7]],"")</f>
        <v>1</v>
      </c>
      <c r="J260" s="52">
        <f>IF(Tabla15[[#This Row],[2]]="",0,VLOOKUP(TRAMOS!$H$2,Tabla5[#All],3,FALSE)*Tabla15[[#This Row],[3]])</f>
        <v>0.15</v>
      </c>
      <c r="K260" s="52" t="str">
        <f>IF(Tabla1[[#This Row],[5]]="TPL",Tabla1[[#This Row],[6]],"")</f>
        <v/>
      </c>
      <c r="L260" s="52" t="str">
        <f>IF(OR(Tabla1[[#This Row],[5]]="TPL"),Tabla1[[#This Row],[7]],"")</f>
        <v/>
      </c>
      <c r="M260" s="52">
        <f>IF(Tabla15[[#This Row],[5]]="",0,VLOOKUP(TRAMOS!$K$2,Tabla5[#All],3,FALSE)*Tabla15[[#This Row],[6]])</f>
        <v>0</v>
      </c>
      <c r="N26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6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60" s="52">
        <f>IF(Tabla15[[#This Row],[8]]="",0,VLOOKUP(TRAMOS!$H$2,Tabla5[#All],3,FALSE)*Tabla15[[#This Row],[9]])</f>
        <v>0</v>
      </c>
      <c r="Q26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6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60" s="52">
        <f>IF(Tabla15[[#This Row],[11]]="",0,VLOOKUP(TRAMOS!$Q$2,Tabla5[#All],3,FALSE)*Tabla15[[#This Row],[12]])</f>
        <v>0</v>
      </c>
      <c r="T26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6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6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6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6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6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6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6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60" s="52">
        <f>IF(Tabla15[[#This Row],[20]]="",0,VLOOKUP("VRP",Tabla5[#All],3,FALSE)*Tabla15[[#This Row],[21]])</f>
        <v>0</v>
      </c>
      <c r="AC26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6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60" s="52">
        <f>IF(Tabla15[[#This Row],[23]]="",0,VLOOKUP("VC",Tabla5[#All],3,FALSE)*Tabla15[[#This Row],[24]])</f>
        <v>0</v>
      </c>
      <c r="AF26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6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60" s="52">
        <f>IF(Tabla15[[#This Row],[26]]="",0,VLOOKUP(TRAMOS!$K$2,Tabla5[#All],3,FALSE)*Tabla15[[#This Row],[27]])</f>
        <v>0</v>
      </c>
      <c r="AI26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6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6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6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6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6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6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261" spans="2:41" x14ac:dyDescent="0.25">
      <c r="B261" s="58" t="str">
        <f>Tabla1[[#This Row],[nudo inicial]]</f>
        <v>N133</v>
      </c>
      <c r="C261" s="58" t="str">
        <f>Tabla1[[#This Row],[nudo final]]</f>
        <v>TP96</v>
      </c>
      <c r="D261" s="51">
        <f>Tabla1[[#This Row],[longitud]]</f>
        <v>63.11</v>
      </c>
      <c r="E261" s="51" t="str">
        <f>Tabla1[[#This Row],[diametro]]</f>
        <v>2"</v>
      </c>
      <c r="F261" s="51" t="str">
        <f>Tabla1[[#This Row],[material]]</f>
        <v>PVC</v>
      </c>
      <c r="G26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261" s="52" t="str">
        <f>IF(Tabla1[[#This Row],[5]]="TPD",Tabla1[[#This Row],[6]],"")</f>
        <v/>
      </c>
      <c r="I261" s="52" t="str">
        <f>IF(OR(Tabla1[[#This Row],[5]]="TPD"),Tabla1[[#This Row],[7]],"")</f>
        <v/>
      </c>
      <c r="J261" s="52">
        <f>IF(Tabla15[[#This Row],[2]]="",0,VLOOKUP(TRAMOS!$H$2,Tabla5[#All],3,FALSE)*Tabla15[[#This Row],[3]])</f>
        <v>0</v>
      </c>
      <c r="K261" s="52" t="str">
        <f>IF(Tabla1[[#This Row],[5]]="TPL",Tabla1[[#This Row],[6]],"")</f>
        <v>4"</v>
      </c>
      <c r="L261" s="52">
        <f>IF(OR(Tabla1[[#This Row],[5]]="TPL"),Tabla1[[#This Row],[7]],"")</f>
        <v>1</v>
      </c>
      <c r="M261" s="52">
        <f>IF(Tabla15[[#This Row],[5]]="",0,VLOOKUP(TRAMOS!$K$2,Tabla5[#All],3,FALSE)*Tabla15[[#This Row],[6]])</f>
        <v>0.9</v>
      </c>
      <c r="N26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6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61" s="52">
        <f>IF(Tabla15[[#This Row],[8]]="",0,VLOOKUP(TRAMOS!$H$2,Tabla5[#All],3,FALSE)*Tabla15[[#This Row],[9]])</f>
        <v>0</v>
      </c>
      <c r="Q26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6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61" s="52">
        <f>IF(Tabla15[[#This Row],[11]]="",0,VLOOKUP(TRAMOS!$Q$2,Tabla5[#All],3,FALSE)*Tabla15[[#This Row],[12]])</f>
        <v>0</v>
      </c>
      <c r="T26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261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26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26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6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6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6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6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61" s="52">
        <f>IF(Tabla15[[#This Row],[20]]="",0,VLOOKUP("VRP",Tabla5[#All],3,FALSE)*Tabla15[[#This Row],[21]])</f>
        <v>0</v>
      </c>
      <c r="AC26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6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61" s="52">
        <f>IF(Tabla15[[#This Row],[23]]="",0,VLOOKUP("VC",Tabla5[#All],3,FALSE)*Tabla15[[#This Row],[24]])</f>
        <v>0</v>
      </c>
      <c r="AF26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6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61" s="52">
        <f>IF(Tabla15[[#This Row],[26]]="",0,VLOOKUP(TRAMOS!$K$2,Tabla5[#All],3,FALSE)*Tabla15[[#This Row],[27]])</f>
        <v>0</v>
      </c>
      <c r="AI26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6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6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6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6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261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26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1.27</v>
      </c>
    </row>
    <row r="262" spans="2:41" x14ac:dyDescent="0.25">
      <c r="B262" s="58" t="str">
        <f>Tabla1[[#This Row],[nudo inicial]]</f>
        <v>N133</v>
      </c>
      <c r="C262" s="58" t="str">
        <f>Tabla1[[#This Row],[nudo final]]</f>
        <v>N134</v>
      </c>
      <c r="D262" s="51">
        <f>Tabla1[[#This Row],[longitud]]</f>
        <v>57</v>
      </c>
      <c r="E262" s="51" t="str">
        <f>Tabla1[[#This Row],[diametro]]</f>
        <v>4"</v>
      </c>
      <c r="F262" s="51" t="str">
        <f>Tabla1[[#This Row],[material]]</f>
        <v>PVC</v>
      </c>
      <c r="G26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262" s="52" t="str">
        <f>IF(Tabla1[[#This Row],[5]]="TPD",Tabla1[[#This Row],[6]],"")</f>
        <v>4"</v>
      </c>
      <c r="I262" s="52">
        <f>IF(OR(Tabla1[[#This Row],[5]]="TPD"),Tabla1[[#This Row],[7]],"")</f>
        <v>1</v>
      </c>
      <c r="J262" s="52">
        <f>IF(Tabla15[[#This Row],[2]]="",0,VLOOKUP(TRAMOS!$H$2,Tabla5[#All],3,FALSE)*Tabla15[[#This Row],[3]])</f>
        <v>0.15</v>
      </c>
      <c r="K262" s="52" t="str">
        <f>IF(Tabla1[[#This Row],[5]]="TPL",Tabla1[[#This Row],[6]],"")</f>
        <v/>
      </c>
      <c r="L262" s="52" t="str">
        <f>IF(OR(Tabla1[[#This Row],[5]]="TPL"),Tabla1[[#This Row],[7]],"")</f>
        <v/>
      </c>
      <c r="M262" s="52">
        <f>IF(Tabla15[[#This Row],[5]]="",0,VLOOKUP(TRAMOS!$K$2,Tabla5[#All],3,FALSE)*Tabla15[[#This Row],[6]])</f>
        <v>0</v>
      </c>
      <c r="N26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6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62" s="52">
        <f>IF(Tabla15[[#This Row],[8]]="",0,VLOOKUP(TRAMOS!$H$2,Tabla5[#All],3,FALSE)*Tabla15[[#This Row],[9]])</f>
        <v>0</v>
      </c>
      <c r="Q26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6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62" s="52">
        <f>IF(Tabla15[[#This Row],[11]]="",0,VLOOKUP(TRAMOS!$Q$2,Tabla5[#All],3,FALSE)*Tabla15[[#This Row],[12]])</f>
        <v>0</v>
      </c>
      <c r="T26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6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6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6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6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6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6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6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62" s="52">
        <f>IF(Tabla15[[#This Row],[20]]="",0,VLOOKUP("VRP",Tabla5[#All],3,FALSE)*Tabla15[[#This Row],[21]])</f>
        <v>0</v>
      </c>
      <c r="AC26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6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62" s="52">
        <f>IF(Tabla15[[#This Row],[23]]="",0,VLOOKUP("VC",Tabla5[#All],3,FALSE)*Tabla15[[#This Row],[24]])</f>
        <v>0</v>
      </c>
      <c r="AF26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6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62" s="52">
        <f>IF(Tabla15[[#This Row],[26]]="",0,VLOOKUP(TRAMOS!$K$2,Tabla5[#All],3,FALSE)*Tabla15[[#This Row],[27]])</f>
        <v>0</v>
      </c>
      <c r="AI26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6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6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6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6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6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6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263" spans="2:41" x14ac:dyDescent="0.25">
      <c r="B263" s="58" t="str">
        <f>Tabla1[[#This Row],[nudo inicial]]</f>
        <v>N134</v>
      </c>
      <c r="C263" s="58" t="str">
        <f>Tabla1[[#This Row],[nudo final]]</f>
        <v>N135</v>
      </c>
      <c r="D263" s="51">
        <f>Tabla1[[#This Row],[longitud]]</f>
        <v>20.22</v>
      </c>
      <c r="E263" s="51" t="str">
        <f>Tabla1[[#This Row],[diametro]]</f>
        <v>3"</v>
      </c>
      <c r="F263" s="51" t="str">
        <f>Tabla1[[#This Row],[material]]</f>
        <v>PVC</v>
      </c>
      <c r="G26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263" s="52" t="str">
        <f>IF(Tabla1[[#This Row],[5]]="TPD",Tabla1[[#This Row],[6]],"")</f>
        <v/>
      </c>
      <c r="I263" s="52" t="str">
        <f>IF(OR(Tabla1[[#This Row],[5]]="TPD"),Tabla1[[#This Row],[7]],"")</f>
        <v/>
      </c>
      <c r="J263" s="52">
        <f>IF(Tabla15[[#This Row],[2]]="",0,VLOOKUP(TRAMOS!$H$2,Tabla5[#All],3,FALSE)*Tabla15[[#This Row],[3]])</f>
        <v>0</v>
      </c>
      <c r="K263" s="52" t="str">
        <f>IF(Tabla1[[#This Row],[5]]="TPL",Tabla1[[#This Row],[6]],"")</f>
        <v/>
      </c>
      <c r="L263" s="52" t="str">
        <f>IF(OR(Tabla1[[#This Row],[5]]="TPL"),Tabla1[[#This Row],[7]],"")</f>
        <v/>
      </c>
      <c r="M263" s="52">
        <f>IF(Tabla15[[#This Row],[5]]="",0,VLOOKUP(TRAMOS!$K$2,Tabla5[#All],3,FALSE)*Tabla15[[#This Row],[6]])</f>
        <v>0</v>
      </c>
      <c r="N26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6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63" s="52">
        <f>IF(Tabla15[[#This Row],[8]]="",0,VLOOKUP(TRAMOS!$H$2,Tabla5[#All],3,FALSE)*Tabla15[[#This Row],[9]])</f>
        <v>0</v>
      </c>
      <c r="Q26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6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63" s="52">
        <f>IF(Tabla15[[#This Row],[11]]="",0,VLOOKUP(TRAMOS!$Q$2,Tabla5[#All],3,FALSE)*Tabla15[[#This Row],[12]])</f>
        <v>0</v>
      </c>
      <c r="T26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263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26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0.13850000000000007</v>
      </c>
      <c r="W26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6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6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6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6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63" s="52">
        <f>IF(Tabla15[[#This Row],[20]]="",0,VLOOKUP("VRP",Tabla5[#All],3,FALSE)*Tabla15[[#This Row],[21]])</f>
        <v>0</v>
      </c>
      <c r="AC26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263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263" s="52">
        <f>IF(Tabla15[[#This Row],[23]]="",0,VLOOKUP("VC",Tabla5[#All],3,FALSE)*Tabla15[[#This Row],[24]])</f>
        <v>0.25</v>
      </c>
      <c r="AF26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6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63" s="52">
        <f>IF(Tabla15[[#This Row],[26]]="",0,VLOOKUP(TRAMOS!$K$2,Tabla5[#All],3,FALSE)*Tabla15[[#This Row],[27]])</f>
        <v>0</v>
      </c>
      <c r="AI26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6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6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6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6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6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6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0.38850000000000007</v>
      </c>
    </row>
    <row r="264" spans="2:41" x14ac:dyDescent="0.25">
      <c r="B264" s="58" t="str">
        <f>Tabla1[[#This Row],[nudo inicial]]</f>
        <v>N76</v>
      </c>
      <c r="C264" s="58" t="str">
        <f>Tabla1[[#This Row],[nudo final]]</f>
        <v>N135</v>
      </c>
      <c r="D264" s="51">
        <f>Tabla1[[#This Row],[longitud]]</f>
        <v>55.93</v>
      </c>
      <c r="E264" s="51" t="str">
        <f>Tabla1[[#This Row],[diametro]]</f>
        <v>3"</v>
      </c>
      <c r="F264" s="51" t="str">
        <f>Tabla1[[#This Row],[material]]</f>
        <v>PVC</v>
      </c>
      <c r="G26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264" s="52" t="str">
        <f>IF(Tabla1[[#This Row],[5]]="TPD",Tabla1[[#This Row],[6]],"")</f>
        <v/>
      </c>
      <c r="I264" s="52" t="str">
        <f>IF(OR(Tabla1[[#This Row],[5]]="TPD"),Tabla1[[#This Row],[7]],"")</f>
        <v/>
      </c>
      <c r="J264" s="52">
        <f>IF(Tabla15[[#This Row],[2]]="",0,VLOOKUP(TRAMOS!$H$2,Tabla5[#All],3,FALSE)*Tabla15[[#This Row],[3]])</f>
        <v>0</v>
      </c>
      <c r="K264" s="52" t="str">
        <f>IF(Tabla1[[#This Row],[5]]="TPL",Tabla1[[#This Row],[6]],"")</f>
        <v/>
      </c>
      <c r="L264" s="52" t="str">
        <f>IF(OR(Tabla1[[#This Row],[5]]="TPL"),Tabla1[[#This Row],[7]],"")</f>
        <v/>
      </c>
      <c r="M264" s="52">
        <f>IF(Tabla15[[#This Row],[5]]="",0,VLOOKUP(TRAMOS!$K$2,Tabla5[#All],3,FALSE)*Tabla15[[#This Row],[6]])</f>
        <v>0</v>
      </c>
      <c r="N26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6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64" s="52">
        <f>IF(Tabla15[[#This Row],[8]]="",0,VLOOKUP(TRAMOS!$H$2,Tabla5[#All],3,FALSE)*Tabla15[[#This Row],[9]])</f>
        <v>0</v>
      </c>
      <c r="Q26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3"</v>
      </c>
      <c r="R264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2</v>
      </c>
      <c r="S264" s="52">
        <f>IF(Tabla15[[#This Row],[11]]="",0,VLOOKUP(TRAMOS!$Q$2,Tabla5[#All],3,FALSE)*Tabla15[[#This Row],[12]])</f>
        <v>1.8</v>
      </c>
      <c r="T26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264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26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0.41679999999999995</v>
      </c>
      <c r="W26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6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6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6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6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64" s="52">
        <f>IF(Tabla15[[#This Row],[20]]="",0,VLOOKUP("VRP",Tabla5[#All],3,FALSE)*Tabla15[[#This Row],[21]])</f>
        <v>0</v>
      </c>
      <c r="AC26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6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64" s="52">
        <f>IF(Tabla15[[#This Row],[23]]="",0,VLOOKUP("VC",Tabla5[#All],3,FALSE)*Tabla15[[#This Row],[24]])</f>
        <v>0</v>
      </c>
      <c r="AF26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6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64" s="52">
        <f>IF(Tabla15[[#This Row],[26]]="",0,VLOOKUP(TRAMOS!$K$2,Tabla5[#All],3,FALSE)*Tabla15[[#This Row],[27]])</f>
        <v>0</v>
      </c>
      <c r="AI26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6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6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6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6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6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6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2.2168000000000001</v>
      </c>
    </row>
    <row r="265" spans="2:41" x14ac:dyDescent="0.25">
      <c r="B265" s="58" t="str">
        <f>Tabla1[[#This Row],[nudo inicial]]</f>
        <v>N135</v>
      </c>
      <c r="C265" s="58" t="str">
        <f>Tabla1[[#This Row],[nudo final]]</f>
        <v>N136</v>
      </c>
      <c r="D265" s="51">
        <f>Tabla1[[#This Row],[longitud]]</f>
        <v>35.200000000000003</v>
      </c>
      <c r="E265" s="51" t="str">
        <f>Tabla1[[#This Row],[diametro]]</f>
        <v>3"</v>
      </c>
      <c r="F265" s="51" t="str">
        <f>Tabla1[[#This Row],[material]]</f>
        <v>PVC</v>
      </c>
      <c r="G26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65" s="52" t="str">
        <f>IF(Tabla1[[#This Row],[5]]="TPD",Tabla1[[#This Row],[6]],"")</f>
        <v/>
      </c>
      <c r="I265" s="52" t="str">
        <f>IF(OR(Tabla1[[#This Row],[5]]="TPD"),Tabla1[[#This Row],[7]],"")</f>
        <v/>
      </c>
      <c r="J265" s="52">
        <f>IF(Tabla15[[#This Row],[2]]="",0,VLOOKUP(TRAMOS!$H$2,Tabla5[#All],3,FALSE)*Tabla15[[#This Row],[3]])</f>
        <v>0</v>
      </c>
      <c r="K265" s="52" t="str">
        <f>IF(Tabla1[[#This Row],[5]]="TPL",Tabla1[[#This Row],[6]],"")</f>
        <v>3"</v>
      </c>
      <c r="L265" s="52">
        <f>IF(OR(Tabla1[[#This Row],[5]]="TPL"),Tabla1[[#This Row],[7]],"")</f>
        <v>1</v>
      </c>
      <c r="M265" s="52">
        <f>IF(Tabla15[[#This Row],[5]]="",0,VLOOKUP(TRAMOS!$K$2,Tabla5[#All],3,FALSE)*Tabla15[[#This Row],[6]])</f>
        <v>0.9</v>
      </c>
      <c r="N26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6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65" s="52">
        <f>IF(Tabla15[[#This Row],[8]]="",0,VLOOKUP(TRAMOS!$H$2,Tabla5[#All],3,FALSE)*Tabla15[[#This Row],[9]])</f>
        <v>0</v>
      </c>
      <c r="Q26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6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65" s="52">
        <f>IF(Tabla15[[#This Row],[11]]="",0,VLOOKUP(TRAMOS!$Q$2,Tabla5[#All],3,FALSE)*Tabla15[[#This Row],[12]])</f>
        <v>0</v>
      </c>
      <c r="T26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6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6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6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6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6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6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6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65" s="52">
        <f>IF(Tabla15[[#This Row],[20]]="",0,VLOOKUP("VRP",Tabla5[#All],3,FALSE)*Tabla15[[#This Row],[21]])</f>
        <v>0</v>
      </c>
      <c r="AC26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265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265" s="52">
        <f>IF(Tabla15[[#This Row],[23]]="",0,VLOOKUP("VC",Tabla5[#All],3,FALSE)*Tabla15[[#This Row],[24]])</f>
        <v>0.25</v>
      </c>
      <c r="AF26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6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65" s="52">
        <f>IF(Tabla15[[#This Row],[26]]="",0,VLOOKUP(TRAMOS!$K$2,Tabla5[#All],3,FALSE)*Tabla15[[#This Row],[27]])</f>
        <v>0</v>
      </c>
      <c r="AI26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6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6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6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6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6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6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1.1499999999999999</v>
      </c>
    </row>
    <row r="266" spans="2:41" x14ac:dyDescent="0.25">
      <c r="B266" s="58" t="str">
        <f>Tabla1[[#This Row],[nudo inicial]]</f>
        <v>N136</v>
      </c>
      <c r="C266" s="58" t="str">
        <f>Tabla1[[#This Row],[nudo final]]</f>
        <v>TP97</v>
      </c>
      <c r="D266" s="51">
        <f>Tabla1[[#This Row],[longitud]]</f>
        <v>34.369999999999997</v>
      </c>
      <c r="E266" s="51" t="str">
        <f>Tabla1[[#This Row],[diametro]]</f>
        <v>3"</v>
      </c>
      <c r="F266" s="51" t="str">
        <f>Tabla1[[#This Row],[material]]</f>
        <v>PVC</v>
      </c>
      <c r="G26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66" s="52" t="str">
        <f>IF(Tabla1[[#This Row],[5]]="TPD",Tabla1[[#This Row],[6]],"")</f>
        <v/>
      </c>
      <c r="I266" s="52" t="str">
        <f>IF(OR(Tabla1[[#This Row],[5]]="TPD"),Tabla1[[#This Row],[7]],"")</f>
        <v/>
      </c>
      <c r="J266" s="52">
        <f>IF(Tabla15[[#This Row],[2]]="",0,VLOOKUP(TRAMOS!$H$2,Tabla5[#All],3,FALSE)*Tabla15[[#This Row],[3]])</f>
        <v>0</v>
      </c>
      <c r="K266" s="52" t="str">
        <f>IF(Tabla1[[#This Row],[5]]="TPL",Tabla1[[#This Row],[6]],"")</f>
        <v>3"</v>
      </c>
      <c r="L266" s="52">
        <f>IF(OR(Tabla1[[#This Row],[5]]="TPL"),Tabla1[[#This Row],[7]],"")</f>
        <v>1</v>
      </c>
      <c r="M266" s="52">
        <f>IF(Tabla15[[#This Row],[5]]="",0,VLOOKUP(TRAMOS!$K$2,Tabla5[#All],3,FALSE)*Tabla15[[#This Row],[6]])</f>
        <v>0.9</v>
      </c>
      <c r="N26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6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66" s="52">
        <f>IF(Tabla15[[#This Row],[8]]="",0,VLOOKUP(TRAMOS!$H$2,Tabla5[#All],3,FALSE)*Tabla15[[#This Row],[9]])</f>
        <v>0</v>
      </c>
      <c r="Q26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6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66" s="52">
        <f>IF(Tabla15[[#This Row],[11]]="",0,VLOOKUP(TRAMOS!$Q$2,Tabla5[#All],3,FALSE)*Tabla15[[#This Row],[12]])</f>
        <v>0</v>
      </c>
      <c r="T26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6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6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6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6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6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6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6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66" s="52">
        <f>IF(Tabla15[[#This Row],[20]]="",0,VLOOKUP("VRP",Tabla5[#All],3,FALSE)*Tabla15[[#This Row],[21]])</f>
        <v>0</v>
      </c>
      <c r="AC26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6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66" s="52">
        <f>IF(Tabla15[[#This Row],[23]]="",0,VLOOKUP("VC",Tabla5[#All],3,FALSE)*Tabla15[[#This Row],[24]])</f>
        <v>0</v>
      </c>
      <c r="AF26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6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66" s="52">
        <f>IF(Tabla15[[#This Row],[26]]="",0,VLOOKUP(TRAMOS!$K$2,Tabla5[#All],3,FALSE)*Tabla15[[#This Row],[27]])</f>
        <v>0</v>
      </c>
      <c r="AI26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6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6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6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6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26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26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267" spans="2:41" x14ac:dyDescent="0.25">
      <c r="B267" s="58" t="str">
        <f>Tabla1[[#This Row],[nudo inicial]]</f>
        <v>N136</v>
      </c>
      <c r="C267" s="58" t="str">
        <f>Tabla1[[#This Row],[nudo final]]</f>
        <v>N137</v>
      </c>
      <c r="D267" s="51">
        <f>Tabla1[[#This Row],[longitud]]</f>
        <v>20.57</v>
      </c>
      <c r="E267" s="51" t="str">
        <f>Tabla1[[#This Row],[diametro]]</f>
        <v>3"</v>
      </c>
      <c r="F267" s="51" t="str">
        <f>Tabla1[[#This Row],[material]]</f>
        <v>PVC</v>
      </c>
      <c r="G26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67" s="52" t="str">
        <f>IF(Tabla1[[#This Row],[5]]="TPD",Tabla1[[#This Row],[6]],"")</f>
        <v/>
      </c>
      <c r="I267" s="52" t="str">
        <f>IF(OR(Tabla1[[#This Row],[5]]="TPD"),Tabla1[[#This Row],[7]],"")</f>
        <v/>
      </c>
      <c r="J267" s="52">
        <f>IF(Tabla15[[#This Row],[2]]="",0,VLOOKUP(TRAMOS!$H$2,Tabla5[#All],3,FALSE)*Tabla15[[#This Row],[3]])</f>
        <v>0</v>
      </c>
      <c r="K267" s="52" t="str">
        <f>IF(Tabla1[[#This Row],[5]]="TPL",Tabla1[[#This Row],[6]],"")</f>
        <v>3"</v>
      </c>
      <c r="L267" s="52">
        <f>IF(OR(Tabla1[[#This Row],[5]]="TPL"),Tabla1[[#This Row],[7]],"")</f>
        <v>1</v>
      </c>
      <c r="M267" s="52">
        <f>IF(Tabla15[[#This Row],[5]]="",0,VLOOKUP(TRAMOS!$K$2,Tabla5[#All],3,FALSE)*Tabla15[[#This Row],[6]])</f>
        <v>0.9</v>
      </c>
      <c r="N26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6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67" s="52">
        <f>IF(Tabla15[[#This Row],[8]]="",0,VLOOKUP(TRAMOS!$H$2,Tabla5[#All],3,FALSE)*Tabla15[[#This Row],[9]])</f>
        <v>0</v>
      </c>
      <c r="Q26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6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67" s="52">
        <f>IF(Tabla15[[#This Row],[11]]="",0,VLOOKUP(TRAMOS!$Q$2,Tabla5[#All],3,FALSE)*Tabla15[[#This Row],[12]])</f>
        <v>0</v>
      </c>
      <c r="T26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6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6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6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6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6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6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6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67" s="52">
        <f>IF(Tabla15[[#This Row],[20]]="",0,VLOOKUP("VRP",Tabla5[#All],3,FALSE)*Tabla15[[#This Row],[21]])</f>
        <v>0</v>
      </c>
      <c r="AC26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6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67" s="52">
        <f>IF(Tabla15[[#This Row],[23]]="",0,VLOOKUP("VC",Tabla5[#All],3,FALSE)*Tabla15[[#This Row],[24]])</f>
        <v>0</v>
      </c>
      <c r="AF26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6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67" s="52">
        <f>IF(Tabla15[[#This Row],[26]]="",0,VLOOKUP(TRAMOS!$K$2,Tabla5[#All],3,FALSE)*Tabla15[[#This Row],[27]])</f>
        <v>0</v>
      </c>
      <c r="AI26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6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6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6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6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6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6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268" spans="2:41" x14ac:dyDescent="0.25">
      <c r="B268" s="58" t="str">
        <f>Tabla1[[#This Row],[nudo inicial]]</f>
        <v>N137</v>
      </c>
      <c r="C268" s="58" t="str">
        <f>Tabla1[[#This Row],[nudo final]]</f>
        <v>N138</v>
      </c>
      <c r="D268" s="51">
        <f>Tabla1[[#This Row],[longitud]]</f>
        <v>31.39</v>
      </c>
      <c r="E268" s="51" t="str">
        <f>Tabla1[[#This Row],[diametro]]</f>
        <v>3"</v>
      </c>
      <c r="F268" s="51" t="str">
        <f>Tabla1[[#This Row],[material]]</f>
        <v>PVC</v>
      </c>
      <c r="G26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68" s="52" t="str">
        <f>IF(Tabla1[[#This Row],[5]]="TPD",Tabla1[[#This Row],[6]],"")</f>
        <v>3"</v>
      </c>
      <c r="I268" s="52">
        <f>IF(OR(Tabla1[[#This Row],[5]]="TPD"),Tabla1[[#This Row],[7]],"")</f>
        <v>1</v>
      </c>
      <c r="J268" s="52">
        <f>IF(Tabla15[[#This Row],[2]]="",0,VLOOKUP(TRAMOS!$H$2,Tabla5[#All],3,FALSE)*Tabla15[[#This Row],[3]])</f>
        <v>0.15</v>
      </c>
      <c r="K268" s="52" t="str">
        <f>IF(Tabla1[[#This Row],[5]]="TPL",Tabla1[[#This Row],[6]],"")</f>
        <v/>
      </c>
      <c r="L268" s="52" t="str">
        <f>IF(OR(Tabla1[[#This Row],[5]]="TPL"),Tabla1[[#This Row],[7]],"")</f>
        <v/>
      </c>
      <c r="M268" s="52">
        <f>IF(Tabla15[[#This Row],[5]]="",0,VLOOKUP(TRAMOS!$K$2,Tabla5[#All],3,FALSE)*Tabla15[[#This Row],[6]])</f>
        <v>0</v>
      </c>
      <c r="N26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6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68" s="52">
        <f>IF(Tabla15[[#This Row],[8]]="",0,VLOOKUP(TRAMOS!$H$2,Tabla5[#All],3,FALSE)*Tabla15[[#This Row],[9]])</f>
        <v>0</v>
      </c>
      <c r="Q26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6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68" s="52">
        <f>IF(Tabla15[[#This Row],[11]]="",0,VLOOKUP(TRAMOS!$Q$2,Tabla5[#All],3,FALSE)*Tabla15[[#This Row],[12]])</f>
        <v>0</v>
      </c>
      <c r="T26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6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6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6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6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6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6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6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68" s="52">
        <f>IF(Tabla15[[#This Row],[20]]="",0,VLOOKUP("VRP",Tabla5[#All],3,FALSE)*Tabla15[[#This Row],[21]])</f>
        <v>0</v>
      </c>
      <c r="AC26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6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68" s="52">
        <f>IF(Tabla15[[#This Row],[23]]="",0,VLOOKUP("VC",Tabla5[#All],3,FALSE)*Tabla15[[#This Row],[24]])</f>
        <v>0</v>
      </c>
      <c r="AF26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6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68" s="52">
        <f>IF(Tabla15[[#This Row],[26]]="",0,VLOOKUP(TRAMOS!$K$2,Tabla5[#All],3,FALSE)*Tabla15[[#This Row],[27]])</f>
        <v>0</v>
      </c>
      <c r="AI26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6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6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6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6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6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6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269" spans="2:41" x14ac:dyDescent="0.25">
      <c r="B269" s="58" t="str">
        <f>Tabla1[[#This Row],[nudo inicial]]</f>
        <v>N138</v>
      </c>
      <c r="C269" s="58" t="str">
        <f>Tabla1[[#This Row],[nudo final]]</f>
        <v>TP98</v>
      </c>
      <c r="D269" s="51">
        <f>Tabla1[[#This Row],[longitud]]</f>
        <v>37.76</v>
      </c>
      <c r="E269" s="51" t="str">
        <f>Tabla1[[#This Row],[diametro]]</f>
        <v>3"</v>
      </c>
      <c r="F269" s="51" t="str">
        <f>Tabla1[[#This Row],[material]]</f>
        <v>PVC</v>
      </c>
      <c r="G26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69" s="52" t="str">
        <f>IF(Tabla1[[#This Row],[5]]="TPD",Tabla1[[#This Row],[6]],"")</f>
        <v/>
      </c>
      <c r="I269" s="52" t="str">
        <f>IF(OR(Tabla1[[#This Row],[5]]="TPD"),Tabla1[[#This Row],[7]],"")</f>
        <v/>
      </c>
      <c r="J269" s="52">
        <f>IF(Tabla15[[#This Row],[2]]="",0,VLOOKUP(TRAMOS!$H$2,Tabla5[#All],3,FALSE)*Tabla15[[#This Row],[3]])</f>
        <v>0</v>
      </c>
      <c r="K269" s="52" t="str">
        <f>IF(Tabla1[[#This Row],[5]]="TPL",Tabla1[[#This Row],[6]],"")</f>
        <v>3"</v>
      </c>
      <c r="L269" s="52">
        <f>IF(OR(Tabla1[[#This Row],[5]]="TPL"),Tabla1[[#This Row],[7]],"")</f>
        <v>1</v>
      </c>
      <c r="M269" s="52">
        <f>IF(Tabla15[[#This Row],[5]]="",0,VLOOKUP(TRAMOS!$K$2,Tabla5[#All],3,FALSE)*Tabla15[[#This Row],[6]])</f>
        <v>0.9</v>
      </c>
      <c r="N26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6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69" s="52">
        <f>IF(Tabla15[[#This Row],[8]]="",0,VLOOKUP(TRAMOS!$H$2,Tabla5[#All],3,FALSE)*Tabla15[[#This Row],[9]])</f>
        <v>0</v>
      </c>
      <c r="Q26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6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69" s="52">
        <f>IF(Tabla15[[#This Row],[11]]="",0,VLOOKUP(TRAMOS!$Q$2,Tabla5[#All],3,FALSE)*Tabla15[[#This Row],[12]])</f>
        <v>0</v>
      </c>
      <c r="T26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6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6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6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6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6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6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6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69" s="52">
        <f>IF(Tabla15[[#This Row],[20]]="",0,VLOOKUP("VRP",Tabla5[#All],3,FALSE)*Tabla15[[#This Row],[21]])</f>
        <v>0</v>
      </c>
      <c r="AC26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6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69" s="52">
        <f>IF(Tabla15[[#This Row],[23]]="",0,VLOOKUP("VC",Tabla5[#All],3,FALSE)*Tabla15[[#This Row],[24]])</f>
        <v>0</v>
      </c>
      <c r="AF26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6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69" s="52">
        <f>IF(Tabla15[[#This Row],[26]]="",0,VLOOKUP(TRAMOS!$K$2,Tabla5[#All],3,FALSE)*Tabla15[[#This Row],[27]])</f>
        <v>0</v>
      </c>
      <c r="AI26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6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6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6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6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269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26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270" spans="2:41" x14ac:dyDescent="0.25">
      <c r="B270" s="58" t="str">
        <f>Tabla1[[#This Row],[nudo inicial]]</f>
        <v>N138</v>
      </c>
      <c r="C270" s="58" t="str">
        <f>Tabla1[[#This Row],[nudo final]]</f>
        <v>TP99</v>
      </c>
      <c r="D270" s="51">
        <f>Tabla1[[#This Row],[longitud]]</f>
        <v>40.71</v>
      </c>
      <c r="E270" s="51" t="str">
        <f>Tabla1[[#This Row],[diametro]]</f>
        <v>3"</v>
      </c>
      <c r="F270" s="51" t="str">
        <f>Tabla1[[#This Row],[material]]</f>
        <v>PVC</v>
      </c>
      <c r="G27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70" s="52" t="str">
        <f>IF(Tabla1[[#This Row],[5]]="TPD",Tabla1[[#This Row],[6]],"")</f>
        <v>3"</v>
      </c>
      <c r="I270" s="52">
        <f>IF(OR(Tabla1[[#This Row],[5]]="TPD"),Tabla1[[#This Row],[7]],"")</f>
        <v>1</v>
      </c>
      <c r="J270" s="52">
        <f>IF(Tabla15[[#This Row],[2]]="",0,VLOOKUP(TRAMOS!$H$2,Tabla5[#All],3,FALSE)*Tabla15[[#This Row],[3]])</f>
        <v>0.15</v>
      </c>
      <c r="K270" s="52" t="str">
        <f>IF(Tabla1[[#This Row],[5]]="TPL",Tabla1[[#This Row],[6]],"")</f>
        <v/>
      </c>
      <c r="L270" s="52" t="str">
        <f>IF(OR(Tabla1[[#This Row],[5]]="TPL"),Tabla1[[#This Row],[7]],"")</f>
        <v/>
      </c>
      <c r="M270" s="52">
        <f>IF(Tabla15[[#This Row],[5]]="",0,VLOOKUP(TRAMOS!$K$2,Tabla5[#All],3,FALSE)*Tabla15[[#This Row],[6]])</f>
        <v>0</v>
      </c>
      <c r="N27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7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70" s="52">
        <f>IF(Tabla15[[#This Row],[8]]="",0,VLOOKUP(TRAMOS!$H$2,Tabla5[#All],3,FALSE)*Tabla15[[#This Row],[9]])</f>
        <v>0</v>
      </c>
      <c r="Q27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7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70" s="52">
        <f>IF(Tabla15[[#This Row],[11]]="",0,VLOOKUP(TRAMOS!$Q$2,Tabla5[#All],3,FALSE)*Tabla15[[#This Row],[12]])</f>
        <v>0</v>
      </c>
      <c r="T27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7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7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7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7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7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7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7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70" s="52">
        <f>IF(Tabla15[[#This Row],[20]]="",0,VLOOKUP("VRP",Tabla5[#All],3,FALSE)*Tabla15[[#This Row],[21]])</f>
        <v>0</v>
      </c>
      <c r="AC27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7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70" s="52">
        <f>IF(Tabla15[[#This Row],[23]]="",0,VLOOKUP("VC",Tabla5[#All],3,FALSE)*Tabla15[[#This Row],[24]])</f>
        <v>0</v>
      </c>
      <c r="AF27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7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70" s="52">
        <f>IF(Tabla15[[#This Row],[26]]="",0,VLOOKUP(TRAMOS!$K$2,Tabla5[#All],3,FALSE)*Tabla15[[#This Row],[27]])</f>
        <v>0</v>
      </c>
      <c r="AI27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7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7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7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7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270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27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271" spans="2:41" x14ac:dyDescent="0.25">
      <c r="B271" s="58" t="str">
        <f>Tabla1[[#This Row],[nudo inicial]]</f>
        <v>N137</v>
      </c>
      <c r="C271" s="58" t="str">
        <f>Tabla1[[#This Row],[nudo final]]</f>
        <v>N139</v>
      </c>
      <c r="D271" s="51">
        <f>Tabla1[[#This Row],[longitud]]</f>
        <v>58.95</v>
      </c>
      <c r="E271" s="51" t="str">
        <f>Tabla1[[#This Row],[diametro]]</f>
        <v>3"</v>
      </c>
      <c r="F271" s="51" t="str">
        <f>Tabla1[[#This Row],[material]]</f>
        <v>PVC</v>
      </c>
      <c r="G27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71" s="52" t="str">
        <f>IF(Tabla1[[#This Row],[5]]="TPD",Tabla1[[#This Row],[6]],"")</f>
        <v/>
      </c>
      <c r="I271" s="52" t="str">
        <f>IF(OR(Tabla1[[#This Row],[5]]="TPD"),Tabla1[[#This Row],[7]],"")</f>
        <v/>
      </c>
      <c r="J271" s="52">
        <f>IF(Tabla15[[#This Row],[2]]="",0,VLOOKUP(TRAMOS!$H$2,Tabla5[#All],3,FALSE)*Tabla15[[#This Row],[3]])</f>
        <v>0</v>
      </c>
      <c r="K271" s="52" t="str">
        <f>IF(Tabla1[[#This Row],[5]]="TPL",Tabla1[[#This Row],[6]],"")</f>
        <v>3"</v>
      </c>
      <c r="L271" s="52">
        <f>IF(OR(Tabla1[[#This Row],[5]]="TPL"),Tabla1[[#This Row],[7]],"")</f>
        <v>1</v>
      </c>
      <c r="M271" s="52">
        <f>IF(Tabla15[[#This Row],[5]]="",0,VLOOKUP(TRAMOS!$K$2,Tabla5[#All],3,FALSE)*Tabla15[[#This Row],[6]])</f>
        <v>0.9</v>
      </c>
      <c r="N27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7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71" s="52">
        <f>IF(Tabla15[[#This Row],[8]]="",0,VLOOKUP(TRAMOS!$H$2,Tabla5[#All],3,FALSE)*Tabla15[[#This Row],[9]])</f>
        <v>0</v>
      </c>
      <c r="Q27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7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71" s="52">
        <f>IF(Tabla15[[#This Row],[11]]="",0,VLOOKUP(TRAMOS!$Q$2,Tabla5[#All],3,FALSE)*Tabla15[[#This Row],[12]])</f>
        <v>0</v>
      </c>
      <c r="T27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7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7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7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7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7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7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7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71" s="52">
        <f>IF(Tabla15[[#This Row],[20]]="",0,VLOOKUP("VRP",Tabla5[#All],3,FALSE)*Tabla15[[#This Row],[21]])</f>
        <v>0</v>
      </c>
      <c r="AC27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7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71" s="52">
        <f>IF(Tabla15[[#This Row],[23]]="",0,VLOOKUP("VC",Tabla5[#All],3,FALSE)*Tabla15[[#This Row],[24]])</f>
        <v>0</v>
      </c>
      <c r="AF27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7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71" s="52">
        <f>IF(Tabla15[[#This Row],[26]]="",0,VLOOKUP(TRAMOS!$K$2,Tabla5[#All],3,FALSE)*Tabla15[[#This Row],[27]])</f>
        <v>0</v>
      </c>
      <c r="AI27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7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7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7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7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7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7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272" spans="2:41" x14ac:dyDescent="0.25">
      <c r="B272" s="58" t="str">
        <f>Tabla1[[#This Row],[nudo inicial]]</f>
        <v>N139</v>
      </c>
      <c r="C272" s="58" t="str">
        <f>Tabla1[[#This Row],[nudo final]]</f>
        <v>N140</v>
      </c>
      <c r="D272" s="51">
        <f>Tabla1[[#This Row],[longitud]]</f>
        <v>63.85</v>
      </c>
      <c r="E272" s="51" t="str">
        <f>Tabla1[[#This Row],[diametro]]</f>
        <v>3"</v>
      </c>
      <c r="F272" s="51" t="str">
        <f>Tabla1[[#This Row],[material]]</f>
        <v>PVC</v>
      </c>
      <c r="G27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72" s="52" t="str">
        <f>IF(Tabla1[[#This Row],[5]]="TPD",Tabla1[[#This Row],[6]],"")</f>
        <v/>
      </c>
      <c r="I272" s="52" t="str">
        <f>IF(OR(Tabla1[[#This Row],[5]]="TPD"),Tabla1[[#This Row],[7]],"")</f>
        <v/>
      </c>
      <c r="J272" s="52">
        <f>IF(Tabla15[[#This Row],[2]]="",0,VLOOKUP(TRAMOS!$H$2,Tabla5[#All],3,FALSE)*Tabla15[[#This Row],[3]])</f>
        <v>0</v>
      </c>
      <c r="K272" s="52" t="str">
        <f>IF(Tabla1[[#This Row],[5]]="TPL",Tabla1[[#This Row],[6]],"")</f>
        <v>3"</v>
      </c>
      <c r="L272" s="52">
        <f>IF(OR(Tabla1[[#This Row],[5]]="TPL"),Tabla1[[#This Row],[7]],"")</f>
        <v>1</v>
      </c>
      <c r="M272" s="52">
        <f>IF(Tabla15[[#This Row],[5]]="",0,VLOOKUP(TRAMOS!$K$2,Tabla5[#All],3,FALSE)*Tabla15[[#This Row],[6]])</f>
        <v>0.9</v>
      </c>
      <c r="N27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7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72" s="52">
        <f>IF(Tabla15[[#This Row],[8]]="",0,VLOOKUP(TRAMOS!$H$2,Tabla5[#All],3,FALSE)*Tabla15[[#This Row],[9]])</f>
        <v>0</v>
      </c>
      <c r="Q27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7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72" s="52">
        <f>IF(Tabla15[[#This Row],[11]]="",0,VLOOKUP(TRAMOS!$Q$2,Tabla5[#All],3,FALSE)*Tabla15[[#This Row],[12]])</f>
        <v>0</v>
      </c>
      <c r="T27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7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7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7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7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7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7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7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72" s="52">
        <f>IF(Tabla15[[#This Row],[20]]="",0,VLOOKUP("VRP",Tabla5[#All],3,FALSE)*Tabla15[[#This Row],[21]])</f>
        <v>0</v>
      </c>
      <c r="AC27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7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72" s="52">
        <f>IF(Tabla15[[#This Row],[23]]="",0,VLOOKUP("VC",Tabla5[#All],3,FALSE)*Tabla15[[#This Row],[24]])</f>
        <v>0</v>
      </c>
      <c r="AF27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7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72" s="52">
        <f>IF(Tabla15[[#This Row],[26]]="",0,VLOOKUP(TRAMOS!$K$2,Tabla5[#All],3,FALSE)*Tabla15[[#This Row],[27]])</f>
        <v>0</v>
      </c>
      <c r="AI27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7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7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7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7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7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7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273" spans="2:41" x14ac:dyDescent="0.25">
      <c r="B273" s="58" t="str">
        <f>Tabla1[[#This Row],[nudo inicial]]</f>
        <v>N140</v>
      </c>
      <c r="C273" s="58" t="str">
        <f>Tabla1[[#This Row],[nudo final]]</f>
        <v>TP100</v>
      </c>
      <c r="D273" s="51">
        <f>Tabla1[[#This Row],[longitud]]</f>
        <v>26.18</v>
      </c>
      <c r="E273" s="51" t="str">
        <f>Tabla1[[#This Row],[diametro]]</f>
        <v>3"</v>
      </c>
      <c r="F273" s="51" t="str">
        <f>Tabla1[[#This Row],[material]]</f>
        <v>PVC</v>
      </c>
      <c r="G27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73" s="52" t="str">
        <f>IF(Tabla1[[#This Row],[5]]="TPD",Tabla1[[#This Row],[6]],"")</f>
        <v>3"</v>
      </c>
      <c r="I273" s="52">
        <f>IF(OR(Tabla1[[#This Row],[5]]="TPD"),Tabla1[[#This Row],[7]],"")</f>
        <v>1</v>
      </c>
      <c r="J273" s="52">
        <f>IF(Tabla15[[#This Row],[2]]="",0,VLOOKUP(TRAMOS!$H$2,Tabla5[#All],3,FALSE)*Tabla15[[#This Row],[3]])</f>
        <v>0.15</v>
      </c>
      <c r="K273" s="52" t="str">
        <f>IF(Tabla1[[#This Row],[5]]="TPL",Tabla1[[#This Row],[6]],"")</f>
        <v/>
      </c>
      <c r="L273" s="52" t="str">
        <f>IF(OR(Tabla1[[#This Row],[5]]="TPL"),Tabla1[[#This Row],[7]],"")</f>
        <v/>
      </c>
      <c r="M273" s="52">
        <f>IF(Tabla15[[#This Row],[5]]="",0,VLOOKUP(TRAMOS!$K$2,Tabla5[#All],3,FALSE)*Tabla15[[#This Row],[6]])</f>
        <v>0</v>
      </c>
      <c r="N27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7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73" s="52">
        <f>IF(Tabla15[[#This Row],[8]]="",0,VLOOKUP(TRAMOS!$H$2,Tabla5[#All],3,FALSE)*Tabla15[[#This Row],[9]])</f>
        <v>0</v>
      </c>
      <c r="Q27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7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73" s="52">
        <f>IF(Tabla15[[#This Row],[11]]="",0,VLOOKUP(TRAMOS!$Q$2,Tabla5[#All],3,FALSE)*Tabla15[[#This Row],[12]])</f>
        <v>0</v>
      </c>
      <c r="T27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7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7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7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7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7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7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7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73" s="52">
        <f>IF(Tabla15[[#This Row],[20]]="",0,VLOOKUP("VRP",Tabla5[#All],3,FALSE)*Tabla15[[#This Row],[21]])</f>
        <v>0</v>
      </c>
      <c r="AC27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7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73" s="52">
        <f>IF(Tabla15[[#This Row],[23]]="",0,VLOOKUP("VC",Tabla5[#All],3,FALSE)*Tabla15[[#This Row],[24]])</f>
        <v>0</v>
      </c>
      <c r="AF27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7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73" s="52">
        <f>IF(Tabla15[[#This Row],[26]]="",0,VLOOKUP(TRAMOS!$K$2,Tabla5[#All],3,FALSE)*Tabla15[[#This Row],[27]])</f>
        <v>0</v>
      </c>
      <c r="AI27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7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7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7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7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273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27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274" spans="2:41" x14ac:dyDescent="0.25">
      <c r="B274" s="58" t="str">
        <f>Tabla1[[#This Row],[nudo inicial]]</f>
        <v>N140</v>
      </c>
      <c r="C274" s="58" t="str">
        <f>Tabla1[[#This Row],[nudo final]]</f>
        <v>N141</v>
      </c>
      <c r="D274" s="51">
        <f>Tabla1[[#This Row],[longitud]]</f>
        <v>14.23</v>
      </c>
      <c r="E274" s="51" t="str">
        <f>Tabla1[[#This Row],[diametro]]</f>
        <v>2"</v>
      </c>
      <c r="F274" s="51" t="str">
        <f>Tabla1[[#This Row],[material]]</f>
        <v>PVC</v>
      </c>
      <c r="G27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74" s="52" t="str">
        <f>IF(Tabla1[[#This Row],[5]]="TPD",Tabla1[[#This Row],[6]],"")</f>
        <v/>
      </c>
      <c r="I274" s="52" t="str">
        <f>IF(OR(Tabla1[[#This Row],[5]]="TPD"),Tabla1[[#This Row],[7]],"")</f>
        <v/>
      </c>
      <c r="J274" s="52">
        <f>IF(Tabla15[[#This Row],[2]]="",0,VLOOKUP(TRAMOS!$H$2,Tabla5[#All],3,FALSE)*Tabla15[[#This Row],[3]])</f>
        <v>0</v>
      </c>
      <c r="K274" s="52" t="str">
        <f>IF(Tabla1[[#This Row],[5]]="TPL",Tabla1[[#This Row],[6]],"")</f>
        <v>3"</v>
      </c>
      <c r="L274" s="52">
        <f>IF(OR(Tabla1[[#This Row],[5]]="TPL"),Tabla1[[#This Row],[7]],"")</f>
        <v>1</v>
      </c>
      <c r="M274" s="52">
        <f>IF(Tabla15[[#This Row],[5]]="",0,VLOOKUP(TRAMOS!$K$2,Tabla5[#All],3,FALSE)*Tabla15[[#This Row],[6]])</f>
        <v>0.9</v>
      </c>
      <c r="N27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7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74" s="52">
        <f>IF(Tabla15[[#This Row],[8]]="",0,VLOOKUP(TRAMOS!$H$2,Tabla5[#All],3,FALSE)*Tabla15[[#This Row],[9]])</f>
        <v>0</v>
      </c>
      <c r="Q27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7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74" s="52">
        <f>IF(Tabla15[[#This Row],[11]]="",0,VLOOKUP(TRAMOS!$Q$2,Tabla5[#All],3,FALSE)*Tabla15[[#This Row],[12]])</f>
        <v>0</v>
      </c>
      <c r="T27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274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27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27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7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7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7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7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74" s="52">
        <f>IF(Tabla15[[#This Row],[20]]="",0,VLOOKUP("VRP",Tabla5[#All],3,FALSE)*Tabla15[[#This Row],[21]])</f>
        <v>0</v>
      </c>
      <c r="AC27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274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274" s="52">
        <f>IF(Tabla15[[#This Row],[23]]="",0,VLOOKUP("VC",Tabla5[#All],3,FALSE)*Tabla15[[#This Row],[24]])</f>
        <v>0.25</v>
      </c>
      <c r="AF27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7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74" s="52">
        <f>IF(Tabla15[[#This Row],[26]]="",0,VLOOKUP(TRAMOS!$K$2,Tabla5[#All],3,FALSE)*Tabla15[[#This Row],[27]])</f>
        <v>0</v>
      </c>
      <c r="AI27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7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7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7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7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7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7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1.365</v>
      </c>
    </row>
    <row r="275" spans="2:41" x14ac:dyDescent="0.25">
      <c r="B275" s="58" t="str">
        <f>Tabla1[[#This Row],[nudo inicial]]</f>
        <v>N141</v>
      </c>
      <c r="C275" s="58" t="str">
        <f>Tabla1[[#This Row],[nudo final]]</f>
        <v>TP101</v>
      </c>
      <c r="D275" s="51">
        <f>Tabla1[[#This Row],[longitud]]</f>
        <v>21.96</v>
      </c>
      <c r="E275" s="51" t="str">
        <f>Tabla1[[#This Row],[diametro]]</f>
        <v>2"</v>
      </c>
      <c r="F275" s="51" t="str">
        <f>Tabla1[[#This Row],[material]]</f>
        <v>PVC</v>
      </c>
      <c r="G27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275" s="52" t="str">
        <f>IF(Tabla1[[#This Row],[5]]="TPD",Tabla1[[#This Row],[6]],"")</f>
        <v/>
      </c>
      <c r="I275" s="52" t="str">
        <f>IF(OR(Tabla1[[#This Row],[5]]="TPD"),Tabla1[[#This Row],[7]],"")</f>
        <v/>
      </c>
      <c r="J275" s="52">
        <f>IF(Tabla15[[#This Row],[2]]="",0,VLOOKUP(TRAMOS!$H$2,Tabla5[#All],3,FALSE)*Tabla15[[#This Row],[3]])</f>
        <v>0</v>
      </c>
      <c r="K275" s="52" t="str">
        <f>IF(Tabla1[[#This Row],[5]]="TPL",Tabla1[[#This Row],[6]],"")</f>
        <v>2"</v>
      </c>
      <c r="L275" s="52">
        <f>IF(OR(Tabla1[[#This Row],[5]]="TPL"),Tabla1[[#This Row],[7]],"")</f>
        <v>1</v>
      </c>
      <c r="M275" s="52">
        <f>IF(Tabla15[[#This Row],[5]]="",0,VLOOKUP(TRAMOS!$K$2,Tabla5[#All],3,FALSE)*Tabla15[[#This Row],[6]])</f>
        <v>0.9</v>
      </c>
      <c r="N27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7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75" s="52">
        <f>IF(Tabla15[[#This Row],[8]]="",0,VLOOKUP(TRAMOS!$H$2,Tabla5[#All],3,FALSE)*Tabla15[[#This Row],[9]])</f>
        <v>0</v>
      </c>
      <c r="Q27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7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75" s="52">
        <f>IF(Tabla15[[#This Row],[11]]="",0,VLOOKUP(TRAMOS!$Q$2,Tabla5[#All],3,FALSE)*Tabla15[[#This Row],[12]])</f>
        <v>0</v>
      </c>
      <c r="T27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7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7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7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7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7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7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7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75" s="52">
        <f>IF(Tabla15[[#This Row],[20]]="",0,VLOOKUP("VRP",Tabla5[#All],3,FALSE)*Tabla15[[#This Row],[21]])</f>
        <v>0</v>
      </c>
      <c r="AC27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7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75" s="52">
        <f>IF(Tabla15[[#This Row],[23]]="",0,VLOOKUP("VC",Tabla5[#All],3,FALSE)*Tabla15[[#This Row],[24]])</f>
        <v>0</v>
      </c>
      <c r="AF27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7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75" s="52">
        <f>IF(Tabla15[[#This Row],[26]]="",0,VLOOKUP(TRAMOS!$K$2,Tabla5[#All],3,FALSE)*Tabla15[[#This Row],[27]])</f>
        <v>0</v>
      </c>
      <c r="AI27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7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7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7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7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275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27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276" spans="2:41" x14ac:dyDescent="0.25">
      <c r="B276" s="58" t="str">
        <f>Tabla1[[#This Row],[nudo inicial]]</f>
        <v>N141</v>
      </c>
      <c r="C276" s="58" t="str">
        <f>Tabla1[[#This Row],[nudo final]]</f>
        <v>N142</v>
      </c>
      <c r="D276" s="51">
        <f>Tabla1[[#This Row],[longitud]]</f>
        <v>28.85</v>
      </c>
      <c r="E276" s="51" t="str">
        <f>Tabla1[[#This Row],[diametro]]</f>
        <v>2"</v>
      </c>
      <c r="F276" s="51" t="str">
        <f>Tabla1[[#This Row],[material]]</f>
        <v>PVC</v>
      </c>
      <c r="G27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276" s="52" t="str">
        <f>IF(Tabla1[[#This Row],[5]]="TPD",Tabla1[[#This Row],[6]],"")</f>
        <v>2"</v>
      </c>
      <c r="I276" s="52">
        <f>IF(OR(Tabla1[[#This Row],[5]]="TPD"),Tabla1[[#This Row],[7]],"")</f>
        <v>1</v>
      </c>
      <c r="J276" s="52">
        <f>IF(Tabla15[[#This Row],[2]]="",0,VLOOKUP(TRAMOS!$H$2,Tabla5[#All],3,FALSE)*Tabla15[[#This Row],[3]])</f>
        <v>0.15</v>
      </c>
      <c r="K276" s="52" t="str">
        <f>IF(Tabla1[[#This Row],[5]]="TPL",Tabla1[[#This Row],[6]],"")</f>
        <v/>
      </c>
      <c r="L276" s="52" t="str">
        <f>IF(OR(Tabla1[[#This Row],[5]]="TPL"),Tabla1[[#This Row],[7]],"")</f>
        <v/>
      </c>
      <c r="M276" s="52">
        <f>IF(Tabla15[[#This Row],[5]]="",0,VLOOKUP(TRAMOS!$K$2,Tabla5[#All],3,FALSE)*Tabla15[[#This Row],[6]])</f>
        <v>0</v>
      </c>
      <c r="N27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7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76" s="52">
        <f>IF(Tabla15[[#This Row],[8]]="",0,VLOOKUP(TRAMOS!$H$2,Tabla5[#All],3,FALSE)*Tabla15[[#This Row],[9]])</f>
        <v>0</v>
      </c>
      <c r="Q27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7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76" s="52">
        <f>IF(Tabla15[[#This Row],[11]]="",0,VLOOKUP(TRAMOS!$Q$2,Tabla5[#All],3,FALSE)*Tabla15[[#This Row],[12]])</f>
        <v>0</v>
      </c>
      <c r="T27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7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7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7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7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7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7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7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76" s="52">
        <f>IF(Tabla15[[#This Row],[20]]="",0,VLOOKUP("VRP",Tabla5[#All],3,FALSE)*Tabla15[[#This Row],[21]])</f>
        <v>0</v>
      </c>
      <c r="AC27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7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76" s="52">
        <f>IF(Tabla15[[#This Row],[23]]="",0,VLOOKUP("VC",Tabla5[#All],3,FALSE)*Tabla15[[#This Row],[24]])</f>
        <v>0</v>
      </c>
      <c r="AF27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7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76" s="52">
        <f>IF(Tabla15[[#This Row],[26]]="",0,VLOOKUP(TRAMOS!$K$2,Tabla5[#All],3,FALSE)*Tabla15[[#This Row],[27]])</f>
        <v>0</v>
      </c>
      <c r="AI27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7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7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7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7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7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7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277" spans="2:41" x14ac:dyDescent="0.25">
      <c r="B277" s="58" t="str">
        <f>Tabla1[[#This Row],[nudo inicial]]</f>
        <v>N142</v>
      </c>
      <c r="C277" s="58" t="str">
        <f>Tabla1[[#This Row],[nudo final]]</f>
        <v>TP102</v>
      </c>
      <c r="D277" s="51">
        <f>Tabla1[[#This Row],[longitud]]</f>
        <v>27.56</v>
      </c>
      <c r="E277" s="51" t="str">
        <f>Tabla1[[#This Row],[diametro]]</f>
        <v>2"</v>
      </c>
      <c r="F277" s="51" t="str">
        <f>Tabla1[[#This Row],[material]]</f>
        <v>PVC</v>
      </c>
      <c r="G27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277" s="52" t="str">
        <f>IF(Tabla1[[#This Row],[5]]="TPD",Tabla1[[#This Row],[6]],"")</f>
        <v/>
      </c>
      <c r="I277" s="52" t="str">
        <f>IF(OR(Tabla1[[#This Row],[5]]="TPD"),Tabla1[[#This Row],[7]],"")</f>
        <v/>
      </c>
      <c r="J277" s="52">
        <f>IF(Tabla15[[#This Row],[2]]="",0,VLOOKUP(TRAMOS!$H$2,Tabla5[#All],3,FALSE)*Tabla15[[#This Row],[3]])</f>
        <v>0</v>
      </c>
      <c r="K277" s="52" t="str">
        <f>IF(Tabla1[[#This Row],[5]]="TPL",Tabla1[[#This Row],[6]],"")</f>
        <v>2"</v>
      </c>
      <c r="L277" s="52">
        <f>IF(OR(Tabla1[[#This Row],[5]]="TPL"),Tabla1[[#This Row],[7]],"")</f>
        <v>1</v>
      </c>
      <c r="M277" s="52">
        <f>IF(Tabla15[[#This Row],[5]]="",0,VLOOKUP(TRAMOS!$K$2,Tabla5[#All],3,FALSE)*Tabla15[[#This Row],[6]])</f>
        <v>0.9</v>
      </c>
      <c r="N27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7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77" s="52">
        <f>IF(Tabla15[[#This Row],[8]]="",0,VLOOKUP(TRAMOS!$H$2,Tabla5[#All],3,FALSE)*Tabla15[[#This Row],[9]])</f>
        <v>0</v>
      </c>
      <c r="Q27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7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77" s="52">
        <f>IF(Tabla15[[#This Row],[11]]="",0,VLOOKUP(TRAMOS!$Q$2,Tabla5[#All],3,FALSE)*Tabla15[[#This Row],[12]])</f>
        <v>0</v>
      </c>
      <c r="T27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7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7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7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7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7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7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7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77" s="52">
        <f>IF(Tabla15[[#This Row],[20]]="",0,VLOOKUP("VRP",Tabla5[#All],3,FALSE)*Tabla15[[#This Row],[21]])</f>
        <v>0</v>
      </c>
      <c r="AC27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7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77" s="52">
        <f>IF(Tabla15[[#This Row],[23]]="",0,VLOOKUP("VC",Tabla5[#All],3,FALSE)*Tabla15[[#This Row],[24]])</f>
        <v>0</v>
      </c>
      <c r="AF27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7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77" s="52">
        <f>IF(Tabla15[[#This Row],[26]]="",0,VLOOKUP(TRAMOS!$K$2,Tabla5[#All],3,FALSE)*Tabla15[[#This Row],[27]])</f>
        <v>0</v>
      </c>
      <c r="AI27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7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7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7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7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277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27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278" spans="2:41" x14ac:dyDescent="0.25">
      <c r="B278" s="58" t="str">
        <f>Tabla1[[#This Row],[nudo inicial]]</f>
        <v>N142</v>
      </c>
      <c r="C278" s="58" t="str">
        <f>Tabla1[[#This Row],[nudo final]]</f>
        <v>TP103</v>
      </c>
      <c r="D278" s="51">
        <f>Tabla1[[#This Row],[longitud]]</f>
        <v>69.97</v>
      </c>
      <c r="E278" s="51" t="str">
        <f>Tabla1[[#This Row],[diametro]]</f>
        <v>2"</v>
      </c>
      <c r="F278" s="51" t="str">
        <f>Tabla1[[#This Row],[material]]</f>
        <v>PVC</v>
      </c>
      <c r="G27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278" s="52" t="str">
        <f>IF(Tabla1[[#This Row],[5]]="TPD",Tabla1[[#This Row],[6]],"")</f>
        <v>2"</v>
      </c>
      <c r="I278" s="52">
        <f>IF(OR(Tabla1[[#This Row],[5]]="TPD"),Tabla1[[#This Row],[7]],"")</f>
        <v>1</v>
      </c>
      <c r="J278" s="52">
        <f>IF(Tabla15[[#This Row],[2]]="",0,VLOOKUP(TRAMOS!$H$2,Tabla5[#All],3,FALSE)*Tabla15[[#This Row],[3]])</f>
        <v>0.15</v>
      </c>
      <c r="K278" s="52" t="str">
        <f>IF(Tabla1[[#This Row],[5]]="TPL",Tabla1[[#This Row],[6]],"")</f>
        <v/>
      </c>
      <c r="L278" s="52" t="str">
        <f>IF(OR(Tabla1[[#This Row],[5]]="TPL"),Tabla1[[#This Row],[7]],"")</f>
        <v/>
      </c>
      <c r="M278" s="52">
        <f>IF(Tabla15[[#This Row],[5]]="",0,VLOOKUP(TRAMOS!$K$2,Tabla5[#All],3,FALSE)*Tabla15[[#This Row],[6]])</f>
        <v>0</v>
      </c>
      <c r="N27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7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78" s="52">
        <f>IF(Tabla15[[#This Row],[8]]="",0,VLOOKUP(TRAMOS!$H$2,Tabla5[#All],3,FALSE)*Tabla15[[#This Row],[9]])</f>
        <v>0</v>
      </c>
      <c r="Q27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278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278" s="52">
        <f>IF(Tabla15[[#This Row],[11]]="",0,VLOOKUP(TRAMOS!$Q$2,Tabla5[#All],3,FALSE)*Tabla15[[#This Row],[12]])</f>
        <v>0.9</v>
      </c>
      <c r="T27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7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7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7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7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7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7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7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78" s="52">
        <f>IF(Tabla15[[#This Row],[20]]="",0,VLOOKUP("VRP",Tabla5[#All],3,FALSE)*Tabla15[[#This Row],[21]])</f>
        <v>0</v>
      </c>
      <c r="AC27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7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78" s="52">
        <f>IF(Tabla15[[#This Row],[23]]="",0,VLOOKUP("VC",Tabla5[#All],3,FALSE)*Tabla15[[#This Row],[24]])</f>
        <v>0</v>
      </c>
      <c r="AF27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7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78" s="52">
        <f>IF(Tabla15[[#This Row],[26]]="",0,VLOOKUP(TRAMOS!$K$2,Tabla5[#All],3,FALSE)*Tabla15[[#This Row],[27]])</f>
        <v>0</v>
      </c>
      <c r="AI27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7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7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7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7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278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27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279" spans="2:41" x14ac:dyDescent="0.25">
      <c r="B279" s="58" t="str">
        <f>Tabla1[[#This Row],[nudo inicial]]</f>
        <v>N135</v>
      </c>
      <c r="C279" s="58" t="str">
        <f>Tabla1[[#This Row],[nudo final]]</f>
        <v>N143</v>
      </c>
      <c r="D279" s="51">
        <f>Tabla1[[#This Row],[longitud]]</f>
        <v>51.7</v>
      </c>
      <c r="E279" s="51" t="str">
        <f>Tabla1[[#This Row],[diametro]]</f>
        <v>3"</v>
      </c>
      <c r="F279" s="51" t="str">
        <f>Tabla1[[#This Row],[material]]</f>
        <v>PVC</v>
      </c>
      <c r="G27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79" s="52" t="str">
        <f>IF(Tabla1[[#This Row],[5]]="TPD",Tabla1[[#This Row],[6]],"")</f>
        <v>3"</v>
      </c>
      <c r="I279" s="52">
        <f>IF(OR(Tabla1[[#This Row],[5]]="TPD"),Tabla1[[#This Row],[7]],"")</f>
        <v>1</v>
      </c>
      <c r="J279" s="52">
        <f>IF(Tabla15[[#This Row],[2]]="",0,VLOOKUP(TRAMOS!$H$2,Tabla5[#All],3,FALSE)*Tabla15[[#This Row],[3]])</f>
        <v>0.15</v>
      </c>
      <c r="K279" s="52" t="str">
        <f>IF(Tabla1[[#This Row],[5]]="TPL",Tabla1[[#This Row],[6]],"")</f>
        <v/>
      </c>
      <c r="L279" s="52" t="str">
        <f>IF(OR(Tabla1[[#This Row],[5]]="TPL"),Tabla1[[#This Row],[7]],"")</f>
        <v/>
      </c>
      <c r="M279" s="52">
        <f>IF(Tabla15[[#This Row],[5]]="",0,VLOOKUP(TRAMOS!$K$2,Tabla5[#All],3,FALSE)*Tabla15[[#This Row],[6]])</f>
        <v>0</v>
      </c>
      <c r="N27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7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79" s="52">
        <f>IF(Tabla15[[#This Row],[8]]="",0,VLOOKUP(TRAMOS!$H$2,Tabla5[#All],3,FALSE)*Tabla15[[#This Row],[9]])</f>
        <v>0</v>
      </c>
      <c r="Q27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7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79" s="52">
        <f>IF(Tabla15[[#This Row],[11]]="",0,VLOOKUP(TRAMOS!$Q$2,Tabla5[#All],3,FALSE)*Tabla15[[#This Row],[12]])</f>
        <v>0</v>
      </c>
      <c r="T27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7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7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7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7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7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7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7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79" s="52">
        <f>IF(Tabla15[[#This Row],[20]]="",0,VLOOKUP("VRP",Tabla5[#All],3,FALSE)*Tabla15[[#This Row],[21]])</f>
        <v>0</v>
      </c>
      <c r="AC27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7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79" s="52">
        <f>IF(Tabla15[[#This Row],[23]]="",0,VLOOKUP("VC",Tabla5[#All],3,FALSE)*Tabla15[[#This Row],[24]])</f>
        <v>0</v>
      </c>
      <c r="AF27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7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79" s="52">
        <f>IF(Tabla15[[#This Row],[26]]="",0,VLOOKUP(TRAMOS!$K$2,Tabla5[#All],3,FALSE)*Tabla15[[#This Row],[27]])</f>
        <v>0</v>
      </c>
      <c r="AI27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7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7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7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7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7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7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280" spans="2:41" x14ac:dyDescent="0.25">
      <c r="B280" s="58" t="str">
        <f>Tabla1[[#This Row],[nudo inicial]]</f>
        <v>N143</v>
      </c>
      <c r="C280" s="58" t="str">
        <f>Tabla1[[#This Row],[nudo final]]</f>
        <v>TP104</v>
      </c>
      <c r="D280" s="51">
        <f>Tabla1[[#This Row],[longitud]]</f>
        <v>5.33</v>
      </c>
      <c r="E280" s="51" t="str">
        <f>Tabla1[[#This Row],[diametro]]</f>
        <v>3"</v>
      </c>
      <c r="F280" s="51" t="str">
        <f>Tabla1[[#This Row],[material]]</f>
        <v>PVC</v>
      </c>
      <c r="G28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80" s="52" t="str">
        <f>IF(Tabla1[[#This Row],[5]]="TPD",Tabla1[[#This Row],[6]],"")</f>
        <v/>
      </c>
      <c r="I280" s="52" t="str">
        <f>IF(OR(Tabla1[[#This Row],[5]]="TPD"),Tabla1[[#This Row],[7]],"")</f>
        <v/>
      </c>
      <c r="J280" s="52">
        <f>IF(Tabla15[[#This Row],[2]]="",0,VLOOKUP(TRAMOS!$H$2,Tabla5[#All],3,FALSE)*Tabla15[[#This Row],[3]])</f>
        <v>0</v>
      </c>
      <c r="K280" s="52" t="str">
        <f>IF(Tabla1[[#This Row],[5]]="TPL",Tabla1[[#This Row],[6]],"")</f>
        <v>3"</v>
      </c>
      <c r="L280" s="52">
        <f>IF(OR(Tabla1[[#This Row],[5]]="TPL"),Tabla1[[#This Row],[7]],"")</f>
        <v>1</v>
      </c>
      <c r="M280" s="52">
        <f>IF(Tabla15[[#This Row],[5]]="",0,VLOOKUP(TRAMOS!$K$2,Tabla5[#All],3,FALSE)*Tabla15[[#This Row],[6]])</f>
        <v>0.9</v>
      </c>
      <c r="N28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8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80" s="52">
        <f>IF(Tabla15[[#This Row],[8]]="",0,VLOOKUP(TRAMOS!$H$2,Tabla5[#All],3,FALSE)*Tabla15[[#This Row],[9]])</f>
        <v>0</v>
      </c>
      <c r="Q28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8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80" s="52">
        <f>IF(Tabla15[[#This Row],[11]]="",0,VLOOKUP(TRAMOS!$Q$2,Tabla5[#All],3,FALSE)*Tabla15[[#This Row],[12]])</f>
        <v>0</v>
      </c>
      <c r="T28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8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8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8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8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8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8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8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80" s="52">
        <f>IF(Tabla15[[#This Row],[20]]="",0,VLOOKUP("VRP",Tabla5[#All],3,FALSE)*Tabla15[[#This Row],[21]])</f>
        <v>0</v>
      </c>
      <c r="AC28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8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80" s="52">
        <f>IF(Tabla15[[#This Row],[23]]="",0,VLOOKUP("VC",Tabla5[#All],3,FALSE)*Tabla15[[#This Row],[24]])</f>
        <v>0</v>
      </c>
      <c r="AF28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8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80" s="52">
        <f>IF(Tabla15[[#This Row],[26]]="",0,VLOOKUP(TRAMOS!$K$2,Tabla5[#All],3,FALSE)*Tabla15[[#This Row],[27]])</f>
        <v>0</v>
      </c>
      <c r="AI28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8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8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8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8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280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28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281" spans="2:41" x14ac:dyDescent="0.25">
      <c r="B281" s="58" t="str">
        <f>Tabla1[[#This Row],[nudo inicial]]</f>
        <v>N143</v>
      </c>
      <c r="C281" s="58" t="str">
        <f>Tabla1[[#This Row],[nudo final]]</f>
        <v>N144</v>
      </c>
      <c r="D281" s="51">
        <f>Tabla1[[#This Row],[longitud]]</f>
        <v>105.43</v>
      </c>
      <c r="E281" s="51" t="str">
        <f>Tabla1[[#This Row],[diametro]]</f>
        <v>3"</v>
      </c>
      <c r="F281" s="51" t="str">
        <f>Tabla1[[#This Row],[material]]</f>
        <v>PVC</v>
      </c>
      <c r="G28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81" s="52" t="str">
        <f>IF(Tabla1[[#This Row],[5]]="TPD",Tabla1[[#This Row],[6]],"")</f>
        <v>3"</v>
      </c>
      <c r="I281" s="52">
        <f>IF(OR(Tabla1[[#This Row],[5]]="TPD"),Tabla1[[#This Row],[7]],"")</f>
        <v>1</v>
      </c>
      <c r="J281" s="52">
        <f>IF(Tabla15[[#This Row],[2]]="",0,VLOOKUP(TRAMOS!$H$2,Tabla5[#All],3,FALSE)*Tabla15[[#This Row],[3]])</f>
        <v>0.15</v>
      </c>
      <c r="K281" s="52" t="str">
        <f>IF(Tabla1[[#This Row],[5]]="TPL",Tabla1[[#This Row],[6]],"")</f>
        <v/>
      </c>
      <c r="L281" s="52" t="str">
        <f>IF(OR(Tabla1[[#This Row],[5]]="TPL"),Tabla1[[#This Row],[7]],"")</f>
        <v/>
      </c>
      <c r="M281" s="52">
        <f>IF(Tabla15[[#This Row],[5]]="",0,VLOOKUP(TRAMOS!$K$2,Tabla5[#All],3,FALSE)*Tabla15[[#This Row],[6]])</f>
        <v>0</v>
      </c>
      <c r="N28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8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81" s="52">
        <f>IF(Tabla15[[#This Row],[8]]="",0,VLOOKUP(TRAMOS!$H$2,Tabla5[#All],3,FALSE)*Tabla15[[#This Row],[9]])</f>
        <v>0</v>
      </c>
      <c r="Q28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3"</v>
      </c>
      <c r="R281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281" s="52">
        <f>IF(Tabla15[[#This Row],[11]]="",0,VLOOKUP(TRAMOS!$Q$2,Tabla5[#All],3,FALSE)*Tabla15[[#This Row],[12]])</f>
        <v>0.9</v>
      </c>
      <c r="T28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8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8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8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8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8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8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8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81" s="52">
        <f>IF(Tabla15[[#This Row],[20]]="",0,VLOOKUP("VRP",Tabla5[#All],3,FALSE)*Tabla15[[#This Row],[21]])</f>
        <v>0</v>
      </c>
      <c r="AC28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8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81" s="52">
        <f>IF(Tabla15[[#This Row],[23]]="",0,VLOOKUP("VC",Tabla5[#All],3,FALSE)*Tabla15[[#This Row],[24]])</f>
        <v>0</v>
      </c>
      <c r="AF28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8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81" s="52">
        <f>IF(Tabla15[[#This Row],[26]]="",0,VLOOKUP(TRAMOS!$K$2,Tabla5[#All],3,FALSE)*Tabla15[[#This Row],[27]])</f>
        <v>0</v>
      </c>
      <c r="AI28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8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8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8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8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8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8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282" spans="2:41" x14ac:dyDescent="0.25">
      <c r="B282" s="58" t="str">
        <f>Tabla1[[#This Row],[nudo inicial]]</f>
        <v>N144</v>
      </c>
      <c r="C282" s="58" t="str">
        <f>Tabla1[[#This Row],[nudo final]]</f>
        <v>N145</v>
      </c>
      <c r="D282" s="51">
        <f>Tabla1[[#This Row],[longitud]]</f>
        <v>21.2</v>
      </c>
      <c r="E282" s="51" t="str">
        <f>Tabla1[[#This Row],[diametro]]</f>
        <v>2"</v>
      </c>
      <c r="F282" s="51" t="str">
        <f>Tabla1[[#This Row],[material]]</f>
        <v>PVC</v>
      </c>
      <c r="G28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82" s="52" t="str">
        <f>IF(Tabla1[[#This Row],[5]]="TPD",Tabla1[[#This Row],[6]],"")</f>
        <v/>
      </c>
      <c r="I282" s="52" t="str">
        <f>IF(OR(Tabla1[[#This Row],[5]]="TPD"),Tabla1[[#This Row],[7]],"")</f>
        <v/>
      </c>
      <c r="J282" s="52">
        <f>IF(Tabla15[[#This Row],[2]]="",0,VLOOKUP(TRAMOS!$H$2,Tabla5[#All],3,FALSE)*Tabla15[[#This Row],[3]])</f>
        <v>0</v>
      </c>
      <c r="K282" s="52" t="str">
        <f>IF(Tabla1[[#This Row],[5]]="TPL",Tabla1[[#This Row],[6]],"")</f>
        <v>3"</v>
      </c>
      <c r="L282" s="52">
        <f>IF(OR(Tabla1[[#This Row],[5]]="TPL"),Tabla1[[#This Row],[7]],"")</f>
        <v>1</v>
      </c>
      <c r="M282" s="52">
        <f>IF(Tabla15[[#This Row],[5]]="",0,VLOOKUP(TRAMOS!$K$2,Tabla5[#All],3,FALSE)*Tabla15[[#This Row],[6]])</f>
        <v>0.9</v>
      </c>
      <c r="N28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8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82" s="52">
        <f>IF(Tabla15[[#This Row],[8]]="",0,VLOOKUP(TRAMOS!$H$2,Tabla5[#All],3,FALSE)*Tabla15[[#This Row],[9]])</f>
        <v>0</v>
      </c>
      <c r="Q28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8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82" s="52">
        <f>IF(Tabla15[[#This Row],[11]]="",0,VLOOKUP(TRAMOS!$Q$2,Tabla5[#All],3,FALSE)*Tabla15[[#This Row],[12]])</f>
        <v>0</v>
      </c>
      <c r="T28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282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28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28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8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8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8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8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82" s="52">
        <f>IF(Tabla15[[#This Row],[20]]="",0,VLOOKUP("VRP",Tabla5[#All],3,FALSE)*Tabla15[[#This Row],[21]])</f>
        <v>0</v>
      </c>
      <c r="AC28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282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282" s="52">
        <f>IF(Tabla15[[#This Row],[23]]="",0,VLOOKUP("VC",Tabla5[#All],3,FALSE)*Tabla15[[#This Row],[24]])</f>
        <v>0.25</v>
      </c>
      <c r="AF28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8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82" s="52">
        <f>IF(Tabla15[[#This Row],[26]]="",0,VLOOKUP(TRAMOS!$K$2,Tabla5[#All],3,FALSE)*Tabla15[[#This Row],[27]])</f>
        <v>0</v>
      </c>
      <c r="AI28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8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8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8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8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8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8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1.365</v>
      </c>
    </row>
    <row r="283" spans="2:41" x14ac:dyDescent="0.25">
      <c r="B283" s="58" t="str">
        <f>Tabla1[[#This Row],[nudo inicial]]</f>
        <v>N145</v>
      </c>
      <c r="C283" s="58" t="str">
        <f>Tabla1[[#This Row],[nudo final]]</f>
        <v>TP105</v>
      </c>
      <c r="D283" s="51">
        <f>Tabla1[[#This Row],[longitud]]</f>
        <v>80.569999999999993</v>
      </c>
      <c r="E283" s="51" t="str">
        <f>Tabla1[[#This Row],[diametro]]</f>
        <v>2"</v>
      </c>
      <c r="F283" s="51" t="str">
        <f>Tabla1[[#This Row],[material]]</f>
        <v>PVC</v>
      </c>
      <c r="G28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283" s="52" t="str">
        <f>IF(Tabla1[[#This Row],[5]]="TPD",Tabla1[[#This Row],[6]],"")</f>
        <v/>
      </c>
      <c r="I283" s="52" t="str">
        <f>IF(OR(Tabla1[[#This Row],[5]]="TPD"),Tabla1[[#This Row],[7]],"")</f>
        <v/>
      </c>
      <c r="J283" s="52">
        <f>IF(Tabla15[[#This Row],[2]]="",0,VLOOKUP(TRAMOS!$H$2,Tabla5[#All],3,FALSE)*Tabla15[[#This Row],[3]])</f>
        <v>0</v>
      </c>
      <c r="K283" s="52" t="str">
        <f>IF(Tabla1[[#This Row],[5]]="TPL",Tabla1[[#This Row],[6]],"")</f>
        <v>2"</v>
      </c>
      <c r="L283" s="52">
        <f>IF(OR(Tabla1[[#This Row],[5]]="TPL"),Tabla1[[#This Row],[7]],"")</f>
        <v>1</v>
      </c>
      <c r="M283" s="52">
        <f>IF(Tabla15[[#This Row],[5]]="",0,VLOOKUP(TRAMOS!$K$2,Tabla5[#All],3,FALSE)*Tabla15[[#This Row],[6]])</f>
        <v>0.9</v>
      </c>
      <c r="N28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8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83" s="52">
        <f>IF(Tabla15[[#This Row],[8]]="",0,VLOOKUP(TRAMOS!$H$2,Tabla5[#All],3,FALSE)*Tabla15[[#This Row],[9]])</f>
        <v>0</v>
      </c>
      <c r="Q28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8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83" s="52">
        <f>IF(Tabla15[[#This Row],[11]]="",0,VLOOKUP(TRAMOS!$Q$2,Tabla5[#All],3,FALSE)*Tabla15[[#This Row],[12]])</f>
        <v>0</v>
      </c>
      <c r="T28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8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8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8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8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8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8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8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83" s="52">
        <f>IF(Tabla15[[#This Row],[20]]="",0,VLOOKUP("VRP",Tabla5[#All],3,FALSE)*Tabla15[[#This Row],[21]])</f>
        <v>0</v>
      </c>
      <c r="AC28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8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83" s="52">
        <f>IF(Tabla15[[#This Row],[23]]="",0,VLOOKUP("VC",Tabla5[#All],3,FALSE)*Tabla15[[#This Row],[24]])</f>
        <v>0</v>
      </c>
      <c r="AF28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8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83" s="52">
        <f>IF(Tabla15[[#This Row],[26]]="",0,VLOOKUP(TRAMOS!$K$2,Tabla5[#All],3,FALSE)*Tabla15[[#This Row],[27]])</f>
        <v>0</v>
      </c>
      <c r="AI28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8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8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8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8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283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28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284" spans="2:41" x14ac:dyDescent="0.25">
      <c r="B284" s="58" t="str">
        <f>Tabla1[[#This Row],[nudo inicial]]</f>
        <v>N145</v>
      </c>
      <c r="C284" s="58" t="str">
        <f>Tabla1[[#This Row],[nudo final]]</f>
        <v>N146</v>
      </c>
      <c r="D284" s="51">
        <f>Tabla1[[#This Row],[longitud]]</f>
        <v>29.27</v>
      </c>
      <c r="E284" s="51" t="str">
        <f>Tabla1[[#This Row],[diametro]]</f>
        <v>2"</v>
      </c>
      <c r="F284" s="51" t="str">
        <f>Tabla1[[#This Row],[material]]</f>
        <v>PVC</v>
      </c>
      <c r="G28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284" s="52" t="str">
        <f>IF(Tabla1[[#This Row],[5]]="TPD",Tabla1[[#This Row],[6]],"")</f>
        <v>2"</v>
      </c>
      <c r="I284" s="52">
        <f>IF(OR(Tabla1[[#This Row],[5]]="TPD"),Tabla1[[#This Row],[7]],"")</f>
        <v>1</v>
      </c>
      <c r="J284" s="52">
        <f>IF(Tabla15[[#This Row],[2]]="",0,VLOOKUP(TRAMOS!$H$2,Tabla5[#All],3,FALSE)*Tabla15[[#This Row],[3]])</f>
        <v>0.15</v>
      </c>
      <c r="K284" s="52" t="str">
        <f>IF(Tabla1[[#This Row],[5]]="TPL",Tabla1[[#This Row],[6]],"")</f>
        <v/>
      </c>
      <c r="L284" s="52" t="str">
        <f>IF(OR(Tabla1[[#This Row],[5]]="TPL"),Tabla1[[#This Row],[7]],"")</f>
        <v/>
      </c>
      <c r="M284" s="52">
        <f>IF(Tabla15[[#This Row],[5]]="",0,VLOOKUP(TRAMOS!$K$2,Tabla5[#All],3,FALSE)*Tabla15[[#This Row],[6]])</f>
        <v>0</v>
      </c>
      <c r="N28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8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84" s="52">
        <f>IF(Tabla15[[#This Row],[8]]="",0,VLOOKUP(TRAMOS!$H$2,Tabla5[#All],3,FALSE)*Tabla15[[#This Row],[9]])</f>
        <v>0</v>
      </c>
      <c r="Q28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8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84" s="52">
        <f>IF(Tabla15[[#This Row],[11]]="",0,VLOOKUP(TRAMOS!$Q$2,Tabla5[#All],3,FALSE)*Tabla15[[#This Row],[12]])</f>
        <v>0</v>
      </c>
      <c r="T28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8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8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8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8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8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8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8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84" s="52">
        <f>IF(Tabla15[[#This Row],[20]]="",0,VLOOKUP("VRP",Tabla5[#All],3,FALSE)*Tabla15[[#This Row],[21]])</f>
        <v>0</v>
      </c>
      <c r="AC28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8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84" s="52">
        <f>IF(Tabla15[[#This Row],[23]]="",0,VLOOKUP("VC",Tabla5[#All],3,FALSE)*Tabla15[[#This Row],[24]])</f>
        <v>0</v>
      </c>
      <c r="AF28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8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84" s="52">
        <f>IF(Tabla15[[#This Row],[26]]="",0,VLOOKUP(TRAMOS!$K$2,Tabla5[#All],3,FALSE)*Tabla15[[#This Row],[27]])</f>
        <v>0</v>
      </c>
      <c r="AI28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8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8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8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8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8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8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285" spans="2:41" x14ac:dyDescent="0.25">
      <c r="B285" s="58" t="str">
        <f>Tabla1[[#This Row],[nudo inicial]]</f>
        <v>N146</v>
      </c>
      <c r="C285" s="58" t="str">
        <f>Tabla1[[#This Row],[nudo final]]</f>
        <v>TP106</v>
      </c>
      <c r="D285" s="51">
        <f>Tabla1[[#This Row],[longitud]]</f>
        <v>63.16</v>
      </c>
      <c r="E285" s="51" t="str">
        <f>Tabla1[[#This Row],[diametro]]</f>
        <v>2"</v>
      </c>
      <c r="F285" s="51" t="str">
        <f>Tabla1[[#This Row],[material]]</f>
        <v>PVC</v>
      </c>
      <c r="G28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285" s="52" t="str">
        <f>IF(Tabla1[[#This Row],[5]]="TPD",Tabla1[[#This Row],[6]],"")</f>
        <v/>
      </c>
      <c r="I285" s="52" t="str">
        <f>IF(OR(Tabla1[[#This Row],[5]]="TPD"),Tabla1[[#This Row],[7]],"")</f>
        <v/>
      </c>
      <c r="J285" s="52">
        <f>IF(Tabla15[[#This Row],[2]]="",0,VLOOKUP(TRAMOS!$H$2,Tabla5[#All],3,FALSE)*Tabla15[[#This Row],[3]])</f>
        <v>0</v>
      </c>
      <c r="K285" s="52" t="str">
        <f>IF(Tabla1[[#This Row],[5]]="TPL",Tabla1[[#This Row],[6]],"")</f>
        <v>2"</v>
      </c>
      <c r="L285" s="52">
        <f>IF(OR(Tabla1[[#This Row],[5]]="TPL"),Tabla1[[#This Row],[7]],"")</f>
        <v>1</v>
      </c>
      <c r="M285" s="52">
        <f>IF(Tabla15[[#This Row],[5]]="",0,VLOOKUP(TRAMOS!$K$2,Tabla5[#All],3,FALSE)*Tabla15[[#This Row],[6]])</f>
        <v>0.9</v>
      </c>
      <c r="N28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8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85" s="52">
        <f>IF(Tabla15[[#This Row],[8]]="",0,VLOOKUP(TRAMOS!$H$2,Tabla5[#All],3,FALSE)*Tabla15[[#This Row],[9]])</f>
        <v>0</v>
      </c>
      <c r="Q28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8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85" s="52">
        <f>IF(Tabla15[[#This Row],[11]]="",0,VLOOKUP(TRAMOS!$Q$2,Tabla5[#All],3,FALSE)*Tabla15[[#This Row],[12]])</f>
        <v>0</v>
      </c>
      <c r="T28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8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8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8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8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8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8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8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85" s="52">
        <f>IF(Tabla15[[#This Row],[20]]="",0,VLOOKUP("VRP",Tabla5[#All],3,FALSE)*Tabla15[[#This Row],[21]])</f>
        <v>0</v>
      </c>
      <c r="AC28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8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85" s="52">
        <f>IF(Tabla15[[#This Row],[23]]="",0,VLOOKUP("VC",Tabla5[#All],3,FALSE)*Tabla15[[#This Row],[24]])</f>
        <v>0</v>
      </c>
      <c r="AF28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8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85" s="52">
        <f>IF(Tabla15[[#This Row],[26]]="",0,VLOOKUP(TRAMOS!$K$2,Tabla5[#All],3,FALSE)*Tabla15[[#This Row],[27]])</f>
        <v>0</v>
      </c>
      <c r="AI28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8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8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8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8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285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28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286" spans="2:41" x14ac:dyDescent="0.25">
      <c r="B286" s="58" t="str">
        <f>Tabla1[[#This Row],[nudo inicial]]</f>
        <v>N146</v>
      </c>
      <c r="C286" s="58" t="str">
        <f>Tabla1[[#This Row],[nudo final]]</f>
        <v>N147</v>
      </c>
      <c r="D286" s="51">
        <f>Tabla1[[#This Row],[longitud]]</f>
        <v>37.99</v>
      </c>
      <c r="E286" s="51" t="str">
        <f>Tabla1[[#This Row],[diametro]]</f>
        <v>2"</v>
      </c>
      <c r="F286" s="51" t="str">
        <f>Tabla1[[#This Row],[material]]</f>
        <v>PVC</v>
      </c>
      <c r="G28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286" s="52" t="str">
        <f>IF(Tabla1[[#This Row],[5]]="TPD",Tabla1[[#This Row],[6]],"")</f>
        <v>2"</v>
      </c>
      <c r="I286" s="52">
        <f>IF(OR(Tabla1[[#This Row],[5]]="TPD"),Tabla1[[#This Row],[7]],"")</f>
        <v>1</v>
      </c>
      <c r="J286" s="52">
        <f>IF(Tabla15[[#This Row],[2]]="",0,VLOOKUP(TRAMOS!$H$2,Tabla5[#All],3,FALSE)*Tabla15[[#This Row],[3]])</f>
        <v>0.15</v>
      </c>
      <c r="K286" s="52" t="str">
        <f>IF(Tabla1[[#This Row],[5]]="TPL",Tabla1[[#This Row],[6]],"")</f>
        <v/>
      </c>
      <c r="L286" s="52" t="str">
        <f>IF(OR(Tabla1[[#This Row],[5]]="TPL"),Tabla1[[#This Row],[7]],"")</f>
        <v/>
      </c>
      <c r="M286" s="52">
        <f>IF(Tabla15[[#This Row],[5]]="",0,VLOOKUP(TRAMOS!$K$2,Tabla5[#All],3,FALSE)*Tabla15[[#This Row],[6]])</f>
        <v>0</v>
      </c>
      <c r="N28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8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86" s="52">
        <f>IF(Tabla15[[#This Row],[8]]="",0,VLOOKUP(TRAMOS!$H$2,Tabla5[#All],3,FALSE)*Tabla15[[#This Row],[9]])</f>
        <v>0</v>
      </c>
      <c r="Q28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8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86" s="52">
        <f>IF(Tabla15[[#This Row],[11]]="",0,VLOOKUP(TRAMOS!$Q$2,Tabla5[#All],3,FALSE)*Tabla15[[#This Row],[12]])</f>
        <v>0</v>
      </c>
      <c r="T28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8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8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8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8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8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8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8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86" s="52">
        <f>IF(Tabla15[[#This Row],[20]]="",0,VLOOKUP("VRP",Tabla5[#All],3,FALSE)*Tabla15[[#This Row],[21]])</f>
        <v>0</v>
      </c>
      <c r="AC28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8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86" s="52">
        <f>IF(Tabla15[[#This Row],[23]]="",0,VLOOKUP("VC",Tabla5[#All],3,FALSE)*Tabla15[[#This Row],[24]])</f>
        <v>0</v>
      </c>
      <c r="AF28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8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86" s="52">
        <f>IF(Tabla15[[#This Row],[26]]="",0,VLOOKUP(TRAMOS!$K$2,Tabla5[#All],3,FALSE)*Tabla15[[#This Row],[27]])</f>
        <v>0</v>
      </c>
      <c r="AI28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8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8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8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8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8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8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287" spans="2:41" x14ac:dyDescent="0.25">
      <c r="B287" s="58" t="str">
        <f>Tabla1[[#This Row],[nudo inicial]]</f>
        <v>N147</v>
      </c>
      <c r="C287" s="58" t="str">
        <f>Tabla1[[#This Row],[nudo final]]</f>
        <v>TP107</v>
      </c>
      <c r="D287" s="51">
        <f>Tabla1[[#This Row],[longitud]]</f>
        <v>65.91</v>
      </c>
      <c r="E287" s="51" t="str">
        <f>Tabla1[[#This Row],[diametro]]</f>
        <v>2"</v>
      </c>
      <c r="F287" s="51" t="str">
        <f>Tabla1[[#This Row],[material]]</f>
        <v>PVC</v>
      </c>
      <c r="G28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287" s="52" t="str">
        <f>IF(Tabla1[[#This Row],[5]]="TPD",Tabla1[[#This Row],[6]],"")</f>
        <v/>
      </c>
      <c r="I287" s="52" t="str">
        <f>IF(OR(Tabla1[[#This Row],[5]]="TPD"),Tabla1[[#This Row],[7]],"")</f>
        <v/>
      </c>
      <c r="J287" s="52">
        <f>IF(Tabla15[[#This Row],[2]]="",0,VLOOKUP(TRAMOS!$H$2,Tabla5[#All],3,FALSE)*Tabla15[[#This Row],[3]])</f>
        <v>0</v>
      </c>
      <c r="K287" s="52" t="str">
        <f>IF(Tabla1[[#This Row],[5]]="TPL",Tabla1[[#This Row],[6]],"")</f>
        <v>2"</v>
      </c>
      <c r="L287" s="52">
        <f>IF(OR(Tabla1[[#This Row],[5]]="TPL"),Tabla1[[#This Row],[7]],"")</f>
        <v>1</v>
      </c>
      <c r="M287" s="52">
        <f>IF(Tabla15[[#This Row],[5]]="",0,VLOOKUP(TRAMOS!$K$2,Tabla5[#All],3,FALSE)*Tabla15[[#This Row],[6]])</f>
        <v>0.9</v>
      </c>
      <c r="N28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8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87" s="52">
        <f>IF(Tabla15[[#This Row],[8]]="",0,VLOOKUP(TRAMOS!$H$2,Tabla5[#All],3,FALSE)*Tabla15[[#This Row],[9]])</f>
        <v>0</v>
      </c>
      <c r="Q28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8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87" s="52">
        <f>IF(Tabla15[[#This Row],[11]]="",0,VLOOKUP(TRAMOS!$Q$2,Tabla5[#All],3,FALSE)*Tabla15[[#This Row],[12]])</f>
        <v>0</v>
      </c>
      <c r="T28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8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8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8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8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8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8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8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87" s="52">
        <f>IF(Tabla15[[#This Row],[20]]="",0,VLOOKUP("VRP",Tabla5[#All],3,FALSE)*Tabla15[[#This Row],[21]])</f>
        <v>0</v>
      </c>
      <c r="AC28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8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87" s="52">
        <f>IF(Tabla15[[#This Row],[23]]="",0,VLOOKUP("VC",Tabla5[#All],3,FALSE)*Tabla15[[#This Row],[24]])</f>
        <v>0</v>
      </c>
      <c r="AF28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8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87" s="52">
        <f>IF(Tabla15[[#This Row],[26]]="",0,VLOOKUP(TRAMOS!$K$2,Tabla5[#All],3,FALSE)*Tabla15[[#This Row],[27]])</f>
        <v>0</v>
      </c>
      <c r="AI28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8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8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8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8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287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28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288" spans="2:41" x14ac:dyDescent="0.25">
      <c r="B288" s="58" t="str">
        <f>Tabla1[[#This Row],[nudo inicial]]</f>
        <v>N147</v>
      </c>
      <c r="C288" s="58" t="str">
        <f>Tabla1[[#This Row],[nudo final]]</f>
        <v>TP108</v>
      </c>
      <c r="D288" s="51">
        <f>Tabla1[[#This Row],[longitud]]</f>
        <v>124.41</v>
      </c>
      <c r="E288" s="51" t="str">
        <f>Tabla1[[#This Row],[diametro]]</f>
        <v>2"</v>
      </c>
      <c r="F288" s="51" t="str">
        <f>Tabla1[[#This Row],[material]]</f>
        <v>PVC</v>
      </c>
      <c r="G28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288" s="52" t="str">
        <f>IF(Tabla1[[#This Row],[5]]="TPD",Tabla1[[#This Row],[6]],"")</f>
        <v>2"</v>
      </c>
      <c r="I288" s="52">
        <f>IF(OR(Tabla1[[#This Row],[5]]="TPD"),Tabla1[[#This Row],[7]],"")</f>
        <v>1</v>
      </c>
      <c r="J288" s="52">
        <f>IF(Tabla15[[#This Row],[2]]="",0,VLOOKUP(TRAMOS!$H$2,Tabla5[#All],3,FALSE)*Tabla15[[#This Row],[3]])</f>
        <v>0.15</v>
      </c>
      <c r="K288" s="52" t="str">
        <f>IF(Tabla1[[#This Row],[5]]="TPL",Tabla1[[#This Row],[6]],"")</f>
        <v/>
      </c>
      <c r="L288" s="52" t="str">
        <f>IF(OR(Tabla1[[#This Row],[5]]="TPL"),Tabla1[[#This Row],[7]],"")</f>
        <v/>
      </c>
      <c r="M288" s="52">
        <f>IF(Tabla15[[#This Row],[5]]="",0,VLOOKUP(TRAMOS!$K$2,Tabla5[#All],3,FALSE)*Tabla15[[#This Row],[6]])</f>
        <v>0</v>
      </c>
      <c r="N28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8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88" s="52">
        <f>IF(Tabla15[[#This Row],[8]]="",0,VLOOKUP(TRAMOS!$H$2,Tabla5[#All],3,FALSE)*Tabla15[[#This Row],[9]])</f>
        <v>0</v>
      </c>
      <c r="Q28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288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288" s="52">
        <f>IF(Tabla15[[#This Row],[11]]="",0,VLOOKUP(TRAMOS!$Q$2,Tabla5[#All],3,FALSE)*Tabla15[[#This Row],[12]])</f>
        <v>0.9</v>
      </c>
      <c r="T28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8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8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8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8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8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8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8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88" s="52">
        <f>IF(Tabla15[[#This Row],[20]]="",0,VLOOKUP("VRP",Tabla5[#All],3,FALSE)*Tabla15[[#This Row],[21]])</f>
        <v>0</v>
      </c>
      <c r="AC28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8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88" s="52">
        <f>IF(Tabla15[[#This Row],[23]]="",0,VLOOKUP("VC",Tabla5[#All],3,FALSE)*Tabla15[[#This Row],[24]])</f>
        <v>0</v>
      </c>
      <c r="AF28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8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88" s="52">
        <f>IF(Tabla15[[#This Row],[26]]="",0,VLOOKUP(TRAMOS!$K$2,Tabla5[#All],3,FALSE)*Tabla15[[#This Row],[27]])</f>
        <v>0</v>
      </c>
      <c r="AI28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8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8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8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8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288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28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289" spans="2:41" x14ac:dyDescent="0.25">
      <c r="B289" s="58" t="str">
        <f>Tabla1[[#This Row],[nudo inicial]]</f>
        <v>N144</v>
      </c>
      <c r="C289" s="58" t="str">
        <f>Tabla1[[#This Row],[nudo final]]</f>
        <v>N148</v>
      </c>
      <c r="D289" s="51">
        <f>Tabla1[[#This Row],[longitud]]</f>
        <v>113.31</v>
      </c>
      <c r="E289" s="51" t="str">
        <f>Tabla1[[#This Row],[diametro]]</f>
        <v>3"</v>
      </c>
      <c r="F289" s="51" t="str">
        <f>Tabla1[[#This Row],[material]]</f>
        <v>PVC</v>
      </c>
      <c r="G28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89" s="52" t="str">
        <f>IF(Tabla1[[#This Row],[5]]="TPD",Tabla1[[#This Row],[6]],"")</f>
        <v>3"</v>
      </c>
      <c r="I289" s="52">
        <f>IF(OR(Tabla1[[#This Row],[5]]="TPD"),Tabla1[[#This Row],[7]],"")</f>
        <v>1</v>
      </c>
      <c r="J289" s="52">
        <f>IF(Tabla15[[#This Row],[2]]="",0,VLOOKUP(TRAMOS!$H$2,Tabla5[#All],3,FALSE)*Tabla15[[#This Row],[3]])</f>
        <v>0.15</v>
      </c>
      <c r="K289" s="52" t="str">
        <f>IF(Tabla1[[#This Row],[5]]="TPL",Tabla1[[#This Row],[6]],"")</f>
        <v/>
      </c>
      <c r="L289" s="52" t="str">
        <f>IF(OR(Tabla1[[#This Row],[5]]="TPL"),Tabla1[[#This Row],[7]],"")</f>
        <v/>
      </c>
      <c r="M289" s="52">
        <f>IF(Tabla15[[#This Row],[5]]="",0,VLOOKUP(TRAMOS!$K$2,Tabla5[#All],3,FALSE)*Tabla15[[#This Row],[6]])</f>
        <v>0</v>
      </c>
      <c r="N28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8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89" s="52">
        <f>IF(Tabla15[[#This Row],[8]]="",0,VLOOKUP(TRAMOS!$H$2,Tabla5[#All],3,FALSE)*Tabla15[[#This Row],[9]])</f>
        <v>0</v>
      </c>
      <c r="Q28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8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89" s="52">
        <f>IF(Tabla15[[#This Row],[11]]="",0,VLOOKUP(TRAMOS!$Q$2,Tabla5[#All],3,FALSE)*Tabla15[[#This Row],[12]])</f>
        <v>0</v>
      </c>
      <c r="T28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8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8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8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8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8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8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8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89" s="52">
        <f>IF(Tabla15[[#This Row],[20]]="",0,VLOOKUP("VRP",Tabla5[#All],3,FALSE)*Tabla15[[#This Row],[21]])</f>
        <v>0</v>
      </c>
      <c r="AC28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8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89" s="52">
        <f>IF(Tabla15[[#This Row],[23]]="",0,VLOOKUP("VC",Tabla5[#All],3,FALSE)*Tabla15[[#This Row],[24]])</f>
        <v>0</v>
      </c>
      <c r="AF28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8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89" s="52">
        <f>IF(Tabla15[[#This Row],[26]]="",0,VLOOKUP(TRAMOS!$K$2,Tabla5[#All],3,FALSE)*Tabla15[[#This Row],[27]])</f>
        <v>0</v>
      </c>
      <c r="AI28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8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8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8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8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8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8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290" spans="2:41" x14ac:dyDescent="0.25">
      <c r="B290" s="58" t="str">
        <f>Tabla1[[#This Row],[nudo inicial]]</f>
        <v>N139</v>
      </c>
      <c r="C290" s="58" t="str">
        <f>Tabla1[[#This Row],[nudo final]]</f>
        <v>N148</v>
      </c>
      <c r="D290" s="51">
        <f>Tabla1[[#This Row],[longitud]]</f>
        <v>87.88</v>
      </c>
      <c r="E290" s="51" t="str">
        <f>Tabla1[[#This Row],[diametro]]</f>
        <v>3"</v>
      </c>
      <c r="F290" s="51" t="str">
        <f>Tabla1[[#This Row],[material]]</f>
        <v>PVC</v>
      </c>
      <c r="G29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90" s="52" t="str">
        <f>IF(Tabla1[[#This Row],[5]]="TPD",Tabla1[[#This Row],[6]],"")</f>
        <v/>
      </c>
      <c r="I290" s="52" t="str">
        <f>IF(OR(Tabla1[[#This Row],[5]]="TPD"),Tabla1[[#This Row],[7]],"")</f>
        <v/>
      </c>
      <c r="J290" s="52">
        <f>IF(Tabla15[[#This Row],[2]]="",0,VLOOKUP(TRAMOS!$H$2,Tabla5[#All],3,FALSE)*Tabla15[[#This Row],[3]])</f>
        <v>0</v>
      </c>
      <c r="K290" s="52" t="str">
        <f>IF(Tabla1[[#This Row],[5]]="TPL",Tabla1[[#This Row],[6]],"")</f>
        <v>3"</v>
      </c>
      <c r="L290" s="52">
        <f>IF(OR(Tabla1[[#This Row],[5]]="TPL"),Tabla1[[#This Row],[7]],"")</f>
        <v>1</v>
      </c>
      <c r="M290" s="52">
        <f>IF(Tabla15[[#This Row],[5]]="",0,VLOOKUP(TRAMOS!$K$2,Tabla5[#All],3,FALSE)*Tabla15[[#This Row],[6]])</f>
        <v>0.9</v>
      </c>
      <c r="N29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9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90" s="52">
        <f>IF(Tabla15[[#This Row],[8]]="",0,VLOOKUP(TRAMOS!$H$2,Tabla5[#All],3,FALSE)*Tabla15[[#This Row],[9]])</f>
        <v>0</v>
      </c>
      <c r="Q29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9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90" s="52">
        <f>IF(Tabla15[[#This Row],[11]]="",0,VLOOKUP(TRAMOS!$Q$2,Tabla5[#All],3,FALSE)*Tabla15[[#This Row],[12]])</f>
        <v>0</v>
      </c>
      <c r="T29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9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9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9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9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9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9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9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90" s="52">
        <f>IF(Tabla15[[#This Row],[20]]="",0,VLOOKUP("VRP",Tabla5[#All],3,FALSE)*Tabla15[[#This Row],[21]])</f>
        <v>0</v>
      </c>
      <c r="AC29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9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90" s="52">
        <f>IF(Tabla15[[#This Row],[23]]="",0,VLOOKUP("VC",Tabla5[#All],3,FALSE)*Tabla15[[#This Row],[24]])</f>
        <v>0</v>
      </c>
      <c r="AF29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9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90" s="52">
        <f>IF(Tabla15[[#This Row],[26]]="",0,VLOOKUP(TRAMOS!$K$2,Tabla5[#All],3,FALSE)*Tabla15[[#This Row],[27]])</f>
        <v>0</v>
      </c>
      <c r="AI29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9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9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9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9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9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9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291" spans="2:41" x14ac:dyDescent="0.25">
      <c r="B291" s="58" t="str">
        <f>Tabla1[[#This Row],[nudo inicial]]</f>
        <v>N148</v>
      </c>
      <c r="C291" s="58" t="str">
        <f>Tabla1[[#This Row],[nudo final]]</f>
        <v>N149</v>
      </c>
      <c r="D291" s="51">
        <f>Tabla1[[#This Row],[longitud]]</f>
        <v>18.82</v>
      </c>
      <c r="E291" s="51" t="str">
        <f>Tabla1[[#This Row],[diametro]]</f>
        <v>3"</v>
      </c>
      <c r="F291" s="51" t="str">
        <f>Tabla1[[#This Row],[material]]</f>
        <v>PVC</v>
      </c>
      <c r="G29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91" s="52" t="str">
        <f>IF(Tabla1[[#This Row],[5]]="TPD",Tabla1[[#This Row],[6]],"")</f>
        <v>3"</v>
      </c>
      <c r="I291" s="52">
        <f>IF(OR(Tabla1[[#This Row],[5]]="TPD"),Tabla1[[#This Row],[7]],"")</f>
        <v>1</v>
      </c>
      <c r="J291" s="52">
        <f>IF(Tabla15[[#This Row],[2]]="",0,VLOOKUP(TRAMOS!$H$2,Tabla5[#All],3,FALSE)*Tabla15[[#This Row],[3]])</f>
        <v>0.15</v>
      </c>
      <c r="K291" s="52" t="str">
        <f>IF(Tabla1[[#This Row],[5]]="TPL",Tabla1[[#This Row],[6]],"")</f>
        <v/>
      </c>
      <c r="L291" s="52" t="str">
        <f>IF(OR(Tabla1[[#This Row],[5]]="TPL"),Tabla1[[#This Row],[7]],"")</f>
        <v/>
      </c>
      <c r="M291" s="52">
        <f>IF(Tabla15[[#This Row],[5]]="",0,VLOOKUP(TRAMOS!$K$2,Tabla5[#All],3,FALSE)*Tabla15[[#This Row],[6]])</f>
        <v>0</v>
      </c>
      <c r="N29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9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91" s="52">
        <f>IF(Tabla15[[#This Row],[8]]="",0,VLOOKUP(TRAMOS!$H$2,Tabla5[#All],3,FALSE)*Tabla15[[#This Row],[9]])</f>
        <v>0</v>
      </c>
      <c r="Q29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9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91" s="52">
        <f>IF(Tabla15[[#This Row],[11]]="",0,VLOOKUP(TRAMOS!$Q$2,Tabla5[#All],3,FALSE)*Tabla15[[#This Row],[12]])</f>
        <v>0</v>
      </c>
      <c r="T29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9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9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9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9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9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9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9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91" s="52">
        <f>IF(Tabla15[[#This Row],[20]]="",0,VLOOKUP("VRP",Tabla5[#All],3,FALSE)*Tabla15[[#This Row],[21]])</f>
        <v>0</v>
      </c>
      <c r="AC29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9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91" s="52">
        <f>IF(Tabla15[[#This Row],[23]]="",0,VLOOKUP("VC",Tabla5[#All],3,FALSE)*Tabla15[[#This Row],[24]])</f>
        <v>0</v>
      </c>
      <c r="AF29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9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91" s="52">
        <f>IF(Tabla15[[#This Row],[26]]="",0,VLOOKUP(TRAMOS!$K$2,Tabla5[#All],3,FALSE)*Tabla15[[#This Row],[27]])</f>
        <v>0</v>
      </c>
      <c r="AI29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9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9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9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9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9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9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292" spans="2:41" x14ac:dyDescent="0.25">
      <c r="B292" s="58" t="str">
        <f>Tabla1[[#This Row],[nudo inicial]]</f>
        <v>N149</v>
      </c>
      <c r="C292" s="58" t="str">
        <f>Tabla1[[#This Row],[nudo final]]</f>
        <v>TP109</v>
      </c>
      <c r="D292" s="51">
        <f>Tabla1[[#This Row],[longitud]]</f>
        <v>51.18</v>
      </c>
      <c r="E292" s="51" t="str">
        <f>Tabla1[[#This Row],[diametro]]</f>
        <v>2"</v>
      </c>
      <c r="F292" s="51" t="str">
        <f>Tabla1[[#This Row],[material]]</f>
        <v>PVC</v>
      </c>
      <c r="G29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92" s="52" t="str">
        <f>IF(Tabla1[[#This Row],[5]]="TPD",Tabla1[[#This Row],[6]],"")</f>
        <v/>
      </c>
      <c r="I292" s="52" t="str">
        <f>IF(OR(Tabla1[[#This Row],[5]]="TPD"),Tabla1[[#This Row],[7]],"")</f>
        <v/>
      </c>
      <c r="J292" s="52">
        <f>IF(Tabla15[[#This Row],[2]]="",0,VLOOKUP(TRAMOS!$H$2,Tabla5[#All],3,FALSE)*Tabla15[[#This Row],[3]])</f>
        <v>0</v>
      </c>
      <c r="K292" s="52" t="str">
        <f>IF(Tabla1[[#This Row],[5]]="TPL",Tabla1[[#This Row],[6]],"")</f>
        <v>3"</v>
      </c>
      <c r="L292" s="52">
        <f>IF(OR(Tabla1[[#This Row],[5]]="TPL"),Tabla1[[#This Row],[7]],"")</f>
        <v>1</v>
      </c>
      <c r="M292" s="52">
        <f>IF(Tabla15[[#This Row],[5]]="",0,VLOOKUP(TRAMOS!$K$2,Tabla5[#All],3,FALSE)*Tabla15[[#This Row],[6]])</f>
        <v>0.9</v>
      </c>
      <c r="N29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9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92" s="52">
        <f>IF(Tabla15[[#This Row],[8]]="",0,VLOOKUP(TRAMOS!$H$2,Tabla5[#All],3,FALSE)*Tabla15[[#This Row],[9]])</f>
        <v>0</v>
      </c>
      <c r="Q29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9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92" s="52">
        <f>IF(Tabla15[[#This Row],[11]]="",0,VLOOKUP(TRAMOS!$Q$2,Tabla5[#All],3,FALSE)*Tabla15[[#This Row],[12]])</f>
        <v>0</v>
      </c>
      <c r="T29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292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29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29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9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9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9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9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92" s="52">
        <f>IF(Tabla15[[#This Row],[20]]="",0,VLOOKUP("VRP",Tabla5[#All],3,FALSE)*Tabla15[[#This Row],[21]])</f>
        <v>0</v>
      </c>
      <c r="AC29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9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92" s="52">
        <f>IF(Tabla15[[#This Row],[23]]="",0,VLOOKUP("VC",Tabla5[#All],3,FALSE)*Tabla15[[#This Row],[24]])</f>
        <v>0</v>
      </c>
      <c r="AF29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9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92" s="52">
        <f>IF(Tabla15[[#This Row],[26]]="",0,VLOOKUP(TRAMOS!$K$2,Tabla5[#All],3,FALSE)*Tabla15[[#This Row],[27]])</f>
        <v>0</v>
      </c>
      <c r="AI29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9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9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9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9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292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29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293" spans="2:41" x14ac:dyDescent="0.25">
      <c r="B293" s="58" t="str">
        <f>Tabla1[[#This Row],[nudo inicial]]</f>
        <v>N149</v>
      </c>
      <c r="C293" s="58" t="str">
        <f>Tabla1[[#This Row],[nudo final]]</f>
        <v>N150</v>
      </c>
      <c r="D293" s="51">
        <f>Tabla1[[#This Row],[longitud]]</f>
        <v>37.42</v>
      </c>
      <c r="E293" s="51" t="str">
        <f>Tabla1[[#This Row],[diametro]]</f>
        <v>3"</v>
      </c>
      <c r="F293" s="51" t="str">
        <f>Tabla1[[#This Row],[material]]</f>
        <v>PVC</v>
      </c>
      <c r="G29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93" s="52" t="str">
        <f>IF(Tabla1[[#This Row],[5]]="TPD",Tabla1[[#This Row],[6]],"")</f>
        <v>3"</v>
      </c>
      <c r="I293" s="52">
        <f>IF(OR(Tabla1[[#This Row],[5]]="TPD"),Tabla1[[#This Row],[7]],"")</f>
        <v>1</v>
      </c>
      <c r="J293" s="52">
        <f>IF(Tabla15[[#This Row],[2]]="",0,VLOOKUP(TRAMOS!$H$2,Tabla5[#All],3,FALSE)*Tabla15[[#This Row],[3]])</f>
        <v>0.15</v>
      </c>
      <c r="K293" s="52" t="str">
        <f>IF(Tabla1[[#This Row],[5]]="TPL",Tabla1[[#This Row],[6]],"")</f>
        <v/>
      </c>
      <c r="L293" s="52" t="str">
        <f>IF(OR(Tabla1[[#This Row],[5]]="TPL"),Tabla1[[#This Row],[7]],"")</f>
        <v/>
      </c>
      <c r="M293" s="52">
        <f>IF(Tabla15[[#This Row],[5]]="",0,VLOOKUP(TRAMOS!$K$2,Tabla5[#All],3,FALSE)*Tabla15[[#This Row],[6]])</f>
        <v>0</v>
      </c>
      <c r="N29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9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93" s="52">
        <f>IF(Tabla15[[#This Row],[8]]="",0,VLOOKUP(TRAMOS!$H$2,Tabla5[#All],3,FALSE)*Tabla15[[#This Row],[9]])</f>
        <v>0</v>
      </c>
      <c r="Q29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9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93" s="52">
        <f>IF(Tabla15[[#This Row],[11]]="",0,VLOOKUP(TRAMOS!$Q$2,Tabla5[#All],3,FALSE)*Tabla15[[#This Row],[12]])</f>
        <v>0</v>
      </c>
      <c r="T29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9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9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9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9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9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9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9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93" s="52">
        <f>IF(Tabla15[[#This Row],[20]]="",0,VLOOKUP("VRP",Tabla5[#All],3,FALSE)*Tabla15[[#This Row],[21]])</f>
        <v>0</v>
      </c>
      <c r="AC29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9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93" s="52">
        <f>IF(Tabla15[[#This Row],[23]]="",0,VLOOKUP("VC",Tabla5[#All],3,FALSE)*Tabla15[[#This Row],[24]])</f>
        <v>0</v>
      </c>
      <c r="AF29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9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93" s="52">
        <f>IF(Tabla15[[#This Row],[26]]="",0,VLOOKUP(TRAMOS!$K$2,Tabla5[#All],3,FALSE)*Tabla15[[#This Row],[27]])</f>
        <v>0</v>
      </c>
      <c r="AI29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9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9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9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9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9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9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294" spans="2:41" x14ac:dyDescent="0.25">
      <c r="B294" s="58" t="str">
        <f>Tabla1[[#This Row],[nudo inicial]]</f>
        <v>N150</v>
      </c>
      <c r="C294" s="58" t="str">
        <f>Tabla1[[#This Row],[nudo final]]</f>
        <v>N151</v>
      </c>
      <c r="D294" s="51">
        <f>Tabla1[[#This Row],[longitud]]</f>
        <v>34.89</v>
      </c>
      <c r="E294" s="51" t="str">
        <f>Tabla1[[#This Row],[diametro]]</f>
        <v>2"</v>
      </c>
      <c r="F294" s="51" t="str">
        <f>Tabla1[[#This Row],[material]]</f>
        <v>PVC</v>
      </c>
      <c r="G29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94" s="52" t="str">
        <f>IF(Tabla1[[#This Row],[5]]="TPD",Tabla1[[#This Row],[6]],"")</f>
        <v/>
      </c>
      <c r="I294" s="52" t="str">
        <f>IF(OR(Tabla1[[#This Row],[5]]="TPD"),Tabla1[[#This Row],[7]],"")</f>
        <v/>
      </c>
      <c r="J294" s="52">
        <f>IF(Tabla15[[#This Row],[2]]="",0,VLOOKUP(TRAMOS!$H$2,Tabla5[#All],3,FALSE)*Tabla15[[#This Row],[3]])</f>
        <v>0</v>
      </c>
      <c r="K294" s="52" t="str">
        <f>IF(Tabla1[[#This Row],[5]]="TPL",Tabla1[[#This Row],[6]],"")</f>
        <v>3"</v>
      </c>
      <c r="L294" s="52">
        <f>IF(OR(Tabla1[[#This Row],[5]]="TPL"),Tabla1[[#This Row],[7]],"")</f>
        <v>1</v>
      </c>
      <c r="M294" s="52">
        <f>IF(Tabla15[[#This Row],[5]]="",0,VLOOKUP(TRAMOS!$K$2,Tabla5[#All],3,FALSE)*Tabla15[[#This Row],[6]])</f>
        <v>0.9</v>
      </c>
      <c r="N29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9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94" s="52">
        <f>IF(Tabla15[[#This Row],[8]]="",0,VLOOKUP(TRAMOS!$H$2,Tabla5[#All],3,FALSE)*Tabla15[[#This Row],[9]])</f>
        <v>0</v>
      </c>
      <c r="Q29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9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94" s="52">
        <f>IF(Tabla15[[#This Row],[11]]="",0,VLOOKUP(TRAMOS!$Q$2,Tabla5[#All],3,FALSE)*Tabla15[[#This Row],[12]])</f>
        <v>0</v>
      </c>
      <c r="T29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294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29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29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9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9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9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9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94" s="52">
        <f>IF(Tabla15[[#This Row],[20]]="",0,VLOOKUP("VRP",Tabla5[#All],3,FALSE)*Tabla15[[#This Row],[21]])</f>
        <v>0</v>
      </c>
      <c r="AC29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9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94" s="52">
        <f>IF(Tabla15[[#This Row],[23]]="",0,VLOOKUP("VC",Tabla5[#All],3,FALSE)*Tabla15[[#This Row],[24]])</f>
        <v>0</v>
      </c>
      <c r="AF29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9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94" s="52">
        <f>IF(Tabla15[[#This Row],[26]]="",0,VLOOKUP(TRAMOS!$K$2,Tabla5[#All],3,FALSE)*Tabla15[[#This Row],[27]])</f>
        <v>0</v>
      </c>
      <c r="AI29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9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9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9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9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9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9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295" spans="2:41" x14ac:dyDescent="0.25">
      <c r="B295" s="58" t="str">
        <f>Tabla1[[#This Row],[nudo inicial]]</f>
        <v>N151</v>
      </c>
      <c r="C295" s="58" t="str">
        <f>Tabla1[[#This Row],[nudo final]]</f>
        <v>TP110</v>
      </c>
      <c r="D295" s="51">
        <f>Tabla1[[#This Row],[longitud]]</f>
        <v>23.09</v>
      </c>
      <c r="E295" s="51" t="str">
        <f>Tabla1[[#This Row],[diametro]]</f>
        <v>2"</v>
      </c>
      <c r="F295" s="51" t="str">
        <f>Tabla1[[#This Row],[material]]</f>
        <v>PVC</v>
      </c>
      <c r="G29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295" s="52" t="str">
        <f>IF(Tabla1[[#This Row],[5]]="TPD",Tabla1[[#This Row],[6]],"")</f>
        <v/>
      </c>
      <c r="I295" s="52" t="str">
        <f>IF(OR(Tabla1[[#This Row],[5]]="TPD"),Tabla1[[#This Row],[7]],"")</f>
        <v/>
      </c>
      <c r="J295" s="52">
        <f>IF(Tabla15[[#This Row],[2]]="",0,VLOOKUP(TRAMOS!$H$2,Tabla5[#All],3,FALSE)*Tabla15[[#This Row],[3]])</f>
        <v>0</v>
      </c>
      <c r="K295" s="52" t="str">
        <f>IF(Tabla1[[#This Row],[5]]="TPL",Tabla1[[#This Row],[6]],"")</f>
        <v>2"</v>
      </c>
      <c r="L295" s="52">
        <f>IF(OR(Tabla1[[#This Row],[5]]="TPL"),Tabla1[[#This Row],[7]],"")</f>
        <v>1</v>
      </c>
      <c r="M295" s="52">
        <f>IF(Tabla15[[#This Row],[5]]="",0,VLOOKUP(TRAMOS!$K$2,Tabla5[#All],3,FALSE)*Tabla15[[#This Row],[6]])</f>
        <v>0.9</v>
      </c>
      <c r="N29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9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95" s="52">
        <f>IF(Tabla15[[#This Row],[8]]="",0,VLOOKUP(TRAMOS!$H$2,Tabla5[#All],3,FALSE)*Tabla15[[#This Row],[9]])</f>
        <v>0</v>
      </c>
      <c r="Q29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9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95" s="52">
        <f>IF(Tabla15[[#This Row],[11]]="",0,VLOOKUP(TRAMOS!$Q$2,Tabla5[#All],3,FALSE)*Tabla15[[#This Row],[12]])</f>
        <v>0</v>
      </c>
      <c r="T29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9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9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9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9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9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9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9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95" s="52">
        <f>IF(Tabla15[[#This Row],[20]]="",0,VLOOKUP("VRP",Tabla5[#All],3,FALSE)*Tabla15[[#This Row],[21]])</f>
        <v>0</v>
      </c>
      <c r="AC29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9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95" s="52">
        <f>IF(Tabla15[[#This Row],[23]]="",0,VLOOKUP("VC",Tabla5[#All],3,FALSE)*Tabla15[[#This Row],[24]])</f>
        <v>0</v>
      </c>
      <c r="AF29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9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95" s="52">
        <f>IF(Tabla15[[#This Row],[26]]="",0,VLOOKUP(TRAMOS!$K$2,Tabla5[#All],3,FALSE)*Tabla15[[#This Row],[27]])</f>
        <v>0</v>
      </c>
      <c r="AI29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9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9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9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9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295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29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296" spans="2:41" x14ac:dyDescent="0.25">
      <c r="B296" s="58" t="str">
        <f>Tabla1[[#This Row],[nudo inicial]]</f>
        <v>N151</v>
      </c>
      <c r="C296" s="58" t="str">
        <f>Tabla1[[#This Row],[nudo final]]</f>
        <v>TP111</v>
      </c>
      <c r="D296" s="51">
        <f>Tabla1[[#This Row],[longitud]]</f>
        <v>21.51</v>
      </c>
      <c r="E296" s="51" t="str">
        <f>Tabla1[[#This Row],[diametro]]</f>
        <v>2"</v>
      </c>
      <c r="F296" s="51" t="str">
        <f>Tabla1[[#This Row],[material]]</f>
        <v>PVC</v>
      </c>
      <c r="G29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296" s="52" t="str">
        <f>IF(Tabla1[[#This Row],[5]]="TPD",Tabla1[[#This Row],[6]],"")</f>
        <v>2"</v>
      </c>
      <c r="I296" s="52">
        <f>IF(OR(Tabla1[[#This Row],[5]]="TPD"),Tabla1[[#This Row],[7]],"")</f>
        <v>1</v>
      </c>
      <c r="J296" s="52">
        <f>IF(Tabla15[[#This Row],[2]]="",0,VLOOKUP(TRAMOS!$H$2,Tabla5[#All],3,FALSE)*Tabla15[[#This Row],[3]])</f>
        <v>0.15</v>
      </c>
      <c r="K296" s="52" t="str">
        <f>IF(Tabla1[[#This Row],[5]]="TPL",Tabla1[[#This Row],[6]],"")</f>
        <v/>
      </c>
      <c r="L296" s="52" t="str">
        <f>IF(OR(Tabla1[[#This Row],[5]]="TPL"),Tabla1[[#This Row],[7]],"")</f>
        <v/>
      </c>
      <c r="M296" s="52">
        <f>IF(Tabla15[[#This Row],[5]]="",0,VLOOKUP(TRAMOS!$K$2,Tabla5[#All],3,FALSE)*Tabla15[[#This Row],[6]])</f>
        <v>0</v>
      </c>
      <c r="N29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9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96" s="52">
        <f>IF(Tabla15[[#This Row],[8]]="",0,VLOOKUP(TRAMOS!$H$2,Tabla5[#All],3,FALSE)*Tabla15[[#This Row],[9]])</f>
        <v>0</v>
      </c>
      <c r="Q29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9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96" s="52">
        <f>IF(Tabla15[[#This Row],[11]]="",0,VLOOKUP(TRAMOS!$Q$2,Tabla5[#All],3,FALSE)*Tabla15[[#This Row],[12]])</f>
        <v>0</v>
      </c>
      <c r="T29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9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9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9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9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9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9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9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96" s="52">
        <f>IF(Tabla15[[#This Row],[20]]="",0,VLOOKUP("VRP",Tabla5[#All],3,FALSE)*Tabla15[[#This Row],[21]])</f>
        <v>0</v>
      </c>
      <c r="AC29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9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96" s="52">
        <f>IF(Tabla15[[#This Row],[23]]="",0,VLOOKUP("VC",Tabla5[#All],3,FALSE)*Tabla15[[#This Row],[24]])</f>
        <v>0</v>
      </c>
      <c r="AF29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9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96" s="52">
        <f>IF(Tabla15[[#This Row],[26]]="",0,VLOOKUP(TRAMOS!$K$2,Tabla5[#All],3,FALSE)*Tabla15[[#This Row],[27]])</f>
        <v>0</v>
      </c>
      <c r="AI29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9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9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9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9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29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29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297" spans="2:41" x14ac:dyDescent="0.25">
      <c r="B297" s="58" t="str">
        <f>Tabla1[[#This Row],[nudo inicial]]</f>
        <v>N150</v>
      </c>
      <c r="C297" s="58" t="str">
        <f>Tabla1[[#This Row],[nudo final]]</f>
        <v>N152</v>
      </c>
      <c r="D297" s="51">
        <f>Tabla1[[#This Row],[longitud]]</f>
        <v>63.6</v>
      </c>
      <c r="E297" s="51" t="str">
        <f>Tabla1[[#This Row],[diametro]]</f>
        <v>3"</v>
      </c>
      <c r="F297" s="51" t="str">
        <f>Tabla1[[#This Row],[material]]</f>
        <v>PVC</v>
      </c>
      <c r="G29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97" s="52" t="str">
        <f>IF(Tabla1[[#This Row],[5]]="TPD",Tabla1[[#This Row],[6]],"")</f>
        <v>3"</v>
      </c>
      <c r="I297" s="52">
        <f>IF(OR(Tabla1[[#This Row],[5]]="TPD"),Tabla1[[#This Row],[7]],"")</f>
        <v>1</v>
      </c>
      <c r="J297" s="52">
        <f>IF(Tabla15[[#This Row],[2]]="",0,VLOOKUP(TRAMOS!$H$2,Tabla5[#All],3,FALSE)*Tabla15[[#This Row],[3]])</f>
        <v>0.15</v>
      </c>
      <c r="K297" s="52" t="str">
        <f>IF(Tabla1[[#This Row],[5]]="TPL",Tabla1[[#This Row],[6]],"")</f>
        <v/>
      </c>
      <c r="L297" s="52" t="str">
        <f>IF(OR(Tabla1[[#This Row],[5]]="TPL"),Tabla1[[#This Row],[7]],"")</f>
        <v/>
      </c>
      <c r="M297" s="52">
        <f>IF(Tabla15[[#This Row],[5]]="",0,VLOOKUP(TRAMOS!$K$2,Tabla5[#All],3,FALSE)*Tabla15[[#This Row],[6]])</f>
        <v>0</v>
      </c>
      <c r="N29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9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97" s="52">
        <f>IF(Tabla15[[#This Row],[8]]="",0,VLOOKUP(TRAMOS!$H$2,Tabla5[#All],3,FALSE)*Tabla15[[#This Row],[9]])</f>
        <v>0</v>
      </c>
      <c r="Q29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9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97" s="52">
        <f>IF(Tabla15[[#This Row],[11]]="",0,VLOOKUP(TRAMOS!$Q$2,Tabla5[#All],3,FALSE)*Tabla15[[#This Row],[12]])</f>
        <v>0</v>
      </c>
      <c r="T29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9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9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9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9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9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9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9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97" s="52">
        <f>IF(Tabla15[[#This Row],[20]]="",0,VLOOKUP("VRP",Tabla5[#All],3,FALSE)*Tabla15[[#This Row],[21]])</f>
        <v>0</v>
      </c>
      <c r="AC29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9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97" s="52">
        <f>IF(Tabla15[[#This Row],[23]]="",0,VLOOKUP("VC",Tabla5[#All],3,FALSE)*Tabla15[[#This Row],[24]])</f>
        <v>0</v>
      </c>
      <c r="AF29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9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97" s="52">
        <f>IF(Tabla15[[#This Row],[26]]="",0,VLOOKUP(TRAMOS!$K$2,Tabla5[#All],3,FALSE)*Tabla15[[#This Row],[27]])</f>
        <v>0</v>
      </c>
      <c r="AI29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9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9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9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9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9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9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298" spans="2:41" x14ac:dyDescent="0.25">
      <c r="B298" s="58" t="str">
        <f>Tabla1[[#This Row],[nudo inicial]]</f>
        <v>N152</v>
      </c>
      <c r="C298" s="58" t="str">
        <f>Tabla1[[#This Row],[nudo final]]</f>
        <v>N153</v>
      </c>
      <c r="D298" s="51">
        <f>Tabla1[[#This Row],[longitud]]</f>
        <v>90.22</v>
      </c>
      <c r="E298" s="51" t="str">
        <f>Tabla1[[#This Row],[diametro]]</f>
        <v>4"</v>
      </c>
      <c r="F298" s="51" t="str">
        <f>Tabla1[[#This Row],[material]]</f>
        <v>PVC</v>
      </c>
      <c r="G29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298" s="52" t="str">
        <f>IF(Tabla1[[#This Row],[5]]="TPD",Tabla1[[#This Row],[6]],"")</f>
        <v/>
      </c>
      <c r="I298" s="52" t="str">
        <f>IF(OR(Tabla1[[#This Row],[5]]="TPD"),Tabla1[[#This Row],[7]],"")</f>
        <v/>
      </c>
      <c r="J298" s="52">
        <f>IF(Tabla15[[#This Row],[2]]="",0,VLOOKUP(TRAMOS!$H$2,Tabla5[#All],3,FALSE)*Tabla15[[#This Row],[3]])</f>
        <v>0</v>
      </c>
      <c r="K298" s="52" t="str">
        <f>IF(Tabla1[[#This Row],[5]]="TPL",Tabla1[[#This Row],[6]],"")</f>
        <v>3"</v>
      </c>
      <c r="L298" s="52">
        <f>IF(OR(Tabla1[[#This Row],[5]]="TPL"),Tabla1[[#This Row],[7]],"")</f>
        <v>1</v>
      </c>
      <c r="M298" s="52">
        <f>IF(Tabla15[[#This Row],[5]]="",0,VLOOKUP(TRAMOS!$K$2,Tabla5[#All],3,FALSE)*Tabla15[[#This Row],[6]])</f>
        <v>0.9</v>
      </c>
      <c r="N29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9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98" s="52">
        <f>IF(Tabla15[[#This Row],[8]]="",0,VLOOKUP(TRAMOS!$H$2,Tabla5[#All],3,FALSE)*Tabla15[[#This Row],[9]])</f>
        <v>0</v>
      </c>
      <c r="Q29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9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98" s="52">
        <f>IF(Tabla15[[#This Row],[11]]="",0,VLOOKUP(TRAMOS!$Q$2,Tabla5[#All],3,FALSE)*Tabla15[[#This Row],[12]])</f>
        <v>0</v>
      </c>
      <c r="T29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9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9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9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>4"</v>
      </c>
      <c r="X298" s="52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>1</v>
      </c>
      <c r="Y29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0.4740000000000002</v>
      </c>
      <c r="Z29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9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98" s="52">
        <f>IF(Tabla15[[#This Row],[20]]="",0,VLOOKUP("VRP",Tabla5[#All],3,FALSE)*Tabla15[[#This Row],[21]])</f>
        <v>0</v>
      </c>
      <c r="AC29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4"</v>
      </c>
      <c r="AD298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298" s="52">
        <f>IF(Tabla15[[#This Row],[23]]="",0,VLOOKUP("VC",Tabla5[#All],3,FALSE)*Tabla15[[#This Row],[24]])</f>
        <v>0.25</v>
      </c>
      <c r="AF29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9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98" s="52">
        <f>IF(Tabla15[[#This Row],[26]]="",0,VLOOKUP(TRAMOS!$K$2,Tabla5[#All],3,FALSE)*Tabla15[[#This Row],[27]])</f>
        <v>0</v>
      </c>
      <c r="AI29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9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9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9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9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9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9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1.6240000000000001</v>
      </c>
    </row>
    <row r="299" spans="2:41" x14ac:dyDescent="0.25">
      <c r="B299" s="58" t="str">
        <f>Tabla1[[#This Row],[nudo inicial]]</f>
        <v>N153</v>
      </c>
      <c r="C299" s="58" t="str">
        <f>Tabla1[[#This Row],[nudo final]]</f>
        <v>N154</v>
      </c>
      <c r="D299" s="51">
        <f>Tabla1[[#This Row],[longitud]]</f>
        <v>7.68</v>
      </c>
      <c r="E299" s="51" t="str">
        <f>Tabla1[[#This Row],[diametro]]</f>
        <v>4"</v>
      </c>
      <c r="F299" s="51" t="str">
        <f>Tabla1[[#This Row],[material]]</f>
        <v>PVC</v>
      </c>
      <c r="G29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299" s="52" t="str">
        <f>IF(Tabla1[[#This Row],[5]]="TPD",Tabla1[[#This Row],[6]],"")</f>
        <v>4"</v>
      </c>
      <c r="I299" s="52">
        <f>IF(OR(Tabla1[[#This Row],[5]]="TPD"),Tabla1[[#This Row],[7]],"")</f>
        <v>1</v>
      </c>
      <c r="J299" s="52">
        <f>IF(Tabla15[[#This Row],[2]]="",0,VLOOKUP(TRAMOS!$H$2,Tabla5[#All],3,FALSE)*Tabla15[[#This Row],[3]])</f>
        <v>0.15</v>
      </c>
      <c r="K299" s="52" t="str">
        <f>IF(Tabla1[[#This Row],[5]]="TPL",Tabla1[[#This Row],[6]],"")</f>
        <v/>
      </c>
      <c r="L299" s="52" t="str">
        <f>IF(OR(Tabla1[[#This Row],[5]]="TPL"),Tabla1[[#This Row],[7]],"")</f>
        <v/>
      </c>
      <c r="M299" s="52">
        <f>IF(Tabla15[[#This Row],[5]]="",0,VLOOKUP(TRAMOS!$K$2,Tabla5[#All],3,FALSE)*Tabla15[[#This Row],[6]])</f>
        <v>0</v>
      </c>
      <c r="N29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29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299" s="52">
        <f>IF(Tabla15[[#This Row],[8]]="",0,VLOOKUP(TRAMOS!$H$2,Tabla5[#All],3,FALSE)*Tabla15[[#This Row],[9]])</f>
        <v>0</v>
      </c>
      <c r="Q29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29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299" s="52">
        <f>IF(Tabla15[[#This Row],[11]]="",0,VLOOKUP(TRAMOS!$Q$2,Tabla5[#All],3,FALSE)*Tabla15[[#This Row],[12]])</f>
        <v>0</v>
      </c>
      <c r="T29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29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29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29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29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29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29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29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299" s="52">
        <f>IF(Tabla15[[#This Row],[20]]="",0,VLOOKUP("VRP",Tabla5[#All],3,FALSE)*Tabla15[[#This Row],[21]])</f>
        <v>0</v>
      </c>
      <c r="AC29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29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299" s="52">
        <f>IF(Tabla15[[#This Row],[23]]="",0,VLOOKUP("VC",Tabla5[#All],3,FALSE)*Tabla15[[#This Row],[24]])</f>
        <v>0</v>
      </c>
      <c r="AF29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29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299" s="52">
        <f>IF(Tabla15[[#This Row],[26]]="",0,VLOOKUP(TRAMOS!$K$2,Tabla5[#All],3,FALSE)*Tabla15[[#This Row],[27]])</f>
        <v>0</v>
      </c>
      <c r="AI29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29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29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29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29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29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29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300" spans="2:41" x14ac:dyDescent="0.25">
      <c r="B300" s="58" t="str">
        <f>Tabla1[[#This Row],[nudo inicial]]</f>
        <v>N154</v>
      </c>
      <c r="C300" s="58" t="str">
        <f>Tabla1[[#This Row],[nudo final]]</f>
        <v>N155</v>
      </c>
      <c r="D300" s="51">
        <f>Tabla1[[#This Row],[longitud]]</f>
        <v>47.65</v>
      </c>
      <c r="E300" s="51" t="str">
        <f>Tabla1[[#This Row],[diametro]]</f>
        <v>2"</v>
      </c>
      <c r="F300" s="51" t="str">
        <f>Tabla1[[#This Row],[material]]</f>
        <v>PVC</v>
      </c>
      <c r="G30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300" s="52" t="str">
        <f>IF(Tabla1[[#This Row],[5]]="TPD",Tabla1[[#This Row],[6]],"")</f>
        <v/>
      </c>
      <c r="I300" s="52" t="str">
        <f>IF(OR(Tabla1[[#This Row],[5]]="TPD"),Tabla1[[#This Row],[7]],"")</f>
        <v/>
      </c>
      <c r="J300" s="52">
        <f>IF(Tabla15[[#This Row],[2]]="",0,VLOOKUP(TRAMOS!$H$2,Tabla5[#All],3,FALSE)*Tabla15[[#This Row],[3]])</f>
        <v>0</v>
      </c>
      <c r="K300" s="52" t="str">
        <f>IF(Tabla1[[#This Row],[5]]="TPL",Tabla1[[#This Row],[6]],"")</f>
        <v>4"</v>
      </c>
      <c r="L300" s="52">
        <f>IF(OR(Tabla1[[#This Row],[5]]="TPL"),Tabla1[[#This Row],[7]],"")</f>
        <v>1</v>
      </c>
      <c r="M300" s="52">
        <f>IF(Tabla15[[#This Row],[5]]="",0,VLOOKUP(TRAMOS!$K$2,Tabla5[#All],3,FALSE)*Tabla15[[#This Row],[6]])</f>
        <v>0.9</v>
      </c>
      <c r="N30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0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00" s="52">
        <f>IF(Tabla15[[#This Row],[8]]="",0,VLOOKUP(TRAMOS!$H$2,Tabla5[#All],3,FALSE)*Tabla15[[#This Row],[9]])</f>
        <v>0</v>
      </c>
      <c r="Q30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0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00" s="52">
        <f>IF(Tabla15[[#This Row],[11]]="",0,VLOOKUP(TRAMOS!$Q$2,Tabla5[#All],3,FALSE)*Tabla15[[#This Row],[12]])</f>
        <v>0</v>
      </c>
      <c r="T30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300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30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30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0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0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0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0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00" s="52">
        <f>IF(Tabla15[[#This Row],[20]]="",0,VLOOKUP("VRP",Tabla5[#All],3,FALSE)*Tabla15[[#This Row],[21]])</f>
        <v>0</v>
      </c>
      <c r="AC30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0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00" s="52">
        <f>IF(Tabla15[[#This Row],[23]]="",0,VLOOKUP("VC",Tabla5[#All],3,FALSE)*Tabla15[[#This Row],[24]])</f>
        <v>0</v>
      </c>
      <c r="AF30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0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00" s="52">
        <f>IF(Tabla15[[#This Row],[26]]="",0,VLOOKUP(TRAMOS!$K$2,Tabla5[#All],3,FALSE)*Tabla15[[#This Row],[27]])</f>
        <v>0</v>
      </c>
      <c r="AI30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0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0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0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0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0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0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1.27</v>
      </c>
    </row>
    <row r="301" spans="2:41" x14ac:dyDescent="0.25">
      <c r="B301" s="58" t="str">
        <f>Tabla1[[#This Row],[nudo inicial]]</f>
        <v>N155</v>
      </c>
      <c r="C301" s="58" t="str">
        <f>Tabla1[[#This Row],[nudo final]]</f>
        <v>TP112</v>
      </c>
      <c r="D301" s="51">
        <f>Tabla1[[#This Row],[longitud]]</f>
        <v>53.98</v>
      </c>
      <c r="E301" s="51" t="str">
        <f>Tabla1[[#This Row],[diametro]]</f>
        <v>2"</v>
      </c>
      <c r="F301" s="51" t="str">
        <f>Tabla1[[#This Row],[material]]</f>
        <v>PVC</v>
      </c>
      <c r="G30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301" s="52" t="str">
        <f>IF(Tabla1[[#This Row],[5]]="TPD",Tabla1[[#This Row],[6]],"")</f>
        <v/>
      </c>
      <c r="I301" s="52" t="str">
        <f>IF(OR(Tabla1[[#This Row],[5]]="TPD"),Tabla1[[#This Row],[7]],"")</f>
        <v/>
      </c>
      <c r="J301" s="52">
        <f>IF(Tabla15[[#This Row],[2]]="",0,VLOOKUP(TRAMOS!$H$2,Tabla5[#All],3,FALSE)*Tabla15[[#This Row],[3]])</f>
        <v>0</v>
      </c>
      <c r="K301" s="52" t="str">
        <f>IF(Tabla1[[#This Row],[5]]="TPL",Tabla1[[#This Row],[6]],"")</f>
        <v>2"</v>
      </c>
      <c r="L301" s="52">
        <f>IF(OR(Tabla1[[#This Row],[5]]="TPL"),Tabla1[[#This Row],[7]],"")</f>
        <v>1</v>
      </c>
      <c r="M301" s="52">
        <f>IF(Tabla15[[#This Row],[5]]="",0,VLOOKUP(TRAMOS!$K$2,Tabla5[#All],3,FALSE)*Tabla15[[#This Row],[6]])</f>
        <v>0.9</v>
      </c>
      <c r="N30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0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01" s="52">
        <f>IF(Tabla15[[#This Row],[8]]="",0,VLOOKUP(TRAMOS!$H$2,Tabla5[#All],3,FALSE)*Tabla15[[#This Row],[9]])</f>
        <v>0</v>
      </c>
      <c r="Q30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0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01" s="52">
        <f>IF(Tabla15[[#This Row],[11]]="",0,VLOOKUP(TRAMOS!$Q$2,Tabla5[#All],3,FALSE)*Tabla15[[#This Row],[12]])</f>
        <v>0</v>
      </c>
      <c r="T30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0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0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0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0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0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0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0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01" s="52">
        <f>IF(Tabla15[[#This Row],[20]]="",0,VLOOKUP("VRP",Tabla5[#All],3,FALSE)*Tabla15[[#This Row],[21]])</f>
        <v>0</v>
      </c>
      <c r="AC30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0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01" s="52">
        <f>IF(Tabla15[[#This Row],[23]]="",0,VLOOKUP("VC",Tabla5[#All],3,FALSE)*Tabla15[[#This Row],[24]])</f>
        <v>0</v>
      </c>
      <c r="AF30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0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01" s="52">
        <f>IF(Tabla15[[#This Row],[26]]="",0,VLOOKUP(TRAMOS!$K$2,Tabla5[#All],3,FALSE)*Tabla15[[#This Row],[27]])</f>
        <v>0</v>
      </c>
      <c r="AI30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0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0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0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0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301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30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302" spans="2:41" x14ac:dyDescent="0.25">
      <c r="B302" s="58" t="str">
        <f>Tabla1[[#This Row],[nudo inicial]]</f>
        <v>N155</v>
      </c>
      <c r="C302" s="58" t="str">
        <f>Tabla1[[#This Row],[nudo final]]</f>
        <v>N156</v>
      </c>
      <c r="D302" s="51">
        <f>Tabla1[[#This Row],[longitud]]</f>
        <v>100.34</v>
      </c>
      <c r="E302" s="51" t="str">
        <f>Tabla1[[#This Row],[diametro]]</f>
        <v>2"</v>
      </c>
      <c r="F302" s="51" t="str">
        <f>Tabla1[[#This Row],[material]]</f>
        <v>PVC</v>
      </c>
      <c r="G30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302" s="52" t="str">
        <f>IF(Tabla1[[#This Row],[5]]="TPD",Tabla1[[#This Row],[6]],"")</f>
        <v>2"</v>
      </c>
      <c r="I302" s="52">
        <f>IF(OR(Tabla1[[#This Row],[5]]="TPD"),Tabla1[[#This Row],[7]],"")</f>
        <v>1</v>
      </c>
      <c r="J302" s="52">
        <f>IF(Tabla15[[#This Row],[2]]="",0,VLOOKUP(TRAMOS!$H$2,Tabla5[#All],3,FALSE)*Tabla15[[#This Row],[3]])</f>
        <v>0.15</v>
      </c>
      <c r="K302" s="52" t="str">
        <f>IF(Tabla1[[#This Row],[5]]="TPL",Tabla1[[#This Row],[6]],"")</f>
        <v/>
      </c>
      <c r="L302" s="52" t="str">
        <f>IF(OR(Tabla1[[#This Row],[5]]="TPL"),Tabla1[[#This Row],[7]],"")</f>
        <v/>
      </c>
      <c r="M302" s="52">
        <f>IF(Tabla15[[#This Row],[5]]="",0,VLOOKUP(TRAMOS!$K$2,Tabla5[#All],3,FALSE)*Tabla15[[#This Row],[6]])</f>
        <v>0</v>
      </c>
      <c r="N30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0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02" s="52">
        <f>IF(Tabla15[[#This Row],[8]]="",0,VLOOKUP(TRAMOS!$H$2,Tabla5[#All],3,FALSE)*Tabla15[[#This Row],[9]])</f>
        <v>0</v>
      </c>
      <c r="Q30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302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302" s="52">
        <f>IF(Tabla15[[#This Row],[11]]="",0,VLOOKUP(TRAMOS!$Q$2,Tabla5[#All],3,FALSE)*Tabla15[[#This Row],[12]])</f>
        <v>0.9</v>
      </c>
      <c r="T30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0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0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0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0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0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0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0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02" s="52">
        <f>IF(Tabla15[[#This Row],[20]]="",0,VLOOKUP("VRP",Tabla5[#All],3,FALSE)*Tabla15[[#This Row],[21]])</f>
        <v>0</v>
      </c>
      <c r="AC30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0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02" s="52">
        <f>IF(Tabla15[[#This Row],[23]]="",0,VLOOKUP("VC",Tabla5[#All],3,FALSE)*Tabla15[[#This Row],[24]])</f>
        <v>0</v>
      </c>
      <c r="AF30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0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02" s="52">
        <f>IF(Tabla15[[#This Row],[26]]="",0,VLOOKUP(TRAMOS!$K$2,Tabla5[#All],3,FALSE)*Tabla15[[#This Row],[27]])</f>
        <v>0</v>
      </c>
      <c r="AI30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0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0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0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0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0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0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303" spans="2:41" x14ac:dyDescent="0.25">
      <c r="B303" s="58" t="str">
        <f>Tabla1[[#This Row],[nudo inicial]]</f>
        <v>N156</v>
      </c>
      <c r="C303" s="58" t="str">
        <f>Tabla1[[#This Row],[nudo final]]</f>
        <v>TP113</v>
      </c>
      <c r="D303" s="51">
        <f>Tabla1[[#This Row],[longitud]]</f>
        <v>33.35</v>
      </c>
      <c r="E303" s="51" t="str">
        <f>Tabla1[[#This Row],[diametro]]</f>
        <v>2"</v>
      </c>
      <c r="F303" s="51" t="str">
        <f>Tabla1[[#This Row],[material]]</f>
        <v>PVC</v>
      </c>
      <c r="G30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303" s="52" t="str">
        <f>IF(Tabla1[[#This Row],[5]]="TPD",Tabla1[[#This Row],[6]],"")</f>
        <v/>
      </c>
      <c r="I303" s="52" t="str">
        <f>IF(OR(Tabla1[[#This Row],[5]]="TPD"),Tabla1[[#This Row],[7]],"")</f>
        <v/>
      </c>
      <c r="J303" s="52">
        <f>IF(Tabla15[[#This Row],[2]]="",0,VLOOKUP(TRAMOS!$H$2,Tabla5[#All],3,FALSE)*Tabla15[[#This Row],[3]])</f>
        <v>0</v>
      </c>
      <c r="K303" s="52" t="str">
        <f>IF(Tabla1[[#This Row],[5]]="TPL",Tabla1[[#This Row],[6]],"")</f>
        <v>2"</v>
      </c>
      <c r="L303" s="52">
        <f>IF(OR(Tabla1[[#This Row],[5]]="TPL"),Tabla1[[#This Row],[7]],"")</f>
        <v>1</v>
      </c>
      <c r="M303" s="52">
        <f>IF(Tabla15[[#This Row],[5]]="",0,VLOOKUP(TRAMOS!$K$2,Tabla5[#All],3,FALSE)*Tabla15[[#This Row],[6]])</f>
        <v>0.9</v>
      </c>
      <c r="N30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0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03" s="52">
        <f>IF(Tabla15[[#This Row],[8]]="",0,VLOOKUP(TRAMOS!$H$2,Tabla5[#All],3,FALSE)*Tabla15[[#This Row],[9]])</f>
        <v>0</v>
      </c>
      <c r="Q30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0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03" s="52">
        <f>IF(Tabla15[[#This Row],[11]]="",0,VLOOKUP(TRAMOS!$Q$2,Tabla5[#All],3,FALSE)*Tabla15[[#This Row],[12]])</f>
        <v>0</v>
      </c>
      <c r="T30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0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0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0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0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0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0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0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03" s="52">
        <f>IF(Tabla15[[#This Row],[20]]="",0,VLOOKUP("VRP",Tabla5[#All],3,FALSE)*Tabla15[[#This Row],[21]])</f>
        <v>0</v>
      </c>
      <c r="AC30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0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03" s="52">
        <f>IF(Tabla15[[#This Row],[23]]="",0,VLOOKUP("VC",Tabla5[#All],3,FALSE)*Tabla15[[#This Row],[24]])</f>
        <v>0</v>
      </c>
      <c r="AF30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0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03" s="52">
        <f>IF(Tabla15[[#This Row],[26]]="",0,VLOOKUP(TRAMOS!$K$2,Tabla5[#All],3,FALSE)*Tabla15[[#This Row],[27]])</f>
        <v>0</v>
      </c>
      <c r="AI30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0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0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0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0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0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0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304" spans="2:41" x14ac:dyDescent="0.25">
      <c r="B304" s="58" t="str">
        <f>Tabla1[[#This Row],[nudo inicial]]</f>
        <v>N156</v>
      </c>
      <c r="C304" s="58" t="str">
        <f>Tabla1[[#This Row],[nudo final]]</f>
        <v>N157</v>
      </c>
      <c r="D304" s="51">
        <f>Tabla1[[#This Row],[longitud]]</f>
        <v>23.13</v>
      </c>
      <c r="E304" s="51" t="str">
        <f>Tabla1[[#This Row],[diametro]]</f>
        <v>2"</v>
      </c>
      <c r="F304" s="51" t="str">
        <f>Tabla1[[#This Row],[material]]</f>
        <v>PVC</v>
      </c>
      <c r="G30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304" s="52" t="str">
        <f>IF(Tabla1[[#This Row],[5]]="TPD",Tabla1[[#This Row],[6]],"")</f>
        <v>2"</v>
      </c>
      <c r="I304" s="52">
        <f>IF(OR(Tabla1[[#This Row],[5]]="TPD"),Tabla1[[#This Row],[7]],"")</f>
        <v>1</v>
      </c>
      <c r="J304" s="52">
        <f>IF(Tabla15[[#This Row],[2]]="",0,VLOOKUP(TRAMOS!$H$2,Tabla5[#All],3,FALSE)*Tabla15[[#This Row],[3]])</f>
        <v>0.15</v>
      </c>
      <c r="K304" s="52" t="str">
        <f>IF(Tabla1[[#This Row],[5]]="TPL",Tabla1[[#This Row],[6]],"")</f>
        <v/>
      </c>
      <c r="L304" s="52" t="str">
        <f>IF(OR(Tabla1[[#This Row],[5]]="TPL"),Tabla1[[#This Row],[7]],"")</f>
        <v/>
      </c>
      <c r="M304" s="52">
        <f>IF(Tabla15[[#This Row],[5]]="",0,VLOOKUP(TRAMOS!$K$2,Tabla5[#All],3,FALSE)*Tabla15[[#This Row],[6]])</f>
        <v>0</v>
      </c>
      <c r="N30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0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04" s="52">
        <f>IF(Tabla15[[#This Row],[8]]="",0,VLOOKUP(TRAMOS!$H$2,Tabla5[#All],3,FALSE)*Tabla15[[#This Row],[9]])</f>
        <v>0</v>
      </c>
      <c r="Q30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304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2</v>
      </c>
      <c r="S304" s="52">
        <f>IF(Tabla15[[#This Row],[11]]="",0,VLOOKUP(TRAMOS!$Q$2,Tabla5[#All],3,FALSE)*Tabla15[[#This Row],[12]])</f>
        <v>1.8</v>
      </c>
      <c r="T30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0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0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0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0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0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0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0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04" s="52">
        <f>IF(Tabla15[[#This Row],[20]]="",0,VLOOKUP("VRP",Tabla5[#All],3,FALSE)*Tabla15[[#This Row],[21]])</f>
        <v>0</v>
      </c>
      <c r="AC30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0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04" s="52">
        <f>IF(Tabla15[[#This Row],[23]]="",0,VLOOKUP("VC",Tabla5[#All],3,FALSE)*Tabla15[[#This Row],[24]])</f>
        <v>0</v>
      </c>
      <c r="AF30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0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04" s="52">
        <f>IF(Tabla15[[#This Row],[26]]="",0,VLOOKUP(TRAMOS!$K$2,Tabla5[#All],3,FALSE)*Tabla15[[#This Row],[27]])</f>
        <v>0</v>
      </c>
      <c r="AI30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0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0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0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0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0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0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1.95</v>
      </c>
    </row>
    <row r="305" spans="2:41" x14ac:dyDescent="0.25">
      <c r="B305" s="58" t="str">
        <f>Tabla1[[#This Row],[nudo inicial]]</f>
        <v>N157</v>
      </c>
      <c r="C305" s="58" t="str">
        <f>Tabla1[[#This Row],[nudo final]]</f>
        <v>TP114</v>
      </c>
      <c r="D305" s="51">
        <f>Tabla1[[#This Row],[longitud]]</f>
        <v>24.04</v>
      </c>
      <c r="E305" s="51" t="str">
        <f>Tabla1[[#This Row],[diametro]]</f>
        <v>2"</v>
      </c>
      <c r="F305" s="51" t="str">
        <f>Tabla1[[#This Row],[material]]</f>
        <v>PVC</v>
      </c>
      <c r="G30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305" s="52" t="str">
        <f>IF(Tabla1[[#This Row],[5]]="TPD",Tabla1[[#This Row],[6]],"")</f>
        <v>2"</v>
      </c>
      <c r="I305" s="52">
        <f>IF(OR(Tabla1[[#This Row],[5]]="TPD"),Tabla1[[#This Row],[7]],"")</f>
        <v>1</v>
      </c>
      <c r="J305" s="52">
        <f>IF(Tabla15[[#This Row],[2]]="",0,VLOOKUP(TRAMOS!$H$2,Tabla5[#All],3,FALSE)*Tabla15[[#This Row],[3]])</f>
        <v>0.15</v>
      </c>
      <c r="K305" s="52" t="str">
        <f>IF(Tabla1[[#This Row],[5]]="TPL",Tabla1[[#This Row],[6]],"")</f>
        <v/>
      </c>
      <c r="L305" s="52" t="str">
        <f>IF(OR(Tabla1[[#This Row],[5]]="TPL"),Tabla1[[#This Row],[7]],"")</f>
        <v/>
      </c>
      <c r="M305" s="52">
        <f>IF(Tabla15[[#This Row],[5]]="",0,VLOOKUP(TRAMOS!$K$2,Tabla5[#All],3,FALSE)*Tabla15[[#This Row],[6]])</f>
        <v>0</v>
      </c>
      <c r="N30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0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05" s="52">
        <f>IF(Tabla15[[#This Row],[8]]="",0,VLOOKUP(TRAMOS!$H$2,Tabla5[#All],3,FALSE)*Tabla15[[#This Row],[9]])</f>
        <v>0</v>
      </c>
      <c r="Q30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0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05" s="52">
        <f>IF(Tabla15[[#This Row],[11]]="",0,VLOOKUP(TRAMOS!$Q$2,Tabla5[#All],3,FALSE)*Tabla15[[#This Row],[12]])</f>
        <v>0</v>
      </c>
      <c r="T30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0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0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0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0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0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0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0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05" s="52">
        <f>IF(Tabla15[[#This Row],[20]]="",0,VLOOKUP("VRP",Tabla5[#All],3,FALSE)*Tabla15[[#This Row],[21]])</f>
        <v>0</v>
      </c>
      <c r="AC30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0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05" s="52">
        <f>IF(Tabla15[[#This Row],[23]]="",0,VLOOKUP("VC",Tabla5[#All],3,FALSE)*Tabla15[[#This Row],[24]])</f>
        <v>0</v>
      </c>
      <c r="AF30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0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05" s="52">
        <f>IF(Tabla15[[#This Row],[26]]="",0,VLOOKUP(TRAMOS!$K$2,Tabla5[#All],3,FALSE)*Tabla15[[#This Row],[27]])</f>
        <v>0</v>
      </c>
      <c r="AI30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0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0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0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0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305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30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306" spans="2:41" x14ac:dyDescent="0.25">
      <c r="B306" s="58" t="str">
        <f>Tabla1[[#This Row],[nudo inicial]]</f>
        <v>N157</v>
      </c>
      <c r="C306" s="58" t="str">
        <f>Tabla1[[#This Row],[nudo final]]</f>
        <v>TP115</v>
      </c>
      <c r="D306" s="51">
        <f>Tabla1[[#This Row],[longitud]]</f>
        <v>27.52</v>
      </c>
      <c r="E306" s="51" t="str">
        <f>Tabla1[[#This Row],[diametro]]</f>
        <v>2"</v>
      </c>
      <c r="F306" s="51" t="str">
        <f>Tabla1[[#This Row],[material]]</f>
        <v>PVC</v>
      </c>
      <c r="G30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306" s="52" t="str">
        <f>IF(Tabla1[[#This Row],[5]]="TPD",Tabla1[[#This Row],[6]],"")</f>
        <v/>
      </c>
      <c r="I306" s="52" t="str">
        <f>IF(OR(Tabla1[[#This Row],[5]]="TPD"),Tabla1[[#This Row],[7]],"")</f>
        <v/>
      </c>
      <c r="J306" s="52">
        <f>IF(Tabla15[[#This Row],[2]]="",0,VLOOKUP(TRAMOS!$H$2,Tabla5[#All],3,FALSE)*Tabla15[[#This Row],[3]])</f>
        <v>0</v>
      </c>
      <c r="K306" s="52" t="str">
        <f>IF(Tabla1[[#This Row],[5]]="TPL",Tabla1[[#This Row],[6]],"")</f>
        <v>2"</v>
      </c>
      <c r="L306" s="52">
        <f>IF(OR(Tabla1[[#This Row],[5]]="TPL"),Tabla1[[#This Row],[7]],"")</f>
        <v>1</v>
      </c>
      <c r="M306" s="52">
        <f>IF(Tabla15[[#This Row],[5]]="",0,VLOOKUP(TRAMOS!$K$2,Tabla5[#All],3,FALSE)*Tabla15[[#This Row],[6]])</f>
        <v>0.9</v>
      </c>
      <c r="N30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0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06" s="52">
        <f>IF(Tabla15[[#This Row],[8]]="",0,VLOOKUP(TRAMOS!$H$2,Tabla5[#All],3,FALSE)*Tabla15[[#This Row],[9]])</f>
        <v>0</v>
      </c>
      <c r="Q30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0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06" s="52">
        <f>IF(Tabla15[[#This Row],[11]]="",0,VLOOKUP(TRAMOS!$Q$2,Tabla5[#All],3,FALSE)*Tabla15[[#This Row],[12]])</f>
        <v>0</v>
      </c>
      <c r="T30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0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0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0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0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0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0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0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06" s="52">
        <f>IF(Tabla15[[#This Row],[20]]="",0,VLOOKUP("VRP",Tabla5[#All],3,FALSE)*Tabla15[[#This Row],[21]])</f>
        <v>0</v>
      </c>
      <c r="AC30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0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06" s="52">
        <f>IF(Tabla15[[#This Row],[23]]="",0,VLOOKUP("VC",Tabla5[#All],3,FALSE)*Tabla15[[#This Row],[24]])</f>
        <v>0</v>
      </c>
      <c r="AF30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0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06" s="52">
        <f>IF(Tabla15[[#This Row],[26]]="",0,VLOOKUP(TRAMOS!$K$2,Tabla5[#All],3,FALSE)*Tabla15[[#This Row],[27]])</f>
        <v>0</v>
      </c>
      <c r="AI30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0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0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0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0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30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30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307" spans="2:41" x14ac:dyDescent="0.25">
      <c r="B307" s="58" t="str">
        <f>Tabla1[[#This Row],[nudo inicial]]</f>
        <v>N153</v>
      </c>
      <c r="C307" s="58" t="str">
        <f>Tabla1[[#This Row],[nudo final]]</f>
        <v>N158</v>
      </c>
      <c r="D307" s="51">
        <f>Tabla1[[#This Row],[longitud]]</f>
        <v>38.96</v>
      </c>
      <c r="E307" s="51" t="str">
        <f>Tabla1[[#This Row],[diametro]]</f>
        <v>3"</v>
      </c>
      <c r="F307" s="51" t="str">
        <f>Tabla1[[#This Row],[material]]</f>
        <v>PVC</v>
      </c>
      <c r="G30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307" s="52" t="str">
        <f>IF(Tabla1[[#This Row],[5]]="TPD",Tabla1[[#This Row],[6]],"")</f>
        <v/>
      </c>
      <c r="I307" s="52" t="str">
        <f>IF(OR(Tabla1[[#This Row],[5]]="TPD"),Tabla1[[#This Row],[7]],"")</f>
        <v/>
      </c>
      <c r="J307" s="52">
        <f>IF(Tabla15[[#This Row],[2]]="",0,VLOOKUP(TRAMOS!$H$2,Tabla5[#All],3,FALSE)*Tabla15[[#This Row],[3]])</f>
        <v>0</v>
      </c>
      <c r="K307" s="52" t="str">
        <f>IF(Tabla1[[#This Row],[5]]="TPL",Tabla1[[#This Row],[6]],"")</f>
        <v>4"</v>
      </c>
      <c r="L307" s="52">
        <f>IF(OR(Tabla1[[#This Row],[5]]="TPL"),Tabla1[[#This Row],[7]],"")</f>
        <v>1</v>
      </c>
      <c r="M307" s="52">
        <f>IF(Tabla15[[#This Row],[5]]="",0,VLOOKUP(TRAMOS!$K$2,Tabla5[#All],3,FALSE)*Tabla15[[#This Row],[6]])</f>
        <v>0.9</v>
      </c>
      <c r="N30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0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07" s="52">
        <f>IF(Tabla15[[#This Row],[8]]="",0,VLOOKUP(TRAMOS!$H$2,Tabla5[#All],3,FALSE)*Tabla15[[#This Row],[9]])</f>
        <v>0</v>
      </c>
      <c r="Q30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0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07" s="52">
        <f>IF(Tabla15[[#This Row],[11]]="",0,VLOOKUP(TRAMOS!$Q$2,Tabla5[#All],3,FALSE)*Tabla15[[#This Row],[12]])</f>
        <v>0</v>
      </c>
      <c r="T30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307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30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0.13850000000000007</v>
      </c>
      <c r="W30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0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0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0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0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07" s="52">
        <f>IF(Tabla15[[#This Row],[20]]="",0,VLOOKUP("VRP",Tabla5[#All],3,FALSE)*Tabla15[[#This Row],[21]])</f>
        <v>0</v>
      </c>
      <c r="AC30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0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07" s="52">
        <f>IF(Tabla15[[#This Row],[23]]="",0,VLOOKUP("VC",Tabla5[#All],3,FALSE)*Tabla15[[#This Row],[24]])</f>
        <v>0</v>
      </c>
      <c r="AF30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0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07" s="52">
        <f>IF(Tabla15[[#This Row],[26]]="",0,VLOOKUP(TRAMOS!$K$2,Tabla5[#All],3,FALSE)*Tabla15[[#This Row],[27]])</f>
        <v>0</v>
      </c>
      <c r="AI30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0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0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0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0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0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0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1.0385</v>
      </c>
    </row>
    <row r="308" spans="2:41" x14ac:dyDescent="0.25">
      <c r="B308" s="58" t="str">
        <f>Tabla1[[#This Row],[nudo inicial]]</f>
        <v>N158</v>
      </c>
      <c r="C308" s="58" t="str">
        <f>Tabla1[[#This Row],[nudo final]]</f>
        <v>N159</v>
      </c>
      <c r="D308" s="51">
        <f>Tabla1[[#This Row],[longitud]]</f>
        <v>58.72</v>
      </c>
      <c r="E308" s="51" t="str">
        <f>Tabla1[[#This Row],[diametro]]</f>
        <v>3"</v>
      </c>
      <c r="F308" s="51" t="str">
        <f>Tabla1[[#This Row],[material]]</f>
        <v>PVC</v>
      </c>
      <c r="G30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308" s="52" t="str">
        <f>IF(Tabla1[[#This Row],[5]]="TPD",Tabla1[[#This Row],[6]],"")</f>
        <v>3"</v>
      </c>
      <c r="I308" s="52">
        <f>IF(OR(Tabla1[[#This Row],[5]]="TPD"),Tabla1[[#This Row],[7]],"")</f>
        <v>1</v>
      </c>
      <c r="J308" s="52">
        <f>IF(Tabla15[[#This Row],[2]]="",0,VLOOKUP(TRAMOS!$H$2,Tabla5[#All],3,FALSE)*Tabla15[[#This Row],[3]])</f>
        <v>0.15</v>
      </c>
      <c r="K308" s="52" t="str">
        <f>IF(Tabla1[[#This Row],[5]]="TPL",Tabla1[[#This Row],[6]],"")</f>
        <v/>
      </c>
      <c r="L308" s="52" t="str">
        <f>IF(OR(Tabla1[[#This Row],[5]]="TPL"),Tabla1[[#This Row],[7]],"")</f>
        <v/>
      </c>
      <c r="M308" s="52">
        <f>IF(Tabla15[[#This Row],[5]]="",0,VLOOKUP(TRAMOS!$K$2,Tabla5[#All],3,FALSE)*Tabla15[[#This Row],[6]])</f>
        <v>0</v>
      </c>
      <c r="N30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0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08" s="52">
        <f>IF(Tabla15[[#This Row],[8]]="",0,VLOOKUP(TRAMOS!$H$2,Tabla5[#All],3,FALSE)*Tabla15[[#This Row],[9]])</f>
        <v>0</v>
      </c>
      <c r="Q30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0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08" s="52">
        <f>IF(Tabla15[[#This Row],[11]]="",0,VLOOKUP(TRAMOS!$Q$2,Tabla5[#All],3,FALSE)*Tabla15[[#This Row],[12]])</f>
        <v>0</v>
      </c>
      <c r="T30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0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0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0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0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0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0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0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08" s="52">
        <f>IF(Tabla15[[#This Row],[20]]="",0,VLOOKUP("VRP",Tabla5[#All],3,FALSE)*Tabla15[[#This Row],[21]])</f>
        <v>0</v>
      </c>
      <c r="AC30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0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08" s="52">
        <f>IF(Tabla15[[#This Row],[23]]="",0,VLOOKUP("VC",Tabla5[#All],3,FALSE)*Tabla15[[#This Row],[24]])</f>
        <v>0</v>
      </c>
      <c r="AF30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0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08" s="52">
        <f>IF(Tabla15[[#This Row],[26]]="",0,VLOOKUP(TRAMOS!$K$2,Tabla5[#All],3,FALSE)*Tabla15[[#This Row],[27]])</f>
        <v>0</v>
      </c>
      <c r="AI30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0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0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0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0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0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0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309" spans="2:41" x14ac:dyDescent="0.25">
      <c r="B309" s="58" t="str">
        <f>Tabla1[[#This Row],[nudo inicial]]</f>
        <v>N159</v>
      </c>
      <c r="C309" s="58" t="str">
        <f>Tabla1[[#This Row],[nudo final]]</f>
        <v>TP116</v>
      </c>
      <c r="D309" s="51">
        <f>Tabla1[[#This Row],[longitud]]</f>
        <v>34.590000000000003</v>
      </c>
      <c r="E309" s="51" t="str">
        <f>Tabla1[[#This Row],[diametro]]</f>
        <v>2"</v>
      </c>
      <c r="F309" s="51" t="str">
        <f>Tabla1[[#This Row],[material]]</f>
        <v>PVC</v>
      </c>
      <c r="G30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309" s="52" t="str">
        <f>IF(Tabla1[[#This Row],[5]]="TPD",Tabla1[[#This Row],[6]],"")</f>
        <v/>
      </c>
      <c r="I309" s="52" t="str">
        <f>IF(OR(Tabla1[[#This Row],[5]]="TPD"),Tabla1[[#This Row],[7]],"")</f>
        <v/>
      </c>
      <c r="J309" s="52">
        <f>IF(Tabla15[[#This Row],[2]]="",0,VLOOKUP(TRAMOS!$H$2,Tabla5[#All],3,FALSE)*Tabla15[[#This Row],[3]])</f>
        <v>0</v>
      </c>
      <c r="K309" s="52" t="str">
        <f>IF(Tabla1[[#This Row],[5]]="TPL",Tabla1[[#This Row],[6]],"")</f>
        <v>3"</v>
      </c>
      <c r="L309" s="52">
        <f>IF(OR(Tabla1[[#This Row],[5]]="TPL"),Tabla1[[#This Row],[7]],"")</f>
        <v>1</v>
      </c>
      <c r="M309" s="52">
        <f>IF(Tabla15[[#This Row],[5]]="",0,VLOOKUP(TRAMOS!$K$2,Tabla5[#All],3,FALSE)*Tabla15[[#This Row],[6]])</f>
        <v>0.9</v>
      </c>
      <c r="N30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0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09" s="52">
        <f>IF(Tabla15[[#This Row],[8]]="",0,VLOOKUP(TRAMOS!$H$2,Tabla5[#All],3,FALSE)*Tabla15[[#This Row],[9]])</f>
        <v>0</v>
      </c>
      <c r="Q30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0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09" s="52">
        <f>IF(Tabla15[[#This Row],[11]]="",0,VLOOKUP(TRAMOS!$Q$2,Tabla5[#All],3,FALSE)*Tabla15[[#This Row],[12]])</f>
        <v>0</v>
      </c>
      <c r="T30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309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30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30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0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0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0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0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09" s="52">
        <f>IF(Tabla15[[#This Row],[20]]="",0,VLOOKUP("VRP",Tabla5[#All],3,FALSE)*Tabla15[[#This Row],[21]])</f>
        <v>0</v>
      </c>
      <c r="AC30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0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09" s="52">
        <f>IF(Tabla15[[#This Row],[23]]="",0,VLOOKUP("VC",Tabla5[#All],3,FALSE)*Tabla15[[#This Row],[24]])</f>
        <v>0</v>
      </c>
      <c r="AF30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0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09" s="52">
        <f>IF(Tabla15[[#This Row],[26]]="",0,VLOOKUP(TRAMOS!$K$2,Tabla5[#All],3,FALSE)*Tabla15[[#This Row],[27]])</f>
        <v>0</v>
      </c>
      <c r="AI30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0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0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0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0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309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30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310" spans="2:41" x14ac:dyDescent="0.25">
      <c r="B310" s="58" t="str">
        <f>Tabla1[[#This Row],[nudo inicial]]</f>
        <v>N159</v>
      </c>
      <c r="C310" s="58" t="str">
        <f>Tabla1[[#This Row],[nudo final]]</f>
        <v>N160</v>
      </c>
      <c r="D310" s="51">
        <f>Tabla1[[#This Row],[longitud]]</f>
        <v>5.4</v>
      </c>
      <c r="E310" s="51" t="str">
        <f>Tabla1[[#This Row],[diametro]]</f>
        <v>3"</v>
      </c>
      <c r="F310" s="51" t="str">
        <f>Tabla1[[#This Row],[material]]</f>
        <v>PVC</v>
      </c>
      <c r="G31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310" s="52" t="str">
        <f>IF(Tabla1[[#This Row],[5]]="TPD",Tabla1[[#This Row],[6]],"")</f>
        <v>3"</v>
      </c>
      <c r="I310" s="52">
        <f>IF(OR(Tabla1[[#This Row],[5]]="TPD"),Tabla1[[#This Row],[7]],"")</f>
        <v>1</v>
      </c>
      <c r="J310" s="52">
        <f>IF(Tabla15[[#This Row],[2]]="",0,VLOOKUP(TRAMOS!$H$2,Tabla5[#All],3,FALSE)*Tabla15[[#This Row],[3]])</f>
        <v>0.15</v>
      </c>
      <c r="K310" s="52" t="str">
        <f>IF(Tabla1[[#This Row],[5]]="TPL",Tabla1[[#This Row],[6]],"")</f>
        <v/>
      </c>
      <c r="L310" s="52" t="str">
        <f>IF(OR(Tabla1[[#This Row],[5]]="TPL"),Tabla1[[#This Row],[7]],"")</f>
        <v/>
      </c>
      <c r="M310" s="52">
        <f>IF(Tabla15[[#This Row],[5]]="",0,VLOOKUP(TRAMOS!$K$2,Tabla5[#All],3,FALSE)*Tabla15[[#This Row],[6]])</f>
        <v>0</v>
      </c>
      <c r="N31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1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10" s="52">
        <f>IF(Tabla15[[#This Row],[8]]="",0,VLOOKUP(TRAMOS!$H$2,Tabla5[#All],3,FALSE)*Tabla15[[#This Row],[9]])</f>
        <v>0</v>
      </c>
      <c r="Q31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3"</v>
      </c>
      <c r="R310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310" s="52">
        <f>IF(Tabla15[[#This Row],[11]]="",0,VLOOKUP(TRAMOS!$Q$2,Tabla5[#All],3,FALSE)*Tabla15[[#This Row],[12]])</f>
        <v>0.9</v>
      </c>
      <c r="T31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1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1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1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1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1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1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1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10" s="52">
        <f>IF(Tabla15[[#This Row],[20]]="",0,VLOOKUP("VRP",Tabla5[#All],3,FALSE)*Tabla15[[#This Row],[21]])</f>
        <v>0</v>
      </c>
      <c r="AC31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1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10" s="52">
        <f>IF(Tabla15[[#This Row],[23]]="",0,VLOOKUP("VC",Tabla5[#All],3,FALSE)*Tabla15[[#This Row],[24]])</f>
        <v>0</v>
      </c>
      <c r="AF31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1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10" s="52">
        <f>IF(Tabla15[[#This Row],[26]]="",0,VLOOKUP(TRAMOS!$K$2,Tabla5[#All],3,FALSE)*Tabla15[[#This Row],[27]])</f>
        <v>0</v>
      </c>
      <c r="AI31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1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1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1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1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1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1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311" spans="2:41" x14ac:dyDescent="0.25">
      <c r="B311" s="58" t="str">
        <f>Tabla1[[#This Row],[nudo inicial]]</f>
        <v>N160</v>
      </c>
      <c r="C311" s="58" t="str">
        <f>Tabla1[[#This Row],[nudo final]]</f>
        <v>TP117</v>
      </c>
      <c r="D311" s="51">
        <f>Tabla1[[#This Row],[longitud]]</f>
        <v>65.08</v>
      </c>
      <c r="E311" s="51" t="str">
        <f>Tabla1[[#This Row],[diametro]]</f>
        <v>2"</v>
      </c>
      <c r="F311" s="51" t="str">
        <f>Tabla1[[#This Row],[material]]</f>
        <v>PVC</v>
      </c>
      <c r="G31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311" s="52" t="str">
        <f>IF(Tabla1[[#This Row],[5]]="TPD",Tabla1[[#This Row],[6]],"")</f>
        <v/>
      </c>
      <c r="I311" s="52" t="str">
        <f>IF(OR(Tabla1[[#This Row],[5]]="TPD"),Tabla1[[#This Row],[7]],"")</f>
        <v/>
      </c>
      <c r="J311" s="52">
        <f>IF(Tabla15[[#This Row],[2]]="",0,VLOOKUP(TRAMOS!$H$2,Tabla5[#All],3,FALSE)*Tabla15[[#This Row],[3]])</f>
        <v>0</v>
      </c>
      <c r="K311" s="52" t="str">
        <f>IF(Tabla1[[#This Row],[5]]="TPL",Tabla1[[#This Row],[6]],"")</f>
        <v>3"</v>
      </c>
      <c r="L311" s="52">
        <f>IF(OR(Tabla1[[#This Row],[5]]="TPL"),Tabla1[[#This Row],[7]],"")</f>
        <v>1</v>
      </c>
      <c r="M311" s="52">
        <f>IF(Tabla15[[#This Row],[5]]="",0,VLOOKUP(TRAMOS!$K$2,Tabla5[#All],3,FALSE)*Tabla15[[#This Row],[6]])</f>
        <v>0.9</v>
      </c>
      <c r="N31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1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11" s="52">
        <f>IF(Tabla15[[#This Row],[8]]="",0,VLOOKUP(TRAMOS!$H$2,Tabla5[#All],3,FALSE)*Tabla15[[#This Row],[9]])</f>
        <v>0</v>
      </c>
      <c r="Q31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1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11" s="52">
        <f>IF(Tabla15[[#This Row],[11]]="",0,VLOOKUP(TRAMOS!$Q$2,Tabla5[#All],3,FALSE)*Tabla15[[#This Row],[12]])</f>
        <v>0</v>
      </c>
      <c r="T31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311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31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31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1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1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1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1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11" s="52">
        <f>IF(Tabla15[[#This Row],[20]]="",0,VLOOKUP("VRP",Tabla5[#All],3,FALSE)*Tabla15[[#This Row],[21]])</f>
        <v>0</v>
      </c>
      <c r="AC31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1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11" s="52">
        <f>IF(Tabla15[[#This Row],[23]]="",0,VLOOKUP("VC",Tabla5[#All],3,FALSE)*Tabla15[[#This Row],[24]])</f>
        <v>0</v>
      </c>
      <c r="AF31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1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11" s="52">
        <f>IF(Tabla15[[#This Row],[26]]="",0,VLOOKUP(TRAMOS!$K$2,Tabla5[#All],3,FALSE)*Tabla15[[#This Row],[27]])</f>
        <v>0</v>
      </c>
      <c r="AI31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1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1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1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1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311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31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312" spans="2:41" x14ac:dyDescent="0.25">
      <c r="B312" s="58" t="str">
        <f>Tabla1[[#This Row],[nudo inicial]]</f>
        <v>N160</v>
      </c>
      <c r="C312" s="58" t="str">
        <f>Tabla1[[#This Row],[nudo final]]</f>
        <v>N161</v>
      </c>
      <c r="D312" s="51">
        <f>Tabla1[[#This Row],[longitud]]</f>
        <v>86.95</v>
      </c>
      <c r="E312" s="51" t="str">
        <f>Tabla1[[#This Row],[diametro]]</f>
        <v>3"</v>
      </c>
      <c r="F312" s="51" t="str">
        <f>Tabla1[[#This Row],[material]]</f>
        <v>PVC</v>
      </c>
      <c r="G31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312" s="52" t="str">
        <f>IF(Tabla1[[#This Row],[5]]="TPD",Tabla1[[#This Row],[6]],"")</f>
        <v>3"</v>
      </c>
      <c r="I312" s="52">
        <f>IF(OR(Tabla1[[#This Row],[5]]="TPD"),Tabla1[[#This Row],[7]],"")</f>
        <v>1</v>
      </c>
      <c r="J312" s="52">
        <f>IF(Tabla15[[#This Row],[2]]="",0,VLOOKUP(TRAMOS!$H$2,Tabla5[#All],3,FALSE)*Tabla15[[#This Row],[3]])</f>
        <v>0.15</v>
      </c>
      <c r="K312" s="52" t="str">
        <f>IF(Tabla1[[#This Row],[5]]="TPL",Tabla1[[#This Row],[6]],"")</f>
        <v/>
      </c>
      <c r="L312" s="52" t="str">
        <f>IF(OR(Tabla1[[#This Row],[5]]="TPL"),Tabla1[[#This Row],[7]],"")</f>
        <v/>
      </c>
      <c r="M312" s="52">
        <f>IF(Tabla15[[#This Row],[5]]="",0,VLOOKUP(TRAMOS!$K$2,Tabla5[#All],3,FALSE)*Tabla15[[#This Row],[6]])</f>
        <v>0</v>
      </c>
      <c r="N31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1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12" s="52">
        <f>IF(Tabla15[[#This Row],[8]]="",0,VLOOKUP(TRAMOS!$H$2,Tabla5[#All],3,FALSE)*Tabla15[[#This Row],[9]])</f>
        <v>0</v>
      </c>
      <c r="Q31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1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12" s="52">
        <f>IF(Tabla15[[#This Row],[11]]="",0,VLOOKUP(TRAMOS!$Q$2,Tabla5[#All],3,FALSE)*Tabla15[[#This Row],[12]])</f>
        <v>0</v>
      </c>
      <c r="T31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1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1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1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1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1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1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1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12" s="52">
        <f>IF(Tabla15[[#This Row],[20]]="",0,VLOOKUP("VRP",Tabla5[#All],3,FALSE)*Tabla15[[#This Row],[21]])</f>
        <v>0</v>
      </c>
      <c r="AC31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1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12" s="52">
        <f>IF(Tabla15[[#This Row],[23]]="",0,VLOOKUP("VC",Tabla5[#All],3,FALSE)*Tabla15[[#This Row],[24]])</f>
        <v>0</v>
      </c>
      <c r="AF31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1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12" s="52">
        <f>IF(Tabla15[[#This Row],[26]]="",0,VLOOKUP(TRAMOS!$K$2,Tabla5[#All],3,FALSE)*Tabla15[[#This Row],[27]])</f>
        <v>0</v>
      </c>
      <c r="AI31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1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1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1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1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1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1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313" spans="2:41" x14ac:dyDescent="0.25">
      <c r="B313" s="58" t="str">
        <f>Tabla1[[#This Row],[nudo inicial]]</f>
        <v>N161</v>
      </c>
      <c r="C313" s="58" t="str">
        <f>Tabla1[[#This Row],[nudo final]]</f>
        <v>TP118</v>
      </c>
      <c r="D313" s="51">
        <f>Tabla1[[#This Row],[longitud]]</f>
        <v>141.99</v>
      </c>
      <c r="E313" s="51" t="str">
        <f>Tabla1[[#This Row],[diametro]]</f>
        <v>2"</v>
      </c>
      <c r="F313" s="51" t="str">
        <f>Tabla1[[#This Row],[material]]</f>
        <v>PVC</v>
      </c>
      <c r="G31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313" s="52" t="str">
        <f>IF(Tabla1[[#This Row],[5]]="TPD",Tabla1[[#This Row],[6]],"")</f>
        <v/>
      </c>
      <c r="I313" s="52" t="str">
        <f>IF(OR(Tabla1[[#This Row],[5]]="TPD"),Tabla1[[#This Row],[7]],"")</f>
        <v/>
      </c>
      <c r="J313" s="52">
        <f>IF(Tabla15[[#This Row],[2]]="",0,VLOOKUP(TRAMOS!$H$2,Tabla5[#All],3,FALSE)*Tabla15[[#This Row],[3]])</f>
        <v>0</v>
      </c>
      <c r="K313" s="52" t="str">
        <f>IF(Tabla1[[#This Row],[5]]="TPL",Tabla1[[#This Row],[6]],"")</f>
        <v>3"</v>
      </c>
      <c r="L313" s="52">
        <f>IF(OR(Tabla1[[#This Row],[5]]="TPL"),Tabla1[[#This Row],[7]],"")</f>
        <v>1</v>
      </c>
      <c r="M313" s="52">
        <f>IF(Tabla15[[#This Row],[5]]="",0,VLOOKUP(TRAMOS!$K$2,Tabla5[#All],3,FALSE)*Tabla15[[#This Row],[6]])</f>
        <v>0.9</v>
      </c>
      <c r="N31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1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13" s="52">
        <f>IF(Tabla15[[#This Row],[8]]="",0,VLOOKUP(TRAMOS!$H$2,Tabla5[#All],3,FALSE)*Tabla15[[#This Row],[9]])</f>
        <v>0</v>
      </c>
      <c r="Q31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313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313" s="52">
        <f>IF(Tabla15[[#This Row],[11]]="",0,VLOOKUP(TRAMOS!$Q$2,Tabla5[#All],3,FALSE)*Tabla15[[#This Row],[12]])</f>
        <v>0.9</v>
      </c>
      <c r="T31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313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31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31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1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1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1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1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13" s="52">
        <f>IF(Tabla15[[#This Row],[20]]="",0,VLOOKUP("VRP",Tabla5[#All],3,FALSE)*Tabla15[[#This Row],[21]])</f>
        <v>0</v>
      </c>
      <c r="AC31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1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13" s="52">
        <f>IF(Tabla15[[#This Row],[23]]="",0,VLOOKUP("VC",Tabla5[#All],3,FALSE)*Tabla15[[#This Row],[24]])</f>
        <v>0</v>
      </c>
      <c r="AF31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1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13" s="52">
        <f>IF(Tabla15[[#This Row],[26]]="",0,VLOOKUP(TRAMOS!$K$2,Tabla5[#All],3,FALSE)*Tabla15[[#This Row],[27]])</f>
        <v>0</v>
      </c>
      <c r="AI31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1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1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1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1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313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31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2.0150000000000001</v>
      </c>
    </row>
    <row r="314" spans="2:41" x14ac:dyDescent="0.25">
      <c r="B314" s="58" t="str">
        <f>Tabla1[[#This Row],[nudo inicial]]</f>
        <v>N161</v>
      </c>
      <c r="C314" s="58" t="str">
        <f>Tabla1[[#This Row],[nudo final]]</f>
        <v>N162</v>
      </c>
      <c r="D314" s="51">
        <f>Tabla1[[#This Row],[longitud]]</f>
        <v>50.04</v>
      </c>
      <c r="E314" s="51" t="str">
        <f>Tabla1[[#This Row],[diametro]]</f>
        <v>3"</v>
      </c>
      <c r="F314" s="51" t="str">
        <f>Tabla1[[#This Row],[material]]</f>
        <v>PVC</v>
      </c>
      <c r="G31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314" s="52" t="str">
        <f>IF(Tabla1[[#This Row],[5]]="TPD",Tabla1[[#This Row],[6]],"")</f>
        <v>3"</v>
      </c>
      <c r="I314" s="52">
        <f>IF(OR(Tabla1[[#This Row],[5]]="TPD"),Tabla1[[#This Row],[7]],"")</f>
        <v>1</v>
      </c>
      <c r="J314" s="52">
        <f>IF(Tabla15[[#This Row],[2]]="",0,VLOOKUP(TRAMOS!$H$2,Tabla5[#All],3,FALSE)*Tabla15[[#This Row],[3]])</f>
        <v>0.15</v>
      </c>
      <c r="K314" s="52" t="str">
        <f>IF(Tabla1[[#This Row],[5]]="TPL",Tabla1[[#This Row],[6]],"")</f>
        <v/>
      </c>
      <c r="L314" s="52" t="str">
        <f>IF(OR(Tabla1[[#This Row],[5]]="TPL"),Tabla1[[#This Row],[7]],"")</f>
        <v/>
      </c>
      <c r="M314" s="52">
        <f>IF(Tabla15[[#This Row],[5]]="",0,VLOOKUP(TRAMOS!$K$2,Tabla5[#All],3,FALSE)*Tabla15[[#This Row],[6]])</f>
        <v>0</v>
      </c>
      <c r="N31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1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14" s="52">
        <f>IF(Tabla15[[#This Row],[8]]="",0,VLOOKUP(TRAMOS!$H$2,Tabla5[#All],3,FALSE)*Tabla15[[#This Row],[9]])</f>
        <v>0</v>
      </c>
      <c r="Q31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1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14" s="52">
        <f>IF(Tabla15[[#This Row],[11]]="",0,VLOOKUP(TRAMOS!$Q$2,Tabla5[#All],3,FALSE)*Tabla15[[#This Row],[12]])</f>
        <v>0</v>
      </c>
      <c r="T31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1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1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1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1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1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1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1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14" s="52">
        <f>IF(Tabla15[[#This Row],[20]]="",0,VLOOKUP("VRP",Tabla5[#All],3,FALSE)*Tabla15[[#This Row],[21]])</f>
        <v>0</v>
      </c>
      <c r="AC31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1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14" s="52">
        <f>IF(Tabla15[[#This Row],[23]]="",0,VLOOKUP("VC",Tabla5[#All],3,FALSE)*Tabla15[[#This Row],[24]])</f>
        <v>0</v>
      </c>
      <c r="AF31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1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14" s="52">
        <f>IF(Tabla15[[#This Row],[26]]="",0,VLOOKUP(TRAMOS!$K$2,Tabla5[#All],3,FALSE)*Tabla15[[#This Row],[27]])</f>
        <v>0</v>
      </c>
      <c r="AI31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1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1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1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1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1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1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315" spans="2:41" x14ac:dyDescent="0.25">
      <c r="B315" s="58" t="str">
        <f>Tabla1[[#This Row],[nudo inicial]]</f>
        <v>N162</v>
      </c>
      <c r="C315" s="58" t="str">
        <f>Tabla1[[#This Row],[nudo final]]</f>
        <v>TP119</v>
      </c>
      <c r="D315" s="51">
        <f>Tabla1[[#This Row],[longitud]]</f>
        <v>64.650000000000006</v>
      </c>
      <c r="E315" s="51" t="str">
        <f>Tabla1[[#This Row],[diametro]]</f>
        <v>2"</v>
      </c>
      <c r="F315" s="51" t="str">
        <f>Tabla1[[#This Row],[material]]</f>
        <v>PVC</v>
      </c>
      <c r="G31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315" s="52" t="str">
        <f>IF(Tabla1[[#This Row],[5]]="TPD",Tabla1[[#This Row],[6]],"")</f>
        <v/>
      </c>
      <c r="I315" s="52" t="str">
        <f>IF(OR(Tabla1[[#This Row],[5]]="TPD"),Tabla1[[#This Row],[7]],"")</f>
        <v/>
      </c>
      <c r="J315" s="52">
        <f>IF(Tabla15[[#This Row],[2]]="",0,VLOOKUP(TRAMOS!$H$2,Tabla5[#All],3,FALSE)*Tabla15[[#This Row],[3]])</f>
        <v>0</v>
      </c>
      <c r="K315" s="52" t="str">
        <f>IF(Tabla1[[#This Row],[5]]="TPL",Tabla1[[#This Row],[6]],"")</f>
        <v>3"</v>
      </c>
      <c r="L315" s="52">
        <f>IF(OR(Tabla1[[#This Row],[5]]="TPL"),Tabla1[[#This Row],[7]],"")</f>
        <v>1</v>
      </c>
      <c r="M315" s="52">
        <f>IF(Tabla15[[#This Row],[5]]="",0,VLOOKUP(TRAMOS!$K$2,Tabla5[#All],3,FALSE)*Tabla15[[#This Row],[6]])</f>
        <v>0.9</v>
      </c>
      <c r="N31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1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15" s="52">
        <f>IF(Tabla15[[#This Row],[8]]="",0,VLOOKUP(TRAMOS!$H$2,Tabla5[#All],3,FALSE)*Tabla15[[#This Row],[9]])</f>
        <v>0</v>
      </c>
      <c r="Q31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1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15" s="52">
        <f>IF(Tabla15[[#This Row],[11]]="",0,VLOOKUP(TRAMOS!$Q$2,Tabla5[#All],3,FALSE)*Tabla15[[#This Row],[12]])</f>
        <v>0</v>
      </c>
      <c r="T31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315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31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31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1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1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1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1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15" s="52">
        <f>IF(Tabla15[[#This Row],[20]]="",0,VLOOKUP("VRP",Tabla5[#All],3,FALSE)*Tabla15[[#This Row],[21]])</f>
        <v>0</v>
      </c>
      <c r="AC31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315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315" s="52">
        <f>IF(Tabla15[[#This Row],[23]]="",0,VLOOKUP("VC",Tabla5[#All],3,FALSE)*Tabla15[[#This Row],[24]])</f>
        <v>0.25</v>
      </c>
      <c r="AF31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1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15" s="52">
        <f>IF(Tabla15[[#This Row],[26]]="",0,VLOOKUP(TRAMOS!$K$2,Tabla5[#All],3,FALSE)*Tabla15[[#This Row],[27]])</f>
        <v>0</v>
      </c>
      <c r="AI31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1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1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1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1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315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31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1.365</v>
      </c>
    </row>
    <row r="316" spans="2:41" x14ac:dyDescent="0.25">
      <c r="B316" s="58" t="str">
        <f>Tabla1[[#This Row],[nudo inicial]]</f>
        <v>N162</v>
      </c>
      <c r="C316" s="58" t="str">
        <f>Tabla1[[#This Row],[nudo final]]</f>
        <v>N163</v>
      </c>
      <c r="D316" s="51">
        <f>Tabla1[[#This Row],[longitud]]</f>
        <v>92.99</v>
      </c>
      <c r="E316" s="51" t="str">
        <f>Tabla1[[#This Row],[diametro]]</f>
        <v>2"</v>
      </c>
      <c r="F316" s="51" t="str">
        <f>Tabla1[[#This Row],[material]]</f>
        <v>PVC</v>
      </c>
      <c r="G31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316" s="52" t="str">
        <f>IF(Tabla1[[#This Row],[5]]="TPD",Tabla1[[#This Row],[6]],"")</f>
        <v>3"</v>
      </c>
      <c r="I316" s="52">
        <f>IF(OR(Tabla1[[#This Row],[5]]="TPD"),Tabla1[[#This Row],[7]],"")</f>
        <v>1</v>
      </c>
      <c r="J316" s="52">
        <f>IF(Tabla15[[#This Row],[2]]="",0,VLOOKUP(TRAMOS!$H$2,Tabla5[#All],3,FALSE)*Tabla15[[#This Row],[3]])</f>
        <v>0.15</v>
      </c>
      <c r="K316" s="52" t="str">
        <f>IF(Tabla1[[#This Row],[5]]="TPL",Tabla1[[#This Row],[6]],"")</f>
        <v/>
      </c>
      <c r="L316" s="52" t="str">
        <f>IF(OR(Tabla1[[#This Row],[5]]="TPL"),Tabla1[[#This Row],[7]],"")</f>
        <v/>
      </c>
      <c r="M316" s="52">
        <f>IF(Tabla15[[#This Row],[5]]="",0,VLOOKUP(TRAMOS!$K$2,Tabla5[#All],3,FALSE)*Tabla15[[#This Row],[6]])</f>
        <v>0</v>
      </c>
      <c r="N31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1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16" s="52">
        <f>IF(Tabla15[[#This Row],[8]]="",0,VLOOKUP(TRAMOS!$H$2,Tabla5[#All],3,FALSE)*Tabla15[[#This Row],[9]])</f>
        <v>0</v>
      </c>
      <c r="Q31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1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16" s="52">
        <f>IF(Tabla15[[#This Row],[11]]="",0,VLOOKUP(TRAMOS!$Q$2,Tabla5[#All],3,FALSE)*Tabla15[[#This Row],[12]])</f>
        <v>0</v>
      </c>
      <c r="T31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316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31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31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1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1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1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1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16" s="52">
        <f>IF(Tabla15[[#This Row],[20]]="",0,VLOOKUP("VRP",Tabla5[#All],3,FALSE)*Tabla15[[#This Row],[21]])</f>
        <v>0</v>
      </c>
      <c r="AC31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1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16" s="52">
        <f>IF(Tabla15[[#This Row],[23]]="",0,VLOOKUP("VC",Tabla5[#All],3,FALSE)*Tabla15[[#This Row],[24]])</f>
        <v>0</v>
      </c>
      <c r="AF31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1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16" s="52">
        <f>IF(Tabla15[[#This Row],[26]]="",0,VLOOKUP(TRAMOS!$K$2,Tabla5[#All],3,FALSE)*Tabla15[[#This Row],[27]])</f>
        <v>0</v>
      </c>
      <c r="AI31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1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1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1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1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1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1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0.36499999999999999</v>
      </c>
    </row>
    <row r="317" spans="2:41" x14ac:dyDescent="0.25">
      <c r="B317" s="58" t="str">
        <f>Tabla1[[#This Row],[nudo inicial]]</f>
        <v>N163</v>
      </c>
      <c r="C317" s="58" t="str">
        <f>Tabla1[[#This Row],[nudo final]]</f>
        <v>TP120</v>
      </c>
      <c r="D317" s="51">
        <f>Tabla1[[#This Row],[longitud]]</f>
        <v>211.78</v>
      </c>
      <c r="E317" s="51" t="str">
        <f>Tabla1[[#This Row],[diametro]]</f>
        <v>2"</v>
      </c>
      <c r="F317" s="51" t="str">
        <f>Tabla1[[#This Row],[material]]</f>
        <v>PVC</v>
      </c>
      <c r="G31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317" s="52" t="str">
        <f>IF(Tabla1[[#This Row],[5]]="TPD",Tabla1[[#This Row],[6]],"")</f>
        <v>2"</v>
      </c>
      <c r="I317" s="52">
        <f>IF(OR(Tabla1[[#This Row],[5]]="TPD"),Tabla1[[#This Row],[7]],"")</f>
        <v>1</v>
      </c>
      <c r="J317" s="52">
        <f>IF(Tabla15[[#This Row],[2]]="",0,VLOOKUP(TRAMOS!$H$2,Tabla5[#All],3,FALSE)*Tabla15[[#This Row],[3]])</f>
        <v>0.15</v>
      </c>
      <c r="K317" s="52" t="str">
        <f>IF(Tabla1[[#This Row],[5]]="TPL",Tabla1[[#This Row],[6]],"")</f>
        <v/>
      </c>
      <c r="L317" s="52" t="str">
        <f>IF(OR(Tabla1[[#This Row],[5]]="TPL"),Tabla1[[#This Row],[7]],"")</f>
        <v/>
      </c>
      <c r="M317" s="52">
        <f>IF(Tabla15[[#This Row],[5]]="",0,VLOOKUP(TRAMOS!$K$2,Tabla5[#All],3,FALSE)*Tabla15[[#This Row],[6]])</f>
        <v>0</v>
      </c>
      <c r="N31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1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17" s="52">
        <f>IF(Tabla15[[#This Row],[8]]="",0,VLOOKUP(TRAMOS!$H$2,Tabla5[#All],3,FALSE)*Tabla15[[#This Row],[9]])</f>
        <v>0</v>
      </c>
      <c r="Q31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317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2</v>
      </c>
      <c r="S317" s="52">
        <f>IF(Tabla15[[#This Row],[11]]="",0,VLOOKUP(TRAMOS!$Q$2,Tabla5[#All],3,FALSE)*Tabla15[[#This Row],[12]])</f>
        <v>1.8</v>
      </c>
      <c r="T31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1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1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1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1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1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1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1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17" s="52">
        <f>IF(Tabla15[[#This Row],[20]]="",0,VLOOKUP("VRP",Tabla5[#All],3,FALSE)*Tabla15[[#This Row],[21]])</f>
        <v>0</v>
      </c>
      <c r="AC31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1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17" s="52">
        <f>IF(Tabla15[[#This Row],[23]]="",0,VLOOKUP("VC",Tabla5[#All],3,FALSE)*Tabla15[[#This Row],[24]])</f>
        <v>0</v>
      </c>
      <c r="AF31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1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17" s="52">
        <f>IF(Tabla15[[#This Row],[26]]="",0,VLOOKUP(TRAMOS!$K$2,Tabla5[#All],3,FALSE)*Tabla15[[#This Row],[27]])</f>
        <v>0</v>
      </c>
      <c r="AI31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1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1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1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1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317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31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1.95</v>
      </c>
    </row>
    <row r="318" spans="2:41" x14ac:dyDescent="0.25">
      <c r="B318" s="58" t="str">
        <f>Tabla1[[#This Row],[nudo inicial]]</f>
        <v>N163</v>
      </c>
      <c r="C318" s="58" t="str">
        <f>Tabla1[[#This Row],[nudo final]]</f>
        <v>N164</v>
      </c>
      <c r="D318" s="51">
        <f>Tabla1[[#This Row],[longitud]]</f>
        <v>9.5</v>
      </c>
      <c r="E318" s="51" t="str">
        <f>Tabla1[[#This Row],[diametro]]</f>
        <v>2"</v>
      </c>
      <c r="F318" s="51" t="str">
        <f>Tabla1[[#This Row],[material]]</f>
        <v>PVC</v>
      </c>
      <c r="G31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318" s="52" t="str">
        <f>IF(Tabla1[[#This Row],[5]]="TPD",Tabla1[[#This Row],[6]],"")</f>
        <v/>
      </c>
      <c r="I318" s="52" t="str">
        <f>IF(OR(Tabla1[[#This Row],[5]]="TPD"),Tabla1[[#This Row],[7]],"")</f>
        <v/>
      </c>
      <c r="J318" s="52">
        <f>IF(Tabla15[[#This Row],[2]]="",0,VLOOKUP(TRAMOS!$H$2,Tabla5[#All],3,FALSE)*Tabla15[[#This Row],[3]])</f>
        <v>0</v>
      </c>
      <c r="K318" s="52" t="str">
        <f>IF(Tabla1[[#This Row],[5]]="TPL",Tabla1[[#This Row],[6]],"")</f>
        <v>2"</v>
      </c>
      <c r="L318" s="52">
        <f>IF(OR(Tabla1[[#This Row],[5]]="TPL"),Tabla1[[#This Row],[7]],"")</f>
        <v>1</v>
      </c>
      <c r="M318" s="52">
        <f>IF(Tabla15[[#This Row],[5]]="",0,VLOOKUP(TRAMOS!$K$2,Tabla5[#All],3,FALSE)*Tabla15[[#This Row],[6]])</f>
        <v>0.9</v>
      </c>
      <c r="N31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1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18" s="52">
        <f>IF(Tabla15[[#This Row],[8]]="",0,VLOOKUP(TRAMOS!$H$2,Tabla5[#All],3,FALSE)*Tabla15[[#This Row],[9]])</f>
        <v>0</v>
      </c>
      <c r="Q31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318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318" s="52">
        <f>IF(Tabla15[[#This Row],[11]]="",0,VLOOKUP(TRAMOS!$Q$2,Tabla5[#All],3,FALSE)*Tabla15[[#This Row],[12]])</f>
        <v>0.9</v>
      </c>
      <c r="T31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1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1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1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1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1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1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1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18" s="52">
        <f>IF(Tabla15[[#This Row],[20]]="",0,VLOOKUP("VRP",Tabla5[#All],3,FALSE)*Tabla15[[#This Row],[21]])</f>
        <v>0</v>
      </c>
      <c r="AC31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318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318" s="52">
        <f>IF(Tabla15[[#This Row],[23]]="",0,VLOOKUP("VC",Tabla5[#All],3,FALSE)*Tabla15[[#This Row],[24]])</f>
        <v>0.25</v>
      </c>
      <c r="AF31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1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18" s="52">
        <f>IF(Tabla15[[#This Row],[26]]="",0,VLOOKUP(TRAMOS!$K$2,Tabla5[#All],3,FALSE)*Tabla15[[#This Row],[27]])</f>
        <v>0</v>
      </c>
      <c r="AI31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1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1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1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1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1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1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2.0499999999999998</v>
      </c>
    </row>
    <row r="319" spans="2:41" x14ac:dyDescent="0.25">
      <c r="B319" s="58" t="str">
        <f>Tabla1[[#This Row],[nudo inicial]]</f>
        <v>N164</v>
      </c>
      <c r="C319" s="58" t="str">
        <f>Tabla1[[#This Row],[nudo final]]</f>
        <v>TP121</v>
      </c>
      <c r="D319" s="51">
        <f>Tabla1[[#This Row],[longitud]]</f>
        <v>73.48</v>
      </c>
      <c r="E319" s="51" t="str">
        <f>Tabla1[[#This Row],[diametro]]</f>
        <v>2"</v>
      </c>
      <c r="F319" s="51" t="str">
        <f>Tabla1[[#This Row],[material]]</f>
        <v>PVC</v>
      </c>
      <c r="G31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319" s="52" t="str">
        <f>IF(Tabla1[[#This Row],[5]]="TPD",Tabla1[[#This Row],[6]],"")</f>
        <v>2"</v>
      </c>
      <c r="I319" s="52">
        <f>IF(OR(Tabla1[[#This Row],[5]]="TPD"),Tabla1[[#This Row],[7]],"")</f>
        <v>1</v>
      </c>
      <c r="J319" s="52">
        <f>IF(Tabla15[[#This Row],[2]]="",0,VLOOKUP(TRAMOS!$H$2,Tabla5[#All],3,FALSE)*Tabla15[[#This Row],[3]])</f>
        <v>0.15</v>
      </c>
      <c r="K319" s="52" t="str">
        <f>IF(Tabla1[[#This Row],[5]]="TPL",Tabla1[[#This Row],[6]],"")</f>
        <v/>
      </c>
      <c r="L319" s="52" t="str">
        <f>IF(OR(Tabla1[[#This Row],[5]]="TPL"),Tabla1[[#This Row],[7]],"")</f>
        <v/>
      </c>
      <c r="M319" s="52">
        <f>IF(Tabla15[[#This Row],[5]]="",0,VLOOKUP(TRAMOS!$K$2,Tabla5[#All],3,FALSE)*Tabla15[[#This Row],[6]])</f>
        <v>0</v>
      </c>
      <c r="N31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1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19" s="52">
        <f>IF(Tabla15[[#This Row],[8]]="",0,VLOOKUP(TRAMOS!$H$2,Tabla5[#All],3,FALSE)*Tabla15[[#This Row],[9]])</f>
        <v>0</v>
      </c>
      <c r="Q31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1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19" s="52">
        <f>IF(Tabla15[[#This Row],[11]]="",0,VLOOKUP(TRAMOS!$Q$2,Tabla5[#All],3,FALSE)*Tabla15[[#This Row],[12]])</f>
        <v>0</v>
      </c>
      <c r="T31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1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1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1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1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1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1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1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19" s="52">
        <f>IF(Tabla15[[#This Row],[20]]="",0,VLOOKUP("VRP",Tabla5[#All],3,FALSE)*Tabla15[[#This Row],[21]])</f>
        <v>0</v>
      </c>
      <c r="AC31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1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19" s="52">
        <f>IF(Tabla15[[#This Row],[23]]="",0,VLOOKUP("VC",Tabla5[#All],3,FALSE)*Tabla15[[#This Row],[24]])</f>
        <v>0</v>
      </c>
      <c r="AF31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1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19" s="52">
        <f>IF(Tabla15[[#This Row],[26]]="",0,VLOOKUP(TRAMOS!$K$2,Tabla5[#All],3,FALSE)*Tabla15[[#This Row],[27]])</f>
        <v>0</v>
      </c>
      <c r="AI31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1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1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1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1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319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31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320" spans="2:41" x14ac:dyDescent="0.25">
      <c r="B320" s="58" t="str">
        <f>Tabla1[[#This Row],[nudo inicial]]</f>
        <v>N164</v>
      </c>
      <c r="C320" s="58" t="str">
        <f>Tabla1[[#This Row],[nudo final]]</f>
        <v>TP122</v>
      </c>
      <c r="D320" s="51">
        <f>Tabla1[[#This Row],[longitud]]</f>
        <v>126.32</v>
      </c>
      <c r="E320" s="51" t="str">
        <f>Tabla1[[#This Row],[diametro]]</f>
        <v>2"</v>
      </c>
      <c r="F320" s="51" t="str">
        <f>Tabla1[[#This Row],[material]]</f>
        <v>PVC</v>
      </c>
      <c r="G32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320" s="52" t="str">
        <f>IF(Tabla1[[#This Row],[5]]="TPD",Tabla1[[#This Row],[6]],"")</f>
        <v/>
      </c>
      <c r="I320" s="52" t="str">
        <f>IF(OR(Tabla1[[#This Row],[5]]="TPD"),Tabla1[[#This Row],[7]],"")</f>
        <v/>
      </c>
      <c r="J320" s="52">
        <f>IF(Tabla15[[#This Row],[2]]="",0,VLOOKUP(TRAMOS!$H$2,Tabla5[#All],3,FALSE)*Tabla15[[#This Row],[3]])</f>
        <v>0</v>
      </c>
      <c r="K320" s="52" t="str">
        <f>IF(Tabla1[[#This Row],[5]]="TPL",Tabla1[[#This Row],[6]],"")</f>
        <v>2"</v>
      </c>
      <c r="L320" s="52">
        <f>IF(OR(Tabla1[[#This Row],[5]]="TPL"),Tabla1[[#This Row],[7]],"")</f>
        <v>1</v>
      </c>
      <c r="M320" s="52">
        <f>IF(Tabla15[[#This Row],[5]]="",0,VLOOKUP(TRAMOS!$K$2,Tabla5[#All],3,FALSE)*Tabla15[[#This Row],[6]])</f>
        <v>0.9</v>
      </c>
      <c r="N32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2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20" s="52">
        <f>IF(Tabla15[[#This Row],[8]]="",0,VLOOKUP(TRAMOS!$H$2,Tabla5[#All],3,FALSE)*Tabla15[[#This Row],[9]])</f>
        <v>0</v>
      </c>
      <c r="Q32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320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320" s="52">
        <f>IF(Tabla15[[#This Row],[11]]="",0,VLOOKUP(TRAMOS!$Q$2,Tabla5[#All],3,FALSE)*Tabla15[[#This Row],[12]])</f>
        <v>0.9</v>
      </c>
      <c r="T32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2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2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2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2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2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2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2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20" s="52">
        <f>IF(Tabla15[[#This Row],[20]]="",0,VLOOKUP("VRP",Tabla5[#All],3,FALSE)*Tabla15[[#This Row],[21]])</f>
        <v>0</v>
      </c>
      <c r="AC32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2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20" s="52">
        <f>IF(Tabla15[[#This Row],[23]]="",0,VLOOKUP("VC",Tabla5[#All],3,FALSE)*Tabla15[[#This Row],[24]])</f>
        <v>0</v>
      </c>
      <c r="AF32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2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20" s="52">
        <f>IF(Tabla15[[#This Row],[26]]="",0,VLOOKUP(TRAMOS!$K$2,Tabla5[#All],3,FALSE)*Tabla15[[#This Row],[27]])</f>
        <v>0</v>
      </c>
      <c r="AI32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2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2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2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2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2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2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1.8</v>
      </c>
    </row>
    <row r="321" spans="2:41" x14ac:dyDescent="0.25">
      <c r="B321" s="58" t="str">
        <f>Tabla1[[#This Row],[nudo inicial]]</f>
        <v>N158</v>
      </c>
      <c r="C321" s="58" t="str">
        <f>Tabla1[[#This Row],[nudo final]]</f>
        <v>N165</v>
      </c>
      <c r="D321" s="51">
        <f>Tabla1[[#This Row],[longitud]]</f>
        <v>407.28</v>
      </c>
      <c r="E321" s="51" t="str">
        <f>Tabla1[[#This Row],[diametro]]</f>
        <v>4"</v>
      </c>
      <c r="F321" s="51" t="str">
        <f>Tabla1[[#This Row],[material]]</f>
        <v>PVC</v>
      </c>
      <c r="G32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321" s="52" t="str">
        <f>IF(Tabla1[[#This Row],[5]]="TPD",Tabla1[[#This Row],[6]],"")</f>
        <v/>
      </c>
      <c r="I321" s="52" t="str">
        <f>IF(OR(Tabla1[[#This Row],[5]]="TPD"),Tabla1[[#This Row],[7]],"")</f>
        <v/>
      </c>
      <c r="J321" s="52">
        <f>IF(Tabla15[[#This Row],[2]]="",0,VLOOKUP(TRAMOS!$H$2,Tabla5[#All],3,FALSE)*Tabla15[[#This Row],[3]])</f>
        <v>0</v>
      </c>
      <c r="K321" s="52" t="str">
        <f>IF(Tabla1[[#This Row],[5]]="TPL",Tabla1[[#This Row],[6]],"")</f>
        <v>3"</v>
      </c>
      <c r="L321" s="52">
        <f>IF(OR(Tabla1[[#This Row],[5]]="TPL"),Tabla1[[#This Row],[7]],"")</f>
        <v>1</v>
      </c>
      <c r="M321" s="52">
        <f>IF(Tabla15[[#This Row],[5]]="",0,VLOOKUP(TRAMOS!$K$2,Tabla5[#All],3,FALSE)*Tabla15[[#This Row],[6]])</f>
        <v>0.9</v>
      </c>
      <c r="N32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2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21" s="52">
        <f>IF(Tabla15[[#This Row],[8]]="",0,VLOOKUP(TRAMOS!$H$2,Tabla5[#All],3,FALSE)*Tabla15[[#This Row],[9]])</f>
        <v>0</v>
      </c>
      <c r="Q32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4"</v>
      </c>
      <c r="R321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3</v>
      </c>
      <c r="S321" s="52">
        <f>IF(Tabla15[[#This Row],[11]]="",0,VLOOKUP(TRAMOS!$Q$2,Tabla5[#All],3,FALSE)*Tabla15[[#This Row],[12]])</f>
        <v>2.7</v>
      </c>
      <c r="T32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2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2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2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>4"</v>
      </c>
      <c r="X321" s="52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>1</v>
      </c>
      <c r="Y32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0.4740000000000002</v>
      </c>
      <c r="Z32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2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21" s="52">
        <f>IF(Tabla15[[#This Row],[20]]="",0,VLOOKUP("VRP",Tabla5[#All],3,FALSE)*Tabla15[[#This Row],[21]])</f>
        <v>0</v>
      </c>
      <c r="AC32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4"</v>
      </c>
      <c r="AD321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321" s="52">
        <f>IF(Tabla15[[#This Row],[23]]="",0,VLOOKUP("VC",Tabla5[#All],3,FALSE)*Tabla15[[#This Row],[24]])</f>
        <v>0.25</v>
      </c>
      <c r="AF32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2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21" s="52">
        <f>IF(Tabla15[[#This Row],[26]]="",0,VLOOKUP(TRAMOS!$K$2,Tabla5[#All],3,FALSE)*Tabla15[[#This Row],[27]])</f>
        <v>0</v>
      </c>
      <c r="AI32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2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2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2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2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2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2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4.3239999999999998</v>
      </c>
    </row>
    <row r="322" spans="2:41" x14ac:dyDescent="0.25">
      <c r="B322" s="58" t="str">
        <f>Tabla1[[#This Row],[nudo inicial]]</f>
        <v>N154</v>
      </c>
      <c r="C322" s="58" t="str">
        <f>Tabla1[[#This Row],[nudo final]]</f>
        <v>N166</v>
      </c>
      <c r="D322" s="51">
        <f>Tabla1[[#This Row],[longitud]]</f>
        <v>75.709999999999994</v>
      </c>
      <c r="E322" s="51" t="str">
        <f>Tabla1[[#This Row],[diametro]]</f>
        <v>2"</v>
      </c>
      <c r="F322" s="51" t="str">
        <f>Tabla1[[#This Row],[material]]</f>
        <v>PVC</v>
      </c>
      <c r="G32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322" s="52" t="str">
        <f>IF(Tabla1[[#This Row],[5]]="TPD",Tabla1[[#This Row],[6]],"")</f>
        <v/>
      </c>
      <c r="I322" s="52" t="str">
        <f>IF(OR(Tabla1[[#This Row],[5]]="TPD"),Tabla1[[#This Row],[7]],"")</f>
        <v/>
      </c>
      <c r="J322" s="52">
        <f>IF(Tabla15[[#This Row],[2]]="",0,VLOOKUP(TRAMOS!$H$2,Tabla5[#All],3,FALSE)*Tabla15[[#This Row],[3]])</f>
        <v>0</v>
      </c>
      <c r="K322" s="52" t="str">
        <f>IF(Tabla1[[#This Row],[5]]="TPL",Tabla1[[#This Row],[6]],"")</f>
        <v>2"</v>
      </c>
      <c r="L322" s="52">
        <f>IF(OR(Tabla1[[#This Row],[5]]="TPL"),Tabla1[[#This Row],[7]],"")</f>
        <v>1</v>
      </c>
      <c r="M322" s="52">
        <f>IF(Tabla15[[#This Row],[5]]="",0,VLOOKUP(TRAMOS!$K$2,Tabla5[#All],3,FALSE)*Tabla15[[#This Row],[6]])</f>
        <v>0.9</v>
      </c>
      <c r="N32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2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22" s="52">
        <f>IF(Tabla15[[#This Row],[8]]="",0,VLOOKUP(TRAMOS!$H$2,Tabla5[#All],3,FALSE)*Tabla15[[#This Row],[9]])</f>
        <v>0</v>
      </c>
      <c r="Q32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322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322" s="52">
        <f>IF(Tabla15[[#This Row],[11]]="",0,VLOOKUP(TRAMOS!$Q$2,Tabla5[#All],3,FALSE)*Tabla15[[#This Row],[12]])</f>
        <v>0.9</v>
      </c>
      <c r="T32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2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2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2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2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2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2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2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22" s="52">
        <f>IF(Tabla15[[#This Row],[20]]="",0,VLOOKUP("VRP",Tabla5[#All],3,FALSE)*Tabla15[[#This Row],[21]])</f>
        <v>0</v>
      </c>
      <c r="AC32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2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22" s="52">
        <f>IF(Tabla15[[#This Row],[23]]="",0,VLOOKUP("VC",Tabla5[#All],3,FALSE)*Tabla15[[#This Row],[24]])</f>
        <v>0</v>
      </c>
      <c r="AF32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2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22" s="52">
        <f>IF(Tabla15[[#This Row],[26]]="",0,VLOOKUP(TRAMOS!$K$2,Tabla5[#All],3,FALSE)*Tabla15[[#This Row],[27]])</f>
        <v>0</v>
      </c>
      <c r="AI32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2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2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2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2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2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2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1.8</v>
      </c>
    </row>
    <row r="323" spans="2:41" x14ac:dyDescent="0.25">
      <c r="B323" s="58" t="str">
        <f>Tabla1[[#This Row],[nudo inicial]]</f>
        <v>N166</v>
      </c>
      <c r="C323" s="58" t="str">
        <f>Tabla1[[#This Row],[nudo final]]</f>
        <v>TP123</v>
      </c>
      <c r="D323" s="51">
        <f>Tabla1[[#This Row],[longitud]]</f>
        <v>140.82</v>
      </c>
      <c r="E323" s="51" t="str">
        <f>Tabla1[[#This Row],[diametro]]</f>
        <v>2"</v>
      </c>
      <c r="F323" s="51" t="str">
        <f>Tabla1[[#This Row],[material]]</f>
        <v>PVC</v>
      </c>
      <c r="G32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323" s="52" t="str">
        <f>IF(Tabla1[[#This Row],[5]]="TPD",Tabla1[[#This Row],[6]],"")</f>
        <v/>
      </c>
      <c r="I323" s="52" t="str">
        <f>IF(OR(Tabla1[[#This Row],[5]]="TPD"),Tabla1[[#This Row],[7]],"")</f>
        <v/>
      </c>
      <c r="J323" s="52">
        <f>IF(Tabla15[[#This Row],[2]]="",0,VLOOKUP(TRAMOS!$H$2,Tabla5[#All],3,FALSE)*Tabla15[[#This Row],[3]])</f>
        <v>0</v>
      </c>
      <c r="K323" s="52" t="str">
        <f>IF(Tabla1[[#This Row],[5]]="TPL",Tabla1[[#This Row],[6]],"")</f>
        <v>2"</v>
      </c>
      <c r="L323" s="52">
        <f>IF(OR(Tabla1[[#This Row],[5]]="TPL"),Tabla1[[#This Row],[7]],"")</f>
        <v>1</v>
      </c>
      <c r="M323" s="52">
        <f>IF(Tabla15[[#This Row],[5]]="",0,VLOOKUP(TRAMOS!$K$2,Tabla5[#All],3,FALSE)*Tabla15[[#This Row],[6]])</f>
        <v>0.9</v>
      </c>
      <c r="N32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2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23" s="52">
        <f>IF(Tabla15[[#This Row],[8]]="",0,VLOOKUP(TRAMOS!$H$2,Tabla5[#All],3,FALSE)*Tabla15[[#This Row],[9]])</f>
        <v>0</v>
      </c>
      <c r="Q32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323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2</v>
      </c>
      <c r="S323" s="52">
        <f>IF(Tabla15[[#This Row],[11]]="",0,VLOOKUP(TRAMOS!$Q$2,Tabla5[#All],3,FALSE)*Tabla15[[#This Row],[12]])</f>
        <v>1.8</v>
      </c>
      <c r="T32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2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2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2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2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2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2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2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23" s="52">
        <f>IF(Tabla15[[#This Row],[20]]="",0,VLOOKUP("VRP",Tabla5[#All],3,FALSE)*Tabla15[[#This Row],[21]])</f>
        <v>0</v>
      </c>
      <c r="AC32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2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23" s="52">
        <f>IF(Tabla15[[#This Row],[23]]="",0,VLOOKUP("VC",Tabla5[#All],3,FALSE)*Tabla15[[#This Row],[24]])</f>
        <v>0</v>
      </c>
      <c r="AF32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2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23" s="52">
        <f>IF(Tabla15[[#This Row],[26]]="",0,VLOOKUP(TRAMOS!$K$2,Tabla5[#All],3,FALSE)*Tabla15[[#This Row],[27]])</f>
        <v>0</v>
      </c>
      <c r="AI32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2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2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2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2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323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32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2.7</v>
      </c>
    </row>
    <row r="324" spans="2:41" x14ac:dyDescent="0.25">
      <c r="B324" s="58" t="str">
        <f>Tabla1[[#This Row],[nudo inicial]]</f>
        <v>N166</v>
      </c>
      <c r="C324" s="58" t="str">
        <f>Tabla1[[#This Row],[nudo final]]</f>
        <v>N167</v>
      </c>
      <c r="D324" s="51">
        <f>Tabla1[[#This Row],[longitud]]</f>
        <v>177.73</v>
      </c>
      <c r="E324" s="51" t="str">
        <f>Tabla1[[#This Row],[diametro]]</f>
        <v>2"</v>
      </c>
      <c r="F324" s="51" t="str">
        <f>Tabla1[[#This Row],[material]]</f>
        <v>PVC</v>
      </c>
      <c r="G32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324" s="52" t="str">
        <f>IF(Tabla1[[#This Row],[5]]="TPD",Tabla1[[#This Row],[6]],"")</f>
        <v>2"</v>
      </c>
      <c r="I324" s="52">
        <f>IF(OR(Tabla1[[#This Row],[5]]="TPD"),Tabla1[[#This Row],[7]],"")</f>
        <v>1</v>
      </c>
      <c r="J324" s="52">
        <f>IF(Tabla15[[#This Row],[2]]="",0,VLOOKUP(TRAMOS!$H$2,Tabla5[#All],3,FALSE)*Tabla15[[#This Row],[3]])</f>
        <v>0.15</v>
      </c>
      <c r="K324" s="52" t="str">
        <f>IF(Tabla1[[#This Row],[5]]="TPL",Tabla1[[#This Row],[6]],"")</f>
        <v/>
      </c>
      <c r="L324" s="52" t="str">
        <f>IF(OR(Tabla1[[#This Row],[5]]="TPL"),Tabla1[[#This Row],[7]],"")</f>
        <v/>
      </c>
      <c r="M324" s="52">
        <f>IF(Tabla15[[#This Row],[5]]="",0,VLOOKUP(TRAMOS!$K$2,Tabla5[#All],3,FALSE)*Tabla15[[#This Row],[6]])</f>
        <v>0</v>
      </c>
      <c r="N32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2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24" s="52">
        <f>IF(Tabla15[[#This Row],[8]]="",0,VLOOKUP(TRAMOS!$H$2,Tabla5[#All],3,FALSE)*Tabla15[[#This Row],[9]])</f>
        <v>0</v>
      </c>
      <c r="Q32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324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2</v>
      </c>
      <c r="S324" s="52">
        <f>IF(Tabla15[[#This Row],[11]]="",0,VLOOKUP(TRAMOS!$Q$2,Tabla5[#All],3,FALSE)*Tabla15[[#This Row],[12]])</f>
        <v>1.8</v>
      </c>
      <c r="T32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2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2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2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2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2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2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2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24" s="52">
        <f>IF(Tabla15[[#This Row],[20]]="",0,VLOOKUP("VRP",Tabla5[#All],3,FALSE)*Tabla15[[#This Row],[21]])</f>
        <v>0</v>
      </c>
      <c r="AC32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2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24" s="52">
        <f>IF(Tabla15[[#This Row],[23]]="",0,VLOOKUP("VC",Tabla5[#All],3,FALSE)*Tabla15[[#This Row],[24]])</f>
        <v>0</v>
      </c>
      <c r="AF32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2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24" s="52">
        <f>IF(Tabla15[[#This Row],[26]]="",0,VLOOKUP(TRAMOS!$K$2,Tabla5[#All],3,FALSE)*Tabla15[[#This Row],[27]])</f>
        <v>0</v>
      </c>
      <c r="AI32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2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2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2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2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2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2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1.95</v>
      </c>
    </row>
    <row r="325" spans="2:41" x14ac:dyDescent="0.25">
      <c r="B325" s="58" t="str">
        <f>Tabla1[[#This Row],[nudo inicial]]</f>
        <v>N167</v>
      </c>
      <c r="C325" s="58" t="str">
        <f>Tabla1[[#This Row],[nudo final]]</f>
        <v>TP124</v>
      </c>
      <c r="D325" s="51">
        <f>Tabla1[[#This Row],[longitud]]</f>
        <v>61.93</v>
      </c>
      <c r="E325" s="51" t="str">
        <f>Tabla1[[#This Row],[diametro]]</f>
        <v>2"</v>
      </c>
      <c r="F325" s="51" t="str">
        <f>Tabla1[[#This Row],[material]]</f>
        <v>PVC</v>
      </c>
      <c r="G32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325" s="52" t="str">
        <f>IF(Tabla1[[#This Row],[5]]="TPD",Tabla1[[#This Row],[6]],"")</f>
        <v/>
      </c>
      <c r="I325" s="52" t="str">
        <f>IF(OR(Tabla1[[#This Row],[5]]="TPD"),Tabla1[[#This Row],[7]],"")</f>
        <v/>
      </c>
      <c r="J325" s="52">
        <f>IF(Tabla15[[#This Row],[2]]="",0,VLOOKUP(TRAMOS!$H$2,Tabla5[#All],3,FALSE)*Tabla15[[#This Row],[3]])</f>
        <v>0</v>
      </c>
      <c r="K325" s="52" t="str">
        <f>IF(Tabla1[[#This Row],[5]]="TPL",Tabla1[[#This Row],[6]],"")</f>
        <v>2"</v>
      </c>
      <c r="L325" s="52">
        <f>IF(OR(Tabla1[[#This Row],[5]]="TPL"),Tabla1[[#This Row],[7]],"")</f>
        <v>1</v>
      </c>
      <c r="M325" s="52">
        <f>IF(Tabla15[[#This Row],[5]]="",0,VLOOKUP(TRAMOS!$K$2,Tabla5[#All],3,FALSE)*Tabla15[[#This Row],[6]])</f>
        <v>0.9</v>
      </c>
      <c r="N32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2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25" s="52">
        <f>IF(Tabla15[[#This Row],[8]]="",0,VLOOKUP(TRAMOS!$H$2,Tabla5[#All],3,FALSE)*Tabla15[[#This Row],[9]])</f>
        <v>0</v>
      </c>
      <c r="Q32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2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25" s="52">
        <f>IF(Tabla15[[#This Row],[11]]="",0,VLOOKUP(TRAMOS!$Q$2,Tabla5[#All],3,FALSE)*Tabla15[[#This Row],[12]])</f>
        <v>0</v>
      </c>
      <c r="T32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2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2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2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2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2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2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2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25" s="52">
        <f>IF(Tabla15[[#This Row],[20]]="",0,VLOOKUP("VRP",Tabla5[#All],3,FALSE)*Tabla15[[#This Row],[21]])</f>
        <v>0</v>
      </c>
      <c r="AC32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2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25" s="52">
        <f>IF(Tabla15[[#This Row],[23]]="",0,VLOOKUP("VC",Tabla5[#All],3,FALSE)*Tabla15[[#This Row],[24]])</f>
        <v>0</v>
      </c>
      <c r="AF32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2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25" s="52">
        <f>IF(Tabla15[[#This Row],[26]]="",0,VLOOKUP(TRAMOS!$K$2,Tabla5[#All],3,FALSE)*Tabla15[[#This Row],[27]])</f>
        <v>0</v>
      </c>
      <c r="AI32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2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2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2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2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325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32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326" spans="2:41" x14ac:dyDescent="0.25">
      <c r="B326" s="58" t="str">
        <f>Tabla1[[#This Row],[nudo inicial]]</f>
        <v>N167</v>
      </c>
      <c r="C326" s="58" t="str">
        <f>Tabla1[[#This Row],[nudo final]]</f>
        <v>TP125</v>
      </c>
      <c r="D326" s="51">
        <f>Tabla1[[#This Row],[longitud]]</f>
        <v>36.67</v>
      </c>
      <c r="E326" s="51" t="str">
        <f>Tabla1[[#This Row],[diametro]]</f>
        <v>2"</v>
      </c>
      <c r="F326" s="51" t="str">
        <f>Tabla1[[#This Row],[material]]</f>
        <v>PVC</v>
      </c>
      <c r="G32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326" s="52" t="str">
        <f>IF(Tabla1[[#This Row],[5]]="TPD",Tabla1[[#This Row],[6]],"")</f>
        <v/>
      </c>
      <c r="I326" s="52" t="str">
        <f>IF(OR(Tabla1[[#This Row],[5]]="TPD"),Tabla1[[#This Row],[7]],"")</f>
        <v/>
      </c>
      <c r="J326" s="52">
        <f>IF(Tabla15[[#This Row],[2]]="",0,VLOOKUP(TRAMOS!$H$2,Tabla5[#All],3,FALSE)*Tabla15[[#This Row],[3]])</f>
        <v>0</v>
      </c>
      <c r="K326" s="52" t="str">
        <f>IF(Tabla1[[#This Row],[5]]="TPL",Tabla1[[#This Row],[6]],"")</f>
        <v>2"</v>
      </c>
      <c r="L326" s="52">
        <f>IF(OR(Tabla1[[#This Row],[5]]="TPL"),Tabla1[[#This Row],[7]],"")</f>
        <v>1</v>
      </c>
      <c r="M326" s="52">
        <f>IF(Tabla15[[#This Row],[5]]="",0,VLOOKUP(TRAMOS!$K$2,Tabla5[#All],3,FALSE)*Tabla15[[#This Row],[6]])</f>
        <v>0.9</v>
      </c>
      <c r="N32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2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26" s="52">
        <f>IF(Tabla15[[#This Row],[8]]="",0,VLOOKUP(TRAMOS!$H$2,Tabla5[#All],3,FALSE)*Tabla15[[#This Row],[9]])</f>
        <v>0</v>
      </c>
      <c r="Q32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2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26" s="52">
        <f>IF(Tabla15[[#This Row],[11]]="",0,VLOOKUP(TRAMOS!$Q$2,Tabla5[#All],3,FALSE)*Tabla15[[#This Row],[12]])</f>
        <v>0</v>
      </c>
      <c r="T32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2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2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2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2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2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2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2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26" s="52">
        <f>IF(Tabla15[[#This Row],[20]]="",0,VLOOKUP("VRP",Tabla5[#All],3,FALSE)*Tabla15[[#This Row],[21]])</f>
        <v>0</v>
      </c>
      <c r="AC32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2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26" s="52">
        <f>IF(Tabla15[[#This Row],[23]]="",0,VLOOKUP("VC",Tabla5[#All],3,FALSE)*Tabla15[[#This Row],[24]])</f>
        <v>0</v>
      </c>
      <c r="AF32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2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26" s="52">
        <f>IF(Tabla15[[#This Row],[26]]="",0,VLOOKUP(TRAMOS!$K$2,Tabla5[#All],3,FALSE)*Tabla15[[#This Row],[27]])</f>
        <v>0</v>
      </c>
      <c r="AI32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2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2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2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2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32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32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327" spans="2:41" x14ac:dyDescent="0.25">
      <c r="B327" s="58" t="str">
        <f>Tabla1[[#This Row],[nudo inicial]]</f>
        <v>N135</v>
      </c>
      <c r="C327" s="58" t="str">
        <f>Tabla1[[#This Row],[nudo final]]</f>
        <v>N168</v>
      </c>
      <c r="D327" s="51">
        <f>Tabla1[[#This Row],[longitud]]</f>
        <v>83.24</v>
      </c>
      <c r="E327" s="51" t="str">
        <f>Tabla1[[#This Row],[diametro]]</f>
        <v>2"</v>
      </c>
      <c r="F327" s="51" t="str">
        <f>Tabla1[[#This Row],[material]]</f>
        <v>PVC</v>
      </c>
      <c r="G32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327" s="52" t="str">
        <f>IF(Tabla1[[#This Row],[5]]="TPD",Tabla1[[#This Row],[6]],"")</f>
        <v/>
      </c>
      <c r="I327" s="52" t="str">
        <f>IF(OR(Tabla1[[#This Row],[5]]="TPD"),Tabla1[[#This Row],[7]],"")</f>
        <v/>
      </c>
      <c r="J327" s="52">
        <f>IF(Tabla15[[#This Row],[2]]="",0,VLOOKUP(TRAMOS!$H$2,Tabla5[#All],3,FALSE)*Tabla15[[#This Row],[3]])</f>
        <v>0</v>
      </c>
      <c r="K327" s="52" t="str">
        <f>IF(Tabla1[[#This Row],[5]]="TPL",Tabla1[[#This Row],[6]],"")</f>
        <v>3"</v>
      </c>
      <c r="L327" s="52">
        <f>IF(OR(Tabla1[[#This Row],[5]]="TPL"),Tabla1[[#This Row],[7]],"")</f>
        <v>1</v>
      </c>
      <c r="M327" s="52">
        <f>IF(Tabla15[[#This Row],[5]]="",0,VLOOKUP(TRAMOS!$K$2,Tabla5[#All],3,FALSE)*Tabla15[[#This Row],[6]])</f>
        <v>0.9</v>
      </c>
      <c r="N32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2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27" s="52">
        <f>IF(Tabla15[[#This Row],[8]]="",0,VLOOKUP(TRAMOS!$H$2,Tabla5[#All],3,FALSE)*Tabla15[[#This Row],[9]])</f>
        <v>0</v>
      </c>
      <c r="Q32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327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2</v>
      </c>
      <c r="S327" s="52">
        <f>IF(Tabla15[[#This Row],[11]]="",0,VLOOKUP(TRAMOS!$Q$2,Tabla5[#All],3,FALSE)*Tabla15[[#This Row],[12]])</f>
        <v>1.8</v>
      </c>
      <c r="T32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327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32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32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2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2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2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2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27" s="52">
        <f>IF(Tabla15[[#This Row],[20]]="",0,VLOOKUP("VRP",Tabla5[#All],3,FALSE)*Tabla15[[#This Row],[21]])</f>
        <v>0</v>
      </c>
      <c r="AC32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327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327" s="52">
        <f>IF(Tabla15[[#This Row],[23]]="",0,VLOOKUP("VC",Tabla5[#All],3,FALSE)*Tabla15[[#This Row],[24]])</f>
        <v>0.25</v>
      </c>
      <c r="AF32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2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27" s="52">
        <f>IF(Tabla15[[#This Row],[26]]="",0,VLOOKUP(TRAMOS!$K$2,Tabla5[#All],3,FALSE)*Tabla15[[#This Row],[27]])</f>
        <v>0</v>
      </c>
      <c r="AI32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2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2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2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2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2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2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3.165</v>
      </c>
    </row>
    <row r="328" spans="2:41" x14ac:dyDescent="0.25">
      <c r="B328" s="58" t="str">
        <f>Tabla1[[#This Row],[nudo inicial]]</f>
        <v>N168</v>
      </c>
      <c r="C328" s="58" t="str">
        <f>Tabla1[[#This Row],[nudo final]]</f>
        <v>TP126</v>
      </c>
      <c r="D328" s="51">
        <f>Tabla1[[#This Row],[longitud]]</f>
        <v>40.68</v>
      </c>
      <c r="E328" s="51" t="str">
        <f>Tabla1[[#This Row],[diametro]]</f>
        <v>2"</v>
      </c>
      <c r="F328" s="51" t="str">
        <f>Tabla1[[#This Row],[material]]</f>
        <v>PVC</v>
      </c>
      <c r="G32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328" s="52" t="str">
        <f>IF(Tabla1[[#This Row],[5]]="TPD",Tabla1[[#This Row],[6]],"")</f>
        <v/>
      </c>
      <c r="I328" s="52" t="str">
        <f>IF(OR(Tabla1[[#This Row],[5]]="TPD"),Tabla1[[#This Row],[7]],"")</f>
        <v/>
      </c>
      <c r="J328" s="52">
        <f>IF(Tabla15[[#This Row],[2]]="",0,VLOOKUP(TRAMOS!$H$2,Tabla5[#All],3,FALSE)*Tabla15[[#This Row],[3]])</f>
        <v>0</v>
      </c>
      <c r="K328" s="52" t="str">
        <f>IF(Tabla1[[#This Row],[5]]="TPL",Tabla1[[#This Row],[6]],"")</f>
        <v>2"</v>
      </c>
      <c r="L328" s="52">
        <f>IF(OR(Tabla1[[#This Row],[5]]="TPL"),Tabla1[[#This Row],[7]],"")</f>
        <v>1</v>
      </c>
      <c r="M328" s="52">
        <f>IF(Tabla15[[#This Row],[5]]="",0,VLOOKUP(TRAMOS!$K$2,Tabla5[#All],3,FALSE)*Tabla15[[#This Row],[6]])</f>
        <v>0.9</v>
      </c>
      <c r="N32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2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28" s="52">
        <f>IF(Tabla15[[#This Row],[8]]="",0,VLOOKUP(TRAMOS!$H$2,Tabla5[#All],3,FALSE)*Tabla15[[#This Row],[9]])</f>
        <v>0</v>
      </c>
      <c r="Q32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2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28" s="52">
        <f>IF(Tabla15[[#This Row],[11]]="",0,VLOOKUP(TRAMOS!$Q$2,Tabla5[#All],3,FALSE)*Tabla15[[#This Row],[12]])</f>
        <v>0</v>
      </c>
      <c r="T32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2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2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2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2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2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2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2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28" s="52">
        <f>IF(Tabla15[[#This Row],[20]]="",0,VLOOKUP("VRP",Tabla5[#All],3,FALSE)*Tabla15[[#This Row],[21]])</f>
        <v>0</v>
      </c>
      <c r="AC32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2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28" s="52">
        <f>IF(Tabla15[[#This Row],[23]]="",0,VLOOKUP("VC",Tabla5[#All],3,FALSE)*Tabla15[[#This Row],[24]])</f>
        <v>0</v>
      </c>
      <c r="AF32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2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28" s="52">
        <f>IF(Tabla15[[#This Row],[26]]="",0,VLOOKUP(TRAMOS!$K$2,Tabla5[#All],3,FALSE)*Tabla15[[#This Row],[27]])</f>
        <v>0</v>
      </c>
      <c r="AI32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2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2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2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2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328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32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329" spans="2:41" x14ac:dyDescent="0.25">
      <c r="B329" s="58" t="str">
        <f>Tabla1[[#This Row],[nudo inicial]]</f>
        <v>N168</v>
      </c>
      <c r="C329" s="58" t="str">
        <f>Tabla1[[#This Row],[nudo final]]</f>
        <v>TP127</v>
      </c>
      <c r="D329" s="51">
        <f>Tabla1[[#This Row],[longitud]]</f>
        <v>95.48</v>
      </c>
      <c r="E329" s="51" t="str">
        <f>Tabla1[[#This Row],[diametro]]</f>
        <v>2"</v>
      </c>
      <c r="F329" s="51" t="str">
        <f>Tabla1[[#This Row],[material]]</f>
        <v>PVC</v>
      </c>
      <c r="G32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329" s="52" t="str">
        <f>IF(Tabla1[[#This Row],[5]]="TPD",Tabla1[[#This Row],[6]],"")</f>
        <v>2"</v>
      </c>
      <c r="I329" s="52">
        <f>IF(OR(Tabla1[[#This Row],[5]]="TPD"),Tabla1[[#This Row],[7]],"")</f>
        <v>1</v>
      </c>
      <c r="J329" s="52">
        <f>IF(Tabla15[[#This Row],[2]]="",0,VLOOKUP(TRAMOS!$H$2,Tabla5[#All],3,FALSE)*Tabla15[[#This Row],[3]])</f>
        <v>0.15</v>
      </c>
      <c r="K329" s="52" t="str">
        <f>IF(Tabla1[[#This Row],[5]]="TPL",Tabla1[[#This Row],[6]],"")</f>
        <v/>
      </c>
      <c r="L329" s="52" t="str">
        <f>IF(OR(Tabla1[[#This Row],[5]]="TPL"),Tabla1[[#This Row],[7]],"")</f>
        <v/>
      </c>
      <c r="M329" s="52">
        <f>IF(Tabla15[[#This Row],[5]]="",0,VLOOKUP(TRAMOS!$K$2,Tabla5[#All],3,FALSE)*Tabla15[[#This Row],[6]])</f>
        <v>0</v>
      </c>
      <c r="N32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2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29" s="52">
        <f>IF(Tabla15[[#This Row],[8]]="",0,VLOOKUP(TRAMOS!$H$2,Tabla5[#All],3,FALSE)*Tabla15[[#This Row],[9]])</f>
        <v>0</v>
      </c>
      <c r="Q32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329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329" s="52">
        <f>IF(Tabla15[[#This Row],[11]]="",0,VLOOKUP(TRAMOS!$Q$2,Tabla5[#All],3,FALSE)*Tabla15[[#This Row],[12]])</f>
        <v>0.9</v>
      </c>
      <c r="T32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2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2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2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2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2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2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2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29" s="52">
        <f>IF(Tabla15[[#This Row],[20]]="",0,VLOOKUP("VRP",Tabla5[#All],3,FALSE)*Tabla15[[#This Row],[21]])</f>
        <v>0</v>
      </c>
      <c r="AC32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2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29" s="52">
        <f>IF(Tabla15[[#This Row],[23]]="",0,VLOOKUP("VC",Tabla5[#All],3,FALSE)*Tabla15[[#This Row],[24]])</f>
        <v>0</v>
      </c>
      <c r="AF32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2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29" s="52">
        <f>IF(Tabla15[[#This Row],[26]]="",0,VLOOKUP(TRAMOS!$K$2,Tabla5[#All],3,FALSE)*Tabla15[[#This Row],[27]])</f>
        <v>0</v>
      </c>
      <c r="AI32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2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2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2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2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329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32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330" spans="2:41" x14ac:dyDescent="0.25">
      <c r="B330" s="58" t="str">
        <f>Tabla1[[#This Row],[nudo inicial]]</f>
        <v>N135</v>
      </c>
      <c r="C330" s="58" t="str">
        <f>Tabla1[[#This Row],[nudo final]]</f>
        <v>N169</v>
      </c>
      <c r="D330" s="51">
        <f>Tabla1[[#This Row],[longitud]]</f>
        <v>3.5</v>
      </c>
      <c r="E330" s="51" t="str">
        <f>Tabla1[[#This Row],[diametro]]</f>
        <v>3"</v>
      </c>
      <c r="F330" s="51" t="str">
        <f>Tabla1[[#This Row],[material]]</f>
        <v>PVC</v>
      </c>
      <c r="G33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330" s="52" t="str">
        <f>IF(Tabla1[[#This Row],[5]]="TPD",Tabla1[[#This Row],[6]],"")</f>
        <v>3"</v>
      </c>
      <c r="I330" s="52">
        <f>IF(OR(Tabla1[[#This Row],[5]]="TPD"),Tabla1[[#This Row],[7]],"")</f>
        <v>1</v>
      </c>
      <c r="J330" s="52">
        <f>IF(Tabla15[[#This Row],[2]]="",0,VLOOKUP(TRAMOS!$H$2,Tabla5[#All],3,FALSE)*Tabla15[[#This Row],[3]])</f>
        <v>0.15</v>
      </c>
      <c r="K330" s="52" t="str">
        <f>IF(Tabla1[[#This Row],[5]]="TPL",Tabla1[[#This Row],[6]],"")</f>
        <v/>
      </c>
      <c r="L330" s="52" t="str">
        <f>IF(OR(Tabla1[[#This Row],[5]]="TPL"),Tabla1[[#This Row],[7]],"")</f>
        <v/>
      </c>
      <c r="M330" s="52">
        <f>IF(Tabla15[[#This Row],[5]]="",0,VLOOKUP(TRAMOS!$K$2,Tabla5[#All],3,FALSE)*Tabla15[[#This Row],[6]])</f>
        <v>0</v>
      </c>
      <c r="N33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3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30" s="52">
        <f>IF(Tabla15[[#This Row],[8]]="",0,VLOOKUP(TRAMOS!$H$2,Tabla5[#All],3,FALSE)*Tabla15[[#This Row],[9]])</f>
        <v>0</v>
      </c>
      <c r="Q33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3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30" s="52">
        <f>IF(Tabla15[[#This Row],[11]]="",0,VLOOKUP(TRAMOS!$Q$2,Tabla5[#All],3,FALSE)*Tabla15[[#This Row],[12]])</f>
        <v>0</v>
      </c>
      <c r="T33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3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3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3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3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3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3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3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30" s="52">
        <f>IF(Tabla15[[#This Row],[20]]="",0,VLOOKUP("VRP",Tabla5[#All],3,FALSE)*Tabla15[[#This Row],[21]])</f>
        <v>0</v>
      </c>
      <c r="AC33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3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30" s="52">
        <f>IF(Tabla15[[#This Row],[23]]="",0,VLOOKUP("VC",Tabla5[#All],3,FALSE)*Tabla15[[#This Row],[24]])</f>
        <v>0</v>
      </c>
      <c r="AF33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3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30" s="52">
        <f>IF(Tabla15[[#This Row],[26]]="",0,VLOOKUP(TRAMOS!$K$2,Tabla5[#All],3,FALSE)*Tabla15[[#This Row],[27]])</f>
        <v>0</v>
      </c>
      <c r="AI33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3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3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3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3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3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3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331" spans="2:41" x14ac:dyDescent="0.25">
      <c r="B331" s="58" t="str">
        <f>Tabla1[[#This Row],[nudo inicial]]</f>
        <v>T.PROGRESO2</v>
      </c>
      <c r="C331" s="58" t="str">
        <f>Tabla1[[#This Row],[nudo final]]</f>
        <v>N170</v>
      </c>
      <c r="D331" s="51">
        <f>Tabla1[[#This Row],[longitud]]</f>
        <v>75.430000000000007</v>
      </c>
      <c r="E331" s="51" t="str">
        <f>Tabla1[[#This Row],[diametro]]</f>
        <v>2"</v>
      </c>
      <c r="F331" s="51" t="str">
        <f>Tabla1[[#This Row],[material]]</f>
        <v>PVC</v>
      </c>
      <c r="G33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331" s="52" t="str">
        <f>IF(Tabla1[[#This Row],[5]]="TPD",Tabla1[[#This Row],[6]],"")</f>
        <v/>
      </c>
      <c r="I331" s="52" t="str">
        <f>IF(OR(Tabla1[[#This Row],[5]]="TPD"),Tabla1[[#This Row],[7]],"")</f>
        <v/>
      </c>
      <c r="J331" s="52">
        <f>IF(Tabla15[[#This Row],[2]]="",0,VLOOKUP(TRAMOS!$H$2,Tabla5[#All],3,FALSE)*Tabla15[[#This Row],[3]])</f>
        <v>0</v>
      </c>
      <c r="K331" s="52" t="str">
        <f>IF(Tabla1[[#This Row],[5]]="TPL",Tabla1[[#This Row],[6]],"")</f>
        <v/>
      </c>
      <c r="L331" s="52" t="str">
        <f>IF(OR(Tabla1[[#This Row],[5]]="TPL"),Tabla1[[#This Row],[7]],"")</f>
        <v/>
      </c>
      <c r="M331" s="52">
        <f>IF(Tabla15[[#This Row],[5]]="",0,VLOOKUP(TRAMOS!$K$2,Tabla5[#All],3,FALSE)*Tabla15[[#This Row],[6]])</f>
        <v>0</v>
      </c>
      <c r="N33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3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31" s="52">
        <f>IF(Tabla15[[#This Row],[8]]="",0,VLOOKUP(TRAMOS!$H$2,Tabla5[#All],3,FALSE)*Tabla15[[#This Row],[9]])</f>
        <v>0</v>
      </c>
      <c r="Q33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331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2</v>
      </c>
      <c r="S331" s="52">
        <f>IF(Tabla15[[#This Row],[11]]="",0,VLOOKUP(TRAMOS!$Q$2,Tabla5[#All],3,FALSE)*Tabla15[[#This Row],[12]])</f>
        <v>1.8</v>
      </c>
      <c r="T33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3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3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3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3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3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3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3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31" s="52">
        <f>IF(Tabla15[[#This Row],[20]]="",0,VLOOKUP("VRP",Tabla5[#All],3,FALSE)*Tabla15[[#This Row],[21]])</f>
        <v>0</v>
      </c>
      <c r="AC33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3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31" s="52">
        <f>IF(Tabla15[[#This Row],[23]]="",0,VLOOKUP("VC",Tabla5[#All],3,FALSE)*Tabla15[[#This Row],[24]])</f>
        <v>0</v>
      </c>
      <c r="AF33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3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31" s="52">
        <f>IF(Tabla15[[#This Row],[26]]="",0,VLOOKUP(TRAMOS!$K$2,Tabla5[#All],3,FALSE)*Tabla15[[#This Row],[27]])</f>
        <v>0</v>
      </c>
      <c r="AI33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3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3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3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3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3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3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1.8</v>
      </c>
    </row>
    <row r="332" spans="2:41" x14ac:dyDescent="0.25">
      <c r="B332" s="58" t="str">
        <f>Tabla1[[#This Row],[nudo inicial]]</f>
        <v>N170</v>
      </c>
      <c r="C332" s="58" t="str">
        <f>Tabla1[[#This Row],[nudo final]]</f>
        <v>TP128</v>
      </c>
      <c r="D332" s="51">
        <f>Tabla1[[#This Row],[longitud]]</f>
        <v>36.94</v>
      </c>
      <c r="E332" s="51" t="str">
        <f>Tabla1[[#This Row],[diametro]]</f>
        <v>2"</v>
      </c>
      <c r="F332" s="51" t="str">
        <f>Tabla1[[#This Row],[material]]</f>
        <v>PVC</v>
      </c>
      <c r="G33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332" s="52" t="str">
        <f>IF(Tabla1[[#This Row],[5]]="TPD",Tabla1[[#This Row],[6]],"")</f>
        <v/>
      </c>
      <c r="I332" s="52" t="str">
        <f>IF(OR(Tabla1[[#This Row],[5]]="TPD"),Tabla1[[#This Row],[7]],"")</f>
        <v/>
      </c>
      <c r="J332" s="52">
        <f>IF(Tabla15[[#This Row],[2]]="",0,VLOOKUP(TRAMOS!$H$2,Tabla5[#All],3,FALSE)*Tabla15[[#This Row],[3]])</f>
        <v>0</v>
      </c>
      <c r="K332" s="52" t="str">
        <f>IF(Tabla1[[#This Row],[5]]="TPL",Tabla1[[#This Row],[6]],"")</f>
        <v>2"</v>
      </c>
      <c r="L332" s="52">
        <f>IF(OR(Tabla1[[#This Row],[5]]="TPL"),Tabla1[[#This Row],[7]],"")</f>
        <v>1</v>
      </c>
      <c r="M332" s="52">
        <f>IF(Tabla15[[#This Row],[5]]="",0,VLOOKUP(TRAMOS!$K$2,Tabla5[#All],3,FALSE)*Tabla15[[#This Row],[6]])</f>
        <v>0.9</v>
      </c>
      <c r="N33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3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32" s="52">
        <f>IF(Tabla15[[#This Row],[8]]="",0,VLOOKUP(TRAMOS!$H$2,Tabla5[#All],3,FALSE)*Tabla15[[#This Row],[9]])</f>
        <v>0</v>
      </c>
      <c r="Q33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3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32" s="52">
        <f>IF(Tabla15[[#This Row],[11]]="",0,VLOOKUP(TRAMOS!$Q$2,Tabla5[#All],3,FALSE)*Tabla15[[#This Row],[12]])</f>
        <v>0</v>
      </c>
      <c r="T33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3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3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3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3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3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3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3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32" s="52">
        <f>IF(Tabla15[[#This Row],[20]]="",0,VLOOKUP("VRP",Tabla5[#All],3,FALSE)*Tabla15[[#This Row],[21]])</f>
        <v>0</v>
      </c>
      <c r="AC33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3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32" s="52">
        <f>IF(Tabla15[[#This Row],[23]]="",0,VLOOKUP("VC",Tabla5[#All],3,FALSE)*Tabla15[[#This Row],[24]])</f>
        <v>0</v>
      </c>
      <c r="AF33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3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32" s="52">
        <f>IF(Tabla15[[#This Row],[26]]="",0,VLOOKUP(TRAMOS!$K$2,Tabla5[#All],3,FALSE)*Tabla15[[#This Row],[27]])</f>
        <v>0</v>
      </c>
      <c r="AI33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3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3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3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3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332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0</v>
      </c>
      <c r="AO33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333" spans="2:41" x14ac:dyDescent="0.25">
      <c r="B333" s="58" t="str">
        <f>Tabla1[[#This Row],[nudo inicial]]</f>
        <v>N170</v>
      </c>
      <c r="C333" s="58" t="str">
        <f>Tabla1[[#This Row],[nudo final]]</f>
        <v>N171</v>
      </c>
      <c r="D333" s="51">
        <f>Tabla1[[#This Row],[longitud]]</f>
        <v>106</v>
      </c>
      <c r="E333" s="51" t="str">
        <f>Tabla1[[#This Row],[diametro]]</f>
        <v>1 1/2"</v>
      </c>
      <c r="F333" s="51" t="str">
        <f>Tabla1[[#This Row],[material]]</f>
        <v>PVC</v>
      </c>
      <c r="G33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333" s="52" t="str">
        <f>IF(Tabla1[[#This Row],[5]]="TPD",Tabla1[[#This Row],[6]],"")</f>
        <v>2"</v>
      </c>
      <c r="I333" s="52">
        <f>IF(OR(Tabla1[[#This Row],[5]]="TPD"),Tabla1[[#This Row],[7]],"")</f>
        <v>1</v>
      </c>
      <c r="J333" s="52">
        <f>IF(Tabla15[[#This Row],[2]]="",0,VLOOKUP(TRAMOS!$H$2,Tabla5[#All],3,FALSE)*Tabla15[[#This Row],[3]])</f>
        <v>0.15</v>
      </c>
      <c r="K333" s="52" t="str">
        <f>IF(Tabla1[[#This Row],[5]]="TPL",Tabla1[[#This Row],[6]],"")</f>
        <v/>
      </c>
      <c r="L333" s="52" t="str">
        <f>IF(OR(Tabla1[[#This Row],[5]]="TPL"),Tabla1[[#This Row],[7]],"")</f>
        <v/>
      </c>
      <c r="M333" s="52">
        <f>IF(Tabla15[[#This Row],[5]]="",0,VLOOKUP(TRAMOS!$K$2,Tabla5[#All],3,FALSE)*Tabla15[[#This Row],[6]])</f>
        <v>0</v>
      </c>
      <c r="N33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3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33" s="52">
        <f>IF(Tabla15[[#This Row],[8]]="",0,VLOOKUP(TRAMOS!$H$2,Tabla5[#All],3,FALSE)*Tabla15[[#This Row],[9]])</f>
        <v>0</v>
      </c>
      <c r="Q33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3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33" s="52">
        <f>IF(Tabla15[[#This Row],[11]]="",0,VLOOKUP(TRAMOS!$Q$2,Tabla5[#All],3,FALSE)*Tabla15[[#This Row],[12]])</f>
        <v>0</v>
      </c>
      <c r="T33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 1/2"</v>
      </c>
      <c r="U333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33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0.13850000000000007</v>
      </c>
      <c r="W33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3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3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3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3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33" s="52">
        <f>IF(Tabla15[[#This Row],[20]]="",0,VLOOKUP("VRP",Tabla5[#All],3,FALSE)*Tabla15[[#This Row],[21]])</f>
        <v>0</v>
      </c>
      <c r="AC33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3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33" s="52">
        <f>IF(Tabla15[[#This Row],[23]]="",0,VLOOKUP("VC",Tabla5[#All],3,FALSE)*Tabla15[[#This Row],[24]])</f>
        <v>0</v>
      </c>
      <c r="AF33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3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33" s="52">
        <f>IF(Tabla15[[#This Row],[26]]="",0,VLOOKUP(TRAMOS!$K$2,Tabla5[#All],3,FALSE)*Tabla15[[#This Row],[27]])</f>
        <v>0</v>
      </c>
      <c r="AI33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3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3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3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3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3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3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0.28850000000000009</v>
      </c>
    </row>
    <row r="334" spans="2:41" x14ac:dyDescent="0.25">
      <c r="B334" s="58" t="str">
        <f>Tabla1[[#This Row],[nudo inicial]]</f>
        <v>N171</v>
      </c>
      <c r="C334" s="58" t="str">
        <f>Tabla1[[#This Row],[nudo final]]</f>
        <v>TP129</v>
      </c>
      <c r="D334" s="51">
        <f>Tabla1[[#This Row],[longitud]]</f>
        <v>107.63</v>
      </c>
      <c r="E334" s="51" t="str">
        <f>Tabla1[[#This Row],[diametro]]</f>
        <v>1 1/2"</v>
      </c>
      <c r="F334" s="51" t="str">
        <f>Tabla1[[#This Row],[material]]</f>
        <v>PVC</v>
      </c>
      <c r="G33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 1/2"</v>
      </c>
      <c r="H334" s="52" t="str">
        <f>IF(Tabla1[[#This Row],[5]]="TPD",Tabla1[[#This Row],[6]],"")</f>
        <v>1 1/2"</v>
      </c>
      <c r="I334" s="52">
        <f>IF(OR(Tabla1[[#This Row],[5]]="TPD"),Tabla1[[#This Row],[7]],"")</f>
        <v>1</v>
      </c>
      <c r="J334" s="52">
        <f>IF(Tabla15[[#This Row],[2]]="",0,VLOOKUP(TRAMOS!$H$2,Tabla5[#All],3,FALSE)*Tabla15[[#This Row],[3]])</f>
        <v>0.15</v>
      </c>
      <c r="K334" s="52" t="str">
        <f>IF(Tabla1[[#This Row],[5]]="TPL",Tabla1[[#This Row],[6]],"")</f>
        <v/>
      </c>
      <c r="L334" s="52" t="str">
        <f>IF(OR(Tabla1[[#This Row],[5]]="TPL"),Tabla1[[#This Row],[7]],"")</f>
        <v/>
      </c>
      <c r="M334" s="52">
        <f>IF(Tabla15[[#This Row],[5]]="",0,VLOOKUP(TRAMOS!$K$2,Tabla5[#All],3,FALSE)*Tabla15[[#This Row],[6]])</f>
        <v>0</v>
      </c>
      <c r="N33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3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34" s="52">
        <f>IF(Tabla15[[#This Row],[8]]="",0,VLOOKUP(TRAMOS!$H$2,Tabla5[#All],3,FALSE)*Tabla15[[#This Row],[9]])</f>
        <v>0</v>
      </c>
      <c r="Q33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3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34" s="52">
        <f>IF(Tabla15[[#This Row],[11]]="",0,VLOOKUP(TRAMOS!$Q$2,Tabla5[#All],3,FALSE)*Tabla15[[#This Row],[12]])</f>
        <v>0</v>
      </c>
      <c r="T33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3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3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3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3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3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3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3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34" s="52">
        <f>IF(Tabla15[[#This Row],[20]]="",0,VLOOKUP("VRP",Tabla5[#All],3,FALSE)*Tabla15[[#This Row],[21]])</f>
        <v>0</v>
      </c>
      <c r="AC33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3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34" s="52">
        <f>IF(Tabla15[[#This Row],[23]]="",0,VLOOKUP("VC",Tabla5[#All],3,FALSE)*Tabla15[[#This Row],[24]])</f>
        <v>0</v>
      </c>
      <c r="AF33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3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34" s="52">
        <f>IF(Tabla15[[#This Row],[26]]="",0,VLOOKUP(TRAMOS!$K$2,Tabla5[#All],3,FALSE)*Tabla15[[#This Row],[27]])</f>
        <v>0</v>
      </c>
      <c r="AI33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3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3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3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3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 1/2"</v>
      </c>
      <c r="AN334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33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335" spans="2:41" x14ac:dyDescent="0.25">
      <c r="B335" s="58" t="str">
        <f>Tabla1[[#This Row],[nudo inicial]]</f>
        <v>N171</v>
      </c>
      <c r="C335" s="58" t="str">
        <f>Tabla1[[#This Row],[nudo final]]</f>
        <v>N172</v>
      </c>
      <c r="D335" s="51">
        <f>Tabla1[[#This Row],[longitud]]</f>
        <v>51</v>
      </c>
      <c r="E335" s="51" t="str">
        <f>Tabla1[[#This Row],[diametro]]</f>
        <v>1 1/2"</v>
      </c>
      <c r="F335" s="51" t="str">
        <f>Tabla1[[#This Row],[material]]</f>
        <v>PVC</v>
      </c>
      <c r="G33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 1/2"</v>
      </c>
      <c r="H335" s="52" t="str">
        <f>IF(Tabla1[[#This Row],[5]]="TPD",Tabla1[[#This Row],[6]],"")</f>
        <v/>
      </c>
      <c r="I335" s="52" t="str">
        <f>IF(OR(Tabla1[[#This Row],[5]]="TPD"),Tabla1[[#This Row],[7]],"")</f>
        <v/>
      </c>
      <c r="J335" s="52">
        <f>IF(Tabla15[[#This Row],[2]]="",0,VLOOKUP(TRAMOS!$H$2,Tabla5[#All],3,FALSE)*Tabla15[[#This Row],[3]])</f>
        <v>0</v>
      </c>
      <c r="K335" s="52" t="str">
        <f>IF(Tabla1[[#This Row],[5]]="TPL",Tabla1[[#This Row],[6]],"")</f>
        <v>1 1/2"</v>
      </c>
      <c r="L335" s="52">
        <f>IF(OR(Tabla1[[#This Row],[5]]="TPL"),Tabla1[[#This Row],[7]],"")</f>
        <v>1</v>
      </c>
      <c r="M335" s="52">
        <f>IF(Tabla15[[#This Row],[5]]="",0,VLOOKUP(TRAMOS!$K$2,Tabla5[#All],3,FALSE)*Tabla15[[#This Row],[6]])</f>
        <v>0.9</v>
      </c>
      <c r="N33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3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35" s="52">
        <f>IF(Tabla15[[#This Row],[8]]="",0,VLOOKUP(TRAMOS!$H$2,Tabla5[#All],3,FALSE)*Tabla15[[#This Row],[9]])</f>
        <v>0</v>
      </c>
      <c r="Q33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3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35" s="52">
        <f>IF(Tabla15[[#This Row],[11]]="",0,VLOOKUP(TRAMOS!$Q$2,Tabla5[#All],3,FALSE)*Tabla15[[#This Row],[12]])</f>
        <v>0</v>
      </c>
      <c r="T33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3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3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3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>2"</v>
      </c>
      <c r="X335" s="52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>1</v>
      </c>
      <c r="Y33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0.4740000000000002</v>
      </c>
      <c r="Z33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3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35" s="52">
        <f>IF(Tabla15[[#This Row],[20]]="",0,VLOOKUP("VRP",Tabla5[#All],3,FALSE)*Tabla15[[#This Row],[21]])</f>
        <v>0</v>
      </c>
      <c r="AC33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3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35" s="52">
        <f>IF(Tabla15[[#This Row],[23]]="",0,VLOOKUP("VC",Tabla5[#All],3,FALSE)*Tabla15[[#This Row],[24]])</f>
        <v>0</v>
      </c>
      <c r="AF33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3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35" s="52">
        <f>IF(Tabla15[[#This Row],[26]]="",0,VLOOKUP(TRAMOS!$K$2,Tabla5[#All],3,FALSE)*Tabla15[[#This Row],[27]])</f>
        <v>0</v>
      </c>
      <c r="AI33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3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3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3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3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3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3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1.3740000000000001</v>
      </c>
    </row>
    <row r="336" spans="2:41" x14ac:dyDescent="0.25">
      <c r="B336" s="58" t="str">
        <f>Tabla1[[#This Row],[nudo inicial]]</f>
        <v>N172</v>
      </c>
      <c r="C336" s="58" t="str">
        <f>Tabla1[[#This Row],[nudo final]]</f>
        <v>TP130</v>
      </c>
      <c r="D336" s="51">
        <f>Tabla1[[#This Row],[longitud]]</f>
        <v>56.01</v>
      </c>
      <c r="E336" s="51" t="str">
        <f>Tabla1[[#This Row],[diametro]]</f>
        <v>2"</v>
      </c>
      <c r="F336" s="51" t="str">
        <f>Tabla1[[#This Row],[material]]</f>
        <v>PVC</v>
      </c>
      <c r="G33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336" s="52" t="str">
        <f>IF(Tabla1[[#This Row],[5]]="TPD",Tabla1[[#This Row],[6]],"")</f>
        <v/>
      </c>
      <c r="I336" s="52" t="str">
        <f>IF(OR(Tabla1[[#This Row],[5]]="TPD"),Tabla1[[#This Row],[7]],"")</f>
        <v/>
      </c>
      <c r="J336" s="52">
        <f>IF(Tabla15[[#This Row],[2]]="",0,VLOOKUP(TRAMOS!$H$2,Tabla5[#All],3,FALSE)*Tabla15[[#This Row],[3]])</f>
        <v>0</v>
      </c>
      <c r="K336" s="52" t="str">
        <f>IF(Tabla1[[#This Row],[5]]="TPL",Tabla1[[#This Row],[6]],"")</f>
        <v>2"</v>
      </c>
      <c r="L336" s="52">
        <f>IF(OR(Tabla1[[#This Row],[5]]="TPL"),Tabla1[[#This Row],[7]],"")</f>
        <v>1</v>
      </c>
      <c r="M336" s="52">
        <f>IF(Tabla15[[#This Row],[5]]="",0,VLOOKUP(TRAMOS!$K$2,Tabla5[#All],3,FALSE)*Tabla15[[#This Row],[6]])</f>
        <v>0.9</v>
      </c>
      <c r="N33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3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36" s="52">
        <f>IF(Tabla15[[#This Row],[8]]="",0,VLOOKUP(TRAMOS!$H$2,Tabla5[#All],3,FALSE)*Tabla15[[#This Row],[9]])</f>
        <v>0</v>
      </c>
      <c r="Q33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3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36" s="52">
        <f>IF(Tabla15[[#This Row],[11]]="",0,VLOOKUP(TRAMOS!$Q$2,Tabla5[#All],3,FALSE)*Tabla15[[#This Row],[12]])</f>
        <v>0</v>
      </c>
      <c r="T33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3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3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3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3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3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3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3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36" s="52">
        <f>IF(Tabla15[[#This Row],[20]]="",0,VLOOKUP("VRP",Tabla5[#All],3,FALSE)*Tabla15[[#This Row],[21]])</f>
        <v>0</v>
      </c>
      <c r="AC33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3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36" s="52">
        <f>IF(Tabla15[[#This Row],[23]]="",0,VLOOKUP("VC",Tabla5[#All],3,FALSE)*Tabla15[[#This Row],[24]])</f>
        <v>0</v>
      </c>
      <c r="AF33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3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36" s="52">
        <f>IF(Tabla15[[#This Row],[26]]="",0,VLOOKUP(TRAMOS!$K$2,Tabla5[#All],3,FALSE)*Tabla15[[#This Row],[27]])</f>
        <v>0</v>
      </c>
      <c r="AI33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3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3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3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3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33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33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337" spans="2:41" x14ac:dyDescent="0.25">
      <c r="B337" s="58" t="str">
        <f>Tabla1[[#This Row],[nudo inicial]]</f>
        <v>N172</v>
      </c>
      <c r="C337" s="58" t="str">
        <f>Tabla1[[#This Row],[nudo final]]</f>
        <v>N173</v>
      </c>
      <c r="D337" s="51">
        <f>Tabla1[[#This Row],[longitud]]</f>
        <v>41.98</v>
      </c>
      <c r="E337" s="51" t="str">
        <f>Tabla1[[#This Row],[diametro]]</f>
        <v>2"</v>
      </c>
      <c r="F337" s="51" t="str">
        <f>Tabla1[[#This Row],[material]]</f>
        <v>PVC</v>
      </c>
      <c r="G33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337" s="52" t="str">
        <f>IF(Tabla1[[#This Row],[5]]="TPD",Tabla1[[#This Row],[6]],"")</f>
        <v/>
      </c>
      <c r="I337" s="52" t="str">
        <f>IF(OR(Tabla1[[#This Row],[5]]="TPD"),Tabla1[[#This Row],[7]],"")</f>
        <v/>
      </c>
      <c r="J337" s="52">
        <f>IF(Tabla15[[#This Row],[2]]="",0,VLOOKUP(TRAMOS!$H$2,Tabla5[#All],3,FALSE)*Tabla15[[#This Row],[3]])</f>
        <v>0</v>
      </c>
      <c r="K337" s="52" t="str">
        <f>IF(Tabla1[[#This Row],[5]]="TPL",Tabla1[[#This Row],[6]],"")</f>
        <v>2"</v>
      </c>
      <c r="L337" s="52">
        <f>IF(OR(Tabla1[[#This Row],[5]]="TPL"),Tabla1[[#This Row],[7]],"")</f>
        <v>1</v>
      </c>
      <c r="M337" s="52">
        <f>IF(Tabla15[[#This Row],[5]]="",0,VLOOKUP(TRAMOS!$K$2,Tabla5[#All],3,FALSE)*Tabla15[[#This Row],[6]])</f>
        <v>0.9</v>
      </c>
      <c r="N33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3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37" s="52">
        <f>IF(Tabla15[[#This Row],[8]]="",0,VLOOKUP(TRAMOS!$H$2,Tabla5[#All],3,FALSE)*Tabla15[[#This Row],[9]])</f>
        <v>0</v>
      </c>
      <c r="Q33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3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37" s="52">
        <f>IF(Tabla15[[#This Row],[11]]="",0,VLOOKUP(TRAMOS!$Q$2,Tabla5[#All],3,FALSE)*Tabla15[[#This Row],[12]])</f>
        <v>0</v>
      </c>
      <c r="T33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3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3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3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3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3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3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3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37" s="52">
        <f>IF(Tabla15[[#This Row],[20]]="",0,VLOOKUP("VRP",Tabla5[#All],3,FALSE)*Tabla15[[#This Row],[21]])</f>
        <v>0</v>
      </c>
      <c r="AC33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3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37" s="52">
        <f>IF(Tabla15[[#This Row],[23]]="",0,VLOOKUP("VC",Tabla5[#All],3,FALSE)*Tabla15[[#This Row],[24]])</f>
        <v>0</v>
      </c>
      <c r="AF33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3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37" s="52">
        <f>IF(Tabla15[[#This Row],[26]]="",0,VLOOKUP(TRAMOS!$K$2,Tabla5[#All],3,FALSE)*Tabla15[[#This Row],[27]])</f>
        <v>0</v>
      </c>
      <c r="AI33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3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3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3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3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3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3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338" spans="2:41" x14ac:dyDescent="0.25">
      <c r="B338" s="58" t="str">
        <f>Tabla1[[#This Row],[nudo inicial]]</f>
        <v>N173</v>
      </c>
      <c r="C338" s="58" t="str">
        <f>Tabla1[[#This Row],[nudo final]]</f>
        <v>TP131</v>
      </c>
      <c r="D338" s="51">
        <f>Tabla1[[#This Row],[longitud]]</f>
        <v>21.55</v>
      </c>
      <c r="E338" s="51" t="str">
        <f>Tabla1[[#This Row],[diametro]]</f>
        <v>1 1/2"</v>
      </c>
      <c r="F338" s="51" t="str">
        <f>Tabla1[[#This Row],[material]]</f>
        <v>PVC</v>
      </c>
      <c r="G33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338" s="52" t="str">
        <f>IF(Tabla1[[#This Row],[5]]="TPD",Tabla1[[#This Row],[6]],"")</f>
        <v>2"</v>
      </c>
      <c r="I338" s="52">
        <f>IF(OR(Tabla1[[#This Row],[5]]="TPD"),Tabla1[[#This Row],[7]],"")</f>
        <v>1</v>
      </c>
      <c r="J338" s="52">
        <f>IF(Tabla15[[#This Row],[2]]="",0,VLOOKUP(TRAMOS!$H$2,Tabla5[#All],3,FALSE)*Tabla15[[#This Row],[3]])</f>
        <v>0.15</v>
      </c>
      <c r="K338" s="52" t="str">
        <f>IF(Tabla1[[#This Row],[5]]="TPL",Tabla1[[#This Row],[6]],"")</f>
        <v/>
      </c>
      <c r="L338" s="52" t="str">
        <f>IF(OR(Tabla1[[#This Row],[5]]="TPL"),Tabla1[[#This Row],[7]],"")</f>
        <v/>
      </c>
      <c r="M338" s="52">
        <f>IF(Tabla15[[#This Row],[5]]="",0,VLOOKUP(TRAMOS!$K$2,Tabla5[#All],3,FALSE)*Tabla15[[#This Row],[6]])</f>
        <v>0</v>
      </c>
      <c r="N33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3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38" s="52">
        <f>IF(Tabla15[[#This Row],[8]]="",0,VLOOKUP(TRAMOS!$H$2,Tabla5[#All],3,FALSE)*Tabla15[[#This Row],[9]])</f>
        <v>0</v>
      </c>
      <c r="Q33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3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38" s="52">
        <f>IF(Tabla15[[#This Row],[11]]="",0,VLOOKUP(TRAMOS!$Q$2,Tabla5[#All],3,FALSE)*Tabla15[[#This Row],[12]])</f>
        <v>0</v>
      </c>
      <c r="T33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 1/2"</v>
      </c>
      <c r="U338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33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0.13850000000000007</v>
      </c>
      <c r="W33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3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3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3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3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38" s="52">
        <f>IF(Tabla15[[#This Row],[20]]="",0,VLOOKUP("VRP",Tabla5[#All],3,FALSE)*Tabla15[[#This Row],[21]])</f>
        <v>0</v>
      </c>
      <c r="AC33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3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38" s="52">
        <f>IF(Tabla15[[#This Row],[23]]="",0,VLOOKUP("VC",Tabla5[#All],3,FALSE)*Tabla15[[#This Row],[24]])</f>
        <v>0</v>
      </c>
      <c r="AF33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3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38" s="52">
        <f>IF(Tabla15[[#This Row],[26]]="",0,VLOOKUP(TRAMOS!$K$2,Tabla5[#All],3,FALSE)*Tabla15[[#This Row],[27]])</f>
        <v>0</v>
      </c>
      <c r="AI33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3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3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3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3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 1/2"</v>
      </c>
      <c r="AN338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33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0.28850000000000009</v>
      </c>
    </row>
    <row r="339" spans="2:41" x14ac:dyDescent="0.25">
      <c r="B339" s="58" t="str">
        <f>Tabla1[[#This Row],[nudo inicial]]</f>
        <v>N173</v>
      </c>
      <c r="C339" s="58" t="str">
        <f>Tabla1[[#This Row],[nudo final]]</f>
        <v>N174</v>
      </c>
      <c r="D339" s="51">
        <f>Tabla1[[#This Row],[longitud]]</f>
        <v>107.25</v>
      </c>
      <c r="E339" s="51" t="str">
        <f>Tabla1[[#This Row],[diametro]]</f>
        <v>2"</v>
      </c>
      <c r="F339" s="51" t="str">
        <f>Tabla1[[#This Row],[material]]</f>
        <v>PVC</v>
      </c>
      <c r="G33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339" s="52" t="str">
        <f>IF(Tabla1[[#This Row],[5]]="TPD",Tabla1[[#This Row],[6]],"")</f>
        <v/>
      </c>
      <c r="I339" s="52" t="str">
        <f>IF(OR(Tabla1[[#This Row],[5]]="TPD"),Tabla1[[#This Row],[7]],"")</f>
        <v/>
      </c>
      <c r="J339" s="52">
        <f>IF(Tabla15[[#This Row],[2]]="",0,VLOOKUP(TRAMOS!$H$2,Tabla5[#All],3,FALSE)*Tabla15[[#This Row],[3]])</f>
        <v>0</v>
      </c>
      <c r="K339" s="52" t="str">
        <f>IF(Tabla1[[#This Row],[5]]="TPL",Tabla1[[#This Row],[6]],"")</f>
        <v>2"</v>
      </c>
      <c r="L339" s="52">
        <f>IF(OR(Tabla1[[#This Row],[5]]="TPL"),Tabla1[[#This Row],[7]],"")</f>
        <v>1</v>
      </c>
      <c r="M339" s="52">
        <f>IF(Tabla15[[#This Row],[5]]="",0,VLOOKUP(TRAMOS!$K$2,Tabla5[#All],3,FALSE)*Tabla15[[#This Row],[6]])</f>
        <v>0.9</v>
      </c>
      <c r="N33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3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39" s="52">
        <f>IF(Tabla15[[#This Row],[8]]="",0,VLOOKUP(TRAMOS!$H$2,Tabla5[#All],3,FALSE)*Tabla15[[#This Row],[9]])</f>
        <v>0</v>
      </c>
      <c r="Q33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339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339" s="52">
        <f>IF(Tabla15[[#This Row],[11]]="",0,VLOOKUP(TRAMOS!$Q$2,Tabla5[#All],3,FALSE)*Tabla15[[#This Row],[12]])</f>
        <v>0.9</v>
      </c>
      <c r="T33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3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3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3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3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3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3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3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39" s="52">
        <f>IF(Tabla15[[#This Row],[20]]="",0,VLOOKUP("VRP",Tabla5[#All],3,FALSE)*Tabla15[[#This Row],[21]])</f>
        <v>0</v>
      </c>
      <c r="AC33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3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39" s="52">
        <f>IF(Tabla15[[#This Row],[23]]="",0,VLOOKUP("VC",Tabla5[#All],3,FALSE)*Tabla15[[#This Row],[24]])</f>
        <v>0</v>
      </c>
      <c r="AF33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3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39" s="52">
        <f>IF(Tabla15[[#This Row],[26]]="",0,VLOOKUP(TRAMOS!$K$2,Tabla5[#All],3,FALSE)*Tabla15[[#This Row],[27]])</f>
        <v>0</v>
      </c>
      <c r="AI33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3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3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3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3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3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3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1.8</v>
      </c>
    </row>
    <row r="340" spans="2:41" x14ac:dyDescent="0.25">
      <c r="B340" s="58" t="str">
        <f>Tabla1[[#This Row],[nudo inicial]]</f>
        <v>N174</v>
      </c>
      <c r="C340" s="58" t="str">
        <f>Tabla1[[#This Row],[nudo final]]</f>
        <v>N175</v>
      </c>
      <c r="D340" s="51">
        <f>Tabla1[[#This Row],[longitud]]</f>
        <v>70.02</v>
      </c>
      <c r="E340" s="51" t="str">
        <f>Tabla1[[#This Row],[diametro]]</f>
        <v>1 1/2"</v>
      </c>
      <c r="F340" s="51" t="str">
        <f>Tabla1[[#This Row],[material]]</f>
        <v>PVC</v>
      </c>
      <c r="G34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340" s="52" t="str">
        <f>IF(Tabla1[[#This Row],[5]]="TPD",Tabla1[[#This Row],[6]],"")</f>
        <v>2"</v>
      </c>
      <c r="I340" s="52">
        <f>IF(OR(Tabla1[[#This Row],[5]]="TPD"),Tabla1[[#This Row],[7]],"")</f>
        <v>1</v>
      </c>
      <c r="J340" s="52">
        <f>IF(Tabla15[[#This Row],[2]]="",0,VLOOKUP(TRAMOS!$H$2,Tabla5[#All],3,FALSE)*Tabla15[[#This Row],[3]])</f>
        <v>0.15</v>
      </c>
      <c r="K340" s="52" t="str">
        <f>IF(Tabla1[[#This Row],[5]]="TPL",Tabla1[[#This Row],[6]],"")</f>
        <v/>
      </c>
      <c r="L340" s="52" t="str">
        <f>IF(OR(Tabla1[[#This Row],[5]]="TPL"),Tabla1[[#This Row],[7]],"")</f>
        <v/>
      </c>
      <c r="M340" s="52">
        <f>IF(Tabla15[[#This Row],[5]]="",0,VLOOKUP(TRAMOS!$K$2,Tabla5[#All],3,FALSE)*Tabla15[[#This Row],[6]])</f>
        <v>0</v>
      </c>
      <c r="N34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4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40" s="52">
        <f>IF(Tabla15[[#This Row],[8]]="",0,VLOOKUP(TRAMOS!$H$2,Tabla5[#All],3,FALSE)*Tabla15[[#This Row],[9]])</f>
        <v>0</v>
      </c>
      <c r="Q34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4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40" s="52">
        <f>IF(Tabla15[[#This Row],[11]]="",0,VLOOKUP(TRAMOS!$Q$2,Tabla5[#All],3,FALSE)*Tabla15[[#This Row],[12]])</f>
        <v>0</v>
      </c>
      <c r="T34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 1/2"</v>
      </c>
      <c r="U340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34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0.13850000000000007</v>
      </c>
      <c r="W34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4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4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4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4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40" s="52">
        <f>IF(Tabla15[[#This Row],[20]]="",0,VLOOKUP("VRP",Tabla5[#All],3,FALSE)*Tabla15[[#This Row],[21]])</f>
        <v>0</v>
      </c>
      <c r="AC34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4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40" s="52">
        <f>IF(Tabla15[[#This Row],[23]]="",0,VLOOKUP("VC",Tabla5[#All],3,FALSE)*Tabla15[[#This Row],[24]])</f>
        <v>0</v>
      </c>
      <c r="AF34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4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40" s="52">
        <f>IF(Tabla15[[#This Row],[26]]="",0,VLOOKUP(TRAMOS!$K$2,Tabla5[#All],3,FALSE)*Tabla15[[#This Row],[27]])</f>
        <v>0</v>
      </c>
      <c r="AI34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4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4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4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4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4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4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0.28850000000000009</v>
      </c>
    </row>
    <row r="341" spans="2:41" x14ac:dyDescent="0.25">
      <c r="B341" s="58" t="str">
        <f>Tabla1[[#This Row],[nudo inicial]]</f>
        <v>N175</v>
      </c>
      <c r="C341" s="58" t="str">
        <f>Tabla1[[#This Row],[nudo final]]</f>
        <v>TP132</v>
      </c>
      <c r="D341" s="51">
        <f>Tabla1[[#This Row],[longitud]]</f>
        <v>56.24</v>
      </c>
      <c r="E341" s="51" t="str">
        <f>Tabla1[[#This Row],[diametro]]</f>
        <v>1 1/2"</v>
      </c>
      <c r="F341" s="51" t="str">
        <f>Tabla1[[#This Row],[material]]</f>
        <v>PVC</v>
      </c>
      <c r="G34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 1/2"</v>
      </c>
      <c r="H341" s="52" t="str">
        <f>IF(Tabla1[[#This Row],[5]]="TPD",Tabla1[[#This Row],[6]],"")</f>
        <v/>
      </c>
      <c r="I341" s="52" t="str">
        <f>IF(OR(Tabla1[[#This Row],[5]]="TPD"),Tabla1[[#This Row],[7]],"")</f>
        <v/>
      </c>
      <c r="J341" s="52">
        <f>IF(Tabla15[[#This Row],[2]]="",0,VLOOKUP(TRAMOS!$H$2,Tabla5[#All],3,FALSE)*Tabla15[[#This Row],[3]])</f>
        <v>0</v>
      </c>
      <c r="K341" s="52" t="str">
        <f>IF(Tabla1[[#This Row],[5]]="TPL",Tabla1[[#This Row],[6]],"")</f>
        <v>1 1/2"</v>
      </c>
      <c r="L341" s="52">
        <f>IF(OR(Tabla1[[#This Row],[5]]="TPL"),Tabla1[[#This Row],[7]],"")</f>
        <v>1</v>
      </c>
      <c r="M341" s="52">
        <f>IF(Tabla15[[#This Row],[5]]="",0,VLOOKUP(TRAMOS!$K$2,Tabla5[#All],3,FALSE)*Tabla15[[#This Row],[6]])</f>
        <v>0.9</v>
      </c>
      <c r="N34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4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41" s="52">
        <f>IF(Tabla15[[#This Row],[8]]="",0,VLOOKUP(TRAMOS!$H$2,Tabla5[#All],3,FALSE)*Tabla15[[#This Row],[9]])</f>
        <v>0</v>
      </c>
      <c r="Q34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4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41" s="52">
        <f>IF(Tabla15[[#This Row],[11]]="",0,VLOOKUP(TRAMOS!$Q$2,Tabla5[#All],3,FALSE)*Tabla15[[#This Row],[12]])</f>
        <v>0</v>
      </c>
      <c r="T34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4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4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4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4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4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4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4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41" s="52">
        <f>IF(Tabla15[[#This Row],[20]]="",0,VLOOKUP("VRP",Tabla5[#All],3,FALSE)*Tabla15[[#This Row],[21]])</f>
        <v>0</v>
      </c>
      <c r="AC34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4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41" s="52">
        <f>IF(Tabla15[[#This Row],[23]]="",0,VLOOKUP("VC",Tabla5[#All],3,FALSE)*Tabla15[[#This Row],[24]])</f>
        <v>0</v>
      </c>
      <c r="AF34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4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41" s="52">
        <f>IF(Tabla15[[#This Row],[26]]="",0,VLOOKUP(TRAMOS!$K$2,Tabla5[#All],3,FALSE)*Tabla15[[#This Row],[27]])</f>
        <v>0</v>
      </c>
      <c r="AI34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4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4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4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4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 1/2"</v>
      </c>
      <c r="AN341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34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342" spans="2:41" x14ac:dyDescent="0.25">
      <c r="B342" s="58" t="str">
        <f>Tabla1[[#This Row],[nudo inicial]]</f>
        <v>N175</v>
      </c>
      <c r="C342" s="58" t="str">
        <f>Tabla1[[#This Row],[nudo final]]</f>
        <v>TP133</v>
      </c>
      <c r="D342" s="51">
        <f>Tabla1[[#This Row],[longitud]]</f>
        <v>59.23</v>
      </c>
      <c r="E342" s="51" t="str">
        <f>Tabla1[[#This Row],[diametro]]</f>
        <v>1 1/2"</v>
      </c>
      <c r="F342" s="51" t="str">
        <f>Tabla1[[#This Row],[material]]</f>
        <v>PVC</v>
      </c>
      <c r="G34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 1/2"</v>
      </c>
      <c r="H342" s="52" t="str">
        <f>IF(Tabla1[[#This Row],[5]]="TPD",Tabla1[[#This Row],[6]],"")</f>
        <v>1 1/2"</v>
      </c>
      <c r="I342" s="52">
        <f>IF(OR(Tabla1[[#This Row],[5]]="TPD"),Tabla1[[#This Row],[7]],"")</f>
        <v>1</v>
      </c>
      <c r="J342" s="52">
        <f>IF(Tabla15[[#This Row],[2]]="",0,VLOOKUP(TRAMOS!$H$2,Tabla5[#All],3,FALSE)*Tabla15[[#This Row],[3]])</f>
        <v>0.15</v>
      </c>
      <c r="K342" s="52" t="str">
        <f>IF(Tabla1[[#This Row],[5]]="TPL",Tabla1[[#This Row],[6]],"")</f>
        <v/>
      </c>
      <c r="L342" s="52" t="str">
        <f>IF(OR(Tabla1[[#This Row],[5]]="TPL"),Tabla1[[#This Row],[7]],"")</f>
        <v/>
      </c>
      <c r="M342" s="52">
        <f>IF(Tabla15[[#This Row],[5]]="",0,VLOOKUP(TRAMOS!$K$2,Tabla5[#All],3,FALSE)*Tabla15[[#This Row],[6]])</f>
        <v>0</v>
      </c>
      <c r="N34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4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42" s="52">
        <f>IF(Tabla15[[#This Row],[8]]="",0,VLOOKUP(TRAMOS!$H$2,Tabla5[#All],3,FALSE)*Tabla15[[#This Row],[9]])</f>
        <v>0</v>
      </c>
      <c r="Q34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4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42" s="52">
        <f>IF(Tabla15[[#This Row],[11]]="",0,VLOOKUP(TRAMOS!$Q$2,Tabla5[#All],3,FALSE)*Tabla15[[#This Row],[12]])</f>
        <v>0</v>
      </c>
      <c r="T34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4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4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4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4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4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4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4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42" s="52">
        <f>IF(Tabla15[[#This Row],[20]]="",0,VLOOKUP("VRP",Tabla5[#All],3,FALSE)*Tabla15[[#This Row],[21]])</f>
        <v>0</v>
      </c>
      <c r="AC34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4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42" s="52">
        <f>IF(Tabla15[[#This Row],[23]]="",0,VLOOKUP("VC",Tabla5[#All],3,FALSE)*Tabla15[[#This Row],[24]])</f>
        <v>0</v>
      </c>
      <c r="AF34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4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42" s="52">
        <f>IF(Tabla15[[#This Row],[26]]="",0,VLOOKUP(TRAMOS!$K$2,Tabla5[#All],3,FALSE)*Tabla15[[#This Row],[27]])</f>
        <v>0</v>
      </c>
      <c r="AI34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4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4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4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4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 1/2"</v>
      </c>
      <c r="AN342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34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343" spans="2:41" x14ac:dyDescent="0.25">
      <c r="B343" s="58" t="str">
        <f>Tabla1[[#This Row],[nudo inicial]]</f>
        <v>N174</v>
      </c>
      <c r="C343" s="58" t="str">
        <f>Tabla1[[#This Row],[nudo final]]</f>
        <v>N176</v>
      </c>
      <c r="D343" s="51">
        <f>Tabla1[[#This Row],[longitud]]</f>
        <v>163.18</v>
      </c>
      <c r="E343" s="51" t="str">
        <f>Tabla1[[#This Row],[diametro]]</f>
        <v>2"</v>
      </c>
      <c r="F343" s="51" t="str">
        <f>Tabla1[[#This Row],[material]]</f>
        <v>PVC</v>
      </c>
      <c r="G34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343" s="52" t="str">
        <f>IF(Tabla1[[#This Row],[5]]="TPD",Tabla1[[#This Row],[6]],"")</f>
        <v/>
      </c>
      <c r="I343" s="52" t="str">
        <f>IF(OR(Tabla1[[#This Row],[5]]="TPD"),Tabla1[[#This Row],[7]],"")</f>
        <v/>
      </c>
      <c r="J343" s="52">
        <f>IF(Tabla15[[#This Row],[2]]="",0,VLOOKUP(TRAMOS!$H$2,Tabla5[#All],3,FALSE)*Tabla15[[#This Row],[3]])</f>
        <v>0</v>
      </c>
      <c r="K343" s="52" t="str">
        <f>IF(Tabla1[[#This Row],[5]]="TPL",Tabla1[[#This Row],[6]],"")</f>
        <v>2"</v>
      </c>
      <c r="L343" s="52">
        <f>IF(OR(Tabla1[[#This Row],[5]]="TPL"),Tabla1[[#This Row],[7]],"")</f>
        <v>1</v>
      </c>
      <c r="M343" s="52">
        <f>IF(Tabla15[[#This Row],[5]]="",0,VLOOKUP(TRAMOS!$K$2,Tabla5[#All],3,FALSE)*Tabla15[[#This Row],[6]])</f>
        <v>0.9</v>
      </c>
      <c r="N34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4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43" s="52">
        <f>IF(Tabla15[[#This Row],[8]]="",0,VLOOKUP(TRAMOS!$H$2,Tabla5[#All],3,FALSE)*Tabla15[[#This Row],[9]])</f>
        <v>0</v>
      </c>
      <c r="Q34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4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43" s="52">
        <f>IF(Tabla15[[#This Row],[11]]="",0,VLOOKUP(TRAMOS!$Q$2,Tabla5[#All],3,FALSE)*Tabla15[[#This Row],[12]])</f>
        <v>0</v>
      </c>
      <c r="T34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4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4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4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4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4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4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4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43" s="52">
        <f>IF(Tabla15[[#This Row],[20]]="",0,VLOOKUP("VRP",Tabla5[#All],3,FALSE)*Tabla15[[#This Row],[21]])</f>
        <v>0</v>
      </c>
      <c r="AC34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4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43" s="52">
        <f>IF(Tabla15[[#This Row],[23]]="",0,VLOOKUP("VC",Tabla5[#All],3,FALSE)*Tabla15[[#This Row],[24]])</f>
        <v>0</v>
      </c>
      <c r="AF34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4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43" s="52">
        <f>IF(Tabla15[[#This Row],[26]]="",0,VLOOKUP(TRAMOS!$K$2,Tabla5[#All],3,FALSE)*Tabla15[[#This Row],[27]])</f>
        <v>0</v>
      </c>
      <c r="AI34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4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4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4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4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4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4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344" spans="2:41" x14ac:dyDescent="0.25">
      <c r="B344" s="58" t="str">
        <f>Tabla1[[#This Row],[nudo inicial]]</f>
        <v>N176</v>
      </c>
      <c r="C344" s="58" t="str">
        <f>Tabla1[[#This Row],[nudo final]]</f>
        <v>TP134</v>
      </c>
      <c r="D344" s="51">
        <f>Tabla1[[#This Row],[longitud]]</f>
        <v>121.98</v>
      </c>
      <c r="E344" s="51" t="str">
        <f>Tabla1[[#This Row],[diametro]]</f>
        <v>1 1/2"</v>
      </c>
      <c r="F344" s="51" t="str">
        <f>Tabla1[[#This Row],[material]]</f>
        <v>PVC</v>
      </c>
      <c r="G34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344" s="52" t="str">
        <f>IF(Tabla1[[#This Row],[5]]="TPD",Tabla1[[#This Row],[6]],"")</f>
        <v>2"</v>
      </c>
      <c r="I344" s="52">
        <f>IF(OR(Tabla1[[#This Row],[5]]="TPD"),Tabla1[[#This Row],[7]],"")</f>
        <v>1</v>
      </c>
      <c r="J344" s="52">
        <f>IF(Tabla15[[#This Row],[2]]="",0,VLOOKUP(TRAMOS!$H$2,Tabla5[#All],3,FALSE)*Tabla15[[#This Row],[3]])</f>
        <v>0.15</v>
      </c>
      <c r="K344" s="52" t="str">
        <f>IF(Tabla1[[#This Row],[5]]="TPL",Tabla1[[#This Row],[6]],"")</f>
        <v/>
      </c>
      <c r="L344" s="52" t="str">
        <f>IF(OR(Tabla1[[#This Row],[5]]="TPL"),Tabla1[[#This Row],[7]],"")</f>
        <v/>
      </c>
      <c r="M344" s="52">
        <f>IF(Tabla15[[#This Row],[5]]="",0,VLOOKUP(TRAMOS!$K$2,Tabla5[#All],3,FALSE)*Tabla15[[#This Row],[6]])</f>
        <v>0</v>
      </c>
      <c r="N34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4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44" s="52">
        <f>IF(Tabla15[[#This Row],[8]]="",0,VLOOKUP(TRAMOS!$H$2,Tabla5[#All],3,FALSE)*Tabla15[[#This Row],[9]])</f>
        <v>0</v>
      </c>
      <c r="Q34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1 1/2"</v>
      </c>
      <c r="R344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344" s="52">
        <f>IF(Tabla15[[#This Row],[11]]="",0,VLOOKUP(TRAMOS!$Q$2,Tabla5[#All],3,FALSE)*Tabla15[[#This Row],[12]])</f>
        <v>0.9</v>
      </c>
      <c r="T34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 1/2"</v>
      </c>
      <c r="U344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34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0.13850000000000007</v>
      </c>
      <c r="W34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4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4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4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4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44" s="52">
        <f>IF(Tabla15[[#This Row],[20]]="",0,VLOOKUP("VRP",Tabla5[#All],3,FALSE)*Tabla15[[#This Row],[21]])</f>
        <v>0</v>
      </c>
      <c r="AC34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4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44" s="52">
        <f>IF(Tabla15[[#This Row],[23]]="",0,VLOOKUP("VC",Tabla5[#All],3,FALSE)*Tabla15[[#This Row],[24]])</f>
        <v>0</v>
      </c>
      <c r="AF34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4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44" s="52">
        <f>IF(Tabla15[[#This Row],[26]]="",0,VLOOKUP(TRAMOS!$K$2,Tabla5[#All],3,FALSE)*Tabla15[[#This Row],[27]])</f>
        <v>0</v>
      </c>
      <c r="AI34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4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4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4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4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 1/2"</v>
      </c>
      <c r="AN344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34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1.1885000000000001</v>
      </c>
    </row>
    <row r="345" spans="2:41" x14ac:dyDescent="0.25">
      <c r="B345" s="58" t="str">
        <f>Tabla1[[#This Row],[nudo inicial]]</f>
        <v>N176</v>
      </c>
      <c r="C345" s="58" t="str">
        <f>Tabla1[[#This Row],[nudo final]]</f>
        <v>N177</v>
      </c>
      <c r="D345" s="51">
        <f>Tabla1[[#This Row],[longitud]]</f>
        <v>125.93</v>
      </c>
      <c r="E345" s="51" t="str">
        <f>Tabla1[[#This Row],[diametro]]</f>
        <v>1 1/2"</v>
      </c>
      <c r="F345" s="51" t="str">
        <f>Tabla1[[#This Row],[material]]</f>
        <v>PVC</v>
      </c>
      <c r="G34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345" s="52" t="str">
        <f>IF(Tabla1[[#This Row],[5]]="TPD",Tabla1[[#This Row],[6]],"")</f>
        <v/>
      </c>
      <c r="I345" s="52" t="str">
        <f>IF(OR(Tabla1[[#This Row],[5]]="TPD"),Tabla1[[#This Row],[7]],"")</f>
        <v/>
      </c>
      <c r="J345" s="52">
        <f>IF(Tabla15[[#This Row],[2]]="",0,VLOOKUP(TRAMOS!$H$2,Tabla5[#All],3,FALSE)*Tabla15[[#This Row],[3]])</f>
        <v>0</v>
      </c>
      <c r="K345" s="52" t="str">
        <f>IF(Tabla1[[#This Row],[5]]="TPL",Tabla1[[#This Row],[6]],"")</f>
        <v>2"</v>
      </c>
      <c r="L345" s="52">
        <f>IF(OR(Tabla1[[#This Row],[5]]="TPL"),Tabla1[[#This Row],[7]],"")</f>
        <v>1</v>
      </c>
      <c r="M345" s="52">
        <f>IF(Tabla15[[#This Row],[5]]="",0,VLOOKUP(TRAMOS!$K$2,Tabla5[#All],3,FALSE)*Tabla15[[#This Row],[6]])</f>
        <v>0.9</v>
      </c>
      <c r="N34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4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45" s="52">
        <f>IF(Tabla15[[#This Row],[8]]="",0,VLOOKUP(TRAMOS!$H$2,Tabla5[#All],3,FALSE)*Tabla15[[#This Row],[9]])</f>
        <v>0</v>
      </c>
      <c r="Q34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4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45" s="52">
        <f>IF(Tabla15[[#This Row],[11]]="",0,VLOOKUP(TRAMOS!$Q$2,Tabla5[#All],3,FALSE)*Tabla15[[#This Row],[12]])</f>
        <v>0</v>
      </c>
      <c r="T34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 1/2"</v>
      </c>
      <c r="U345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34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0.13850000000000007</v>
      </c>
      <c r="W34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4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4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4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4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45" s="52">
        <f>IF(Tabla15[[#This Row],[20]]="",0,VLOOKUP("VRP",Tabla5[#All],3,FALSE)*Tabla15[[#This Row],[21]])</f>
        <v>0</v>
      </c>
      <c r="AC34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4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45" s="52">
        <f>IF(Tabla15[[#This Row],[23]]="",0,VLOOKUP("VC",Tabla5[#All],3,FALSE)*Tabla15[[#This Row],[24]])</f>
        <v>0</v>
      </c>
      <c r="AF34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4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45" s="52">
        <f>IF(Tabla15[[#This Row],[26]]="",0,VLOOKUP(TRAMOS!$K$2,Tabla5[#All],3,FALSE)*Tabla15[[#This Row],[27]])</f>
        <v>0</v>
      </c>
      <c r="AI34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4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4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4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4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4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4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1.0385</v>
      </c>
    </row>
    <row r="346" spans="2:41" x14ac:dyDescent="0.25">
      <c r="B346" s="58" t="str">
        <f>Tabla1[[#This Row],[nudo inicial]]</f>
        <v>N177</v>
      </c>
      <c r="C346" s="58" t="str">
        <f>Tabla1[[#This Row],[nudo final]]</f>
        <v>T.PROGRESO1</v>
      </c>
      <c r="D346" s="51">
        <f>Tabla1[[#This Row],[longitud]]</f>
        <v>3.11</v>
      </c>
      <c r="E346" s="51" t="str">
        <f>Tabla1[[#This Row],[diametro]]</f>
        <v>1 1/2"</v>
      </c>
      <c r="F346" s="51" t="str">
        <f>Tabla1[[#This Row],[material]]</f>
        <v>PVC</v>
      </c>
      <c r="G34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 1/2"</v>
      </c>
      <c r="H346" s="52" t="str">
        <f>IF(Tabla1[[#This Row],[5]]="TPD",Tabla1[[#This Row],[6]],"")</f>
        <v/>
      </c>
      <c r="I346" s="52" t="str">
        <f>IF(OR(Tabla1[[#This Row],[5]]="TPD"),Tabla1[[#This Row],[7]],"")</f>
        <v/>
      </c>
      <c r="J346" s="52">
        <f>IF(Tabla15[[#This Row],[2]]="",0,VLOOKUP(TRAMOS!$H$2,Tabla5[#All],3,FALSE)*Tabla15[[#This Row],[3]])</f>
        <v>0</v>
      </c>
      <c r="K346" s="52" t="str">
        <f>IF(Tabla1[[#This Row],[5]]="TPL",Tabla1[[#This Row],[6]],"")</f>
        <v>1 1/2"</v>
      </c>
      <c r="L346" s="52">
        <f>IF(OR(Tabla1[[#This Row],[5]]="TPL"),Tabla1[[#This Row],[7]],"")</f>
        <v>1</v>
      </c>
      <c r="M346" s="52">
        <f>IF(Tabla15[[#This Row],[5]]="",0,VLOOKUP(TRAMOS!$K$2,Tabla5[#All],3,FALSE)*Tabla15[[#This Row],[6]])</f>
        <v>0.9</v>
      </c>
      <c r="N34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4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46" s="52">
        <f>IF(Tabla15[[#This Row],[8]]="",0,VLOOKUP(TRAMOS!$H$2,Tabla5[#All],3,FALSE)*Tabla15[[#This Row],[9]])</f>
        <v>0</v>
      </c>
      <c r="Q34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4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46" s="52">
        <f>IF(Tabla15[[#This Row],[11]]="",0,VLOOKUP(TRAMOS!$Q$2,Tabla5[#All],3,FALSE)*Tabla15[[#This Row],[12]])</f>
        <v>0</v>
      </c>
      <c r="T34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4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4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4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4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4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4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4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46" s="52">
        <f>IF(Tabla15[[#This Row],[20]]="",0,VLOOKUP("VRP",Tabla5[#All],3,FALSE)*Tabla15[[#This Row],[21]])</f>
        <v>0</v>
      </c>
      <c r="AC34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4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46" s="52">
        <f>IF(Tabla15[[#This Row],[23]]="",0,VLOOKUP("VC",Tabla5[#All],3,FALSE)*Tabla15[[#This Row],[24]])</f>
        <v>0</v>
      </c>
      <c r="AF34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4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46" s="52">
        <f>IF(Tabla15[[#This Row],[26]]="",0,VLOOKUP(TRAMOS!$K$2,Tabla5[#All],3,FALSE)*Tabla15[[#This Row],[27]])</f>
        <v>0</v>
      </c>
      <c r="AI34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4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4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4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4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4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4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347" spans="2:41" x14ac:dyDescent="0.25">
      <c r="B347" s="58" t="str">
        <f>Tabla1[[#This Row],[nudo inicial]]</f>
        <v>N177</v>
      </c>
      <c r="C347" s="58" t="str">
        <f>Tabla1[[#This Row],[nudo final]]</f>
        <v>TP135</v>
      </c>
      <c r="D347" s="51">
        <f>Tabla1[[#This Row],[longitud]]</f>
        <v>116.71</v>
      </c>
      <c r="E347" s="51" t="str">
        <f>Tabla1[[#This Row],[diametro]]</f>
        <v>1/2"</v>
      </c>
      <c r="F347" s="51" t="str">
        <f>Tabla1[[#This Row],[material]]</f>
        <v>PVC</v>
      </c>
      <c r="G34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 1/2"</v>
      </c>
      <c r="H347" s="52" t="str">
        <f>IF(Tabla1[[#This Row],[5]]="TPD",Tabla1[[#This Row],[6]],"")</f>
        <v>1 1/2"</v>
      </c>
      <c r="I347" s="52">
        <f>IF(OR(Tabla1[[#This Row],[5]]="TPD"),Tabla1[[#This Row],[7]],"")</f>
        <v>1</v>
      </c>
      <c r="J347" s="52">
        <f>IF(Tabla15[[#This Row],[2]]="",0,VLOOKUP(TRAMOS!$H$2,Tabla5[#All],3,FALSE)*Tabla15[[#This Row],[3]])</f>
        <v>0.15</v>
      </c>
      <c r="K347" s="52" t="str">
        <f>IF(Tabla1[[#This Row],[5]]="TPL",Tabla1[[#This Row],[6]],"")</f>
        <v/>
      </c>
      <c r="L347" s="52" t="str">
        <f>IF(OR(Tabla1[[#This Row],[5]]="TPL"),Tabla1[[#This Row],[7]],"")</f>
        <v/>
      </c>
      <c r="M347" s="52">
        <f>IF(Tabla15[[#This Row],[5]]="",0,VLOOKUP(TRAMOS!$K$2,Tabla5[#All],3,FALSE)*Tabla15[[#This Row],[6]])</f>
        <v>0</v>
      </c>
      <c r="N34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4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47" s="52">
        <f>IF(Tabla15[[#This Row],[8]]="",0,VLOOKUP(TRAMOS!$H$2,Tabla5[#All],3,FALSE)*Tabla15[[#This Row],[9]])</f>
        <v>0</v>
      </c>
      <c r="Q34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4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47" s="52">
        <f>IF(Tabla15[[#This Row],[11]]="",0,VLOOKUP(TRAMOS!$Q$2,Tabla5[#All],3,FALSE)*Tabla15[[#This Row],[12]])</f>
        <v>0</v>
      </c>
      <c r="T34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1/2"</v>
      </c>
      <c r="U347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34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0.43</v>
      </c>
      <c r="W34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4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4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4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4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47" s="52">
        <f>IF(Tabla15[[#This Row],[20]]="",0,VLOOKUP("VRP",Tabla5[#All],3,FALSE)*Tabla15[[#This Row],[21]])</f>
        <v>0</v>
      </c>
      <c r="AC34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4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47" s="52">
        <f>IF(Tabla15[[#This Row],[23]]="",0,VLOOKUP("VC",Tabla5[#All],3,FALSE)*Tabla15[[#This Row],[24]])</f>
        <v>0</v>
      </c>
      <c r="AF34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4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47" s="52">
        <f>IF(Tabla15[[#This Row],[26]]="",0,VLOOKUP(TRAMOS!$K$2,Tabla5[#All],3,FALSE)*Tabla15[[#This Row],[27]])</f>
        <v>0</v>
      </c>
      <c r="AI34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4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4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4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4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1/2"</v>
      </c>
      <c r="AN347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34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0.57999999999999996</v>
      </c>
    </row>
    <row r="348" spans="2:41" x14ac:dyDescent="0.25">
      <c r="B348" s="58" t="str">
        <f>Tabla1[[#This Row],[nudo inicial]]</f>
        <v>T.PROGRESO2</v>
      </c>
      <c r="C348" s="58" t="str">
        <f>Tabla1[[#This Row],[nudo final]]</f>
        <v>T.PROGRESO1</v>
      </c>
      <c r="D348" s="51">
        <f>Tabla1[[#This Row],[longitud]]</f>
        <v>269.97000000000003</v>
      </c>
      <c r="E348" s="51" t="str">
        <f>Tabla1[[#This Row],[diametro]]</f>
        <v>2 1/2"</v>
      </c>
      <c r="F348" s="51" t="str">
        <f>Tabla1[[#This Row],[material]]</f>
        <v>PVC</v>
      </c>
      <c r="G34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348" s="52" t="str">
        <f>IF(Tabla1[[#This Row],[5]]="TPD",Tabla1[[#This Row],[6]],"")</f>
        <v/>
      </c>
      <c r="I348" s="52" t="str">
        <f>IF(OR(Tabla1[[#This Row],[5]]="TPD"),Tabla1[[#This Row],[7]],"")</f>
        <v/>
      </c>
      <c r="J348" s="52">
        <f>IF(Tabla15[[#This Row],[2]]="",0,VLOOKUP(TRAMOS!$H$2,Tabla5[#All],3,FALSE)*Tabla15[[#This Row],[3]])</f>
        <v>0</v>
      </c>
      <c r="K348" s="52" t="str">
        <f>IF(Tabla1[[#This Row],[5]]="TPL",Tabla1[[#This Row],[6]],"")</f>
        <v/>
      </c>
      <c r="L348" s="52" t="str">
        <f>IF(OR(Tabla1[[#This Row],[5]]="TPL"),Tabla1[[#This Row],[7]],"")</f>
        <v/>
      </c>
      <c r="M348" s="52">
        <f>IF(Tabla15[[#This Row],[5]]="",0,VLOOKUP(TRAMOS!$K$2,Tabla5[#All],3,FALSE)*Tabla15[[#This Row],[6]])</f>
        <v>0</v>
      </c>
      <c r="N34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4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48" s="52">
        <f>IF(Tabla15[[#This Row],[8]]="",0,VLOOKUP(TRAMOS!$H$2,Tabla5[#All],3,FALSE)*Tabla15[[#This Row],[9]])</f>
        <v>0</v>
      </c>
      <c r="Q34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 1/2"</v>
      </c>
      <c r="R348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6</v>
      </c>
      <c r="S348" s="52">
        <f>IF(Tabla15[[#This Row],[11]]="",0,VLOOKUP(TRAMOS!$Q$2,Tabla5[#All],3,FALSE)*Tabla15[[#This Row],[12]])</f>
        <v>5.4</v>
      </c>
      <c r="T34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4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4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4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4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4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4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4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48" s="52">
        <f>IF(Tabla15[[#This Row],[20]]="",0,VLOOKUP("VRP",Tabla5[#All],3,FALSE)*Tabla15[[#This Row],[21]])</f>
        <v>0</v>
      </c>
      <c r="AC34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4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48" s="52">
        <f>IF(Tabla15[[#This Row],[23]]="",0,VLOOKUP("VC",Tabla5[#All],3,FALSE)*Tabla15[[#This Row],[24]])</f>
        <v>0</v>
      </c>
      <c r="AF34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4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48" s="52">
        <f>IF(Tabla15[[#This Row],[26]]="",0,VLOOKUP(TRAMOS!$K$2,Tabla5[#All],3,FALSE)*Tabla15[[#This Row],[27]])</f>
        <v>0</v>
      </c>
      <c r="AI34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4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4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4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4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4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4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5.4</v>
      </c>
    </row>
    <row r="349" spans="2:41" x14ac:dyDescent="0.25">
      <c r="B349" s="58" t="str">
        <f>Tabla1[[#This Row],[nudo inicial]]</f>
        <v>T.PROGRESO1</v>
      </c>
      <c r="C349" s="58" t="str">
        <f>Tabla1[[#This Row],[nudo final]]</f>
        <v>N178</v>
      </c>
      <c r="D349" s="51">
        <f>Tabla1[[#This Row],[longitud]]</f>
        <v>4.13</v>
      </c>
      <c r="E349" s="51" t="str">
        <f>Tabla1[[#This Row],[diametro]]</f>
        <v>2"</v>
      </c>
      <c r="F349" s="51" t="str">
        <f>Tabla1[[#This Row],[material]]</f>
        <v>PVC</v>
      </c>
      <c r="G34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 1/2"</v>
      </c>
      <c r="H349" s="52" t="str">
        <f>IF(Tabla1[[#This Row],[5]]="TPD",Tabla1[[#This Row],[6]],"")</f>
        <v/>
      </c>
      <c r="I349" s="52" t="str">
        <f>IF(OR(Tabla1[[#This Row],[5]]="TPD"),Tabla1[[#This Row],[7]],"")</f>
        <v/>
      </c>
      <c r="J349" s="52">
        <f>IF(Tabla15[[#This Row],[2]]="",0,VLOOKUP(TRAMOS!$H$2,Tabla5[#All],3,FALSE)*Tabla15[[#This Row],[3]])</f>
        <v>0</v>
      </c>
      <c r="K349" s="52" t="str">
        <f>IF(Tabla1[[#This Row],[5]]="TPL",Tabla1[[#This Row],[6]],"")</f>
        <v/>
      </c>
      <c r="L349" s="52" t="str">
        <f>IF(OR(Tabla1[[#This Row],[5]]="TPL"),Tabla1[[#This Row],[7]],"")</f>
        <v/>
      </c>
      <c r="M349" s="52">
        <f>IF(Tabla15[[#This Row],[5]]="",0,VLOOKUP(TRAMOS!$K$2,Tabla5[#All],3,FALSE)*Tabla15[[#This Row],[6]])</f>
        <v>0</v>
      </c>
      <c r="N34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4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49" s="52">
        <f>IF(Tabla15[[#This Row],[8]]="",0,VLOOKUP(TRAMOS!$H$2,Tabla5[#All],3,FALSE)*Tabla15[[#This Row],[9]])</f>
        <v>0</v>
      </c>
      <c r="Q34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4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49" s="52">
        <f>IF(Tabla15[[#This Row],[11]]="",0,VLOOKUP(TRAMOS!$Q$2,Tabla5[#All],3,FALSE)*Tabla15[[#This Row],[12]])</f>
        <v>0</v>
      </c>
      <c r="T34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4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4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4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4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4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4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4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49" s="52">
        <f>IF(Tabla15[[#This Row],[20]]="",0,VLOOKUP("VRP",Tabla5[#All],3,FALSE)*Tabla15[[#This Row],[21]])</f>
        <v>0</v>
      </c>
      <c r="AC34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4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49" s="52">
        <f>IF(Tabla15[[#This Row],[23]]="",0,VLOOKUP("VC",Tabla5[#All],3,FALSE)*Tabla15[[#This Row],[24]])</f>
        <v>0</v>
      </c>
      <c r="AF34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4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49" s="52">
        <f>IF(Tabla15[[#This Row],[26]]="",0,VLOOKUP(TRAMOS!$K$2,Tabla5[#All],3,FALSE)*Tabla15[[#This Row],[27]])</f>
        <v>0</v>
      </c>
      <c r="AI34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4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4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4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4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4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4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</v>
      </c>
    </row>
    <row r="350" spans="2:41" x14ac:dyDescent="0.25">
      <c r="B350" s="58" t="str">
        <f>Tabla1[[#This Row],[nudo inicial]]</f>
        <v>N178</v>
      </c>
      <c r="C350" s="58" t="str">
        <f>Tabla1[[#This Row],[nudo final]]</f>
        <v>N179</v>
      </c>
      <c r="D350" s="51">
        <f>Tabla1[[#This Row],[longitud]]</f>
        <v>27.75</v>
      </c>
      <c r="E350" s="51" t="str">
        <f>Tabla1[[#This Row],[diametro]]</f>
        <v>2"</v>
      </c>
      <c r="F350" s="51" t="str">
        <f>Tabla1[[#This Row],[material]]</f>
        <v>PVC</v>
      </c>
      <c r="G35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350" s="52" t="str">
        <f>IF(Tabla1[[#This Row],[5]]="TPD",Tabla1[[#This Row],[6]],"")</f>
        <v>2"</v>
      </c>
      <c r="I350" s="52">
        <f>IF(OR(Tabla1[[#This Row],[5]]="TPD"),Tabla1[[#This Row],[7]],"")</f>
        <v>1</v>
      </c>
      <c r="J350" s="52">
        <f>IF(Tabla15[[#This Row],[2]]="",0,VLOOKUP(TRAMOS!$H$2,Tabla5[#All],3,FALSE)*Tabla15[[#This Row],[3]])</f>
        <v>0.15</v>
      </c>
      <c r="K350" s="52" t="str">
        <f>IF(Tabla1[[#This Row],[5]]="TPL",Tabla1[[#This Row],[6]],"")</f>
        <v/>
      </c>
      <c r="L350" s="52" t="str">
        <f>IF(OR(Tabla1[[#This Row],[5]]="TPL"),Tabla1[[#This Row],[7]],"")</f>
        <v/>
      </c>
      <c r="M350" s="52">
        <f>IF(Tabla15[[#This Row],[5]]="",0,VLOOKUP(TRAMOS!$K$2,Tabla5[#All],3,FALSE)*Tabla15[[#This Row],[6]])</f>
        <v>0</v>
      </c>
      <c r="N35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5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50" s="52">
        <f>IF(Tabla15[[#This Row],[8]]="",0,VLOOKUP(TRAMOS!$H$2,Tabla5[#All],3,FALSE)*Tabla15[[#This Row],[9]])</f>
        <v>0</v>
      </c>
      <c r="Q35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5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50" s="52">
        <f>IF(Tabla15[[#This Row],[11]]="",0,VLOOKUP(TRAMOS!$Q$2,Tabla5[#All],3,FALSE)*Tabla15[[#This Row],[12]])</f>
        <v>0</v>
      </c>
      <c r="T35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5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5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5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5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5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5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5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50" s="52">
        <f>IF(Tabla15[[#This Row],[20]]="",0,VLOOKUP("VRP",Tabla5[#All],3,FALSE)*Tabla15[[#This Row],[21]])</f>
        <v>0</v>
      </c>
      <c r="AC35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5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50" s="52">
        <f>IF(Tabla15[[#This Row],[23]]="",0,VLOOKUP("VC",Tabla5[#All],3,FALSE)*Tabla15[[#This Row],[24]])</f>
        <v>0</v>
      </c>
      <c r="AF35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5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50" s="52">
        <f>IF(Tabla15[[#This Row],[26]]="",0,VLOOKUP(TRAMOS!$K$2,Tabla5[#All],3,FALSE)*Tabla15[[#This Row],[27]])</f>
        <v>0</v>
      </c>
      <c r="AI35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5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5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5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5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5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5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351" spans="2:41" x14ac:dyDescent="0.25">
      <c r="B351" s="58" t="str">
        <f>Tabla1[[#This Row],[nudo inicial]]</f>
        <v>N179</v>
      </c>
      <c r="C351" s="58" t="str">
        <f>Tabla1[[#This Row],[nudo final]]</f>
        <v>N180</v>
      </c>
      <c r="D351" s="51">
        <f>Tabla1[[#This Row],[longitud]]</f>
        <v>71.38</v>
      </c>
      <c r="E351" s="51" t="str">
        <f>Tabla1[[#This Row],[diametro]]</f>
        <v>2"</v>
      </c>
      <c r="F351" s="51" t="str">
        <f>Tabla1[[#This Row],[material]]</f>
        <v>PVC</v>
      </c>
      <c r="G35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351" s="52" t="str">
        <f>IF(Tabla1[[#This Row],[5]]="TPD",Tabla1[[#This Row],[6]],"")</f>
        <v/>
      </c>
      <c r="I351" s="52" t="str">
        <f>IF(OR(Tabla1[[#This Row],[5]]="TPD"),Tabla1[[#This Row],[7]],"")</f>
        <v/>
      </c>
      <c r="J351" s="52">
        <f>IF(Tabla15[[#This Row],[2]]="",0,VLOOKUP(TRAMOS!$H$2,Tabla5[#All],3,FALSE)*Tabla15[[#This Row],[3]])</f>
        <v>0</v>
      </c>
      <c r="K351" s="52" t="str">
        <f>IF(Tabla1[[#This Row],[5]]="TPL",Tabla1[[#This Row],[6]],"")</f>
        <v>2"</v>
      </c>
      <c r="L351" s="52">
        <f>IF(OR(Tabla1[[#This Row],[5]]="TPL"),Tabla1[[#This Row],[7]],"")</f>
        <v>1</v>
      </c>
      <c r="M351" s="52">
        <f>IF(Tabla15[[#This Row],[5]]="",0,VLOOKUP(TRAMOS!$K$2,Tabla5[#All],3,FALSE)*Tabla15[[#This Row],[6]])</f>
        <v>0.9</v>
      </c>
      <c r="N35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5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51" s="52">
        <f>IF(Tabla15[[#This Row],[8]]="",0,VLOOKUP(TRAMOS!$H$2,Tabla5[#All],3,FALSE)*Tabla15[[#This Row],[9]])</f>
        <v>0</v>
      </c>
      <c r="Q35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5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51" s="52">
        <f>IF(Tabla15[[#This Row],[11]]="",0,VLOOKUP(TRAMOS!$Q$2,Tabla5[#All],3,FALSE)*Tabla15[[#This Row],[12]])</f>
        <v>0</v>
      </c>
      <c r="T35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5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5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5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5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5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5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5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51" s="52">
        <f>IF(Tabla15[[#This Row],[20]]="",0,VLOOKUP("VRP",Tabla5[#All],3,FALSE)*Tabla15[[#This Row],[21]])</f>
        <v>0</v>
      </c>
      <c r="AC35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5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51" s="52">
        <f>IF(Tabla15[[#This Row],[23]]="",0,VLOOKUP("VC",Tabla5[#All],3,FALSE)*Tabla15[[#This Row],[24]])</f>
        <v>0</v>
      </c>
      <c r="AF35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5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51" s="52">
        <f>IF(Tabla15[[#This Row],[26]]="",0,VLOOKUP(TRAMOS!$K$2,Tabla5[#All],3,FALSE)*Tabla15[[#This Row],[27]])</f>
        <v>0</v>
      </c>
      <c r="AI35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5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5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5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5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5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5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352" spans="2:41" x14ac:dyDescent="0.25">
      <c r="B352" s="58" t="str">
        <f>Tabla1[[#This Row],[nudo inicial]]</f>
        <v>N180</v>
      </c>
      <c r="C352" s="58" t="str">
        <f>Tabla1[[#This Row],[nudo final]]</f>
        <v>TP136</v>
      </c>
      <c r="D352" s="51">
        <f>Tabla1[[#This Row],[longitud]]</f>
        <v>25.76</v>
      </c>
      <c r="E352" s="51" t="str">
        <f>Tabla1[[#This Row],[diametro]]</f>
        <v>2"</v>
      </c>
      <c r="F352" s="51" t="str">
        <f>Tabla1[[#This Row],[material]]</f>
        <v>PVC</v>
      </c>
      <c r="G35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352" s="52" t="str">
        <f>IF(Tabla1[[#This Row],[5]]="TPD",Tabla1[[#This Row],[6]],"")</f>
        <v>2"</v>
      </c>
      <c r="I352" s="52">
        <f>IF(OR(Tabla1[[#This Row],[5]]="TPD"),Tabla1[[#This Row],[7]],"")</f>
        <v>1</v>
      </c>
      <c r="J352" s="52">
        <f>IF(Tabla15[[#This Row],[2]]="",0,VLOOKUP(TRAMOS!$H$2,Tabla5[#All],3,FALSE)*Tabla15[[#This Row],[3]])</f>
        <v>0.15</v>
      </c>
      <c r="K352" s="52" t="str">
        <f>IF(Tabla1[[#This Row],[5]]="TPL",Tabla1[[#This Row],[6]],"")</f>
        <v/>
      </c>
      <c r="L352" s="52" t="str">
        <f>IF(OR(Tabla1[[#This Row],[5]]="TPL"),Tabla1[[#This Row],[7]],"")</f>
        <v/>
      </c>
      <c r="M352" s="52">
        <f>IF(Tabla15[[#This Row],[5]]="",0,VLOOKUP(TRAMOS!$K$2,Tabla5[#All],3,FALSE)*Tabla15[[#This Row],[6]])</f>
        <v>0</v>
      </c>
      <c r="N35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5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52" s="52">
        <f>IF(Tabla15[[#This Row],[8]]="",0,VLOOKUP(TRAMOS!$H$2,Tabla5[#All],3,FALSE)*Tabla15[[#This Row],[9]])</f>
        <v>0</v>
      </c>
      <c r="Q35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5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52" s="52">
        <f>IF(Tabla15[[#This Row],[11]]="",0,VLOOKUP(TRAMOS!$Q$2,Tabla5[#All],3,FALSE)*Tabla15[[#This Row],[12]])</f>
        <v>0</v>
      </c>
      <c r="T35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5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5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5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5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5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5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5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52" s="52">
        <f>IF(Tabla15[[#This Row],[20]]="",0,VLOOKUP("VRP",Tabla5[#All],3,FALSE)*Tabla15[[#This Row],[21]])</f>
        <v>0</v>
      </c>
      <c r="AC35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5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52" s="52">
        <f>IF(Tabla15[[#This Row],[23]]="",0,VLOOKUP("VC",Tabla5[#All],3,FALSE)*Tabla15[[#This Row],[24]])</f>
        <v>0</v>
      </c>
      <c r="AF35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5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52" s="52">
        <f>IF(Tabla15[[#This Row],[26]]="",0,VLOOKUP(TRAMOS!$K$2,Tabla5[#All],3,FALSE)*Tabla15[[#This Row],[27]])</f>
        <v>0</v>
      </c>
      <c r="AI35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5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5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5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5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352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35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353" spans="2:41" x14ac:dyDescent="0.25">
      <c r="B353" s="58" t="str">
        <f>Tabla1[[#This Row],[nudo inicial]]</f>
        <v>N180</v>
      </c>
      <c r="C353" s="58" t="str">
        <f>Tabla1[[#This Row],[nudo final]]</f>
        <v>TP137</v>
      </c>
      <c r="D353" s="51">
        <f>Tabla1[[#This Row],[longitud]]</f>
        <v>40.119999999999997</v>
      </c>
      <c r="E353" s="51" t="str">
        <f>Tabla1[[#This Row],[diametro]]</f>
        <v>2"</v>
      </c>
      <c r="F353" s="51" t="str">
        <f>Tabla1[[#This Row],[material]]</f>
        <v>PVC</v>
      </c>
      <c r="G35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353" s="52" t="str">
        <f>IF(Tabla1[[#This Row],[5]]="TPD",Tabla1[[#This Row],[6]],"")</f>
        <v/>
      </c>
      <c r="I353" s="52" t="str">
        <f>IF(OR(Tabla1[[#This Row],[5]]="TPD"),Tabla1[[#This Row],[7]],"")</f>
        <v/>
      </c>
      <c r="J353" s="52">
        <f>IF(Tabla15[[#This Row],[2]]="",0,VLOOKUP(TRAMOS!$H$2,Tabla5[#All],3,FALSE)*Tabla15[[#This Row],[3]])</f>
        <v>0</v>
      </c>
      <c r="K353" s="52" t="str">
        <f>IF(Tabla1[[#This Row],[5]]="TPL",Tabla1[[#This Row],[6]],"")</f>
        <v>2"</v>
      </c>
      <c r="L353" s="52">
        <f>IF(OR(Tabla1[[#This Row],[5]]="TPL"),Tabla1[[#This Row],[7]],"")</f>
        <v>1</v>
      </c>
      <c r="M353" s="52">
        <f>IF(Tabla15[[#This Row],[5]]="",0,VLOOKUP(TRAMOS!$K$2,Tabla5[#All],3,FALSE)*Tabla15[[#This Row],[6]])</f>
        <v>0.9</v>
      </c>
      <c r="N35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5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53" s="52">
        <f>IF(Tabla15[[#This Row],[8]]="",0,VLOOKUP(TRAMOS!$H$2,Tabla5[#All],3,FALSE)*Tabla15[[#This Row],[9]])</f>
        <v>0</v>
      </c>
      <c r="Q35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5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53" s="52">
        <f>IF(Tabla15[[#This Row],[11]]="",0,VLOOKUP(TRAMOS!$Q$2,Tabla5[#All],3,FALSE)*Tabla15[[#This Row],[12]])</f>
        <v>0</v>
      </c>
      <c r="T35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5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5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5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5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5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5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5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53" s="52">
        <f>IF(Tabla15[[#This Row],[20]]="",0,VLOOKUP("VRP",Tabla5[#All],3,FALSE)*Tabla15[[#This Row],[21]])</f>
        <v>0</v>
      </c>
      <c r="AC35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5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53" s="52">
        <f>IF(Tabla15[[#This Row],[23]]="",0,VLOOKUP("VC",Tabla5[#All],3,FALSE)*Tabla15[[#This Row],[24]])</f>
        <v>0</v>
      </c>
      <c r="AF35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5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53" s="52">
        <f>IF(Tabla15[[#This Row],[26]]="",0,VLOOKUP(TRAMOS!$K$2,Tabla5[#All],3,FALSE)*Tabla15[[#This Row],[27]])</f>
        <v>0</v>
      </c>
      <c r="AI35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5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5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5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5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353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35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354" spans="2:41" x14ac:dyDescent="0.25">
      <c r="B354" s="58" t="str">
        <f>Tabla1[[#This Row],[nudo inicial]]</f>
        <v>N179</v>
      </c>
      <c r="C354" s="58" t="str">
        <f>Tabla1[[#This Row],[nudo final]]</f>
        <v>N181</v>
      </c>
      <c r="D354" s="51">
        <f>Tabla1[[#This Row],[longitud]]</f>
        <v>128.84</v>
      </c>
      <c r="E354" s="51" t="str">
        <f>Tabla1[[#This Row],[diametro]]</f>
        <v>2"</v>
      </c>
      <c r="F354" s="51" t="str">
        <f>Tabla1[[#This Row],[material]]</f>
        <v>PVC</v>
      </c>
      <c r="G35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354" s="52" t="str">
        <f>IF(Tabla1[[#This Row],[5]]="TPD",Tabla1[[#This Row],[6]],"")</f>
        <v/>
      </c>
      <c r="I354" s="52" t="str">
        <f>IF(OR(Tabla1[[#This Row],[5]]="TPD"),Tabla1[[#This Row],[7]],"")</f>
        <v/>
      </c>
      <c r="J354" s="52">
        <f>IF(Tabla15[[#This Row],[2]]="",0,VLOOKUP(TRAMOS!$H$2,Tabla5[#All],3,FALSE)*Tabla15[[#This Row],[3]])</f>
        <v>0</v>
      </c>
      <c r="K354" s="52" t="str">
        <f>IF(Tabla1[[#This Row],[5]]="TPL",Tabla1[[#This Row],[6]],"")</f>
        <v>2"</v>
      </c>
      <c r="L354" s="52">
        <f>IF(OR(Tabla1[[#This Row],[5]]="TPL"),Tabla1[[#This Row],[7]],"")</f>
        <v>1</v>
      </c>
      <c r="M354" s="52">
        <f>IF(Tabla15[[#This Row],[5]]="",0,VLOOKUP(TRAMOS!$K$2,Tabla5[#All],3,FALSE)*Tabla15[[#This Row],[6]])</f>
        <v>0.9</v>
      </c>
      <c r="N35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5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54" s="52">
        <f>IF(Tabla15[[#This Row],[8]]="",0,VLOOKUP(TRAMOS!$H$2,Tabla5[#All],3,FALSE)*Tabla15[[#This Row],[9]])</f>
        <v>0</v>
      </c>
      <c r="Q35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5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54" s="52">
        <f>IF(Tabla15[[#This Row],[11]]="",0,VLOOKUP(TRAMOS!$Q$2,Tabla5[#All],3,FALSE)*Tabla15[[#This Row],[12]])</f>
        <v>0</v>
      </c>
      <c r="T35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5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5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5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5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5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5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5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54" s="52">
        <f>IF(Tabla15[[#This Row],[20]]="",0,VLOOKUP("VRP",Tabla5[#All],3,FALSE)*Tabla15[[#This Row],[21]])</f>
        <v>0</v>
      </c>
      <c r="AC35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5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54" s="52">
        <f>IF(Tabla15[[#This Row],[23]]="",0,VLOOKUP("VC",Tabla5[#All],3,FALSE)*Tabla15[[#This Row],[24]])</f>
        <v>0</v>
      </c>
      <c r="AF35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5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54" s="52">
        <f>IF(Tabla15[[#This Row],[26]]="",0,VLOOKUP(TRAMOS!$K$2,Tabla5[#All],3,FALSE)*Tabla15[[#This Row],[27]])</f>
        <v>0</v>
      </c>
      <c r="AI35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5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5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5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5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5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5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355" spans="2:41" x14ac:dyDescent="0.25">
      <c r="B355" s="58" t="str">
        <f>Tabla1[[#This Row],[nudo inicial]]</f>
        <v>N181</v>
      </c>
      <c r="C355" s="58" t="str">
        <f>Tabla1[[#This Row],[nudo final]]</f>
        <v>TP138</v>
      </c>
      <c r="D355" s="51">
        <f>Tabla1[[#This Row],[longitud]]</f>
        <v>68.709999999999994</v>
      </c>
      <c r="E355" s="51" t="str">
        <f>Tabla1[[#This Row],[diametro]]</f>
        <v>2"</v>
      </c>
      <c r="F355" s="51" t="str">
        <f>Tabla1[[#This Row],[material]]</f>
        <v>PVC</v>
      </c>
      <c r="G35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355" s="52" t="str">
        <f>IF(Tabla1[[#This Row],[5]]="TPD",Tabla1[[#This Row],[6]],"")</f>
        <v/>
      </c>
      <c r="I355" s="52" t="str">
        <f>IF(OR(Tabla1[[#This Row],[5]]="TPD"),Tabla1[[#This Row],[7]],"")</f>
        <v/>
      </c>
      <c r="J355" s="52">
        <f>IF(Tabla15[[#This Row],[2]]="",0,VLOOKUP(TRAMOS!$H$2,Tabla5[#All],3,FALSE)*Tabla15[[#This Row],[3]])</f>
        <v>0</v>
      </c>
      <c r="K355" s="52" t="str">
        <f>IF(Tabla1[[#This Row],[5]]="TPL",Tabla1[[#This Row],[6]],"")</f>
        <v>2"</v>
      </c>
      <c r="L355" s="52">
        <f>IF(OR(Tabla1[[#This Row],[5]]="TPL"),Tabla1[[#This Row],[7]],"")</f>
        <v>1</v>
      </c>
      <c r="M355" s="52">
        <f>IF(Tabla15[[#This Row],[5]]="",0,VLOOKUP(TRAMOS!$K$2,Tabla5[#All],3,FALSE)*Tabla15[[#This Row],[6]])</f>
        <v>0.9</v>
      </c>
      <c r="N35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5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55" s="52">
        <f>IF(Tabla15[[#This Row],[8]]="",0,VLOOKUP(TRAMOS!$H$2,Tabla5[#All],3,FALSE)*Tabla15[[#This Row],[9]])</f>
        <v>0</v>
      </c>
      <c r="Q35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5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55" s="52">
        <f>IF(Tabla15[[#This Row],[11]]="",0,VLOOKUP(TRAMOS!$Q$2,Tabla5[#All],3,FALSE)*Tabla15[[#This Row],[12]])</f>
        <v>0</v>
      </c>
      <c r="T35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5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5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5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5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5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5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5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55" s="52">
        <f>IF(Tabla15[[#This Row],[20]]="",0,VLOOKUP("VRP",Tabla5[#All],3,FALSE)*Tabla15[[#This Row],[21]])</f>
        <v>0</v>
      </c>
      <c r="AC35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5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55" s="52">
        <f>IF(Tabla15[[#This Row],[23]]="",0,VLOOKUP("VC",Tabla5[#All],3,FALSE)*Tabla15[[#This Row],[24]])</f>
        <v>0</v>
      </c>
      <c r="AF35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5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55" s="52">
        <f>IF(Tabla15[[#This Row],[26]]="",0,VLOOKUP(TRAMOS!$K$2,Tabla5[#All],3,FALSE)*Tabla15[[#This Row],[27]])</f>
        <v>0</v>
      </c>
      <c r="AI35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5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5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5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5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355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35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356" spans="2:41" x14ac:dyDescent="0.25">
      <c r="B356" s="58" t="str">
        <f>Tabla1[[#This Row],[nudo inicial]]</f>
        <v>N181</v>
      </c>
      <c r="C356" s="58" t="str">
        <f>Tabla1[[#This Row],[nudo final]]</f>
        <v>TP139</v>
      </c>
      <c r="D356" s="51">
        <f>Tabla1[[#This Row],[longitud]]</f>
        <v>136.31</v>
      </c>
      <c r="E356" s="51" t="str">
        <f>Tabla1[[#This Row],[diametro]]</f>
        <v>2"</v>
      </c>
      <c r="F356" s="51" t="str">
        <f>Tabla1[[#This Row],[material]]</f>
        <v>PVC</v>
      </c>
      <c r="G35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356" s="52" t="str">
        <f>IF(Tabla1[[#This Row],[5]]="TPD",Tabla1[[#This Row],[6]],"")</f>
        <v/>
      </c>
      <c r="I356" s="52" t="str">
        <f>IF(OR(Tabla1[[#This Row],[5]]="TPD"),Tabla1[[#This Row],[7]],"")</f>
        <v/>
      </c>
      <c r="J356" s="52">
        <f>IF(Tabla15[[#This Row],[2]]="",0,VLOOKUP(TRAMOS!$H$2,Tabla5[#All],3,FALSE)*Tabla15[[#This Row],[3]])</f>
        <v>0</v>
      </c>
      <c r="K356" s="52" t="str">
        <f>IF(Tabla1[[#This Row],[5]]="TPL",Tabla1[[#This Row],[6]],"")</f>
        <v>2"</v>
      </c>
      <c r="L356" s="52">
        <f>IF(OR(Tabla1[[#This Row],[5]]="TPL"),Tabla1[[#This Row],[7]],"")</f>
        <v>1</v>
      </c>
      <c r="M356" s="52">
        <f>IF(Tabla15[[#This Row],[5]]="",0,VLOOKUP(TRAMOS!$K$2,Tabla5[#All],3,FALSE)*Tabla15[[#This Row],[6]])</f>
        <v>0.9</v>
      </c>
      <c r="N35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5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56" s="52">
        <f>IF(Tabla15[[#This Row],[8]]="",0,VLOOKUP(TRAMOS!$H$2,Tabla5[#All],3,FALSE)*Tabla15[[#This Row],[9]])</f>
        <v>0</v>
      </c>
      <c r="Q35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356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3</v>
      </c>
      <c r="S356" s="52">
        <f>IF(Tabla15[[#This Row],[11]]="",0,VLOOKUP(TRAMOS!$Q$2,Tabla5[#All],3,FALSE)*Tabla15[[#This Row],[12]])</f>
        <v>2.7</v>
      </c>
      <c r="T35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5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5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5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5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5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5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5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56" s="52">
        <f>IF(Tabla15[[#This Row],[20]]="",0,VLOOKUP("VRP",Tabla5[#All],3,FALSE)*Tabla15[[#This Row],[21]])</f>
        <v>0</v>
      </c>
      <c r="AC35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5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56" s="52">
        <f>IF(Tabla15[[#This Row],[23]]="",0,VLOOKUP("VC",Tabla5[#All],3,FALSE)*Tabla15[[#This Row],[24]])</f>
        <v>0</v>
      </c>
      <c r="AF35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5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56" s="52">
        <f>IF(Tabla15[[#This Row],[26]]="",0,VLOOKUP(TRAMOS!$K$2,Tabla5[#All],3,FALSE)*Tabla15[[#This Row],[27]])</f>
        <v>0</v>
      </c>
      <c r="AI35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5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5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5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5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35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35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3.6</v>
      </c>
    </row>
    <row r="357" spans="2:41" x14ac:dyDescent="0.25">
      <c r="B357" s="58" t="str">
        <f>Tabla1[[#This Row],[nudo inicial]]</f>
        <v>N178</v>
      </c>
      <c r="C357" s="58" t="str">
        <f>Tabla1[[#This Row],[nudo final]]</f>
        <v>N182</v>
      </c>
      <c r="D357" s="51">
        <f>Tabla1[[#This Row],[longitud]]</f>
        <v>449.12</v>
      </c>
      <c r="E357" s="51" t="str">
        <f>Tabla1[[#This Row],[diametro]]</f>
        <v>1 1/2"</v>
      </c>
      <c r="F357" s="51" t="str">
        <f>Tabla1[[#This Row],[material]]</f>
        <v>PVC</v>
      </c>
      <c r="G35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357" s="52" t="str">
        <f>IF(Tabla1[[#This Row],[5]]="TPD",Tabla1[[#This Row],[6]],"")</f>
        <v/>
      </c>
      <c r="I357" s="52" t="str">
        <f>IF(OR(Tabla1[[#This Row],[5]]="TPD"),Tabla1[[#This Row],[7]],"")</f>
        <v/>
      </c>
      <c r="J357" s="52">
        <f>IF(Tabla15[[#This Row],[2]]="",0,VLOOKUP(TRAMOS!$H$2,Tabla5[#All],3,FALSE)*Tabla15[[#This Row],[3]])</f>
        <v>0</v>
      </c>
      <c r="K357" s="52" t="str">
        <f>IF(Tabla1[[#This Row],[5]]="TPL",Tabla1[[#This Row],[6]],"")</f>
        <v>2"</v>
      </c>
      <c r="L357" s="52">
        <f>IF(OR(Tabla1[[#This Row],[5]]="TPL"),Tabla1[[#This Row],[7]],"")</f>
        <v>1</v>
      </c>
      <c r="M357" s="52">
        <f>IF(Tabla15[[#This Row],[5]]="",0,VLOOKUP(TRAMOS!$K$2,Tabla5[#All],3,FALSE)*Tabla15[[#This Row],[6]])</f>
        <v>0.9</v>
      </c>
      <c r="N35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5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57" s="52">
        <f>IF(Tabla15[[#This Row],[8]]="",0,VLOOKUP(TRAMOS!$H$2,Tabla5[#All],3,FALSE)*Tabla15[[#This Row],[9]])</f>
        <v>0</v>
      </c>
      <c r="Q35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1 1/2"</v>
      </c>
      <c r="R357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357" s="52">
        <f>IF(Tabla15[[#This Row],[11]]="",0,VLOOKUP(TRAMOS!$Q$2,Tabla5[#All],3,FALSE)*Tabla15[[#This Row],[12]])</f>
        <v>0.9</v>
      </c>
      <c r="T35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 1/2"</v>
      </c>
      <c r="U357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35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0.13850000000000007</v>
      </c>
      <c r="W35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5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5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5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5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57" s="52">
        <f>IF(Tabla15[[#This Row],[20]]="",0,VLOOKUP("VRP",Tabla5[#All],3,FALSE)*Tabla15[[#This Row],[21]])</f>
        <v>0</v>
      </c>
      <c r="AC35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5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57" s="52">
        <f>IF(Tabla15[[#This Row],[23]]="",0,VLOOKUP("VC",Tabla5[#All],3,FALSE)*Tabla15[[#This Row],[24]])</f>
        <v>0</v>
      </c>
      <c r="AF35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5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57" s="52">
        <f>IF(Tabla15[[#This Row],[26]]="",0,VLOOKUP(TRAMOS!$K$2,Tabla5[#All],3,FALSE)*Tabla15[[#This Row],[27]])</f>
        <v>0</v>
      </c>
      <c r="AI35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5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5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5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5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5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5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1.9385000000000001</v>
      </c>
    </row>
    <row r="358" spans="2:41" x14ac:dyDescent="0.25">
      <c r="B358" s="58" t="str">
        <f>Tabla1[[#This Row],[nudo inicial]]</f>
        <v>N182</v>
      </c>
      <c r="C358" s="58" t="str">
        <f>Tabla1[[#This Row],[nudo final]]</f>
        <v>TP140</v>
      </c>
      <c r="D358" s="51">
        <f>Tabla1[[#This Row],[longitud]]</f>
        <v>39.049999999999997</v>
      </c>
      <c r="E358" s="51" t="str">
        <f>Tabla1[[#This Row],[diametro]]</f>
        <v>2"</v>
      </c>
      <c r="F358" s="51" t="str">
        <f>Tabla1[[#This Row],[material]]</f>
        <v>PVC</v>
      </c>
      <c r="G35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 1/2"</v>
      </c>
      <c r="H358" s="52" t="str">
        <f>IF(Tabla1[[#This Row],[5]]="TPD",Tabla1[[#This Row],[6]],"")</f>
        <v/>
      </c>
      <c r="I358" s="52" t="str">
        <f>IF(OR(Tabla1[[#This Row],[5]]="TPD"),Tabla1[[#This Row],[7]],"")</f>
        <v/>
      </c>
      <c r="J358" s="52">
        <f>IF(Tabla15[[#This Row],[2]]="",0,VLOOKUP(TRAMOS!$H$2,Tabla5[#All],3,FALSE)*Tabla15[[#This Row],[3]])</f>
        <v>0</v>
      </c>
      <c r="K358" s="52" t="str">
        <f>IF(Tabla1[[#This Row],[5]]="TPL",Tabla1[[#This Row],[6]],"")</f>
        <v>1 1/2"</v>
      </c>
      <c r="L358" s="52">
        <f>IF(OR(Tabla1[[#This Row],[5]]="TPL"),Tabla1[[#This Row],[7]],"")</f>
        <v>1</v>
      </c>
      <c r="M358" s="52">
        <f>IF(Tabla15[[#This Row],[5]]="",0,VLOOKUP(TRAMOS!$K$2,Tabla5[#All],3,FALSE)*Tabla15[[#This Row],[6]])</f>
        <v>0.9</v>
      </c>
      <c r="N35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5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58" s="52">
        <f>IF(Tabla15[[#This Row],[8]]="",0,VLOOKUP(TRAMOS!$H$2,Tabla5[#All],3,FALSE)*Tabla15[[#This Row],[9]])</f>
        <v>0</v>
      </c>
      <c r="Q35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5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58" s="52">
        <f>IF(Tabla15[[#This Row],[11]]="",0,VLOOKUP(TRAMOS!$Q$2,Tabla5[#All],3,FALSE)*Tabla15[[#This Row],[12]])</f>
        <v>0</v>
      </c>
      <c r="T35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5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5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5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>2"</v>
      </c>
      <c r="X358" s="52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>1</v>
      </c>
      <c r="Y35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0.4740000000000002</v>
      </c>
      <c r="Z35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5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58" s="52">
        <f>IF(Tabla15[[#This Row],[20]]="",0,VLOOKUP("VRP",Tabla5[#All],3,FALSE)*Tabla15[[#This Row],[21]])</f>
        <v>0</v>
      </c>
      <c r="AC35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5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58" s="52">
        <f>IF(Tabla15[[#This Row],[23]]="",0,VLOOKUP("VC",Tabla5[#All],3,FALSE)*Tabla15[[#This Row],[24]])</f>
        <v>0</v>
      </c>
      <c r="AF35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5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58" s="52">
        <f>IF(Tabla15[[#This Row],[26]]="",0,VLOOKUP(TRAMOS!$K$2,Tabla5[#All],3,FALSE)*Tabla15[[#This Row],[27]])</f>
        <v>0</v>
      </c>
      <c r="AI35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5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5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5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5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358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35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1.3740000000000001</v>
      </c>
    </row>
    <row r="359" spans="2:41" x14ac:dyDescent="0.25">
      <c r="B359" s="58" t="str">
        <f>Tabla1[[#This Row],[nudo inicial]]</f>
        <v>N182</v>
      </c>
      <c r="C359" s="58" t="str">
        <f>Tabla1[[#This Row],[nudo final]]</f>
        <v>TP141</v>
      </c>
      <c r="D359" s="51">
        <f>Tabla1[[#This Row],[longitud]]</f>
        <v>199.22</v>
      </c>
      <c r="E359" s="51" t="str">
        <f>Tabla1[[#This Row],[diametro]]</f>
        <v>1 1/2"</v>
      </c>
      <c r="F359" s="51" t="str">
        <f>Tabla1[[#This Row],[material]]</f>
        <v>PVC</v>
      </c>
      <c r="G35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 1/2"</v>
      </c>
      <c r="H359" s="52" t="str">
        <f>IF(Tabla1[[#This Row],[5]]="TPD",Tabla1[[#This Row],[6]],"")</f>
        <v>1 1/2"</v>
      </c>
      <c r="I359" s="52">
        <f>IF(OR(Tabla1[[#This Row],[5]]="TPD"),Tabla1[[#This Row],[7]],"")</f>
        <v>1</v>
      </c>
      <c r="J359" s="52">
        <f>IF(Tabla15[[#This Row],[2]]="",0,VLOOKUP(TRAMOS!$H$2,Tabla5[#All],3,FALSE)*Tabla15[[#This Row],[3]])</f>
        <v>0.15</v>
      </c>
      <c r="K359" s="52" t="str">
        <f>IF(Tabla1[[#This Row],[5]]="TPL",Tabla1[[#This Row],[6]],"")</f>
        <v/>
      </c>
      <c r="L359" s="52" t="str">
        <f>IF(OR(Tabla1[[#This Row],[5]]="TPL"),Tabla1[[#This Row],[7]],"")</f>
        <v/>
      </c>
      <c r="M359" s="52">
        <f>IF(Tabla15[[#This Row],[5]]="",0,VLOOKUP(TRAMOS!$K$2,Tabla5[#All],3,FALSE)*Tabla15[[#This Row],[6]])</f>
        <v>0</v>
      </c>
      <c r="N35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5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59" s="52">
        <f>IF(Tabla15[[#This Row],[8]]="",0,VLOOKUP(TRAMOS!$H$2,Tabla5[#All],3,FALSE)*Tabla15[[#This Row],[9]])</f>
        <v>0</v>
      </c>
      <c r="Q35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5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59" s="52">
        <f>IF(Tabla15[[#This Row],[11]]="",0,VLOOKUP(TRAMOS!$Q$2,Tabla5[#All],3,FALSE)*Tabla15[[#This Row],[12]])</f>
        <v>0</v>
      </c>
      <c r="T35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5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5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5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5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5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5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5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59" s="52">
        <f>IF(Tabla15[[#This Row],[20]]="",0,VLOOKUP("VRP",Tabla5[#All],3,FALSE)*Tabla15[[#This Row],[21]])</f>
        <v>0</v>
      </c>
      <c r="AC35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5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59" s="52">
        <f>IF(Tabla15[[#This Row],[23]]="",0,VLOOKUP("VC",Tabla5[#All],3,FALSE)*Tabla15[[#This Row],[24]])</f>
        <v>0</v>
      </c>
      <c r="AF35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5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59" s="52">
        <f>IF(Tabla15[[#This Row],[26]]="",0,VLOOKUP(TRAMOS!$K$2,Tabla5[#All],3,FALSE)*Tabla15[[#This Row],[27]])</f>
        <v>0</v>
      </c>
      <c r="AI35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5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5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5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5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 1/2"</v>
      </c>
      <c r="AN359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35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360" spans="2:41" x14ac:dyDescent="0.25">
      <c r="B360" s="58" t="str">
        <f>Tabla1[[#This Row],[nudo inicial]]</f>
        <v>T.PROGRESO1</v>
      </c>
      <c r="C360" s="58" t="str">
        <f>Tabla1[[#This Row],[nudo final]]</f>
        <v>E.B.2</v>
      </c>
      <c r="D360" s="51">
        <f>Tabla1[[#This Row],[longitud]]</f>
        <v>769.04</v>
      </c>
      <c r="E360" s="51" t="str">
        <f>Tabla1[[#This Row],[diametro]]</f>
        <v>2 1/2"</v>
      </c>
      <c r="F360" s="51" t="str">
        <f>Tabla1[[#This Row],[material]]</f>
        <v>PVC</v>
      </c>
      <c r="G36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 1/2"</v>
      </c>
      <c r="H360" s="52" t="str">
        <f>IF(Tabla1[[#This Row],[5]]="TPD",Tabla1[[#This Row],[6]],"")</f>
        <v/>
      </c>
      <c r="I360" s="52" t="str">
        <f>IF(OR(Tabla1[[#This Row],[5]]="TPD"),Tabla1[[#This Row],[7]],"")</f>
        <v/>
      </c>
      <c r="J360" s="52">
        <f>IF(Tabla15[[#This Row],[2]]="",0,VLOOKUP(TRAMOS!$H$2,Tabla5[#All],3,FALSE)*Tabla15[[#This Row],[3]])</f>
        <v>0</v>
      </c>
      <c r="K360" s="52" t="str">
        <f>IF(Tabla1[[#This Row],[5]]="TPL",Tabla1[[#This Row],[6]],"")</f>
        <v/>
      </c>
      <c r="L360" s="52" t="str">
        <f>IF(OR(Tabla1[[#This Row],[5]]="TPL"),Tabla1[[#This Row],[7]],"")</f>
        <v/>
      </c>
      <c r="M360" s="52">
        <f>IF(Tabla15[[#This Row],[5]]="",0,VLOOKUP(TRAMOS!$K$2,Tabla5[#All],3,FALSE)*Tabla15[[#This Row],[6]])</f>
        <v>0</v>
      </c>
      <c r="N36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6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60" s="52">
        <f>IF(Tabla15[[#This Row],[8]]="",0,VLOOKUP(TRAMOS!$H$2,Tabla5[#All],3,FALSE)*Tabla15[[#This Row],[9]])</f>
        <v>0</v>
      </c>
      <c r="Q36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 1/2"</v>
      </c>
      <c r="R360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3</v>
      </c>
      <c r="S360" s="52">
        <f>IF(Tabla15[[#This Row],[11]]="",0,VLOOKUP(TRAMOS!$Q$2,Tabla5[#All],3,FALSE)*Tabla15[[#This Row],[12]])</f>
        <v>2.7</v>
      </c>
      <c r="T36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6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6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6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6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6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6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6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60" s="52">
        <f>IF(Tabla15[[#This Row],[20]]="",0,VLOOKUP("VRP",Tabla5[#All],3,FALSE)*Tabla15[[#This Row],[21]])</f>
        <v>0</v>
      </c>
      <c r="AC36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6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60" s="52">
        <f>IF(Tabla15[[#This Row],[23]]="",0,VLOOKUP("VC",Tabla5[#All],3,FALSE)*Tabla15[[#This Row],[24]])</f>
        <v>0</v>
      </c>
      <c r="AF36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6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60" s="52">
        <f>IF(Tabla15[[#This Row],[26]]="",0,VLOOKUP(TRAMOS!$K$2,Tabla5[#All],3,FALSE)*Tabla15[[#This Row],[27]])</f>
        <v>0</v>
      </c>
      <c r="AI36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6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6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6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6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6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6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2.7</v>
      </c>
    </row>
    <row r="361" spans="2:41" x14ac:dyDescent="0.25">
      <c r="B361" s="58" t="str">
        <f>Tabla1[[#This Row],[nudo inicial]]</f>
        <v>E.B.2</v>
      </c>
      <c r="C361" s="58" t="str">
        <f>Tabla1[[#This Row],[nudo final]]</f>
        <v>N183</v>
      </c>
      <c r="D361" s="51">
        <f>Tabla1[[#This Row],[longitud]]</f>
        <v>16.73</v>
      </c>
      <c r="E361" s="51" t="str">
        <f>Tabla1[[#This Row],[diametro]]</f>
        <v>3"</v>
      </c>
      <c r="F361" s="51" t="str">
        <f>Tabla1[[#This Row],[material]]</f>
        <v>PVC</v>
      </c>
      <c r="G36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 1/2"</v>
      </c>
      <c r="H361" s="52" t="str">
        <f>IF(Tabla1[[#This Row],[5]]="TPD",Tabla1[[#This Row],[6]],"")</f>
        <v/>
      </c>
      <c r="I361" s="52" t="str">
        <f>IF(OR(Tabla1[[#This Row],[5]]="TPD"),Tabla1[[#This Row],[7]],"")</f>
        <v/>
      </c>
      <c r="J361" s="52">
        <f>IF(Tabla15[[#This Row],[2]]="",0,VLOOKUP(TRAMOS!$H$2,Tabla5[#All],3,FALSE)*Tabla15[[#This Row],[3]])</f>
        <v>0</v>
      </c>
      <c r="K361" s="52" t="str">
        <f>IF(Tabla1[[#This Row],[5]]="TPL",Tabla1[[#This Row],[6]],"")</f>
        <v/>
      </c>
      <c r="L361" s="52" t="str">
        <f>IF(OR(Tabla1[[#This Row],[5]]="TPL"),Tabla1[[#This Row],[7]],"")</f>
        <v/>
      </c>
      <c r="M361" s="52">
        <f>IF(Tabla15[[#This Row],[5]]="",0,VLOOKUP(TRAMOS!$K$2,Tabla5[#All],3,FALSE)*Tabla15[[#This Row],[6]])</f>
        <v>0</v>
      </c>
      <c r="N36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6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61" s="52">
        <f>IF(Tabla15[[#This Row],[8]]="",0,VLOOKUP(TRAMOS!$H$2,Tabla5[#All],3,FALSE)*Tabla15[[#This Row],[9]])</f>
        <v>0</v>
      </c>
      <c r="Q36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3"</v>
      </c>
      <c r="R361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361" s="52">
        <f>IF(Tabla15[[#This Row],[11]]="",0,VLOOKUP(TRAMOS!$Q$2,Tabla5[#All],3,FALSE)*Tabla15[[#This Row],[12]])</f>
        <v>0.9</v>
      </c>
      <c r="T36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6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6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6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6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6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6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6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61" s="52">
        <f>IF(Tabla15[[#This Row],[20]]="",0,VLOOKUP("VRP",Tabla5[#All],3,FALSE)*Tabla15[[#This Row],[21]])</f>
        <v>0</v>
      </c>
      <c r="AC36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6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61" s="52">
        <f>IF(Tabla15[[#This Row],[23]]="",0,VLOOKUP("VC",Tabla5[#All],3,FALSE)*Tabla15[[#This Row],[24]])</f>
        <v>0</v>
      </c>
      <c r="AF36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6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61" s="52">
        <f>IF(Tabla15[[#This Row],[26]]="",0,VLOOKUP(TRAMOS!$K$2,Tabla5[#All],3,FALSE)*Tabla15[[#This Row],[27]])</f>
        <v>0</v>
      </c>
      <c r="AI36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6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6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6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6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6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6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362" spans="2:41" x14ac:dyDescent="0.25">
      <c r="B362" s="58" t="str">
        <f>Tabla1[[#This Row],[nudo inicial]]</f>
        <v>N183</v>
      </c>
      <c r="C362" s="58" t="str">
        <f>Tabla1[[#This Row],[nudo final]]</f>
        <v>N184</v>
      </c>
      <c r="D362" s="51">
        <f>Tabla1[[#This Row],[longitud]]</f>
        <v>49.15</v>
      </c>
      <c r="E362" s="51" t="str">
        <f>Tabla1[[#This Row],[diametro]]</f>
        <v>3"</v>
      </c>
      <c r="F362" s="51" t="str">
        <f>Tabla1[[#This Row],[material]]</f>
        <v>PVC</v>
      </c>
      <c r="G36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362" s="52" t="str">
        <f>IF(Tabla1[[#This Row],[5]]="TPD",Tabla1[[#This Row],[6]],"")</f>
        <v/>
      </c>
      <c r="I362" s="52" t="str">
        <f>IF(OR(Tabla1[[#This Row],[5]]="TPD"),Tabla1[[#This Row],[7]],"")</f>
        <v/>
      </c>
      <c r="J362" s="52">
        <f>IF(Tabla15[[#This Row],[2]]="",0,VLOOKUP(TRAMOS!$H$2,Tabla5[#All],3,FALSE)*Tabla15[[#This Row],[3]])</f>
        <v>0</v>
      </c>
      <c r="K362" s="52" t="str">
        <f>IF(Tabla1[[#This Row],[5]]="TPL",Tabla1[[#This Row],[6]],"")</f>
        <v>3"</v>
      </c>
      <c r="L362" s="52">
        <f>IF(OR(Tabla1[[#This Row],[5]]="TPL"),Tabla1[[#This Row],[7]],"")</f>
        <v>1</v>
      </c>
      <c r="M362" s="52">
        <f>IF(Tabla15[[#This Row],[5]]="",0,VLOOKUP(TRAMOS!$K$2,Tabla5[#All],3,FALSE)*Tabla15[[#This Row],[6]])</f>
        <v>0.9</v>
      </c>
      <c r="N36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6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62" s="52">
        <f>IF(Tabla15[[#This Row],[8]]="",0,VLOOKUP(TRAMOS!$H$2,Tabla5[#All],3,FALSE)*Tabla15[[#This Row],[9]])</f>
        <v>0</v>
      </c>
      <c r="Q36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6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62" s="52">
        <f>IF(Tabla15[[#This Row],[11]]="",0,VLOOKUP(TRAMOS!$Q$2,Tabla5[#All],3,FALSE)*Tabla15[[#This Row],[12]])</f>
        <v>0</v>
      </c>
      <c r="T36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6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6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6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6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6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6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6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62" s="52">
        <f>IF(Tabla15[[#This Row],[20]]="",0,VLOOKUP("VRP",Tabla5[#All],3,FALSE)*Tabla15[[#This Row],[21]])</f>
        <v>0</v>
      </c>
      <c r="AC36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6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62" s="52">
        <f>IF(Tabla15[[#This Row],[23]]="",0,VLOOKUP("VC",Tabla5[#All],3,FALSE)*Tabla15[[#This Row],[24]])</f>
        <v>0</v>
      </c>
      <c r="AF36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6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62" s="52">
        <f>IF(Tabla15[[#This Row],[26]]="",0,VLOOKUP(TRAMOS!$K$2,Tabla5[#All],3,FALSE)*Tabla15[[#This Row],[27]])</f>
        <v>0</v>
      </c>
      <c r="AI36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6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6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6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6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6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6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363" spans="2:41" x14ac:dyDescent="0.25">
      <c r="B363" s="58" t="str">
        <f>Tabla1[[#This Row],[nudo inicial]]</f>
        <v>N184</v>
      </c>
      <c r="C363" s="58" t="str">
        <f>Tabla1[[#This Row],[nudo final]]</f>
        <v>TP142</v>
      </c>
      <c r="D363" s="51">
        <f>Tabla1[[#This Row],[longitud]]</f>
        <v>5.45</v>
      </c>
      <c r="E363" s="51" t="str">
        <f>Tabla1[[#This Row],[diametro]]</f>
        <v>3"</v>
      </c>
      <c r="F363" s="51" t="str">
        <f>Tabla1[[#This Row],[material]]</f>
        <v>PVC</v>
      </c>
      <c r="G36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363" s="52" t="str">
        <f>IF(Tabla1[[#This Row],[5]]="TPD",Tabla1[[#This Row],[6]],"")</f>
        <v>3"</v>
      </c>
      <c r="I363" s="52">
        <f>IF(OR(Tabla1[[#This Row],[5]]="TPD"),Tabla1[[#This Row],[7]],"")</f>
        <v>1</v>
      </c>
      <c r="J363" s="52">
        <f>IF(Tabla15[[#This Row],[2]]="",0,VLOOKUP(TRAMOS!$H$2,Tabla5[#All],3,FALSE)*Tabla15[[#This Row],[3]])</f>
        <v>0.15</v>
      </c>
      <c r="K363" s="52" t="str">
        <f>IF(Tabla1[[#This Row],[5]]="TPL",Tabla1[[#This Row],[6]],"")</f>
        <v/>
      </c>
      <c r="L363" s="52" t="str">
        <f>IF(OR(Tabla1[[#This Row],[5]]="TPL"),Tabla1[[#This Row],[7]],"")</f>
        <v/>
      </c>
      <c r="M363" s="52">
        <f>IF(Tabla15[[#This Row],[5]]="",0,VLOOKUP(TRAMOS!$K$2,Tabla5[#All],3,FALSE)*Tabla15[[#This Row],[6]])</f>
        <v>0</v>
      </c>
      <c r="N36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6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63" s="52">
        <f>IF(Tabla15[[#This Row],[8]]="",0,VLOOKUP(TRAMOS!$H$2,Tabla5[#All],3,FALSE)*Tabla15[[#This Row],[9]])</f>
        <v>0</v>
      </c>
      <c r="Q36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6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63" s="52">
        <f>IF(Tabla15[[#This Row],[11]]="",0,VLOOKUP(TRAMOS!$Q$2,Tabla5[#All],3,FALSE)*Tabla15[[#This Row],[12]])</f>
        <v>0</v>
      </c>
      <c r="T36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6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6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6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6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6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6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6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63" s="52">
        <f>IF(Tabla15[[#This Row],[20]]="",0,VLOOKUP("VRP",Tabla5[#All],3,FALSE)*Tabla15[[#This Row],[21]])</f>
        <v>0</v>
      </c>
      <c r="AC36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363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363" s="52">
        <f>IF(Tabla15[[#This Row],[23]]="",0,VLOOKUP("VC",Tabla5[#All],3,FALSE)*Tabla15[[#This Row],[24]])</f>
        <v>0.25</v>
      </c>
      <c r="AF36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6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63" s="52">
        <f>IF(Tabla15[[#This Row],[26]]="",0,VLOOKUP(TRAMOS!$K$2,Tabla5[#All],3,FALSE)*Tabla15[[#This Row],[27]])</f>
        <v>0</v>
      </c>
      <c r="AI36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6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6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6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6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363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36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0.4</v>
      </c>
    </row>
    <row r="364" spans="2:41" x14ac:dyDescent="0.25">
      <c r="B364" s="58" t="str">
        <f>Tabla1[[#This Row],[nudo inicial]]</f>
        <v>N184</v>
      </c>
      <c r="C364" s="58" t="str">
        <f>Tabla1[[#This Row],[nudo final]]</f>
        <v>N185</v>
      </c>
      <c r="D364" s="51">
        <f>Tabla1[[#This Row],[longitud]]</f>
        <v>608.84</v>
      </c>
      <c r="E364" s="51" t="str">
        <f>Tabla1[[#This Row],[diametro]]</f>
        <v>2"</v>
      </c>
      <c r="F364" s="51" t="str">
        <f>Tabla1[[#This Row],[material]]</f>
        <v>PVC</v>
      </c>
      <c r="G36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364" s="52" t="str">
        <f>IF(Tabla1[[#This Row],[5]]="TPD",Tabla1[[#This Row],[6]],"")</f>
        <v/>
      </c>
      <c r="I364" s="52" t="str">
        <f>IF(OR(Tabla1[[#This Row],[5]]="TPD"),Tabla1[[#This Row],[7]],"")</f>
        <v/>
      </c>
      <c r="J364" s="52">
        <f>IF(Tabla15[[#This Row],[2]]="",0,VLOOKUP(TRAMOS!$H$2,Tabla5[#All],3,FALSE)*Tabla15[[#This Row],[3]])</f>
        <v>0</v>
      </c>
      <c r="K364" s="52" t="str">
        <f>IF(Tabla1[[#This Row],[5]]="TPL",Tabla1[[#This Row],[6]],"")</f>
        <v>3"</v>
      </c>
      <c r="L364" s="52">
        <f>IF(OR(Tabla1[[#This Row],[5]]="TPL"),Tabla1[[#This Row],[7]],"")</f>
        <v>1</v>
      </c>
      <c r="M364" s="52">
        <f>IF(Tabla15[[#This Row],[5]]="",0,VLOOKUP(TRAMOS!$K$2,Tabla5[#All],3,FALSE)*Tabla15[[#This Row],[6]])</f>
        <v>0.9</v>
      </c>
      <c r="N36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6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64" s="52">
        <f>IF(Tabla15[[#This Row],[8]]="",0,VLOOKUP(TRAMOS!$H$2,Tabla5[#All],3,FALSE)*Tabla15[[#This Row],[9]])</f>
        <v>0</v>
      </c>
      <c r="Q36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364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364" s="52">
        <f>IF(Tabla15[[#This Row],[11]]="",0,VLOOKUP(TRAMOS!$Q$2,Tabla5[#All],3,FALSE)*Tabla15[[#This Row],[12]])</f>
        <v>0.9</v>
      </c>
      <c r="T36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364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36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36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6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6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6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6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64" s="52">
        <f>IF(Tabla15[[#This Row],[20]]="",0,VLOOKUP("VRP",Tabla5[#All],3,FALSE)*Tabla15[[#This Row],[21]])</f>
        <v>0</v>
      </c>
      <c r="AC36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6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64" s="52">
        <f>IF(Tabla15[[#This Row],[23]]="",0,VLOOKUP("VC",Tabla5[#All],3,FALSE)*Tabla15[[#This Row],[24]])</f>
        <v>0</v>
      </c>
      <c r="AF36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6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64" s="52">
        <f>IF(Tabla15[[#This Row],[26]]="",0,VLOOKUP(TRAMOS!$K$2,Tabla5[#All],3,FALSE)*Tabla15[[#This Row],[27]])</f>
        <v>0</v>
      </c>
      <c r="AI36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6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6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6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6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6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6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2.0150000000000001</v>
      </c>
    </row>
    <row r="365" spans="2:41" x14ac:dyDescent="0.25">
      <c r="B365" s="58" t="str">
        <f>Tabla1[[#This Row],[nudo inicial]]</f>
        <v>N185</v>
      </c>
      <c r="C365" s="58" t="str">
        <f>Tabla1[[#This Row],[nudo final]]</f>
        <v>TP143</v>
      </c>
      <c r="D365" s="51">
        <f>Tabla1[[#This Row],[longitud]]</f>
        <v>204.67</v>
      </c>
      <c r="E365" s="51" t="str">
        <f>Tabla1[[#This Row],[diametro]]</f>
        <v>2"</v>
      </c>
      <c r="F365" s="51" t="str">
        <f>Tabla1[[#This Row],[material]]</f>
        <v>PVC</v>
      </c>
      <c r="G36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365" s="52" t="str">
        <f>IF(Tabla1[[#This Row],[5]]="TPD",Tabla1[[#This Row],[6]],"")</f>
        <v/>
      </c>
      <c r="I365" s="52" t="str">
        <f>IF(OR(Tabla1[[#This Row],[5]]="TPD"),Tabla1[[#This Row],[7]],"")</f>
        <v/>
      </c>
      <c r="J365" s="52">
        <f>IF(Tabla15[[#This Row],[2]]="",0,VLOOKUP(TRAMOS!$H$2,Tabla5[#All],3,FALSE)*Tabla15[[#This Row],[3]])</f>
        <v>0</v>
      </c>
      <c r="K365" s="52" t="str">
        <f>IF(Tabla1[[#This Row],[5]]="TPL",Tabla1[[#This Row],[6]],"")</f>
        <v>2"</v>
      </c>
      <c r="L365" s="52">
        <f>IF(OR(Tabla1[[#This Row],[5]]="TPL"),Tabla1[[#This Row],[7]],"")</f>
        <v>1</v>
      </c>
      <c r="M365" s="52">
        <f>IF(Tabla15[[#This Row],[5]]="",0,VLOOKUP(TRAMOS!$K$2,Tabla5[#All],3,FALSE)*Tabla15[[#This Row],[6]])</f>
        <v>0.9</v>
      </c>
      <c r="N36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6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65" s="52">
        <f>IF(Tabla15[[#This Row],[8]]="",0,VLOOKUP(TRAMOS!$H$2,Tabla5[#All],3,FALSE)*Tabla15[[#This Row],[9]])</f>
        <v>0</v>
      </c>
      <c r="Q36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365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365" s="52">
        <f>IF(Tabla15[[#This Row],[11]]="",0,VLOOKUP(TRAMOS!$Q$2,Tabla5[#All],3,FALSE)*Tabla15[[#This Row],[12]])</f>
        <v>0.9</v>
      </c>
      <c r="T36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6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6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6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6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6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6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6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65" s="52">
        <f>IF(Tabla15[[#This Row],[20]]="",0,VLOOKUP("VRP",Tabla5[#All],3,FALSE)*Tabla15[[#This Row],[21]])</f>
        <v>0</v>
      </c>
      <c r="AC36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365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365" s="52">
        <f>IF(Tabla15[[#This Row],[23]]="",0,VLOOKUP("VC",Tabla5[#All],3,FALSE)*Tabla15[[#This Row],[24]])</f>
        <v>0.25</v>
      </c>
      <c r="AF36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6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65" s="52">
        <f>IF(Tabla15[[#This Row],[26]]="",0,VLOOKUP(TRAMOS!$K$2,Tabla5[#All],3,FALSE)*Tabla15[[#This Row],[27]])</f>
        <v>0</v>
      </c>
      <c r="AI36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6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6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6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6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365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36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2.0499999999999998</v>
      </c>
    </row>
    <row r="366" spans="2:41" x14ac:dyDescent="0.25">
      <c r="B366" s="58" t="str">
        <f>Tabla1[[#This Row],[nudo inicial]]</f>
        <v>N185</v>
      </c>
      <c r="C366" s="58" t="str">
        <f>Tabla1[[#This Row],[nudo final]]</f>
        <v>TP144</v>
      </c>
      <c r="D366" s="51">
        <f>Tabla1[[#This Row],[longitud]]</f>
        <v>70.73</v>
      </c>
      <c r="E366" s="51" t="str">
        <f>Tabla1[[#This Row],[diametro]]</f>
        <v>2"</v>
      </c>
      <c r="F366" s="51" t="str">
        <f>Tabla1[[#This Row],[material]]</f>
        <v>PVC</v>
      </c>
      <c r="G36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366" s="52" t="str">
        <f>IF(Tabla1[[#This Row],[5]]="TPD",Tabla1[[#This Row],[6]],"")</f>
        <v>2"</v>
      </c>
      <c r="I366" s="52">
        <f>IF(OR(Tabla1[[#This Row],[5]]="TPD"),Tabla1[[#This Row],[7]],"")</f>
        <v>1</v>
      </c>
      <c r="J366" s="52">
        <f>IF(Tabla15[[#This Row],[2]]="",0,VLOOKUP(TRAMOS!$H$2,Tabla5[#All],3,FALSE)*Tabla15[[#This Row],[3]])</f>
        <v>0.15</v>
      </c>
      <c r="K366" s="52" t="str">
        <f>IF(Tabla1[[#This Row],[5]]="TPL",Tabla1[[#This Row],[6]],"")</f>
        <v/>
      </c>
      <c r="L366" s="52" t="str">
        <f>IF(OR(Tabla1[[#This Row],[5]]="TPL"),Tabla1[[#This Row],[7]],"")</f>
        <v/>
      </c>
      <c r="M366" s="52">
        <f>IF(Tabla15[[#This Row],[5]]="",0,VLOOKUP(TRAMOS!$K$2,Tabla5[#All],3,FALSE)*Tabla15[[#This Row],[6]])</f>
        <v>0</v>
      </c>
      <c r="N36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6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66" s="52">
        <f>IF(Tabla15[[#This Row],[8]]="",0,VLOOKUP(TRAMOS!$H$2,Tabla5[#All],3,FALSE)*Tabla15[[#This Row],[9]])</f>
        <v>0</v>
      </c>
      <c r="Q36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366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366" s="52">
        <f>IF(Tabla15[[#This Row],[11]]="",0,VLOOKUP(TRAMOS!$Q$2,Tabla5[#All],3,FALSE)*Tabla15[[#This Row],[12]])</f>
        <v>0.9</v>
      </c>
      <c r="T36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6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6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6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6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6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6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6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66" s="52">
        <f>IF(Tabla15[[#This Row],[20]]="",0,VLOOKUP("VRP",Tabla5[#All],3,FALSE)*Tabla15[[#This Row],[21]])</f>
        <v>0</v>
      </c>
      <c r="AC36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6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66" s="52">
        <f>IF(Tabla15[[#This Row],[23]]="",0,VLOOKUP("VC",Tabla5[#All],3,FALSE)*Tabla15[[#This Row],[24]])</f>
        <v>0</v>
      </c>
      <c r="AF36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6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66" s="52">
        <f>IF(Tabla15[[#This Row],[26]]="",0,VLOOKUP(TRAMOS!$K$2,Tabla5[#All],3,FALSE)*Tabla15[[#This Row],[27]])</f>
        <v>0</v>
      </c>
      <c r="AI36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6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6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6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6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36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36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367" spans="2:41" x14ac:dyDescent="0.25">
      <c r="B367" s="58" t="str">
        <f>Tabla1[[#This Row],[nudo inicial]]</f>
        <v>N183</v>
      </c>
      <c r="C367" s="58" t="str">
        <f>Tabla1[[#This Row],[nudo final]]</f>
        <v>N186</v>
      </c>
      <c r="D367" s="51">
        <f>Tabla1[[#This Row],[longitud]]</f>
        <v>264.85000000000002</v>
      </c>
      <c r="E367" s="51" t="str">
        <f>Tabla1[[#This Row],[diametro]]</f>
        <v>4"</v>
      </c>
      <c r="F367" s="51" t="str">
        <f>Tabla1[[#This Row],[material]]</f>
        <v>PVC</v>
      </c>
      <c r="G36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367" s="52" t="str">
        <f>IF(Tabla1[[#This Row],[5]]="TPD",Tabla1[[#This Row],[6]],"")</f>
        <v>3"</v>
      </c>
      <c r="I367" s="52">
        <f>IF(OR(Tabla1[[#This Row],[5]]="TPD"),Tabla1[[#This Row],[7]],"")</f>
        <v>1</v>
      </c>
      <c r="J367" s="52">
        <f>IF(Tabla15[[#This Row],[2]]="",0,VLOOKUP(TRAMOS!$H$2,Tabla5[#All],3,FALSE)*Tabla15[[#This Row],[3]])</f>
        <v>0.15</v>
      </c>
      <c r="K367" s="52" t="str">
        <f>IF(Tabla1[[#This Row],[5]]="TPL",Tabla1[[#This Row],[6]],"")</f>
        <v/>
      </c>
      <c r="L367" s="52" t="str">
        <f>IF(OR(Tabla1[[#This Row],[5]]="TPL"),Tabla1[[#This Row],[7]],"")</f>
        <v/>
      </c>
      <c r="M367" s="52">
        <f>IF(Tabla15[[#This Row],[5]]="",0,VLOOKUP(TRAMOS!$K$2,Tabla5[#All],3,FALSE)*Tabla15[[#This Row],[6]])</f>
        <v>0</v>
      </c>
      <c r="N36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6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67" s="52">
        <f>IF(Tabla15[[#This Row],[8]]="",0,VLOOKUP(TRAMOS!$H$2,Tabla5[#All],3,FALSE)*Tabla15[[#This Row],[9]])</f>
        <v>0</v>
      </c>
      <c r="Q36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4"</v>
      </c>
      <c r="R367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367" s="52">
        <f>IF(Tabla15[[#This Row],[11]]="",0,VLOOKUP(TRAMOS!$Q$2,Tabla5[#All],3,FALSE)*Tabla15[[#This Row],[12]])</f>
        <v>0.9</v>
      </c>
      <c r="T36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6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6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6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>4"</v>
      </c>
      <c r="X367" s="52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>1</v>
      </c>
      <c r="Y36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0.4740000000000002</v>
      </c>
      <c r="Z36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6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67" s="52">
        <f>IF(Tabla15[[#This Row],[20]]="",0,VLOOKUP("VRP",Tabla5[#All],3,FALSE)*Tabla15[[#This Row],[21]])</f>
        <v>0</v>
      </c>
      <c r="AC36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4"</v>
      </c>
      <c r="AD367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367" s="52">
        <f>IF(Tabla15[[#This Row],[23]]="",0,VLOOKUP("VC",Tabla5[#All],3,FALSE)*Tabla15[[#This Row],[24]])</f>
        <v>0.25</v>
      </c>
      <c r="AF36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6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67" s="52">
        <f>IF(Tabla15[[#This Row],[26]]="",0,VLOOKUP(TRAMOS!$K$2,Tabla5[#All],3,FALSE)*Tabla15[[#This Row],[27]])</f>
        <v>0</v>
      </c>
      <c r="AI36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6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6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6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6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6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6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1.7740000000000002</v>
      </c>
    </row>
    <row r="368" spans="2:41" x14ac:dyDescent="0.25">
      <c r="B368" s="58" t="str">
        <f>Tabla1[[#This Row],[nudo inicial]]</f>
        <v>N186</v>
      </c>
      <c r="C368" s="58" t="str">
        <f>Tabla1[[#This Row],[nudo final]]</f>
        <v>N187</v>
      </c>
      <c r="D368" s="51">
        <f>Tabla1[[#This Row],[longitud]]</f>
        <v>75.06</v>
      </c>
      <c r="E368" s="51" t="str">
        <f>Tabla1[[#This Row],[diametro]]</f>
        <v>3"</v>
      </c>
      <c r="F368" s="51" t="str">
        <f>Tabla1[[#This Row],[material]]</f>
        <v>PVC</v>
      </c>
      <c r="G36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368" s="52" t="str">
        <f>IF(Tabla1[[#This Row],[5]]="TPD",Tabla1[[#This Row],[6]],"")</f>
        <v>4"</v>
      </c>
      <c r="I368" s="52">
        <f>IF(OR(Tabla1[[#This Row],[5]]="TPD"),Tabla1[[#This Row],[7]],"")</f>
        <v>1</v>
      </c>
      <c r="J368" s="52">
        <f>IF(Tabla15[[#This Row],[2]]="",0,VLOOKUP(TRAMOS!$H$2,Tabla5[#All],3,FALSE)*Tabla15[[#This Row],[3]])</f>
        <v>0.15</v>
      </c>
      <c r="K368" s="52" t="str">
        <f>IF(Tabla1[[#This Row],[5]]="TPL",Tabla1[[#This Row],[6]],"")</f>
        <v/>
      </c>
      <c r="L368" s="52" t="str">
        <f>IF(OR(Tabla1[[#This Row],[5]]="TPL"),Tabla1[[#This Row],[7]],"")</f>
        <v/>
      </c>
      <c r="M368" s="52">
        <f>IF(Tabla15[[#This Row],[5]]="",0,VLOOKUP(TRAMOS!$K$2,Tabla5[#All],3,FALSE)*Tabla15[[#This Row],[6]])</f>
        <v>0</v>
      </c>
      <c r="N36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6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68" s="52">
        <f>IF(Tabla15[[#This Row],[8]]="",0,VLOOKUP(TRAMOS!$H$2,Tabla5[#All],3,FALSE)*Tabla15[[#This Row],[9]])</f>
        <v>0</v>
      </c>
      <c r="Q36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6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68" s="52">
        <f>IF(Tabla15[[#This Row],[11]]="",0,VLOOKUP(TRAMOS!$Q$2,Tabla5[#All],3,FALSE)*Tabla15[[#This Row],[12]])</f>
        <v>0</v>
      </c>
      <c r="T36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368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36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0.13850000000000007</v>
      </c>
      <c r="W36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6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6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6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6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68" s="52">
        <f>IF(Tabla15[[#This Row],[20]]="",0,VLOOKUP("VRP",Tabla5[#All],3,FALSE)*Tabla15[[#This Row],[21]])</f>
        <v>0</v>
      </c>
      <c r="AC36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368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368" s="52">
        <f>IF(Tabla15[[#This Row],[23]]="",0,VLOOKUP("VC",Tabla5[#All],3,FALSE)*Tabla15[[#This Row],[24]])</f>
        <v>0.25</v>
      </c>
      <c r="AF36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6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68" s="52">
        <f>IF(Tabla15[[#This Row],[26]]="",0,VLOOKUP(TRAMOS!$K$2,Tabla5[#All],3,FALSE)*Tabla15[[#This Row],[27]])</f>
        <v>0</v>
      </c>
      <c r="AI36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6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6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6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6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6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6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0.53850000000000009</v>
      </c>
    </row>
    <row r="369" spans="2:41" x14ac:dyDescent="0.25">
      <c r="B369" s="58" t="str">
        <f>Tabla1[[#This Row],[nudo inicial]]</f>
        <v>N187</v>
      </c>
      <c r="C369" s="58" t="str">
        <f>Tabla1[[#This Row],[nudo final]]</f>
        <v>N188</v>
      </c>
      <c r="D369" s="51">
        <f>Tabla1[[#This Row],[longitud]]</f>
        <v>91.35</v>
      </c>
      <c r="E369" s="51" t="str">
        <f>Tabla1[[#This Row],[diametro]]</f>
        <v>3"</v>
      </c>
      <c r="F369" s="51" t="str">
        <f>Tabla1[[#This Row],[material]]</f>
        <v>PVC</v>
      </c>
      <c r="G36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369" s="52" t="str">
        <f>IF(Tabla1[[#This Row],[5]]="TPD",Tabla1[[#This Row],[6]],"")</f>
        <v/>
      </c>
      <c r="I369" s="52" t="str">
        <f>IF(OR(Tabla1[[#This Row],[5]]="TPD"),Tabla1[[#This Row],[7]],"")</f>
        <v/>
      </c>
      <c r="J369" s="52">
        <f>IF(Tabla15[[#This Row],[2]]="",0,VLOOKUP(TRAMOS!$H$2,Tabla5[#All],3,FALSE)*Tabla15[[#This Row],[3]])</f>
        <v>0</v>
      </c>
      <c r="K369" s="52" t="str">
        <f>IF(Tabla1[[#This Row],[5]]="TPL",Tabla1[[#This Row],[6]],"")</f>
        <v>3"</v>
      </c>
      <c r="L369" s="52">
        <f>IF(OR(Tabla1[[#This Row],[5]]="TPL"),Tabla1[[#This Row],[7]],"")</f>
        <v>1</v>
      </c>
      <c r="M369" s="52">
        <f>IF(Tabla15[[#This Row],[5]]="",0,VLOOKUP(TRAMOS!$K$2,Tabla5[#All],3,FALSE)*Tabla15[[#This Row],[6]])</f>
        <v>0.9</v>
      </c>
      <c r="N36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6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69" s="52">
        <f>IF(Tabla15[[#This Row],[8]]="",0,VLOOKUP(TRAMOS!$H$2,Tabla5[#All],3,FALSE)*Tabla15[[#This Row],[9]])</f>
        <v>0</v>
      </c>
      <c r="Q36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6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69" s="52">
        <f>IF(Tabla15[[#This Row],[11]]="",0,VLOOKUP(TRAMOS!$Q$2,Tabla5[#All],3,FALSE)*Tabla15[[#This Row],[12]])</f>
        <v>0</v>
      </c>
      <c r="T36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6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6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6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6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6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6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6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69" s="52">
        <f>IF(Tabla15[[#This Row],[20]]="",0,VLOOKUP("VRP",Tabla5[#All],3,FALSE)*Tabla15[[#This Row],[21]])</f>
        <v>0</v>
      </c>
      <c r="AC36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6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69" s="52">
        <f>IF(Tabla15[[#This Row],[23]]="",0,VLOOKUP("VC",Tabla5[#All],3,FALSE)*Tabla15[[#This Row],[24]])</f>
        <v>0</v>
      </c>
      <c r="AF36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6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69" s="52">
        <f>IF(Tabla15[[#This Row],[26]]="",0,VLOOKUP(TRAMOS!$K$2,Tabla5[#All],3,FALSE)*Tabla15[[#This Row],[27]])</f>
        <v>0</v>
      </c>
      <c r="AI36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6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6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6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6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6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6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370" spans="2:41" x14ac:dyDescent="0.25">
      <c r="B370" s="58" t="str">
        <f>Tabla1[[#This Row],[nudo inicial]]</f>
        <v>N187</v>
      </c>
      <c r="C370" s="58" t="str">
        <f>Tabla1[[#This Row],[nudo final]]</f>
        <v>N189</v>
      </c>
      <c r="D370" s="51">
        <f>Tabla1[[#This Row],[longitud]]</f>
        <v>165.78</v>
      </c>
      <c r="E370" s="51" t="str">
        <f>Tabla1[[#This Row],[diametro]]</f>
        <v>3"</v>
      </c>
      <c r="F370" s="51" t="str">
        <f>Tabla1[[#This Row],[material]]</f>
        <v>PVC</v>
      </c>
      <c r="G37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370" s="52" t="str">
        <f>IF(Tabla1[[#This Row],[5]]="TPD",Tabla1[[#This Row],[6]],"")</f>
        <v>3"</v>
      </c>
      <c r="I370" s="52">
        <f>IF(OR(Tabla1[[#This Row],[5]]="TPD"),Tabla1[[#This Row],[7]],"")</f>
        <v>1</v>
      </c>
      <c r="J370" s="52">
        <f>IF(Tabla15[[#This Row],[2]]="",0,VLOOKUP(TRAMOS!$H$2,Tabla5[#All],3,FALSE)*Tabla15[[#This Row],[3]])</f>
        <v>0.15</v>
      </c>
      <c r="K370" s="52" t="str">
        <f>IF(Tabla1[[#This Row],[5]]="TPL",Tabla1[[#This Row],[6]],"")</f>
        <v/>
      </c>
      <c r="L370" s="52" t="str">
        <f>IF(OR(Tabla1[[#This Row],[5]]="TPL"),Tabla1[[#This Row],[7]],"")</f>
        <v/>
      </c>
      <c r="M370" s="52">
        <f>IF(Tabla15[[#This Row],[5]]="",0,VLOOKUP(TRAMOS!$K$2,Tabla5[#All],3,FALSE)*Tabla15[[#This Row],[6]])</f>
        <v>0</v>
      </c>
      <c r="N37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7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70" s="52">
        <f>IF(Tabla15[[#This Row],[8]]="",0,VLOOKUP(TRAMOS!$H$2,Tabla5[#All],3,FALSE)*Tabla15[[#This Row],[9]])</f>
        <v>0</v>
      </c>
      <c r="Q37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3"</v>
      </c>
      <c r="R370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370" s="52">
        <f>IF(Tabla15[[#This Row],[11]]="",0,VLOOKUP(TRAMOS!$Q$2,Tabla5[#All],3,FALSE)*Tabla15[[#This Row],[12]])</f>
        <v>0.9</v>
      </c>
      <c r="T37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7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7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7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7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7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7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7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70" s="52">
        <f>IF(Tabla15[[#This Row],[20]]="",0,VLOOKUP("VRP",Tabla5[#All],3,FALSE)*Tabla15[[#This Row],[21]])</f>
        <v>0</v>
      </c>
      <c r="AC37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7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70" s="52">
        <f>IF(Tabla15[[#This Row],[23]]="",0,VLOOKUP("VC",Tabla5[#All],3,FALSE)*Tabla15[[#This Row],[24]])</f>
        <v>0</v>
      </c>
      <c r="AF37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7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70" s="52">
        <f>IF(Tabla15[[#This Row],[26]]="",0,VLOOKUP(TRAMOS!$K$2,Tabla5[#All],3,FALSE)*Tabla15[[#This Row],[27]])</f>
        <v>0</v>
      </c>
      <c r="AI37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7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7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7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7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7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7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371" spans="2:41" x14ac:dyDescent="0.25">
      <c r="B371" s="58" t="str">
        <f>Tabla1[[#This Row],[nudo inicial]]</f>
        <v>N188</v>
      </c>
      <c r="C371" s="58" t="str">
        <f>Tabla1[[#This Row],[nudo final]]</f>
        <v>N189</v>
      </c>
      <c r="D371" s="51">
        <f>Tabla1[[#This Row],[longitud]]</f>
        <v>68.739999999999995</v>
      </c>
      <c r="E371" s="51" t="str">
        <f>Tabla1[[#This Row],[diametro]]</f>
        <v>3"</v>
      </c>
      <c r="F371" s="51" t="str">
        <f>Tabla1[[#This Row],[material]]</f>
        <v>PVC</v>
      </c>
      <c r="G37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371" s="52" t="str">
        <f>IF(Tabla1[[#This Row],[5]]="TPD",Tabla1[[#This Row],[6]],"")</f>
        <v/>
      </c>
      <c r="I371" s="52" t="str">
        <f>IF(OR(Tabla1[[#This Row],[5]]="TPD"),Tabla1[[#This Row],[7]],"")</f>
        <v/>
      </c>
      <c r="J371" s="52">
        <f>IF(Tabla15[[#This Row],[2]]="",0,VLOOKUP(TRAMOS!$H$2,Tabla5[#All],3,FALSE)*Tabla15[[#This Row],[3]])</f>
        <v>0</v>
      </c>
      <c r="K371" s="52" t="str">
        <f>IF(Tabla1[[#This Row],[5]]="TPL",Tabla1[[#This Row],[6]],"")</f>
        <v>3"</v>
      </c>
      <c r="L371" s="52">
        <f>IF(OR(Tabla1[[#This Row],[5]]="TPL"),Tabla1[[#This Row],[7]],"")</f>
        <v>1</v>
      </c>
      <c r="M371" s="52">
        <f>IF(Tabla15[[#This Row],[5]]="",0,VLOOKUP(TRAMOS!$K$2,Tabla5[#All],3,FALSE)*Tabla15[[#This Row],[6]])</f>
        <v>0.9</v>
      </c>
      <c r="N37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7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71" s="52">
        <f>IF(Tabla15[[#This Row],[8]]="",0,VLOOKUP(TRAMOS!$H$2,Tabla5[#All],3,FALSE)*Tabla15[[#This Row],[9]])</f>
        <v>0</v>
      </c>
      <c r="Q37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7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71" s="52">
        <f>IF(Tabla15[[#This Row],[11]]="",0,VLOOKUP(TRAMOS!$Q$2,Tabla5[#All],3,FALSE)*Tabla15[[#This Row],[12]])</f>
        <v>0</v>
      </c>
      <c r="T37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7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7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7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7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7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7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7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71" s="52">
        <f>IF(Tabla15[[#This Row],[20]]="",0,VLOOKUP("VRP",Tabla5[#All],3,FALSE)*Tabla15[[#This Row],[21]])</f>
        <v>0</v>
      </c>
      <c r="AC37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7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71" s="52">
        <f>IF(Tabla15[[#This Row],[23]]="",0,VLOOKUP("VC",Tabla5[#All],3,FALSE)*Tabla15[[#This Row],[24]])</f>
        <v>0</v>
      </c>
      <c r="AF37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7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71" s="52">
        <f>IF(Tabla15[[#This Row],[26]]="",0,VLOOKUP(TRAMOS!$K$2,Tabla5[#All],3,FALSE)*Tabla15[[#This Row],[27]])</f>
        <v>0</v>
      </c>
      <c r="AI37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7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7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7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7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7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7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372" spans="2:41" x14ac:dyDescent="0.25">
      <c r="B372" s="58" t="str">
        <f>Tabla1[[#This Row],[nudo inicial]]</f>
        <v>N189</v>
      </c>
      <c r="C372" s="58" t="str">
        <f>Tabla1[[#This Row],[nudo final]]</f>
        <v>N169</v>
      </c>
      <c r="D372" s="51">
        <f>Tabla1[[#This Row],[longitud]]</f>
        <v>25.06</v>
      </c>
      <c r="E372" s="51" t="str">
        <f>Tabla1[[#This Row],[diametro]]</f>
        <v>3"</v>
      </c>
      <c r="F372" s="51" t="str">
        <f>Tabla1[[#This Row],[material]]</f>
        <v>PVC</v>
      </c>
      <c r="G37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372" s="52" t="str">
        <f>IF(Tabla1[[#This Row],[5]]="TPD",Tabla1[[#This Row],[6]],"")</f>
        <v>3"</v>
      </c>
      <c r="I372" s="52">
        <f>IF(OR(Tabla1[[#This Row],[5]]="TPD"),Tabla1[[#This Row],[7]],"")</f>
        <v>1</v>
      </c>
      <c r="J372" s="52">
        <f>IF(Tabla15[[#This Row],[2]]="",0,VLOOKUP(TRAMOS!$H$2,Tabla5[#All],3,FALSE)*Tabla15[[#This Row],[3]])</f>
        <v>0.15</v>
      </c>
      <c r="K372" s="52" t="str">
        <f>IF(Tabla1[[#This Row],[5]]="TPL",Tabla1[[#This Row],[6]],"")</f>
        <v/>
      </c>
      <c r="L372" s="52" t="str">
        <f>IF(OR(Tabla1[[#This Row],[5]]="TPL"),Tabla1[[#This Row],[7]],"")</f>
        <v/>
      </c>
      <c r="M372" s="52">
        <f>IF(Tabla15[[#This Row],[5]]="",0,VLOOKUP(TRAMOS!$K$2,Tabla5[#All],3,FALSE)*Tabla15[[#This Row],[6]])</f>
        <v>0</v>
      </c>
      <c r="N37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7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72" s="52">
        <f>IF(Tabla15[[#This Row],[8]]="",0,VLOOKUP(TRAMOS!$H$2,Tabla5[#All],3,FALSE)*Tabla15[[#This Row],[9]])</f>
        <v>0</v>
      </c>
      <c r="Q37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7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72" s="52">
        <f>IF(Tabla15[[#This Row],[11]]="",0,VLOOKUP(TRAMOS!$Q$2,Tabla5[#All],3,FALSE)*Tabla15[[#This Row],[12]])</f>
        <v>0</v>
      </c>
      <c r="T37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7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7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7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7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7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7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7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72" s="52">
        <f>IF(Tabla15[[#This Row],[20]]="",0,VLOOKUP("VRP",Tabla5[#All],3,FALSE)*Tabla15[[#This Row],[21]])</f>
        <v>0</v>
      </c>
      <c r="AC37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7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72" s="52">
        <f>IF(Tabla15[[#This Row],[23]]="",0,VLOOKUP("VC",Tabla5[#All],3,FALSE)*Tabla15[[#This Row],[24]])</f>
        <v>0</v>
      </c>
      <c r="AF37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7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72" s="52">
        <f>IF(Tabla15[[#This Row],[26]]="",0,VLOOKUP(TRAMOS!$K$2,Tabla5[#All],3,FALSE)*Tabla15[[#This Row],[27]])</f>
        <v>0</v>
      </c>
      <c r="AI37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7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7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7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7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7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7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373" spans="2:41" x14ac:dyDescent="0.25">
      <c r="B373" s="58" t="str">
        <f>Tabla1[[#This Row],[nudo inicial]]</f>
        <v>N186</v>
      </c>
      <c r="C373" s="58" t="str">
        <f>Tabla1[[#This Row],[nudo final]]</f>
        <v>N190</v>
      </c>
      <c r="D373" s="51">
        <f>Tabla1[[#This Row],[longitud]]</f>
        <v>120.2</v>
      </c>
      <c r="E373" s="51" t="str">
        <f>Tabla1[[#This Row],[diametro]]</f>
        <v>3"</v>
      </c>
      <c r="F373" s="51" t="str">
        <f>Tabla1[[#This Row],[material]]</f>
        <v>PVC</v>
      </c>
      <c r="G37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373" s="52" t="str">
        <f>IF(Tabla1[[#This Row],[5]]="TPD",Tabla1[[#This Row],[6]],"")</f>
        <v/>
      </c>
      <c r="I373" s="52" t="str">
        <f>IF(OR(Tabla1[[#This Row],[5]]="TPD"),Tabla1[[#This Row],[7]],"")</f>
        <v/>
      </c>
      <c r="J373" s="52">
        <f>IF(Tabla15[[#This Row],[2]]="",0,VLOOKUP(TRAMOS!$H$2,Tabla5[#All],3,FALSE)*Tabla15[[#This Row],[3]])</f>
        <v>0</v>
      </c>
      <c r="K373" s="52" t="str">
        <f>IF(Tabla1[[#This Row],[5]]="TPL",Tabla1[[#This Row],[6]],"")</f>
        <v>4"</v>
      </c>
      <c r="L373" s="52">
        <f>IF(OR(Tabla1[[#This Row],[5]]="TPL"),Tabla1[[#This Row],[7]],"")</f>
        <v>1</v>
      </c>
      <c r="M373" s="52">
        <f>IF(Tabla15[[#This Row],[5]]="",0,VLOOKUP(TRAMOS!$K$2,Tabla5[#All],3,FALSE)*Tabla15[[#This Row],[6]])</f>
        <v>0.9</v>
      </c>
      <c r="N37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7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73" s="52">
        <f>IF(Tabla15[[#This Row],[8]]="",0,VLOOKUP(TRAMOS!$H$2,Tabla5[#All],3,FALSE)*Tabla15[[#This Row],[9]])</f>
        <v>0</v>
      </c>
      <c r="Q37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7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73" s="52">
        <f>IF(Tabla15[[#This Row],[11]]="",0,VLOOKUP(TRAMOS!$Q$2,Tabla5[#All],3,FALSE)*Tabla15[[#This Row],[12]])</f>
        <v>0</v>
      </c>
      <c r="T37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373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37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0.13850000000000007</v>
      </c>
      <c r="W37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7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7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7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7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73" s="52">
        <f>IF(Tabla15[[#This Row],[20]]="",0,VLOOKUP("VRP",Tabla5[#All],3,FALSE)*Tabla15[[#This Row],[21]])</f>
        <v>0</v>
      </c>
      <c r="AC37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7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73" s="52">
        <f>IF(Tabla15[[#This Row],[23]]="",0,VLOOKUP("VC",Tabla5[#All],3,FALSE)*Tabla15[[#This Row],[24]])</f>
        <v>0</v>
      </c>
      <c r="AF37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7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73" s="52">
        <f>IF(Tabla15[[#This Row],[26]]="",0,VLOOKUP(TRAMOS!$K$2,Tabla5[#All],3,FALSE)*Tabla15[[#This Row],[27]])</f>
        <v>0</v>
      </c>
      <c r="AI37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7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7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7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7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7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7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1.0385</v>
      </c>
    </row>
    <row r="374" spans="2:41" x14ac:dyDescent="0.25">
      <c r="B374" s="58" t="str">
        <f>Tabla1[[#This Row],[nudo inicial]]</f>
        <v>N190</v>
      </c>
      <c r="C374" s="58" t="str">
        <f>Tabla1[[#This Row],[nudo final]]</f>
        <v>TP145</v>
      </c>
      <c r="D374" s="51">
        <f>Tabla1[[#This Row],[longitud]]</f>
        <v>77.260000000000005</v>
      </c>
      <c r="E374" s="51" t="str">
        <f>Tabla1[[#This Row],[diametro]]</f>
        <v>2"</v>
      </c>
      <c r="F374" s="51" t="str">
        <f>Tabla1[[#This Row],[material]]</f>
        <v>PVC</v>
      </c>
      <c r="G37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374" s="52" t="str">
        <f>IF(Tabla1[[#This Row],[5]]="TPD",Tabla1[[#This Row],[6]],"")</f>
        <v/>
      </c>
      <c r="I374" s="52" t="str">
        <f>IF(OR(Tabla1[[#This Row],[5]]="TPD"),Tabla1[[#This Row],[7]],"")</f>
        <v/>
      </c>
      <c r="J374" s="52">
        <f>IF(Tabla15[[#This Row],[2]]="",0,VLOOKUP(TRAMOS!$H$2,Tabla5[#All],3,FALSE)*Tabla15[[#This Row],[3]])</f>
        <v>0</v>
      </c>
      <c r="K374" s="52" t="str">
        <f>IF(Tabla1[[#This Row],[5]]="TPL",Tabla1[[#This Row],[6]],"")</f>
        <v>3"</v>
      </c>
      <c r="L374" s="52">
        <f>IF(OR(Tabla1[[#This Row],[5]]="TPL"),Tabla1[[#This Row],[7]],"")</f>
        <v>1</v>
      </c>
      <c r="M374" s="52">
        <f>IF(Tabla15[[#This Row],[5]]="",0,VLOOKUP(TRAMOS!$K$2,Tabla5[#All],3,FALSE)*Tabla15[[#This Row],[6]])</f>
        <v>0.9</v>
      </c>
      <c r="N37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7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74" s="52">
        <f>IF(Tabla15[[#This Row],[8]]="",0,VLOOKUP(TRAMOS!$H$2,Tabla5[#All],3,FALSE)*Tabla15[[#This Row],[9]])</f>
        <v>0</v>
      </c>
      <c r="Q37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374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374" s="52">
        <f>IF(Tabla15[[#This Row],[11]]="",0,VLOOKUP(TRAMOS!$Q$2,Tabla5[#All],3,FALSE)*Tabla15[[#This Row],[12]])</f>
        <v>0.9</v>
      </c>
      <c r="T37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374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37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37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7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7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7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7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74" s="52">
        <f>IF(Tabla15[[#This Row],[20]]="",0,VLOOKUP("VRP",Tabla5[#All],3,FALSE)*Tabla15[[#This Row],[21]])</f>
        <v>0</v>
      </c>
      <c r="AC37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374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374" s="52">
        <f>IF(Tabla15[[#This Row],[23]]="",0,VLOOKUP("VC",Tabla5[#All],3,FALSE)*Tabla15[[#This Row],[24]])</f>
        <v>0.25</v>
      </c>
      <c r="AF37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7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74" s="52">
        <f>IF(Tabla15[[#This Row],[26]]="",0,VLOOKUP(TRAMOS!$K$2,Tabla5[#All],3,FALSE)*Tabla15[[#This Row],[27]])</f>
        <v>0</v>
      </c>
      <c r="AI37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7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7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7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7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374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37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2.2650000000000001</v>
      </c>
    </row>
    <row r="375" spans="2:41" x14ac:dyDescent="0.25">
      <c r="B375" s="58" t="str">
        <f>Tabla1[[#This Row],[nudo inicial]]</f>
        <v>N190</v>
      </c>
      <c r="C375" s="58" t="str">
        <f>Tabla1[[#This Row],[nudo final]]</f>
        <v>N191</v>
      </c>
      <c r="D375" s="51">
        <f>Tabla1[[#This Row],[longitud]]</f>
        <v>26.03</v>
      </c>
      <c r="E375" s="51" t="str">
        <f>Tabla1[[#This Row],[diametro]]</f>
        <v>3"</v>
      </c>
      <c r="F375" s="51" t="str">
        <f>Tabla1[[#This Row],[material]]</f>
        <v>PVC</v>
      </c>
      <c r="G37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375" s="52" t="str">
        <f>IF(Tabla1[[#This Row],[5]]="TPD",Tabla1[[#This Row],[6]],"")</f>
        <v>3"</v>
      </c>
      <c r="I375" s="52">
        <f>IF(OR(Tabla1[[#This Row],[5]]="TPD"),Tabla1[[#This Row],[7]],"")</f>
        <v>1</v>
      </c>
      <c r="J375" s="52">
        <f>IF(Tabla15[[#This Row],[2]]="",0,VLOOKUP(TRAMOS!$H$2,Tabla5[#All],3,FALSE)*Tabla15[[#This Row],[3]])</f>
        <v>0.15</v>
      </c>
      <c r="K375" s="52" t="str">
        <f>IF(Tabla1[[#This Row],[5]]="TPL",Tabla1[[#This Row],[6]],"")</f>
        <v/>
      </c>
      <c r="L375" s="52" t="str">
        <f>IF(OR(Tabla1[[#This Row],[5]]="TPL"),Tabla1[[#This Row],[7]],"")</f>
        <v/>
      </c>
      <c r="M375" s="52">
        <f>IF(Tabla15[[#This Row],[5]]="",0,VLOOKUP(TRAMOS!$K$2,Tabla5[#All],3,FALSE)*Tabla15[[#This Row],[6]])</f>
        <v>0</v>
      </c>
      <c r="N37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7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75" s="52">
        <f>IF(Tabla15[[#This Row],[8]]="",0,VLOOKUP(TRAMOS!$H$2,Tabla5[#All],3,FALSE)*Tabla15[[#This Row],[9]])</f>
        <v>0</v>
      </c>
      <c r="Q37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3"</v>
      </c>
      <c r="R375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2</v>
      </c>
      <c r="S375" s="52">
        <f>IF(Tabla15[[#This Row],[11]]="",0,VLOOKUP(TRAMOS!$Q$2,Tabla5[#All],3,FALSE)*Tabla15[[#This Row],[12]])</f>
        <v>1.8</v>
      </c>
      <c r="T37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7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7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7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7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7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7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7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75" s="52">
        <f>IF(Tabla15[[#This Row],[20]]="",0,VLOOKUP("VRP",Tabla5[#All],3,FALSE)*Tabla15[[#This Row],[21]])</f>
        <v>0</v>
      </c>
      <c r="AC37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7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75" s="52">
        <f>IF(Tabla15[[#This Row],[23]]="",0,VLOOKUP("VC",Tabla5[#All],3,FALSE)*Tabla15[[#This Row],[24]])</f>
        <v>0</v>
      </c>
      <c r="AF37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7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75" s="52">
        <f>IF(Tabla15[[#This Row],[26]]="",0,VLOOKUP(TRAMOS!$K$2,Tabla5[#All],3,FALSE)*Tabla15[[#This Row],[27]])</f>
        <v>0</v>
      </c>
      <c r="AI37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7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7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7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7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7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7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1.95</v>
      </c>
    </row>
    <row r="376" spans="2:41" x14ac:dyDescent="0.25">
      <c r="B376" s="58" t="str">
        <f>Tabla1[[#This Row],[nudo inicial]]</f>
        <v>N188</v>
      </c>
      <c r="C376" s="58" t="str">
        <f>Tabla1[[#This Row],[nudo final]]</f>
        <v>N191</v>
      </c>
      <c r="D376" s="51">
        <f>Tabla1[[#This Row],[longitud]]</f>
        <v>90.85</v>
      </c>
      <c r="E376" s="51" t="str">
        <f>Tabla1[[#This Row],[diametro]]</f>
        <v>3"</v>
      </c>
      <c r="F376" s="51" t="str">
        <f>Tabla1[[#This Row],[material]]</f>
        <v>PVC</v>
      </c>
      <c r="G37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376" s="52" t="str">
        <f>IF(Tabla1[[#This Row],[5]]="TPD",Tabla1[[#This Row],[6]],"")</f>
        <v>3"</v>
      </c>
      <c r="I376" s="52">
        <f>IF(OR(Tabla1[[#This Row],[5]]="TPD"),Tabla1[[#This Row],[7]],"")</f>
        <v>1</v>
      </c>
      <c r="J376" s="52">
        <f>IF(Tabla15[[#This Row],[2]]="",0,VLOOKUP(TRAMOS!$H$2,Tabla5[#All],3,FALSE)*Tabla15[[#This Row],[3]])</f>
        <v>0.15</v>
      </c>
      <c r="K376" s="52" t="str">
        <f>IF(Tabla1[[#This Row],[5]]="TPL",Tabla1[[#This Row],[6]],"")</f>
        <v/>
      </c>
      <c r="L376" s="52" t="str">
        <f>IF(OR(Tabla1[[#This Row],[5]]="TPL"),Tabla1[[#This Row],[7]],"")</f>
        <v/>
      </c>
      <c r="M376" s="52">
        <f>IF(Tabla15[[#This Row],[5]]="",0,VLOOKUP(TRAMOS!$K$2,Tabla5[#All],3,FALSE)*Tabla15[[#This Row],[6]])</f>
        <v>0</v>
      </c>
      <c r="N37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7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76" s="52">
        <f>IF(Tabla15[[#This Row],[8]]="",0,VLOOKUP(TRAMOS!$H$2,Tabla5[#All],3,FALSE)*Tabla15[[#This Row],[9]])</f>
        <v>0</v>
      </c>
      <c r="Q37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7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76" s="52">
        <f>IF(Tabla15[[#This Row],[11]]="",0,VLOOKUP(TRAMOS!$Q$2,Tabla5[#All],3,FALSE)*Tabla15[[#This Row],[12]])</f>
        <v>0</v>
      </c>
      <c r="T37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7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7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7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7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7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7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7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76" s="52">
        <f>IF(Tabla15[[#This Row],[20]]="",0,VLOOKUP("VRP",Tabla5[#All],3,FALSE)*Tabla15[[#This Row],[21]])</f>
        <v>0</v>
      </c>
      <c r="AC37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7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76" s="52">
        <f>IF(Tabla15[[#This Row],[23]]="",0,VLOOKUP("VC",Tabla5[#All],3,FALSE)*Tabla15[[#This Row],[24]])</f>
        <v>0</v>
      </c>
      <c r="AF37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7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76" s="52">
        <f>IF(Tabla15[[#This Row],[26]]="",0,VLOOKUP(TRAMOS!$K$2,Tabla5[#All],3,FALSE)*Tabla15[[#This Row],[27]])</f>
        <v>0</v>
      </c>
      <c r="AI37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7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7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7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7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7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7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377" spans="2:41" x14ac:dyDescent="0.25">
      <c r="B377" s="58" t="str">
        <f>Tabla1[[#This Row],[nudo inicial]]</f>
        <v>N191</v>
      </c>
      <c r="C377" s="58" t="str">
        <f>Tabla1[[#This Row],[nudo final]]</f>
        <v>N192</v>
      </c>
      <c r="D377" s="51">
        <f>Tabla1[[#This Row],[longitud]]</f>
        <v>40.299999999999997</v>
      </c>
      <c r="E377" s="51" t="str">
        <f>Tabla1[[#This Row],[diametro]]</f>
        <v>3"</v>
      </c>
      <c r="F377" s="51" t="str">
        <f>Tabla1[[#This Row],[material]]</f>
        <v>PVC</v>
      </c>
      <c r="G37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377" s="52" t="str">
        <f>IF(Tabla1[[#This Row],[5]]="TPD",Tabla1[[#This Row],[6]],"")</f>
        <v>3"</v>
      </c>
      <c r="I377" s="52">
        <f>IF(OR(Tabla1[[#This Row],[5]]="TPD"),Tabla1[[#This Row],[7]],"")</f>
        <v>1</v>
      </c>
      <c r="J377" s="52">
        <f>IF(Tabla15[[#This Row],[2]]="",0,VLOOKUP(TRAMOS!$H$2,Tabla5[#All],3,FALSE)*Tabla15[[#This Row],[3]])</f>
        <v>0.15</v>
      </c>
      <c r="K377" s="52" t="str">
        <f>IF(Tabla1[[#This Row],[5]]="TPL",Tabla1[[#This Row],[6]],"")</f>
        <v/>
      </c>
      <c r="L377" s="52" t="str">
        <f>IF(OR(Tabla1[[#This Row],[5]]="TPL"),Tabla1[[#This Row],[7]],"")</f>
        <v/>
      </c>
      <c r="M377" s="52">
        <f>IF(Tabla15[[#This Row],[5]]="",0,VLOOKUP(TRAMOS!$K$2,Tabla5[#All],3,FALSE)*Tabla15[[#This Row],[6]])</f>
        <v>0</v>
      </c>
      <c r="N37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7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77" s="52">
        <f>IF(Tabla15[[#This Row],[8]]="",0,VLOOKUP(TRAMOS!$H$2,Tabla5[#All],3,FALSE)*Tabla15[[#This Row],[9]])</f>
        <v>0</v>
      </c>
      <c r="Q37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7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77" s="52">
        <f>IF(Tabla15[[#This Row],[11]]="",0,VLOOKUP(TRAMOS!$Q$2,Tabla5[#All],3,FALSE)*Tabla15[[#This Row],[12]])</f>
        <v>0</v>
      </c>
      <c r="T37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7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7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7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7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7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7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7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77" s="52">
        <f>IF(Tabla15[[#This Row],[20]]="",0,VLOOKUP("VRP",Tabla5[#All],3,FALSE)*Tabla15[[#This Row],[21]])</f>
        <v>0</v>
      </c>
      <c r="AC37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7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77" s="52">
        <f>IF(Tabla15[[#This Row],[23]]="",0,VLOOKUP("VC",Tabla5[#All],3,FALSE)*Tabla15[[#This Row],[24]])</f>
        <v>0</v>
      </c>
      <c r="AF37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7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77" s="52">
        <f>IF(Tabla15[[#This Row],[26]]="",0,VLOOKUP(TRAMOS!$K$2,Tabla5[#All],3,FALSE)*Tabla15[[#This Row],[27]])</f>
        <v>0</v>
      </c>
      <c r="AI37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7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7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7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7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7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7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378" spans="2:41" x14ac:dyDescent="0.25">
      <c r="B378" s="58" t="str">
        <f>Tabla1[[#This Row],[nudo inicial]]</f>
        <v>N169</v>
      </c>
      <c r="C378" s="58" t="str">
        <f>Tabla1[[#This Row],[nudo final]]</f>
        <v>N165</v>
      </c>
      <c r="D378" s="51">
        <f>Tabla1[[#This Row],[longitud]]</f>
        <v>35.39</v>
      </c>
      <c r="E378" s="51" t="str">
        <f>Tabla1[[#This Row],[diametro]]</f>
        <v>3"</v>
      </c>
      <c r="F378" s="51" t="str">
        <f>Tabla1[[#This Row],[material]]</f>
        <v>PVC</v>
      </c>
      <c r="G37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378" s="52" t="str">
        <f>IF(Tabla1[[#This Row],[5]]="TPD",Tabla1[[#This Row],[6]],"")</f>
        <v>3"</v>
      </c>
      <c r="I378" s="52">
        <f>IF(OR(Tabla1[[#This Row],[5]]="TPD"),Tabla1[[#This Row],[7]],"")</f>
        <v>1</v>
      </c>
      <c r="J378" s="52">
        <f>IF(Tabla15[[#This Row],[2]]="",0,VLOOKUP(TRAMOS!$H$2,Tabla5[#All],3,FALSE)*Tabla15[[#This Row],[3]])</f>
        <v>0.15</v>
      </c>
      <c r="K378" s="52" t="str">
        <f>IF(Tabla1[[#This Row],[5]]="TPL",Tabla1[[#This Row],[6]],"")</f>
        <v/>
      </c>
      <c r="L378" s="52" t="str">
        <f>IF(OR(Tabla1[[#This Row],[5]]="TPL"),Tabla1[[#This Row],[7]],"")</f>
        <v/>
      </c>
      <c r="M378" s="52">
        <f>IF(Tabla15[[#This Row],[5]]="",0,VLOOKUP(TRAMOS!$K$2,Tabla5[#All],3,FALSE)*Tabla15[[#This Row],[6]])</f>
        <v>0</v>
      </c>
      <c r="N37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7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78" s="52">
        <f>IF(Tabla15[[#This Row],[8]]="",0,VLOOKUP(TRAMOS!$H$2,Tabla5[#All],3,FALSE)*Tabla15[[#This Row],[9]])</f>
        <v>0</v>
      </c>
      <c r="Q37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7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78" s="52">
        <f>IF(Tabla15[[#This Row],[11]]="",0,VLOOKUP(TRAMOS!$Q$2,Tabla5[#All],3,FALSE)*Tabla15[[#This Row],[12]])</f>
        <v>0</v>
      </c>
      <c r="T37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7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7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7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7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7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7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7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78" s="52">
        <f>IF(Tabla15[[#This Row],[20]]="",0,VLOOKUP("VRP",Tabla5[#All],3,FALSE)*Tabla15[[#This Row],[21]])</f>
        <v>0</v>
      </c>
      <c r="AC37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7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78" s="52">
        <f>IF(Tabla15[[#This Row],[23]]="",0,VLOOKUP("VC",Tabla5[#All],3,FALSE)*Tabla15[[#This Row],[24]])</f>
        <v>0</v>
      </c>
      <c r="AF37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7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78" s="52">
        <f>IF(Tabla15[[#This Row],[26]]="",0,VLOOKUP(TRAMOS!$K$2,Tabla5[#All],3,FALSE)*Tabla15[[#This Row],[27]])</f>
        <v>0</v>
      </c>
      <c r="AI37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7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7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7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7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7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7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379" spans="2:41" x14ac:dyDescent="0.25">
      <c r="B379" s="58" t="str">
        <f>Tabla1[[#This Row],[nudo inicial]]</f>
        <v>N165</v>
      </c>
      <c r="C379" s="58" t="str">
        <f>Tabla1[[#This Row],[nudo final]]</f>
        <v>N192</v>
      </c>
      <c r="D379" s="51">
        <f>Tabla1[[#This Row],[longitud]]</f>
        <v>122.44</v>
      </c>
      <c r="E379" s="51" t="str">
        <f>Tabla1[[#This Row],[diametro]]</f>
        <v>3"</v>
      </c>
      <c r="F379" s="51" t="str">
        <f>Tabla1[[#This Row],[material]]</f>
        <v>PVC</v>
      </c>
      <c r="G37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379" s="52" t="str">
        <f>IF(Tabla1[[#This Row],[5]]="TPD",Tabla1[[#This Row],[6]],"")</f>
        <v>3"</v>
      </c>
      <c r="I379" s="52">
        <f>IF(OR(Tabla1[[#This Row],[5]]="TPD"),Tabla1[[#This Row],[7]],"")</f>
        <v>1</v>
      </c>
      <c r="J379" s="52">
        <f>IF(Tabla15[[#This Row],[2]]="",0,VLOOKUP(TRAMOS!$H$2,Tabla5[#All],3,FALSE)*Tabla15[[#This Row],[3]])</f>
        <v>0.15</v>
      </c>
      <c r="K379" s="52" t="str">
        <f>IF(Tabla1[[#This Row],[5]]="TPL",Tabla1[[#This Row],[6]],"")</f>
        <v/>
      </c>
      <c r="L379" s="52" t="str">
        <f>IF(OR(Tabla1[[#This Row],[5]]="TPL"),Tabla1[[#This Row],[7]],"")</f>
        <v/>
      </c>
      <c r="M379" s="52">
        <f>IF(Tabla15[[#This Row],[5]]="",0,VLOOKUP(TRAMOS!$K$2,Tabla5[#All],3,FALSE)*Tabla15[[#This Row],[6]])</f>
        <v>0</v>
      </c>
      <c r="N37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7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79" s="52">
        <f>IF(Tabla15[[#This Row],[8]]="",0,VLOOKUP(TRAMOS!$H$2,Tabla5[#All],3,FALSE)*Tabla15[[#This Row],[9]])</f>
        <v>0</v>
      </c>
      <c r="Q37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7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79" s="52">
        <f>IF(Tabla15[[#This Row],[11]]="",0,VLOOKUP(TRAMOS!$Q$2,Tabla5[#All],3,FALSE)*Tabla15[[#This Row],[12]])</f>
        <v>0</v>
      </c>
      <c r="T37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7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7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7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7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7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7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7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79" s="52">
        <f>IF(Tabla15[[#This Row],[20]]="",0,VLOOKUP("VRP",Tabla5[#All],3,FALSE)*Tabla15[[#This Row],[21]])</f>
        <v>0</v>
      </c>
      <c r="AC37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7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79" s="52">
        <f>IF(Tabla15[[#This Row],[23]]="",0,VLOOKUP("VC",Tabla5[#All],3,FALSE)*Tabla15[[#This Row],[24]])</f>
        <v>0</v>
      </c>
      <c r="AF37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7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79" s="52">
        <f>IF(Tabla15[[#This Row],[26]]="",0,VLOOKUP(TRAMOS!$K$2,Tabla5[#All],3,FALSE)*Tabla15[[#This Row],[27]])</f>
        <v>0</v>
      </c>
      <c r="AI37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7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7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7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7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7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7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380" spans="2:41" x14ac:dyDescent="0.25">
      <c r="B380" s="58" t="str">
        <f>Tabla1[[#This Row],[nudo inicial]]</f>
        <v>N192</v>
      </c>
      <c r="C380" s="58" t="str">
        <f>Tabla1[[#This Row],[nudo final]]</f>
        <v>N193</v>
      </c>
      <c r="D380" s="51">
        <f>Tabla1[[#This Row],[longitud]]</f>
        <v>97.56</v>
      </c>
      <c r="E380" s="51" t="str">
        <f>Tabla1[[#This Row],[diametro]]</f>
        <v>3"</v>
      </c>
      <c r="F380" s="51" t="str">
        <f>Tabla1[[#This Row],[material]]</f>
        <v>PVC</v>
      </c>
      <c r="G38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380" s="52" t="str">
        <f>IF(Tabla1[[#This Row],[5]]="TPD",Tabla1[[#This Row],[6]],"")</f>
        <v>3"</v>
      </c>
      <c r="I380" s="52">
        <f>IF(OR(Tabla1[[#This Row],[5]]="TPD"),Tabla1[[#This Row],[7]],"")</f>
        <v>1</v>
      </c>
      <c r="J380" s="52">
        <f>IF(Tabla15[[#This Row],[2]]="",0,VLOOKUP(TRAMOS!$H$2,Tabla5[#All],3,FALSE)*Tabla15[[#This Row],[3]])</f>
        <v>0.15</v>
      </c>
      <c r="K380" s="52" t="str">
        <f>IF(Tabla1[[#This Row],[5]]="TPL",Tabla1[[#This Row],[6]],"")</f>
        <v/>
      </c>
      <c r="L380" s="52" t="str">
        <f>IF(OR(Tabla1[[#This Row],[5]]="TPL"),Tabla1[[#This Row],[7]],"")</f>
        <v/>
      </c>
      <c r="M380" s="52">
        <f>IF(Tabla15[[#This Row],[5]]="",0,VLOOKUP(TRAMOS!$K$2,Tabla5[#All],3,FALSE)*Tabla15[[#This Row],[6]])</f>
        <v>0</v>
      </c>
      <c r="N38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8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80" s="52">
        <f>IF(Tabla15[[#This Row],[8]]="",0,VLOOKUP(TRAMOS!$H$2,Tabla5[#All],3,FALSE)*Tabla15[[#This Row],[9]])</f>
        <v>0</v>
      </c>
      <c r="Q38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8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80" s="52">
        <f>IF(Tabla15[[#This Row],[11]]="",0,VLOOKUP(TRAMOS!$Q$2,Tabla5[#All],3,FALSE)*Tabla15[[#This Row],[12]])</f>
        <v>0</v>
      </c>
      <c r="T38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8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8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8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8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8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8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8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80" s="52">
        <f>IF(Tabla15[[#This Row],[20]]="",0,VLOOKUP("VRP",Tabla5[#All],3,FALSE)*Tabla15[[#This Row],[21]])</f>
        <v>0</v>
      </c>
      <c r="AC38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380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380" s="52">
        <f>IF(Tabla15[[#This Row],[23]]="",0,VLOOKUP("VC",Tabla5[#All],3,FALSE)*Tabla15[[#This Row],[24]])</f>
        <v>0.25</v>
      </c>
      <c r="AF38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8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80" s="52">
        <f>IF(Tabla15[[#This Row],[26]]="",0,VLOOKUP(TRAMOS!$K$2,Tabla5[#All],3,FALSE)*Tabla15[[#This Row],[27]])</f>
        <v>0</v>
      </c>
      <c r="AI38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8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8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8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8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8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8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0.4</v>
      </c>
    </row>
    <row r="381" spans="2:41" x14ac:dyDescent="0.25">
      <c r="B381" s="58" t="str">
        <f>Tabla1[[#This Row],[nudo inicial]]</f>
        <v>N193</v>
      </c>
      <c r="C381" s="58" t="str">
        <f>Tabla1[[#This Row],[nudo final]]</f>
        <v>N194</v>
      </c>
      <c r="D381" s="51">
        <f>Tabla1[[#This Row],[longitud]]</f>
        <v>60.54</v>
      </c>
      <c r="E381" s="51" t="str">
        <f>Tabla1[[#This Row],[diametro]]</f>
        <v>3"</v>
      </c>
      <c r="F381" s="51" t="str">
        <f>Tabla1[[#This Row],[material]]</f>
        <v>PVC</v>
      </c>
      <c r="G38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381" s="52" t="str">
        <f>IF(Tabla1[[#This Row],[5]]="TPD",Tabla1[[#This Row],[6]],"")</f>
        <v/>
      </c>
      <c r="I381" s="52" t="str">
        <f>IF(OR(Tabla1[[#This Row],[5]]="TPD"),Tabla1[[#This Row],[7]],"")</f>
        <v/>
      </c>
      <c r="J381" s="52">
        <f>IF(Tabla15[[#This Row],[2]]="",0,VLOOKUP(TRAMOS!$H$2,Tabla5[#All],3,FALSE)*Tabla15[[#This Row],[3]])</f>
        <v>0</v>
      </c>
      <c r="K381" s="52" t="str">
        <f>IF(Tabla1[[#This Row],[5]]="TPL",Tabla1[[#This Row],[6]],"")</f>
        <v>3"</v>
      </c>
      <c r="L381" s="52">
        <f>IF(OR(Tabla1[[#This Row],[5]]="TPL"),Tabla1[[#This Row],[7]],"")</f>
        <v>1</v>
      </c>
      <c r="M381" s="52">
        <f>IF(Tabla15[[#This Row],[5]]="",0,VLOOKUP(TRAMOS!$K$2,Tabla5[#All],3,FALSE)*Tabla15[[#This Row],[6]])</f>
        <v>0.9</v>
      </c>
      <c r="N38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8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81" s="52">
        <f>IF(Tabla15[[#This Row],[8]]="",0,VLOOKUP(TRAMOS!$H$2,Tabla5[#All],3,FALSE)*Tabla15[[#This Row],[9]])</f>
        <v>0</v>
      </c>
      <c r="Q38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8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81" s="52">
        <f>IF(Tabla15[[#This Row],[11]]="",0,VLOOKUP(TRAMOS!$Q$2,Tabla5[#All],3,FALSE)*Tabla15[[#This Row],[12]])</f>
        <v>0</v>
      </c>
      <c r="T38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8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8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8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8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8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8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8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81" s="52">
        <f>IF(Tabla15[[#This Row],[20]]="",0,VLOOKUP("VRP",Tabla5[#All],3,FALSE)*Tabla15[[#This Row],[21]])</f>
        <v>0</v>
      </c>
      <c r="AC38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8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81" s="52">
        <f>IF(Tabla15[[#This Row],[23]]="",0,VLOOKUP("VC",Tabla5[#All],3,FALSE)*Tabla15[[#This Row],[24]])</f>
        <v>0</v>
      </c>
      <c r="AF38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8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81" s="52">
        <f>IF(Tabla15[[#This Row],[26]]="",0,VLOOKUP(TRAMOS!$K$2,Tabla5[#All],3,FALSE)*Tabla15[[#This Row],[27]])</f>
        <v>0</v>
      </c>
      <c r="AI38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8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8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8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8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8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8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382" spans="2:41" x14ac:dyDescent="0.25">
      <c r="B382" s="58" t="str">
        <f>Tabla1[[#This Row],[nudo inicial]]</f>
        <v>N194</v>
      </c>
      <c r="C382" s="58" t="str">
        <f>Tabla1[[#This Row],[nudo final]]</f>
        <v>TP146</v>
      </c>
      <c r="D382" s="51">
        <f>Tabla1[[#This Row],[longitud]]</f>
        <v>34.83</v>
      </c>
      <c r="E382" s="51" t="str">
        <f>Tabla1[[#This Row],[diametro]]</f>
        <v>1"</v>
      </c>
      <c r="F382" s="51" t="str">
        <f>Tabla1[[#This Row],[material]]</f>
        <v>HG</v>
      </c>
      <c r="G38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382" s="52" t="str">
        <f>IF(Tabla1[[#This Row],[5]]="TPD",Tabla1[[#This Row],[6]],"")</f>
        <v/>
      </c>
      <c r="I382" s="52" t="str">
        <f>IF(OR(Tabla1[[#This Row],[5]]="TPD"),Tabla1[[#This Row],[7]],"")</f>
        <v/>
      </c>
      <c r="J382" s="52">
        <f>IF(Tabla15[[#This Row],[2]]="",0,VLOOKUP(TRAMOS!$H$2,Tabla5[#All],3,FALSE)*Tabla15[[#This Row],[3]])</f>
        <v>0</v>
      </c>
      <c r="K382" s="52" t="str">
        <f>IF(Tabla1[[#This Row],[5]]="TPL",Tabla1[[#This Row],[6]],"")</f>
        <v>3"</v>
      </c>
      <c r="L382" s="52">
        <f>IF(OR(Tabla1[[#This Row],[5]]="TPL"),Tabla1[[#This Row],[7]],"")</f>
        <v>1</v>
      </c>
      <c r="M382" s="52">
        <f>IF(Tabla15[[#This Row],[5]]="",0,VLOOKUP(TRAMOS!$K$2,Tabla5[#All],3,FALSE)*Tabla15[[#This Row],[6]])</f>
        <v>0.9</v>
      </c>
      <c r="N38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8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82" s="52">
        <f>IF(Tabla15[[#This Row],[8]]="",0,VLOOKUP(TRAMOS!$H$2,Tabla5[#All],3,FALSE)*Tabla15[[#This Row],[9]])</f>
        <v>0</v>
      </c>
      <c r="Q38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8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82" s="52">
        <f>IF(Tabla15[[#This Row],[11]]="",0,VLOOKUP(TRAMOS!$Q$2,Tabla5[#All],3,FALSE)*Tabla15[[#This Row],[12]])</f>
        <v>0</v>
      </c>
      <c r="T38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1"</v>
      </c>
      <c r="U382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38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0.43</v>
      </c>
      <c r="W38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8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8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8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8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82" s="52">
        <f>IF(Tabla15[[#This Row],[20]]="",0,VLOOKUP("VRP",Tabla5[#All],3,FALSE)*Tabla15[[#This Row],[21]])</f>
        <v>0</v>
      </c>
      <c r="AC38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8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82" s="52">
        <f>IF(Tabla15[[#This Row],[23]]="",0,VLOOKUP("VC",Tabla5[#All],3,FALSE)*Tabla15[[#This Row],[24]])</f>
        <v>0</v>
      </c>
      <c r="AF38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8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82" s="52">
        <f>IF(Tabla15[[#This Row],[26]]="",0,VLOOKUP(TRAMOS!$K$2,Tabla5[#All],3,FALSE)*Tabla15[[#This Row],[27]])</f>
        <v>0</v>
      </c>
      <c r="AI38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8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8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8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8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1"</v>
      </c>
      <c r="AN382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38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1.33</v>
      </c>
    </row>
    <row r="383" spans="2:41" x14ac:dyDescent="0.25">
      <c r="B383" s="58" t="str">
        <f>Tabla1[[#This Row],[nudo inicial]]</f>
        <v>N194</v>
      </c>
      <c r="C383" s="58" t="str">
        <f>Tabla1[[#This Row],[nudo final]]</f>
        <v>N195</v>
      </c>
      <c r="D383" s="51">
        <f>Tabla1[[#This Row],[longitud]]</f>
        <v>42.28</v>
      </c>
      <c r="E383" s="51" t="str">
        <f>Tabla1[[#This Row],[diametro]]</f>
        <v>3"</v>
      </c>
      <c r="F383" s="51" t="str">
        <f>Tabla1[[#This Row],[material]]</f>
        <v>PVC</v>
      </c>
      <c r="G38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383" s="52" t="str">
        <f>IF(Tabla1[[#This Row],[5]]="TPD",Tabla1[[#This Row],[6]],"")</f>
        <v>3"</v>
      </c>
      <c r="I383" s="52">
        <f>IF(OR(Tabla1[[#This Row],[5]]="TPD"),Tabla1[[#This Row],[7]],"")</f>
        <v>1</v>
      </c>
      <c r="J383" s="52">
        <f>IF(Tabla15[[#This Row],[2]]="",0,VLOOKUP(TRAMOS!$H$2,Tabla5[#All],3,FALSE)*Tabla15[[#This Row],[3]])</f>
        <v>0.15</v>
      </c>
      <c r="K383" s="52" t="str">
        <f>IF(Tabla1[[#This Row],[5]]="TPL",Tabla1[[#This Row],[6]],"")</f>
        <v/>
      </c>
      <c r="L383" s="52" t="str">
        <f>IF(OR(Tabla1[[#This Row],[5]]="TPL"),Tabla1[[#This Row],[7]],"")</f>
        <v/>
      </c>
      <c r="M383" s="52">
        <f>IF(Tabla15[[#This Row],[5]]="",0,VLOOKUP(TRAMOS!$K$2,Tabla5[#All],3,FALSE)*Tabla15[[#This Row],[6]])</f>
        <v>0</v>
      </c>
      <c r="N38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8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83" s="52">
        <f>IF(Tabla15[[#This Row],[8]]="",0,VLOOKUP(TRAMOS!$H$2,Tabla5[#All],3,FALSE)*Tabla15[[#This Row],[9]])</f>
        <v>0</v>
      </c>
      <c r="Q38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8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83" s="52">
        <f>IF(Tabla15[[#This Row],[11]]="",0,VLOOKUP(TRAMOS!$Q$2,Tabla5[#All],3,FALSE)*Tabla15[[#This Row],[12]])</f>
        <v>0</v>
      </c>
      <c r="T38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8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8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8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8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8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8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8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83" s="52">
        <f>IF(Tabla15[[#This Row],[20]]="",0,VLOOKUP("VRP",Tabla5[#All],3,FALSE)*Tabla15[[#This Row],[21]])</f>
        <v>0</v>
      </c>
      <c r="AC38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8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83" s="52">
        <f>IF(Tabla15[[#This Row],[23]]="",0,VLOOKUP("VC",Tabla5[#All],3,FALSE)*Tabla15[[#This Row],[24]])</f>
        <v>0</v>
      </c>
      <c r="AF38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8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83" s="52">
        <f>IF(Tabla15[[#This Row],[26]]="",0,VLOOKUP(TRAMOS!$K$2,Tabla5[#All],3,FALSE)*Tabla15[[#This Row],[27]])</f>
        <v>0</v>
      </c>
      <c r="AI38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8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8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8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8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8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8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384" spans="2:41" x14ac:dyDescent="0.25">
      <c r="B384" s="58" t="str">
        <f>Tabla1[[#This Row],[nudo inicial]]</f>
        <v>N195</v>
      </c>
      <c r="C384" s="58" t="str">
        <f>Tabla1[[#This Row],[nudo final]]</f>
        <v>TP147</v>
      </c>
      <c r="D384" s="51">
        <f>Tabla1[[#This Row],[longitud]]</f>
        <v>40.229999999999997</v>
      </c>
      <c r="E384" s="51" t="str">
        <f>Tabla1[[#This Row],[diametro]]</f>
        <v>1"</v>
      </c>
      <c r="F384" s="51" t="str">
        <f>Tabla1[[#This Row],[material]]</f>
        <v>HG</v>
      </c>
      <c r="G38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384" s="52" t="str">
        <f>IF(Tabla1[[#This Row],[5]]="TPD",Tabla1[[#This Row],[6]],"")</f>
        <v/>
      </c>
      <c r="I384" s="52" t="str">
        <f>IF(OR(Tabla1[[#This Row],[5]]="TPD"),Tabla1[[#This Row],[7]],"")</f>
        <v/>
      </c>
      <c r="J384" s="52">
        <f>IF(Tabla15[[#This Row],[2]]="",0,VLOOKUP(TRAMOS!$H$2,Tabla5[#All],3,FALSE)*Tabla15[[#This Row],[3]])</f>
        <v>0</v>
      </c>
      <c r="K384" s="52" t="str">
        <f>IF(Tabla1[[#This Row],[5]]="TPL",Tabla1[[#This Row],[6]],"")</f>
        <v>3"</v>
      </c>
      <c r="L384" s="52">
        <f>IF(OR(Tabla1[[#This Row],[5]]="TPL"),Tabla1[[#This Row],[7]],"")</f>
        <v>1</v>
      </c>
      <c r="M384" s="52">
        <f>IF(Tabla15[[#This Row],[5]]="",0,VLOOKUP(TRAMOS!$K$2,Tabla5[#All],3,FALSE)*Tabla15[[#This Row],[6]])</f>
        <v>0.9</v>
      </c>
      <c r="N38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8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84" s="52">
        <f>IF(Tabla15[[#This Row],[8]]="",0,VLOOKUP(TRAMOS!$H$2,Tabla5[#All],3,FALSE)*Tabla15[[#This Row],[9]])</f>
        <v>0</v>
      </c>
      <c r="Q38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8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84" s="52">
        <f>IF(Tabla15[[#This Row],[11]]="",0,VLOOKUP(TRAMOS!$Q$2,Tabla5[#All],3,FALSE)*Tabla15[[#This Row],[12]])</f>
        <v>0</v>
      </c>
      <c r="T38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1"</v>
      </c>
      <c r="U384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38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0.43</v>
      </c>
      <c r="W38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8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8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8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8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84" s="52">
        <f>IF(Tabla15[[#This Row],[20]]="",0,VLOOKUP("VRP",Tabla5[#All],3,FALSE)*Tabla15[[#This Row],[21]])</f>
        <v>0</v>
      </c>
      <c r="AC38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8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84" s="52">
        <f>IF(Tabla15[[#This Row],[23]]="",0,VLOOKUP("VC",Tabla5[#All],3,FALSE)*Tabla15[[#This Row],[24]])</f>
        <v>0</v>
      </c>
      <c r="AF38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8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84" s="52">
        <f>IF(Tabla15[[#This Row],[26]]="",0,VLOOKUP(TRAMOS!$K$2,Tabla5[#All],3,FALSE)*Tabla15[[#This Row],[27]])</f>
        <v>0</v>
      </c>
      <c r="AI38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8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8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8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8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1"</v>
      </c>
      <c r="AN384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38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1.33</v>
      </c>
    </row>
    <row r="385" spans="2:41" x14ac:dyDescent="0.25">
      <c r="B385" s="58" t="str">
        <f>Tabla1[[#This Row],[nudo inicial]]</f>
        <v>N195</v>
      </c>
      <c r="C385" s="58" t="str">
        <f>Tabla1[[#This Row],[nudo final]]</f>
        <v>N196</v>
      </c>
      <c r="D385" s="51">
        <f>Tabla1[[#This Row],[longitud]]</f>
        <v>136.86000000000001</v>
      </c>
      <c r="E385" s="51" t="str">
        <f>Tabla1[[#This Row],[diametro]]</f>
        <v>3"</v>
      </c>
      <c r="F385" s="51" t="str">
        <f>Tabla1[[#This Row],[material]]</f>
        <v>PVC</v>
      </c>
      <c r="G38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385" s="52" t="str">
        <f>IF(Tabla1[[#This Row],[5]]="TPD",Tabla1[[#This Row],[6]],"")</f>
        <v>3"</v>
      </c>
      <c r="I385" s="52">
        <f>IF(OR(Tabla1[[#This Row],[5]]="TPD"),Tabla1[[#This Row],[7]],"")</f>
        <v>1</v>
      </c>
      <c r="J385" s="52">
        <f>IF(Tabla15[[#This Row],[2]]="",0,VLOOKUP(TRAMOS!$H$2,Tabla5[#All],3,FALSE)*Tabla15[[#This Row],[3]])</f>
        <v>0.15</v>
      </c>
      <c r="K385" s="52" t="str">
        <f>IF(Tabla1[[#This Row],[5]]="TPL",Tabla1[[#This Row],[6]],"")</f>
        <v/>
      </c>
      <c r="L385" s="52" t="str">
        <f>IF(OR(Tabla1[[#This Row],[5]]="TPL"),Tabla1[[#This Row],[7]],"")</f>
        <v/>
      </c>
      <c r="M385" s="52">
        <f>IF(Tabla15[[#This Row],[5]]="",0,VLOOKUP(TRAMOS!$K$2,Tabla5[#All],3,FALSE)*Tabla15[[#This Row],[6]])</f>
        <v>0</v>
      </c>
      <c r="N38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8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85" s="52">
        <f>IF(Tabla15[[#This Row],[8]]="",0,VLOOKUP(TRAMOS!$H$2,Tabla5[#All],3,FALSE)*Tabla15[[#This Row],[9]])</f>
        <v>0</v>
      </c>
      <c r="Q38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8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85" s="52">
        <f>IF(Tabla15[[#This Row],[11]]="",0,VLOOKUP(TRAMOS!$Q$2,Tabla5[#All],3,FALSE)*Tabla15[[#This Row],[12]])</f>
        <v>0</v>
      </c>
      <c r="T38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8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8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8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8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8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8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8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85" s="52">
        <f>IF(Tabla15[[#This Row],[20]]="",0,VLOOKUP("VRP",Tabla5[#All],3,FALSE)*Tabla15[[#This Row],[21]])</f>
        <v>0</v>
      </c>
      <c r="AC38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8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85" s="52">
        <f>IF(Tabla15[[#This Row],[23]]="",0,VLOOKUP("VC",Tabla5[#All],3,FALSE)*Tabla15[[#This Row],[24]])</f>
        <v>0</v>
      </c>
      <c r="AF38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8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85" s="52">
        <f>IF(Tabla15[[#This Row],[26]]="",0,VLOOKUP(TRAMOS!$K$2,Tabla5[#All],3,FALSE)*Tabla15[[#This Row],[27]])</f>
        <v>0</v>
      </c>
      <c r="AI38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8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8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8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8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8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8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386" spans="2:41" x14ac:dyDescent="0.25">
      <c r="B386" s="58" t="str">
        <f>Tabla1[[#This Row],[nudo inicial]]</f>
        <v>N196</v>
      </c>
      <c r="C386" s="58" t="str">
        <f>Tabla1[[#This Row],[nudo final]]</f>
        <v>N197</v>
      </c>
      <c r="D386" s="51">
        <f>Tabla1[[#This Row],[longitud]]</f>
        <v>69.08</v>
      </c>
      <c r="E386" s="51" t="str">
        <f>Tabla1[[#This Row],[diametro]]</f>
        <v>2"</v>
      </c>
      <c r="F386" s="51" t="str">
        <f>Tabla1[[#This Row],[material]]</f>
        <v>PVC</v>
      </c>
      <c r="G38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386" s="52" t="str">
        <f>IF(Tabla1[[#This Row],[5]]="TPD",Tabla1[[#This Row],[6]],"")</f>
        <v/>
      </c>
      <c r="I386" s="52" t="str">
        <f>IF(OR(Tabla1[[#This Row],[5]]="TPD"),Tabla1[[#This Row],[7]],"")</f>
        <v/>
      </c>
      <c r="J386" s="52">
        <f>IF(Tabla15[[#This Row],[2]]="",0,VLOOKUP(TRAMOS!$H$2,Tabla5[#All],3,FALSE)*Tabla15[[#This Row],[3]])</f>
        <v>0</v>
      </c>
      <c r="K386" s="52" t="str">
        <f>IF(Tabla1[[#This Row],[5]]="TPL",Tabla1[[#This Row],[6]],"")</f>
        <v>3"</v>
      </c>
      <c r="L386" s="52">
        <f>IF(OR(Tabla1[[#This Row],[5]]="TPL"),Tabla1[[#This Row],[7]],"")</f>
        <v>1</v>
      </c>
      <c r="M386" s="52">
        <f>IF(Tabla15[[#This Row],[5]]="",0,VLOOKUP(TRAMOS!$K$2,Tabla5[#All],3,FALSE)*Tabla15[[#This Row],[6]])</f>
        <v>0.9</v>
      </c>
      <c r="N38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8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86" s="52">
        <f>IF(Tabla15[[#This Row],[8]]="",0,VLOOKUP(TRAMOS!$H$2,Tabla5[#All],3,FALSE)*Tabla15[[#This Row],[9]])</f>
        <v>0</v>
      </c>
      <c r="Q38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8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86" s="52">
        <f>IF(Tabla15[[#This Row],[11]]="",0,VLOOKUP(TRAMOS!$Q$2,Tabla5[#All],3,FALSE)*Tabla15[[#This Row],[12]])</f>
        <v>0</v>
      </c>
      <c r="T38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386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38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38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8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8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8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8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86" s="52">
        <f>IF(Tabla15[[#This Row],[20]]="",0,VLOOKUP("VRP",Tabla5[#All],3,FALSE)*Tabla15[[#This Row],[21]])</f>
        <v>0</v>
      </c>
      <c r="AC38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386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386" s="52">
        <f>IF(Tabla15[[#This Row],[23]]="",0,VLOOKUP("VC",Tabla5[#All],3,FALSE)*Tabla15[[#This Row],[24]])</f>
        <v>0.25</v>
      </c>
      <c r="AF38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8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86" s="52">
        <f>IF(Tabla15[[#This Row],[26]]="",0,VLOOKUP(TRAMOS!$K$2,Tabla5[#All],3,FALSE)*Tabla15[[#This Row],[27]])</f>
        <v>0</v>
      </c>
      <c r="AI38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8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8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8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8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8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8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1.365</v>
      </c>
    </row>
    <row r="387" spans="2:41" x14ac:dyDescent="0.25">
      <c r="B387" s="58" t="str">
        <f>Tabla1[[#This Row],[nudo inicial]]</f>
        <v>N197</v>
      </c>
      <c r="C387" s="58" t="str">
        <f>Tabla1[[#This Row],[nudo final]]</f>
        <v>TP148</v>
      </c>
      <c r="D387" s="51">
        <f>Tabla1[[#This Row],[longitud]]</f>
        <v>12.85</v>
      </c>
      <c r="E387" s="51" t="str">
        <f>Tabla1[[#This Row],[diametro]]</f>
        <v>2"</v>
      </c>
      <c r="F387" s="51" t="str">
        <f>Tabla1[[#This Row],[material]]</f>
        <v>PVC</v>
      </c>
      <c r="G38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387" s="52" t="str">
        <f>IF(Tabla1[[#This Row],[5]]="TPD",Tabla1[[#This Row],[6]],"")</f>
        <v/>
      </c>
      <c r="I387" s="52" t="str">
        <f>IF(OR(Tabla1[[#This Row],[5]]="TPD"),Tabla1[[#This Row],[7]],"")</f>
        <v/>
      </c>
      <c r="J387" s="52">
        <f>IF(Tabla15[[#This Row],[2]]="",0,VLOOKUP(TRAMOS!$H$2,Tabla5[#All],3,FALSE)*Tabla15[[#This Row],[3]])</f>
        <v>0</v>
      </c>
      <c r="K387" s="52" t="str">
        <f>IF(Tabla1[[#This Row],[5]]="TPL",Tabla1[[#This Row],[6]],"")</f>
        <v>2"</v>
      </c>
      <c r="L387" s="52">
        <f>IF(OR(Tabla1[[#This Row],[5]]="TPL"),Tabla1[[#This Row],[7]],"")</f>
        <v>1</v>
      </c>
      <c r="M387" s="52">
        <f>IF(Tabla15[[#This Row],[5]]="",0,VLOOKUP(TRAMOS!$K$2,Tabla5[#All],3,FALSE)*Tabla15[[#This Row],[6]])</f>
        <v>0.9</v>
      </c>
      <c r="N38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8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87" s="52">
        <f>IF(Tabla15[[#This Row],[8]]="",0,VLOOKUP(TRAMOS!$H$2,Tabla5[#All],3,FALSE)*Tabla15[[#This Row],[9]])</f>
        <v>0</v>
      </c>
      <c r="Q38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8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87" s="52">
        <f>IF(Tabla15[[#This Row],[11]]="",0,VLOOKUP(TRAMOS!$Q$2,Tabla5[#All],3,FALSE)*Tabla15[[#This Row],[12]])</f>
        <v>0</v>
      </c>
      <c r="T38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8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8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8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8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8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8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8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87" s="52">
        <f>IF(Tabla15[[#This Row],[20]]="",0,VLOOKUP("VRP",Tabla5[#All],3,FALSE)*Tabla15[[#This Row],[21]])</f>
        <v>0</v>
      </c>
      <c r="AC38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8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87" s="52">
        <f>IF(Tabla15[[#This Row],[23]]="",0,VLOOKUP("VC",Tabla5[#All],3,FALSE)*Tabla15[[#This Row],[24]])</f>
        <v>0</v>
      </c>
      <c r="AF38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8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87" s="52">
        <f>IF(Tabla15[[#This Row],[26]]="",0,VLOOKUP(TRAMOS!$K$2,Tabla5[#All],3,FALSE)*Tabla15[[#This Row],[27]])</f>
        <v>0</v>
      </c>
      <c r="AI38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8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8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8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8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387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38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388" spans="2:41" x14ac:dyDescent="0.25">
      <c r="B388" s="58" t="str">
        <f>Tabla1[[#This Row],[nudo inicial]]</f>
        <v>N197</v>
      </c>
      <c r="C388" s="58" t="str">
        <f>Tabla1[[#This Row],[nudo final]]</f>
        <v>TP149</v>
      </c>
      <c r="D388" s="51">
        <f>Tabla1[[#This Row],[longitud]]</f>
        <v>13.19</v>
      </c>
      <c r="E388" s="51" t="str">
        <f>Tabla1[[#This Row],[diametro]]</f>
        <v>2"</v>
      </c>
      <c r="F388" s="51" t="str">
        <f>Tabla1[[#This Row],[material]]</f>
        <v>PVC</v>
      </c>
      <c r="G38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388" s="52" t="str">
        <f>IF(Tabla1[[#This Row],[5]]="TPD",Tabla1[[#This Row],[6]],"")</f>
        <v/>
      </c>
      <c r="I388" s="52" t="str">
        <f>IF(OR(Tabla1[[#This Row],[5]]="TPD"),Tabla1[[#This Row],[7]],"")</f>
        <v/>
      </c>
      <c r="J388" s="52">
        <f>IF(Tabla15[[#This Row],[2]]="",0,VLOOKUP(TRAMOS!$H$2,Tabla5[#All],3,FALSE)*Tabla15[[#This Row],[3]])</f>
        <v>0</v>
      </c>
      <c r="K388" s="52" t="str">
        <f>IF(Tabla1[[#This Row],[5]]="TPL",Tabla1[[#This Row],[6]],"")</f>
        <v>2"</v>
      </c>
      <c r="L388" s="52">
        <f>IF(OR(Tabla1[[#This Row],[5]]="TPL"),Tabla1[[#This Row],[7]],"")</f>
        <v>1</v>
      </c>
      <c r="M388" s="52">
        <f>IF(Tabla15[[#This Row],[5]]="",0,VLOOKUP(TRAMOS!$K$2,Tabla5[#All],3,FALSE)*Tabla15[[#This Row],[6]])</f>
        <v>0.9</v>
      </c>
      <c r="N38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8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88" s="52">
        <f>IF(Tabla15[[#This Row],[8]]="",0,VLOOKUP(TRAMOS!$H$2,Tabla5[#All],3,FALSE)*Tabla15[[#This Row],[9]])</f>
        <v>0</v>
      </c>
      <c r="Q38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8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88" s="52">
        <f>IF(Tabla15[[#This Row],[11]]="",0,VLOOKUP(TRAMOS!$Q$2,Tabla5[#All],3,FALSE)*Tabla15[[#This Row],[12]])</f>
        <v>0</v>
      </c>
      <c r="T38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8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8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8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8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8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8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8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88" s="52">
        <f>IF(Tabla15[[#This Row],[20]]="",0,VLOOKUP("VRP",Tabla5[#All],3,FALSE)*Tabla15[[#This Row],[21]])</f>
        <v>0</v>
      </c>
      <c r="AC38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8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88" s="52">
        <f>IF(Tabla15[[#This Row],[23]]="",0,VLOOKUP("VC",Tabla5[#All],3,FALSE)*Tabla15[[#This Row],[24]])</f>
        <v>0</v>
      </c>
      <c r="AF38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8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88" s="52">
        <f>IF(Tabla15[[#This Row],[26]]="",0,VLOOKUP(TRAMOS!$K$2,Tabla5[#All],3,FALSE)*Tabla15[[#This Row],[27]])</f>
        <v>0</v>
      </c>
      <c r="AI38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8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8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8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8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388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38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389" spans="2:41" x14ac:dyDescent="0.25">
      <c r="B389" s="58" t="str">
        <f>Tabla1[[#This Row],[nudo inicial]]</f>
        <v>N196</v>
      </c>
      <c r="C389" s="58" t="str">
        <f>Tabla1[[#This Row],[nudo final]]</f>
        <v>N198</v>
      </c>
      <c r="D389" s="51">
        <f>Tabla1[[#This Row],[longitud]]</f>
        <v>159.36000000000001</v>
      </c>
      <c r="E389" s="51" t="str">
        <f>Tabla1[[#This Row],[diametro]]</f>
        <v>3"</v>
      </c>
      <c r="F389" s="51" t="str">
        <f>Tabla1[[#This Row],[material]]</f>
        <v>PVC</v>
      </c>
      <c r="G38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389" s="52" t="str">
        <f>IF(Tabla1[[#This Row],[5]]="TPD",Tabla1[[#This Row],[6]],"")</f>
        <v>3"</v>
      </c>
      <c r="I389" s="52">
        <f>IF(OR(Tabla1[[#This Row],[5]]="TPD"),Tabla1[[#This Row],[7]],"")</f>
        <v>1</v>
      </c>
      <c r="J389" s="52">
        <f>IF(Tabla15[[#This Row],[2]]="",0,VLOOKUP(TRAMOS!$H$2,Tabla5[#All],3,FALSE)*Tabla15[[#This Row],[3]])</f>
        <v>0.15</v>
      </c>
      <c r="K389" s="52" t="str">
        <f>IF(Tabla1[[#This Row],[5]]="TPL",Tabla1[[#This Row],[6]],"")</f>
        <v/>
      </c>
      <c r="L389" s="52" t="str">
        <f>IF(OR(Tabla1[[#This Row],[5]]="TPL"),Tabla1[[#This Row],[7]],"")</f>
        <v/>
      </c>
      <c r="M389" s="52">
        <f>IF(Tabla15[[#This Row],[5]]="",0,VLOOKUP(TRAMOS!$K$2,Tabla5[#All],3,FALSE)*Tabla15[[#This Row],[6]])</f>
        <v>0</v>
      </c>
      <c r="N38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8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89" s="52">
        <f>IF(Tabla15[[#This Row],[8]]="",0,VLOOKUP(TRAMOS!$H$2,Tabla5[#All],3,FALSE)*Tabla15[[#This Row],[9]])</f>
        <v>0</v>
      </c>
      <c r="Q38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3"</v>
      </c>
      <c r="R389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389" s="52">
        <f>IF(Tabla15[[#This Row],[11]]="",0,VLOOKUP(TRAMOS!$Q$2,Tabla5[#All],3,FALSE)*Tabla15[[#This Row],[12]])</f>
        <v>0.9</v>
      </c>
      <c r="T38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8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8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8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8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8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8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8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89" s="52">
        <f>IF(Tabla15[[#This Row],[20]]="",0,VLOOKUP("VRP",Tabla5[#All],3,FALSE)*Tabla15[[#This Row],[21]])</f>
        <v>0</v>
      </c>
      <c r="AC38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389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389" s="52">
        <f>IF(Tabla15[[#This Row],[23]]="",0,VLOOKUP("VC",Tabla5[#All],3,FALSE)*Tabla15[[#This Row],[24]])</f>
        <v>0.25</v>
      </c>
      <c r="AF38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8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89" s="52">
        <f>IF(Tabla15[[#This Row],[26]]="",0,VLOOKUP(TRAMOS!$K$2,Tabla5[#All],3,FALSE)*Tabla15[[#This Row],[27]])</f>
        <v>0</v>
      </c>
      <c r="AI38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8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8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8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8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8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8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</v>
      </c>
    </row>
    <row r="390" spans="2:41" x14ac:dyDescent="0.25">
      <c r="B390" s="58" t="str">
        <f>Tabla1[[#This Row],[nudo inicial]]</f>
        <v>N198</v>
      </c>
      <c r="C390" s="58" t="str">
        <f>Tabla1[[#This Row],[nudo final]]</f>
        <v>TP150</v>
      </c>
      <c r="D390" s="51">
        <f>Tabla1[[#This Row],[longitud]]</f>
        <v>80.23</v>
      </c>
      <c r="E390" s="51" t="str">
        <f>Tabla1[[#This Row],[diametro]]</f>
        <v>2"</v>
      </c>
      <c r="F390" s="51" t="str">
        <f>Tabla1[[#This Row],[material]]</f>
        <v>PVC</v>
      </c>
      <c r="G39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390" s="52" t="str">
        <f>IF(Tabla1[[#This Row],[5]]="TPD",Tabla1[[#This Row],[6]],"")</f>
        <v/>
      </c>
      <c r="I390" s="52" t="str">
        <f>IF(OR(Tabla1[[#This Row],[5]]="TPD"),Tabla1[[#This Row],[7]],"")</f>
        <v/>
      </c>
      <c r="J390" s="52">
        <f>IF(Tabla15[[#This Row],[2]]="",0,VLOOKUP(TRAMOS!$H$2,Tabla5[#All],3,FALSE)*Tabla15[[#This Row],[3]])</f>
        <v>0</v>
      </c>
      <c r="K390" s="52" t="str">
        <f>IF(Tabla1[[#This Row],[5]]="TPL",Tabla1[[#This Row],[6]],"")</f>
        <v>3"</v>
      </c>
      <c r="L390" s="52">
        <f>IF(OR(Tabla1[[#This Row],[5]]="TPL"),Tabla1[[#This Row],[7]],"")</f>
        <v>1</v>
      </c>
      <c r="M390" s="52">
        <f>IF(Tabla15[[#This Row],[5]]="",0,VLOOKUP(TRAMOS!$K$2,Tabla5[#All],3,FALSE)*Tabla15[[#This Row],[6]])</f>
        <v>0.9</v>
      </c>
      <c r="N39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9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90" s="52">
        <f>IF(Tabla15[[#This Row],[8]]="",0,VLOOKUP(TRAMOS!$H$2,Tabla5[#All],3,FALSE)*Tabla15[[#This Row],[9]])</f>
        <v>0</v>
      </c>
      <c r="Q39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9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90" s="52">
        <f>IF(Tabla15[[#This Row],[11]]="",0,VLOOKUP(TRAMOS!$Q$2,Tabla5[#All],3,FALSE)*Tabla15[[#This Row],[12]])</f>
        <v>0</v>
      </c>
      <c r="T39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390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39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39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9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9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9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9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90" s="52">
        <f>IF(Tabla15[[#This Row],[20]]="",0,VLOOKUP("VRP",Tabla5[#All],3,FALSE)*Tabla15[[#This Row],[21]])</f>
        <v>0</v>
      </c>
      <c r="AC39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390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390" s="52">
        <f>IF(Tabla15[[#This Row],[23]]="",0,VLOOKUP("VC",Tabla5[#All],3,FALSE)*Tabla15[[#This Row],[24]])</f>
        <v>0.25</v>
      </c>
      <c r="AF39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9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90" s="52">
        <f>IF(Tabla15[[#This Row],[26]]="",0,VLOOKUP(TRAMOS!$K$2,Tabla5[#All],3,FALSE)*Tabla15[[#This Row],[27]])</f>
        <v>0</v>
      </c>
      <c r="AI39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9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9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9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9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390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39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1.365</v>
      </c>
    </row>
    <row r="391" spans="2:41" x14ac:dyDescent="0.25">
      <c r="B391" s="58" t="str">
        <f>Tabla1[[#This Row],[nudo inicial]]</f>
        <v>N198</v>
      </c>
      <c r="C391" s="58" t="str">
        <f>Tabla1[[#This Row],[nudo final]]</f>
        <v>N199</v>
      </c>
      <c r="D391" s="51">
        <f>Tabla1[[#This Row],[longitud]]</f>
        <v>163.66999999999999</v>
      </c>
      <c r="E391" s="51" t="str">
        <f>Tabla1[[#This Row],[diametro]]</f>
        <v>3"</v>
      </c>
      <c r="F391" s="51" t="str">
        <f>Tabla1[[#This Row],[material]]</f>
        <v>PVC</v>
      </c>
      <c r="G39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391" s="52" t="str">
        <f>IF(Tabla1[[#This Row],[5]]="TPD",Tabla1[[#This Row],[6]],"")</f>
        <v>3"</v>
      </c>
      <c r="I391" s="52">
        <f>IF(OR(Tabla1[[#This Row],[5]]="TPD"),Tabla1[[#This Row],[7]],"")</f>
        <v>1</v>
      </c>
      <c r="J391" s="52">
        <f>IF(Tabla15[[#This Row],[2]]="",0,VLOOKUP(TRAMOS!$H$2,Tabla5[#All],3,FALSE)*Tabla15[[#This Row],[3]])</f>
        <v>0.15</v>
      </c>
      <c r="K391" s="52" t="str">
        <f>IF(Tabla1[[#This Row],[5]]="TPL",Tabla1[[#This Row],[6]],"")</f>
        <v/>
      </c>
      <c r="L391" s="52" t="str">
        <f>IF(OR(Tabla1[[#This Row],[5]]="TPL"),Tabla1[[#This Row],[7]],"")</f>
        <v/>
      </c>
      <c r="M391" s="52">
        <f>IF(Tabla15[[#This Row],[5]]="",0,VLOOKUP(TRAMOS!$K$2,Tabla5[#All],3,FALSE)*Tabla15[[#This Row],[6]])</f>
        <v>0</v>
      </c>
      <c r="N39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9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91" s="52">
        <f>IF(Tabla15[[#This Row],[8]]="",0,VLOOKUP(TRAMOS!$H$2,Tabla5[#All],3,FALSE)*Tabla15[[#This Row],[9]])</f>
        <v>0</v>
      </c>
      <c r="Q39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9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91" s="52">
        <f>IF(Tabla15[[#This Row],[11]]="",0,VLOOKUP(TRAMOS!$Q$2,Tabla5[#All],3,FALSE)*Tabla15[[#This Row],[12]])</f>
        <v>0</v>
      </c>
      <c r="T39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9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9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9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9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9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9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9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91" s="52">
        <f>IF(Tabla15[[#This Row],[20]]="",0,VLOOKUP("VRP",Tabla5[#All],3,FALSE)*Tabla15[[#This Row],[21]])</f>
        <v>0</v>
      </c>
      <c r="AC39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9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91" s="52">
        <f>IF(Tabla15[[#This Row],[23]]="",0,VLOOKUP("VC",Tabla5[#All],3,FALSE)*Tabla15[[#This Row],[24]])</f>
        <v>0</v>
      </c>
      <c r="AF39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9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91" s="52">
        <f>IF(Tabla15[[#This Row],[26]]="",0,VLOOKUP(TRAMOS!$K$2,Tabla5[#All],3,FALSE)*Tabla15[[#This Row],[27]])</f>
        <v>0</v>
      </c>
      <c r="AI39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9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9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9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9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9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9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392" spans="2:41" x14ac:dyDescent="0.25">
      <c r="B392" s="58" t="str">
        <f>Tabla1[[#This Row],[nudo inicial]]</f>
        <v>N152</v>
      </c>
      <c r="C392" s="58" t="str">
        <f>Tabla1[[#This Row],[nudo final]]</f>
        <v>N200</v>
      </c>
      <c r="D392" s="51">
        <f>Tabla1[[#This Row],[longitud]]</f>
        <v>44.75</v>
      </c>
      <c r="E392" s="51" t="str">
        <f>Tabla1[[#This Row],[diametro]]</f>
        <v>3"</v>
      </c>
      <c r="F392" s="51" t="str">
        <f>Tabla1[[#This Row],[material]]</f>
        <v>PVC</v>
      </c>
      <c r="G39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392" s="52" t="str">
        <f>IF(Tabla1[[#This Row],[5]]="TPD",Tabla1[[#This Row],[6]],"")</f>
        <v>3"</v>
      </c>
      <c r="I392" s="52">
        <f>IF(OR(Tabla1[[#This Row],[5]]="TPD"),Tabla1[[#This Row],[7]],"")</f>
        <v>1</v>
      </c>
      <c r="J392" s="52">
        <f>IF(Tabla15[[#This Row],[2]]="",0,VLOOKUP(TRAMOS!$H$2,Tabla5[#All],3,FALSE)*Tabla15[[#This Row],[3]])</f>
        <v>0.15</v>
      </c>
      <c r="K392" s="52" t="str">
        <f>IF(Tabla1[[#This Row],[5]]="TPL",Tabla1[[#This Row],[6]],"")</f>
        <v/>
      </c>
      <c r="L392" s="52" t="str">
        <f>IF(OR(Tabla1[[#This Row],[5]]="TPL"),Tabla1[[#This Row],[7]],"")</f>
        <v/>
      </c>
      <c r="M392" s="52">
        <f>IF(Tabla15[[#This Row],[5]]="",0,VLOOKUP(TRAMOS!$K$2,Tabla5[#All],3,FALSE)*Tabla15[[#This Row],[6]])</f>
        <v>0</v>
      </c>
      <c r="N39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9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92" s="52">
        <f>IF(Tabla15[[#This Row],[8]]="",0,VLOOKUP(TRAMOS!$H$2,Tabla5[#All],3,FALSE)*Tabla15[[#This Row],[9]])</f>
        <v>0</v>
      </c>
      <c r="Q39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9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92" s="52">
        <f>IF(Tabla15[[#This Row],[11]]="",0,VLOOKUP(TRAMOS!$Q$2,Tabla5[#All],3,FALSE)*Tabla15[[#This Row],[12]])</f>
        <v>0</v>
      </c>
      <c r="T39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9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9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9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9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9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9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9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92" s="52">
        <f>IF(Tabla15[[#This Row],[20]]="",0,VLOOKUP("VRP",Tabla5[#All],3,FALSE)*Tabla15[[#This Row],[21]])</f>
        <v>0</v>
      </c>
      <c r="AC39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392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392" s="52">
        <f>IF(Tabla15[[#This Row],[23]]="",0,VLOOKUP("VC",Tabla5[#All],3,FALSE)*Tabla15[[#This Row],[24]])</f>
        <v>0.25</v>
      </c>
      <c r="AF39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9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92" s="52">
        <f>IF(Tabla15[[#This Row],[26]]="",0,VLOOKUP(TRAMOS!$K$2,Tabla5[#All],3,FALSE)*Tabla15[[#This Row],[27]])</f>
        <v>0</v>
      </c>
      <c r="AI39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9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9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9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9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9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9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0.4</v>
      </c>
    </row>
    <row r="393" spans="2:41" x14ac:dyDescent="0.25">
      <c r="B393" s="58" t="str">
        <f>Tabla1[[#This Row],[nudo inicial]]</f>
        <v>N200</v>
      </c>
      <c r="C393" s="58" t="str">
        <f>Tabla1[[#This Row],[nudo final]]</f>
        <v>TP151</v>
      </c>
      <c r="D393" s="51">
        <f>Tabla1[[#This Row],[longitud]]</f>
        <v>36.86</v>
      </c>
      <c r="E393" s="51" t="str">
        <f>Tabla1[[#This Row],[diametro]]</f>
        <v>2"</v>
      </c>
      <c r="F393" s="51" t="str">
        <f>Tabla1[[#This Row],[material]]</f>
        <v>PVC</v>
      </c>
      <c r="G39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393" s="52" t="str">
        <f>IF(Tabla1[[#This Row],[5]]="TPD",Tabla1[[#This Row],[6]],"")</f>
        <v/>
      </c>
      <c r="I393" s="52" t="str">
        <f>IF(OR(Tabla1[[#This Row],[5]]="TPD"),Tabla1[[#This Row],[7]],"")</f>
        <v/>
      </c>
      <c r="J393" s="52">
        <f>IF(Tabla15[[#This Row],[2]]="",0,VLOOKUP(TRAMOS!$H$2,Tabla5[#All],3,FALSE)*Tabla15[[#This Row],[3]])</f>
        <v>0</v>
      </c>
      <c r="K393" s="52" t="str">
        <f>IF(Tabla1[[#This Row],[5]]="TPL",Tabla1[[#This Row],[6]],"")</f>
        <v>3"</v>
      </c>
      <c r="L393" s="52">
        <f>IF(OR(Tabla1[[#This Row],[5]]="TPL"),Tabla1[[#This Row],[7]],"")</f>
        <v>1</v>
      </c>
      <c r="M393" s="52">
        <f>IF(Tabla15[[#This Row],[5]]="",0,VLOOKUP(TRAMOS!$K$2,Tabla5[#All],3,FALSE)*Tabla15[[#This Row],[6]])</f>
        <v>0.9</v>
      </c>
      <c r="N39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9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93" s="52">
        <f>IF(Tabla15[[#This Row],[8]]="",0,VLOOKUP(TRAMOS!$H$2,Tabla5[#All],3,FALSE)*Tabla15[[#This Row],[9]])</f>
        <v>0</v>
      </c>
      <c r="Q39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9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93" s="52">
        <f>IF(Tabla15[[#This Row],[11]]="",0,VLOOKUP(TRAMOS!$Q$2,Tabla5[#All],3,FALSE)*Tabla15[[#This Row],[12]])</f>
        <v>0</v>
      </c>
      <c r="T39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393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39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39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9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9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9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9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93" s="52">
        <f>IF(Tabla15[[#This Row],[20]]="",0,VLOOKUP("VRP",Tabla5[#All],3,FALSE)*Tabla15[[#This Row],[21]])</f>
        <v>0</v>
      </c>
      <c r="AC39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9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93" s="52">
        <f>IF(Tabla15[[#This Row],[23]]="",0,VLOOKUP("VC",Tabla5[#All],3,FALSE)*Tabla15[[#This Row],[24]])</f>
        <v>0</v>
      </c>
      <c r="AF39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9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93" s="52">
        <f>IF(Tabla15[[#This Row],[26]]="",0,VLOOKUP(TRAMOS!$K$2,Tabla5[#All],3,FALSE)*Tabla15[[#This Row],[27]])</f>
        <v>0</v>
      </c>
      <c r="AI39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9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9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9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9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393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39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394" spans="2:41" x14ac:dyDescent="0.25">
      <c r="B394" s="58" t="str">
        <f>Tabla1[[#This Row],[nudo inicial]]</f>
        <v>N200</v>
      </c>
      <c r="C394" s="58" t="str">
        <f>Tabla1[[#This Row],[nudo final]]</f>
        <v>N201</v>
      </c>
      <c r="D394" s="51">
        <f>Tabla1[[#This Row],[longitud]]</f>
        <v>122.85</v>
      </c>
      <c r="E394" s="51" t="str">
        <f>Tabla1[[#This Row],[diametro]]</f>
        <v>3"</v>
      </c>
      <c r="F394" s="51" t="str">
        <f>Tabla1[[#This Row],[material]]</f>
        <v>PVC</v>
      </c>
      <c r="G39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394" s="52" t="str">
        <f>IF(Tabla1[[#This Row],[5]]="TPD",Tabla1[[#This Row],[6]],"")</f>
        <v>3"</v>
      </c>
      <c r="I394" s="52">
        <f>IF(OR(Tabla1[[#This Row],[5]]="TPD"),Tabla1[[#This Row],[7]],"")</f>
        <v>1</v>
      </c>
      <c r="J394" s="52">
        <f>IF(Tabla15[[#This Row],[2]]="",0,VLOOKUP(TRAMOS!$H$2,Tabla5[#All],3,FALSE)*Tabla15[[#This Row],[3]])</f>
        <v>0.15</v>
      </c>
      <c r="K394" s="52" t="str">
        <f>IF(Tabla1[[#This Row],[5]]="TPL",Tabla1[[#This Row],[6]],"")</f>
        <v/>
      </c>
      <c r="L394" s="52" t="str">
        <f>IF(OR(Tabla1[[#This Row],[5]]="TPL"),Tabla1[[#This Row],[7]],"")</f>
        <v/>
      </c>
      <c r="M394" s="52">
        <f>IF(Tabla15[[#This Row],[5]]="",0,VLOOKUP(TRAMOS!$K$2,Tabla5[#All],3,FALSE)*Tabla15[[#This Row],[6]])</f>
        <v>0</v>
      </c>
      <c r="N39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9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94" s="52">
        <f>IF(Tabla15[[#This Row],[8]]="",0,VLOOKUP(TRAMOS!$H$2,Tabla5[#All],3,FALSE)*Tabla15[[#This Row],[9]])</f>
        <v>0</v>
      </c>
      <c r="Q39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9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94" s="52">
        <f>IF(Tabla15[[#This Row],[11]]="",0,VLOOKUP(TRAMOS!$Q$2,Tabla5[#All],3,FALSE)*Tabla15[[#This Row],[12]])</f>
        <v>0</v>
      </c>
      <c r="T39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9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9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9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9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9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9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9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94" s="52">
        <f>IF(Tabla15[[#This Row],[20]]="",0,VLOOKUP("VRP",Tabla5[#All],3,FALSE)*Tabla15[[#This Row],[21]])</f>
        <v>0</v>
      </c>
      <c r="AC39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9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94" s="52">
        <f>IF(Tabla15[[#This Row],[23]]="",0,VLOOKUP("VC",Tabla5[#All],3,FALSE)*Tabla15[[#This Row],[24]])</f>
        <v>0</v>
      </c>
      <c r="AF39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9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94" s="52">
        <f>IF(Tabla15[[#This Row],[26]]="",0,VLOOKUP(TRAMOS!$K$2,Tabla5[#All],3,FALSE)*Tabla15[[#This Row],[27]])</f>
        <v>0</v>
      </c>
      <c r="AI39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9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9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9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9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9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9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395" spans="2:41" x14ac:dyDescent="0.25">
      <c r="B395" s="58" t="str">
        <f>Tabla1[[#This Row],[nudo inicial]]</f>
        <v>N201</v>
      </c>
      <c r="C395" s="58" t="str">
        <f>Tabla1[[#This Row],[nudo final]]</f>
        <v>N202</v>
      </c>
      <c r="D395" s="51">
        <f>Tabla1[[#This Row],[longitud]]</f>
        <v>56.09</v>
      </c>
      <c r="E395" s="51" t="str">
        <f>Tabla1[[#This Row],[diametro]]</f>
        <v>3"</v>
      </c>
      <c r="F395" s="51" t="str">
        <f>Tabla1[[#This Row],[material]]</f>
        <v>PVC</v>
      </c>
      <c r="G39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395" s="52" t="str">
        <f>IF(Tabla1[[#This Row],[5]]="TPD",Tabla1[[#This Row],[6]],"")</f>
        <v/>
      </c>
      <c r="I395" s="52" t="str">
        <f>IF(OR(Tabla1[[#This Row],[5]]="TPD"),Tabla1[[#This Row],[7]],"")</f>
        <v/>
      </c>
      <c r="J395" s="52">
        <f>IF(Tabla15[[#This Row],[2]]="",0,VLOOKUP(TRAMOS!$H$2,Tabla5[#All],3,FALSE)*Tabla15[[#This Row],[3]])</f>
        <v>0</v>
      </c>
      <c r="K395" s="52" t="str">
        <f>IF(Tabla1[[#This Row],[5]]="TPL",Tabla1[[#This Row],[6]],"")</f>
        <v>3"</v>
      </c>
      <c r="L395" s="52">
        <f>IF(OR(Tabla1[[#This Row],[5]]="TPL"),Tabla1[[#This Row],[7]],"")</f>
        <v>1</v>
      </c>
      <c r="M395" s="52">
        <f>IF(Tabla15[[#This Row],[5]]="",0,VLOOKUP(TRAMOS!$K$2,Tabla5[#All],3,FALSE)*Tabla15[[#This Row],[6]])</f>
        <v>0.9</v>
      </c>
      <c r="N39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9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95" s="52">
        <f>IF(Tabla15[[#This Row],[8]]="",0,VLOOKUP(TRAMOS!$H$2,Tabla5[#All],3,FALSE)*Tabla15[[#This Row],[9]])</f>
        <v>0</v>
      </c>
      <c r="Q39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9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95" s="52">
        <f>IF(Tabla15[[#This Row],[11]]="",0,VLOOKUP(TRAMOS!$Q$2,Tabla5[#All],3,FALSE)*Tabla15[[#This Row],[12]])</f>
        <v>0</v>
      </c>
      <c r="T39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9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9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9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9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9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9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9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95" s="52">
        <f>IF(Tabla15[[#This Row],[20]]="",0,VLOOKUP("VRP",Tabla5[#All],3,FALSE)*Tabla15[[#This Row],[21]])</f>
        <v>0</v>
      </c>
      <c r="AC39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9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95" s="52">
        <f>IF(Tabla15[[#This Row],[23]]="",0,VLOOKUP("VC",Tabla5[#All],3,FALSE)*Tabla15[[#This Row],[24]])</f>
        <v>0</v>
      </c>
      <c r="AF39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9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95" s="52">
        <f>IF(Tabla15[[#This Row],[26]]="",0,VLOOKUP(TRAMOS!$K$2,Tabla5[#All],3,FALSE)*Tabla15[[#This Row],[27]])</f>
        <v>0</v>
      </c>
      <c r="AI39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9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9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9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9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9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9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396" spans="2:41" x14ac:dyDescent="0.25">
      <c r="B396" s="58" t="str">
        <f>Tabla1[[#This Row],[nudo inicial]]</f>
        <v>N202</v>
      </c>
      <c r="C396" s="58" t="str">
        <f>Tabla1[[#This Row],[nudo final]]</f>
        <v>TP152</v>
      </c>
      <c r="D396" s="51">
        <f>Tabla1[[#This Row],[longitud]]</f>
        <v>71.86</v>
      </c>
      <c r="E396" s="51" t="str">
        <f>Tabla1[[#This Row],[diametro]]</f>
        <v>2"</v>
      </c>
      <c r="F396" s="51" t="str">
        <f>Tabla1[[#This Row],[material]]</f>
        <v>PVC</v>
      </c>
      <c r="G39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396" s="52" t="str">
        <f>IF(Tabla1[[#This Row],[5]]="TPD",Tabla1[[#This Row],[6]],"")</f>
        <v/>
      </c>
      <c r="I396" s="52" t="str">
        <f>IF(OR(Tabla1[[#This Row],[5]]="TPD"),Tabla1[[#This Row],[7]],"")</f>
        <v/>
      </c>
      <c r="J396" s="52">
        <f>IF(Tabla15[[#This Row],[2]]="",0,VLOOKUP(TRAMOS!$H$2,Tabla5[#All],3,FALSE)*Tabla15[[#This Row],[3]])</f>
        <v>0</v>
      </c>
      <c r="K396" s="52" t="str">
        <f>IF(Tabla1[[#This Row],[5]]="TPL",Tabla1[[#This Row],[6]],"")</f>
        <v>3"</v>
      </c>
      <c r="L396" s="52">
        <f>IF(OR(Tabla1[[#This Row],[5]]="TPL"),Tabla1[[#This Row],[7]],"")</f>
        <v>1</v>
      </c>
      <c r="M396" s="52">
        <f>IF(Tabla15[[#This Row],[5]]="",0,VLOOKUP(TRAMOS!$K$2,Tabla5[#All],3,FALSE)*Tabla15[[#This Row],[6]])</f>
        <v>0.9</v>
      </c>
      <c r="N39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9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96" s="52">
        <f>IF(Tabla15[[#This Row],[8]]="",0,VLOOKUP(TRAMOS!$H$2,Tabla5[#All],3,FALSE)*Tabla15[[#This Row],[9]])</f>
        <v>0</v>
      </c>
      <c r="Q39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9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96" s="52">
        <f>IF(Tabla15[[#This Row],[11]]="",0,VLOOKUP(TRAMOS!$Q$2,Tabla5[#All],3,FALSE)*Tabla15[[#This Row],[12]])</f>
        <v>0</v>
      </c>
      <c r="T39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396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39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39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9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9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9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9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96" s="52">
        <f>IF(Tabla15[[#This Row],[20]]="",0,VLOOKUP("VRP",Tabla5[#All],3,FALSE)*Tabla15[[#This Row],[21]])</f>
        <v>0</v>
      </c>
      <c r="AC39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9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96" s="52">
        <f>IF(Tabla15[[#This Row],[23]]="",0,VLOOKUP("VC",Tabla5[#All],3,FALSE)*Tabla15[[#This Row],[24]])</f>
        <v>0</v>
      </c>
      <c r="AF39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9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96" s="52">
        <f>IF(Tabla15[[#This Row],[26]]="",0,VLOOKUP(TRAMOS!$K$2,Tabla5[#All],3,FALSE)*Tabla15[[#This Row],[27]])</f>
        <v>0</v>
      </c>
      <c r="AI39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9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9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9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9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39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39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397" spans="2:41" x14ac:dyDescent="0.25">
      <c r="B397" s="58" t="str">
        <f>Tabla1[[#This Row],[nudo inicial]]</f>
        <v>N202</v>
      </c>
      <c r="C397" s="58" t="str">
        <f>Tabla1[[#This Row],[nudo final]]</f>
        <v>N203</v>
      </c>
      <c r="D397" s="51">
        <f>Tabla1[[#This Row],[longitud]]</f>
        <v>44.44</v>
      </c>
      <c r="E397" s="51" t="str">
        <f>Tabla1[[#This Row],[diametro]]</f>
        <v>3"</v>
      </c>
      <c r="F397" s="51" t="str">
        <f>Tabla1[[#This Row],[material]]</f>
        <v>PVC</v>
      </c>
      <c r="G39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397" s="52" t="str">
        <f>IF(Tabla1[[#This Row],[5]]="TPD",Tabla1[[#This Row],[6]],"")</f>
        <v>3"</v>
      </c>
      <c r="I397" s="52">
        <f>IF(OR(Tabla1[[#This Row],[5]]="TPD"),Tabla1[[#This Row],[7]],"")</f>
        <v>1</v>
      </c>
      <c r="J397" s="52">
        <f>IF(Tabla15[[#This Row],[2]]="",0,VLOOKUP(TRAMOS!$H$2,Tabla5[#All],3,FALSE)*Tabla15[[#This Row],[3]])</f>
        <v>0.15</v>
      </c>
      <c r="K397" s="52" t="str">
        <f>IF(Tabla1[[#This Row],[5]]="TPL",Tabla1[[#This Row],[6]],"")</f>
        <v/>
      </c>
      <c r="L397" s="52" t="str">
        <f>IF(OR(Tabla1[[#This Row],[5]]="TPL"),Tabla1[[#This Row],[7]],"")</f>
        <v/>
      </c>
      <c r="M397" s="52">
        <f>IF(Tabla15[[#This Row],[5]]="",0,VLOOKUP(TRAMOS!$K$2,Tabla5[#All],3,FALSE)*Tabla15[[#This Row],[6]])</f>
        <v>0</v>
      </c>
      <c r="N39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9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97" s="52">
        <f>IF(Tabla15[[#This Row],[8]]="",0,VLOOKUP(TRAMOS!$H$2,Tabla5[#All],3,FALSE)*Tabla15[[#This Row],[9]])</f>
        <v>0</v>
      </c>
      <c r="Q39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9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97" s="52">
        <f>IF(Tabla15[[#This Row],[11]]="",0,VLOOKUP(TRAMOS!$Q$2,Tabla5[#All],3,FALSE)*Tabla15[[#This Row],[12]])</f>
        <v>0</v>
      </c>
      <c r="T39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9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9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9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9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9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9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9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97" s="52">
        <f>IF(Tabla15[[#This Row],[20]]="",0,VLOOKUP("VRP",Tabla5[#All],3,FALSE)*Tabla15[[#This Row],[21]])</f>
        <v>0</v>
      </c>
      <c r="AC39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9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97" s="52">
        <f>IF(Tabla15[[#This Row],[23]]="",0,VLOOKUP("VC",Tabla5[#All],3,FALSE)*Tabla15[[#This Row],[24]])</f>
        <v>0</v>
      </c>
      <c r="AF39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9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97" s="52">
        <f>IF(Tabla15[[#This Row],[26]]="",0,VLOOKUP(TRAMOS!$K$2,Tabla5[#All],3,FALSE)*Tabla15[[#This Row],[27]])</f>
        <v>0</v>
      </c>
      <c r="AI39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9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9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9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9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9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9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398" spans="2:41" x14ac:dyDescent="0.25">
      <c r="B398" s="58" t="str">
        <f>Tabla1[[#This Row],[nudo inicial]]</f>
        <v>N203</v>
      </c>
      <c r="C398" s="58" t="str">
        <f>Tabla1[[#This Row],[nudo final]]</f>
        <v>TP153</v>
      </c>
      <c r="D398" s="51">
        <f>Tabla1[[#This Row],[longitud]]</f>
        <v>64.63</v>
      </c>
      <c r="E398" s="51" t="str">
        <f>Tabla1[[#This Row],[diametro]]</f>
        <v>2"</v>
      </c>
      <c r="F398" s="51" t="str">
        <f>Tabla1[[#This Row],[material]]</f>
        <v>PVC</v>
      </c>
      <c r="G39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398" s="52" t="str">
        <f>IF(Tabla1[[#This Row],[5]]="TPD",Tabla1[[#This Row],[6]],"")</f>
        <v/>
      </c>
      <c r="I398" s="52" t="str">
        <f>IF(OR(Tabla1[[#This Row],[5]]="TPD"),Tabla1[[#This Row],[7]],"")</f>
        <v/>
      </c>
      <c r="J398" s="52">
        <f>IF(Tabla15[[#This Row],[2]]="",0,VLOOKUP(TRAMOS!$H$2,Tabla5[#All],3,FALSE)*Tabla15[[#This Row],[3]])</f>
        <v>0</v>
      </c>
      <c r="K398" s="52" t="str">
        <f>IF(Tabla1[[#This Row],[5]]="TPL",Tabla1[[#This Row],[6]],"")</f>
        <v>3"</v>
      </c>
      <c r="L398" s="52">
        <f>IF(OR(Tabla1[[#This Row],[5]]="TPL"),Tabla1[[#This Row],[7]],"")</f>
        <v>1</v>
      </c>
      <c r="M398" s="52">
        <f>IF(Tabla15[[#This Row],[5]]="",0,VLOOKUP(TRAMOS!$K$2,Tabla5[#All],3,FALSE)*Tabla15[[#This Row],[6]])</f>
        <v>0.9</v>
      </c>
      <c r="N39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9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98" s="52">
        <f>IF(Tabla15[[#This Row],[8]]="",0,VLOOKUP(TRAMOS!$H$2,Tabla5[#All],3,FALSE)*Tabla15[[#This Row],[9]])</f>
        <v>0</v>
      </c>
      <c r="Q39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9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98" s="52">
        <f>IF(Tabla15[[#This Row],[11]]="",0,VLOOKUP(TRAMOS!$Q$2,Tabla5[#All],3,FALSE)*Tabla15[[#This Row],[12]])</f>
        <v>0</v>
      </c>
      <c r="T39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398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39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39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9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9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9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9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98" s="52">
        <f>IF(Tabla15[[#This Row],[20]]="",0,VLOOKUP("VRP",Tabla5[#All],3,FALSE)*Tabla15[[#This Row],[21]])</f>
        <v>0</v>
      </c>
      <c r="AC39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9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98" s="52">
        <f>IF(Tabla15[[#This Row],[23]]="",0,VLOOKUP("VC",Tabla5[#All],3,FALSE)*Tabla15[[#This Row],[24]])</f>
        <v>0</v>
      </c>
      <c r="AF39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9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98" s="52">
        <f>IF(Tabla15[[#This Row],[26]]="",0,VLOOKUP(TRAMOS!$K$2,Tabla5[#All],3,FALSE)*Tabla15[[#This Row],[27]])</f>
        <v>0</v>
      </c>
      <c r="AI39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9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9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9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9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398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39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399" spans="2:41" x14ac:dyDescent="0.25">
      <c r="B399" s="58" t="str">
        <f>Tabla1[[#This Row],[nudo inicial]]</f>
        <v>N203</v>
      </c>
      <c r="C399" s="58" t="str">
        <f>Tabla1[[#This Row],[nudo final]]</f>
        <v>N204</v>
      </c>
      <c r="D399" s="51">
        <f>Tabla1[[#This Row],[longitud]]</f>
        <v>20.96</v>
      </c>
      <c r="E399" s="51" t="str">
        <f>Tabla1[[#This Row],[diametro]]</f>
        <v>3"</v>
      </c>
      <c r="F399" s="51" t="str">
        <f>Tabla1[[#This Row],[material]]</f>
        <v>PVC</v>
      </c>
      <c r="G39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399" s="52" t="str">
        <f>IF(Tabla1[[#This Row],[5]]="TPD",Tabla1[[#This Row],[6]],"")</f>
        <v>3"</v>
      </c>
      <c r="I399" s="52">
        <f>IF(OR(Tabla1[[#This Row],[5]]="TPD"),Tabla1[[#This Row],[7]],"")</f>
        <v>1</v>
      </c>
      <c r="J399" s="52">
        <f>IF(Tabla15[[#This Row],[2]]="",0,VLOOKUP(TRAMOS!$H$2,Tabla5[#All],3,FALSE)*Tabla15[[#This Row],[3]])</f>
        <v>0.15</v>
      </c>
      <c r="K399" s="52" t="str">
        <f>IF(Tabla1[[#This Row],[5]]="TPL",Tabla1[[#This Row],[6]],"")</f>
        <v/>
      </c>
      <c r="L399" s="52" t="str">
        <f>IF(OR(Tabla1[[#This Row],[5]]="TPL"),Tabla1[[#This Row],[7]],"")</f>
        <v/>
      </c>
      <c r="M399" s="52">
        <f>IF(Tabla15[[#This Row],[5]]="",0,VLOOKUP(TRAMOS!$K$2,Tabla5[#All],3,FALSE)*Tabla15[[#This Row],[6]])</f>
        <v>0</v>
      </c>
      <c r="N39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39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399" s="52">
        <f>IF(Tabla15[[#This Row],[8]]="",0,VLOOKUP(TRAMOS!$H$2,Tabla5[#All],3,FALSE)*Tabla15[[#This Row],[9]])</f>
        <v>0</v>
      </c>
      <c r="Q39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39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399" s="52">
        <f>IF(Tabla15[[#This Row],[11]]="",0,VLOOKUP(TRAMOS!$Q$2,Tabla5[#All],3,FALSE)*Tabla15[[#This Row],[12]])</f>
        <v>0</v>
      </c>
      <c r="T39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39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39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39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39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39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39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39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399" s="52">
        <f>IF(Tabla15[[#This Row],[20]]="",0,VLOOKUP("VRP",Tabla5[#All],3,FALSE)*Tabla15[[#This Row],[21]])</f>
        <v>0</v>
      </c>
      <c r="AC39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39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399" s="52">
        <f>IF(Tabla15[[#This Row],[23]]="",0,VLOOKUP("VC",Tabla5[#All],3,FALSE)*Tabla15[[#This Row],[24]])</f>
        <v>0</v>
      </c>
      <c r="AF39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39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399" s="52">
        <f>IF(Tabla15[[#This Row],[26]]="",0,VLOOKUP(TRAMOS!$K$2,Tabla5[#All],3,FALSE)*Tabla15[[#This Row],[27]])</f>
        <v>0</v>
      </c>
      <c r="AI39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39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39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39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39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39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39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400" spans="2:41" x14ac:dyDescent="0.25">
      <c r="B400" s="58" t="str">
        <f>Tabla1[[#This Row],[nudo inicial]]</f>
        <v>N204</v>
      </c>
      <c r="C400" s="58" t="str">
        <f>Tabla1[[#This Row],[nudo final]]</f>
        <v>TP154</v>
      </c>
      <c r="D400" s="51">
        <f>Tabla1[[#This Row],[longitud]]</f>
        <v>20.28</v>
      </c>
      <c r="E400" s="51" t="str">
        <f>Tabla1[[#This Row],[diametro]]</f>
        <v>2"</v>
      </c>
      <c r="F400" s="51" t="str">
        <f>Tabla1[[#This Row],[material]]</f>
        <v>PVC</v>
      </c>
      <c r="G40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00" s="52" t="str">
        <f>IF(Tabla1[[#This Row],[5]]="TPD",Tabla1[[#This Row],[6]],"")</f>
        <v/>
      </c>
      <c r="I400" s="52" t="str">
        <f>IF(OR(Tabla1[[#This Row],[5]]="TPD"),Tabla1[[#This Row],[7]],"")</f>
        <v/>
      </c>
      <c r="J400" s="52">
        <f>IF(Tabla15[[#This Row],[2]]="",0,VLOOKUP(TRAMOS!$H$2,Tabla5[#All],3,FALSE)*Tabla15[[#This Row],[3]])</f>
        <v>0</v>
      </c>
      <c r="K400" s="52" t="str">
        <f>IF(Tabla1[[#This Row],[5]]="TPL",Tabla1[[#This Row],[6]],"")</f>
        <v>3"</v>
      </c>
      <c r="L400" s="52">
        <f>IF(OR(Tabla1[[#This Row],[5]]="TPL"),Tabla1[[#This Row],[7]],"")</f>
        <v>1</v>
      </c>
      <c r="M400" s="52">
        <f>IF(Tabla15[[#This Row],[5]]="",0,VLOOKUP(TRAMOS!$K$2,Tabla5[#All],3,FALSE)*Tabla15[[#This Row],[6]])</f>
        <v>0.9</v>
      </c>
      <c r="N40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0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00" s="52">
        <f>IF(Tabla15[[#This Row],[8]]="",0,VLOOKUP(TRAMOS!$H$2,Tabla5[#All],3,FALSE)*Tabla15[[#This Row],[9]])</f>
        <v>0</v>
      </c>
      <c r="Q40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0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00" s="52">
        <f>IF(Tabla15[[#This Row],[11]]="",0,VLOOKUP(TRAMOS!$Q$2,Tabla5[#All],3,FALSE)*Tabla15[[#This Row],[12]])</f>
        <v>0</v>
      </c>
      <c r="T40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400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40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40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0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0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0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0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00" s="52">
        <f>IF(Tabla15[[#This Row],[20]]="",0,VLOOKUP("VRP",Tabla5[#All],3,FALSE)*Tabla15[[#This Row],[21]])</f>
        <v>0</v>
      </c>
      <c r="AC40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400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400" s="52">
        <f>IF(Tabla15[[#This Row],[23]]="",0,VLOOKUP("VC",Tabla5[#All],3,FALSE)*Tabla15[[#This Row],[24]])</f>
        <v>0.25</v>
      </c>
      <c r="AF40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0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00" s="52">
        <f>IF(Tabla15[[#This Row],[26]]="",0,VLOOKUP(TRAMOS!$K$2,Tabla5[#All],3,FALSE)*Tabla15[[#This Row],[27]])</f>
        <v>0</v>
      </c>
      <c r="AI40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0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0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0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0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400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40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1.365</v>
      </c>
    </row>
    <row r="401" spans="2:41" x14ac:dyDescent="0.25">
      <c r="B401" s="58" t="str">
        <f>Tabla1[[#This Row],[nudo inicial]]</f>
        <v>N204</v>
      </c>
      <c r="C401" s="58" t="str">
        <f>Tabla1[[#This Row],[nudo final]]</f>
        <v>N205</v>
      </c>
      <c r="D401" s="51">
        <f>Tabla1[[#This Row],[longitud]]</f>
        <v>26.62</v>
      </c>
      <c r="E401" s="51" t="str">
        <f>Tabla1[[#This Row],[diametro]]</f>
        <v>3"</v>
      </c>
      <c r="F401" s="51" t="str">
        <f>Tabla1[[#This Row],[material]]</f>
        <v>PVC</v>
      </c>
      <c r="G40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01" s="52" t="str">
        <f>IF(Tabla1[[#This Row],[5]]="TPD",Tabla1[[#This Row],[6]],"")</f>
        <v>3"</v>
      </c>
      <c r="I401" s="52">
        <f>IF(OR(Tabla1[[#This Row],[5]]="TPD"),Tabla1[[#This Row],[7]],"")</f>
        <v>1</v>
      </c>
      <c r="J401" s="52">
        <f>IF(Tabla15[[#This Row],[2]]="",0,VLOOKUP(TRAMOS!$H$2,Tabla5[#All],3,FALSE)*Tabla15[[#This Row],[3]])</f>
        <v>0.15</v>
      </c>
      <c r="K401" s="52" t="str">
        <f>IF(Tabla1[[#This Row],[5]]="TPL",Tabla1[[#This Row],[6]],"")</f>
        <v/>
      </c>
      <c r="L401" s="52" t="str">
        <f>IF(OR(Tabla1[[#This Row],[5]]="TPL"),Tabla1[[#This Row],[7]],"")</f>
        <v/>
      </c>
      <c r="M401" s="52">
        <f>IF(Tabla15[[#This Row],[5]]="",0,VLOOKUP(TRAMOS!$K$2,Tabla5[#All],3,FALSE)*Tabla15[[#This Row],[6]])</f>
        <v>0</v>
      </c>
      <c r="N40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0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01" s="52">
        <f>IF(Tabla15[[#This Row],[8]]="",0,VLOOKUP(TRAMOS!$H$2,Tabla5[#All],3,FALSE)*Tabla15[[#This Row],[9]])</f>
        <v>0</v>
      </c>
      <c r="Q40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0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01" s="52">
        <f>IF(Tabla15[[#This Row],[11]]="",0,VLOOKUP(TRAMOS!$Q$2,Tabla5[#All],3,FALSE)*Tabla15[[#This Row],[12]])</f>
        <v>0</v>
      </c>
      <c r="T40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0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0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0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0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0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0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0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01" s="52">
        <f>IF(Tabla15[[#This Row],[20]]="",0,VLOOKUP("VRP",Tabla5[#All],3,FALSE)*Tabla15[[#This Row],[21]])</f>
        <v>0</v>
      </c>
      <c r="AC40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0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01" s="52">
        <f>IF(Tabla15[[#This Row],[23]]="",0,VLOOKUP("VC",Tabla5[#All],3,FALSE)*Tabla15[[#This Row],[24]])</f>
        <v>0</v>
      </c>
      <c r="AF40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0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01" s="52">
        <f>IF(Tabla15[[#This Row],[26]]="",0,VLOOKUP(TRAMOS!$K$2,Tabla5[#All],3,FALSE)*Tabla15[[#This Row],[27]])</f>
        <v>0</v>
      </c>
      <c r="AI40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0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0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0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0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0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0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402" spans="2:41" x14ac:dyDescent="0.25">
      <c r="B402" s="58" t="str">
        <f>Tabla1[[#This Row],[nudo inicial]]</f>
        <v>N205</v>
      </c>
      <c r="C402" s="58" t="str">
        <f>Tabla1[[#This Row],[nudo final]]</f>
        <v>TP155</v>
      </c>
      <c r="D402" s="51">
        <f>Tabla1[[#This Row],[longitud]]</f>
        <v>61.35</v>
      </c>
      <c r="E402" s="51" t="str">
        <f>Tabla1[[#This Row],[diametro]]</f>
        <v>1 1/2"</v>
      </c>
      <c r="F402" s="51" t="str">
        <f>Tabla1[[#This Row],[material]]</f>
        <v>PVC</v>
      </c>
      <c r="G40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02" s="52" t="str">
        <f>IF(Tabla1[[#This Row],[5]]="TPD",Tabla1[[#This Row],[6]],"")</f>
        <v/>
      </c>
      <c r="I402" s="52" t="str">
        <f>IF(OR(Tabla1[[#This Row],[5]]="TPD"),Tabla1[[#This Row],[7]],"")</f>
        <v/>
      </c>
      <c r="J402" s="52">
        <f>IF(Tabla15[[#This Row],[2]]="",0,VLOOKUP(TRAMOS!$H$2,Tabla5[#All],3,FALSE)*Tabla15[[#This Row],[3]])</f>
        <v>0</v>
      </c>
      <c r="K402" s="52" t="str">
        <f>IF(Tabla1[[#This Row],[5]]="TPL",Tabla1[[#This Row],[6]],"")</f>
        <v>3"</v>
      </c>
      <c r="L402" s="52">
        <f>IF(OR(Tabla1[[#This Row],[5]]="TPL"),Tabla1[[#This Row],[7]],"")</f>
        <v>1</v>
      </c>
      <c r="M402" s="52">
        <f>IF(Tabla15[[#This Row],[5]]="",0,VLOOKUP(TRAMOS!$K$2,Tabla5[#All],3,FALSE)*Tabla15[[#This Row],[6]])</f>
        <v>0.9</v>
      </c>
      <c r="N40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0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02" s="52">
        <f>IF(Tabla15[[#This Row],[8]]="",0,VLOOKUP(TRAMOS!$H$2,Tabla5[#All],3,FALSE)*Tabla15[[#This Row],[9]])</f>
        <v>0</v>
      </c>
      <c r="Q40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0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02" s="52">
        <f>IF(Tabla15[[#This Row],[11]]="",0,VLOOKUP(TRAMOS!$Q$2,Tabla5[#All],3,FALSE)*Tabla15[[#This Row],[12]])</f>
        <v>0</v>
      </c>
      <c r="T40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 1/2"</v>
      </c>
      <c r="U402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40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40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0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0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0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0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02" s="52">
        <f>IF(Tabla15[[#This Row],[20]]="",0,VLOOKUP("VRP",Tabla5[#All],3,FALSE)*Tabla15[[#This Row],[21]])</f>
        <v>0</v>
      </c>
      <c r="AC40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0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02" s="52">
        <f>IF(Tabla15[[#This Row],[23]]="",0,VLOOKUP("VC",Tabla5[#All],3,FALSE)*Tabla15[[#This Row],[24]])</f>
        <v>0</v>
      </c>
      <c r="AF40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0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02" s="52">
        <f>IF(Tabla15[[#This Row],[26]]="",0,VLOOKUP(TRAMOS!$K$2,Tabla5[#All],3,FALSE)*Tabla15[[#This Row],[27]])</f>
        <v>0</v>
      </c>
      <c r="AI40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0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0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0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0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 1/2"</v>
      </c>
      <c r="AN402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40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1.27</v>
      </c>
    </row>
    <row r="403" spans="2:41" x14ac:dyDescent="0.25">
      <c r="B403" s="58" t="str">
        <f>Tabla1[[#This Row],[nudo inicial]]</f>
        <v>N205</v>
      </c>
      <c r="C403" s="58" t="str">
        <f>Tabla1[[#This Row],[nudo final]]</f>
        <v>N206</v>
      </c>
      <c r="D403" s="51">
        <f>Tabla1[[#This Row],[longitud]]</f>
        <v>11.88</v>
      </c>
      <c r="E403" s="51" t="str">
        <f>Tabla1[[#This Row],[diametro]]</f>
        <v>3"</v>
      </c>
      <c r="F403" s="51" t="str">
        <f>Tabla1[[#This Row],[material]]</f>
        <v>PVC</v>
      </c>
      <c r="G40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03" s="52" t="str">
        <f>IF(Tabla1[[#This Row],[5]]="TPD",Tabla1[[#This Row],[6]],"")</f>
        <v>3"</v>
      </c>
      <c r="I403" s="52">
        <f>IF(OR(Tabla1[[#This Row],[5]]="TPD"),Tabla1[[#This Row],[7]],"")</f>
        <v>1</v>
      </c>
      <c r="J403" s="52">
        <f>IF(Tabla15[[#This Row],[2]]="",0,VLOOKUP(TRAMOS!$H$2,Tabla5[#All],3,FALSE)*Tabla15[[#This Row],[3]])</f>
        <v>0.15</v>
      </c>
      <c r="K403" s="52" t="str">
        <f>IF(Tabla1[[#This Row],[5]]="TPL",Tabla1[[#This Row],[6]],"")</f>
        <v/>
      </c>
      <c r="L403" s="52" t="str">
        <f>IF(OR(Tabla1[[#This Row],[5]]="TPL"),Tabla1[[#This Row],[7]],"")</f>
        <v/>
      </c>
      <c r="M403" s="52">
        <f>IF(Tabla15[[#This Row],[5]]="",0,VLOOKUP(TRAMOS!$K$2,Tabla5[#All],3,FALSE)*Tabla15[[#This Row],[6]])</f>
        <v>0</v>
      </c>
      <c r="N40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0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03" s="52">
        <f>IF(Tabla15[[#This Row],[8]]="",0,VLOOKUP(TRAMOS!$H$2,Tabla5[#All],3,FALSE)*Tabla15[[#This Row],[9]])</f>
        <v>0</v>
      </c>
      <c r="Q40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0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03" s="52">
        <f>IF(Tabla15[[#This Row],[11]]="",0,VLOOKUP(TRAMOS!$Q$2,Tabla5[#All],3,FALSE)*Tabla15[[#This Row],[12]])</f>
        <v>0</v>
      </c>
      <c r="T40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0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0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0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0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0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0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0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03" s="52">
        <f>IF(Tabla15[[#This Row],[20]]="",0,VLOOKUP("VRP",Tabla5[#All],3,FALSE)*Tabla15[[#This Row],[21]])</f>
        <v>0</v>
      </c>
      <c r="AC40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0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03" s="52">
        <f>IF(Tabla15[[#This Row],[23]]="",0,VLOOKUP("VC",Tabla5[#All],3,FALSE)*Tabla15[[#This Row],[24]])</f>
        <v>0</v>
      </c>
      <c r="AF40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0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03" s="52">
        <f>IF(Tabla15[[#This Row],[26]]="",0,VLOOKUP(TRAMOS!$K$2,Tabla5[#All],3,FALSE)*Tabla15[[#This Row],[27]])</f>
        <v>0</v>
      </c>
      <c r="AI40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0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0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0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0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0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0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404" spans="2:41" x14ac:dyDescent="0.25">
      <c r="B404" s="58" t="str">
        <f>Tabla1[[#This Row],[nudo inicial]]</f>
        <v>N206</v>
      </c>
      <c r="C404" s="58" t="str">
        <f>Tabla1[[#This Row],[nudo final]]</f>
        <v>N207</v>
      </c>
      <c r="D404" s="51">
        <f>Tabla1[[#This Row],[longitud]]</f>
        <v>21</v>
      </c>
      <c r="E404" s="51" t="str">
        <f>Tabla1[[#This Row],[diametro]]</f>
        <v>2"</v>
      </c>
      <c r="F404" s="51" t="str">
        <f>Tabla1[[#This Row],[material]]</f>
        <v>PVC</v>
      </c>
      <c r="G40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04" s="52" t="str">
        <f>IF(Tabla1[[#This Row],[5]]="TPD",Tabla1[[#This Row],[6]],"")</f>
        <v/>
      </c>
      <c r="I404" s="52" t="str">
        <f>IF(OR(Tabla1[[#This Row],[5]]="TPD"),Tabla1[[#This Row],[7]],"")</f>
        <v/>
      </c>
      <c r="J404" s="52">
        <f>IF(Tabla15[[#This Row],[2]]="",0,VLOOKUP(TRAMOS!$H$2,Tabla5[#All],3,FALSE)*Tabla15[[#This Row],[3]])</f>
        <v>0</v>
      </c>
      <c r="K404" s="52" t="str">
        <f>IF(Tabla1[[#This Row],[5]]="TPL",Tabla1[[#This Row],[6]],"")</f>
        <v>3"</v>
      </c>
      <c r="L404" s="52">
        <f>IF(OR(Tabla1[[#This Row],[5]]="TPL"),Tabla1[[#This Row],[7]],"")</f>
        <v>1</v>
      </c>
      <c r="M404" s="52">
        <f>IF(Tabla15[[#This Row],[5]]="",0,VLOOKUP(TRAMOS!$K$2,Tabla5[#All],3,FALSE)*Tabla15[[#This Row],[6]])</f>
        <v>0.9</v>
      </c>
      <c r="N40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0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04" s="52">
        <f>IF(Tabla15[[#This Row],[8]]="",0,VLOOKUP(TRAMOS!$H$2,Tabla5[#All],3,FALSE)*Tabla15[[#This Row],[9]])</f>
        <v>0</v>
      </c>
      <c r="Q40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0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04" s="52">
        <f>IF(Tabla15[[#This Row],[11]]="",0,VLOOKUP(TRAMOS!$Q$2,Tabla5[#All],3,FALSE)*Tabla15[[#This Row],[12]])</f>
        <v>0</v>
      </c>
      <c r="T40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404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40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40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0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0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0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0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04" s="52">
        <f>IF(Tabla15[[#This Row],[20]]="",0,VLOOKUP("VRP",Tabla5[#All],3,FALSE)*Tabla15[[#This Row],[21]])</f>
        <v>0</v>
      </c>
      <c r="AC40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0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04" s="52">
        <f>IF(Tabla15[[#This Row],[23]]="",0,VLOOKUP("VC",Tabla5[#All],3,FALSE)*Tabla15[[#This Row],[24]])</f>
        <v>0</v>
      </c>
      <c r="AF40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>2"</v>
      </c>
      <c r="AG404" s="52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>1</v>
      </c>
      <c r="AH404" s="52">
        <f>IF(Tabla15[[#This Row],[26]]="",0,VLOOKUP(TRAMOS!$K$2,Tabla5[#All],3,FALSE)*Tabla15[[#This Row],[27]])</f>
        <v>0.9</v>
      </c>
      <c r="AI40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0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0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0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0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0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0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2.0150000000000001</v>
      </c>
    </row>
    <row r="405" spans="2:41" x14ac:dyDescent="0.25">
      <c r="B405" s="58" t="str">
        <f>Tabla1[[#This Row],[nudo inicial]]</f>
        <v>N206</v>
      </c>
      <c r="C405" s="58" t="str">
        <f>Tabla1[[#This Row],[nudo final]]</f>
        <v>N208</v>
      </c>
      <c r="D405" s="51">
        <f>Tabla1[[#This Row],[longitud]]</f>
        <v>32.17</v>
      </c>
      <c r="E405" s="51" t="str">
        <f>Tabla1[[#This Row],[diametro]]</f>
        <v>3"</v>
      </c>
      <c r="F405" s="51" t="str">
        <f>Tabla1[[#This Row],[material]]</f>
        <v>PVC</v>
      </c>
      <c r="G40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05" s="52" t="str">
        <f>IF(Tabla1[[#This Row],[5]]="TPD",Tabla1[[#This Row],[6]],"")</f>
        <v>3"</v>
      </c>
      <c r="I405" s="52">
        <f>IF(OR(Tabla1[[#This Row],[5]]="TPD"),Tabla1[[#This Row],[7]],"")</f>
        <v>1</v>
      </c>
      <c r="J405" s="52">
        <f>IF(Tabla15[[#This Row],[2]]="",0,VLOOKUP(TRAMOS!$H$2,Tabla5[#All],3,FALSE)*Tabla15[[#This Row],[3]])</f>
        <v>0.15</v>
      </c>
      <c r="K405" s="52" t="str">
        <f>IF(Tabla1[[#This Row],[5]]="TPL",Tabla1[[#This Row],[6]],"")</f>
        <v/>
      </c>
      <c r="L405" s="52" t="str">
        <f>IF(OR(Tabla1[[#This Row],[5]]="TPL"),Tabla1[[#This Row],[7]],"")</f>
        <v/>
      </c>
      <c r="M405" s="52">
        <f>IF(Tabla15[[#This Row],[5]]="",0,VLOOKUP(TRAMOS!$K$2,Tabla5[#All],3,FALSE)*Tabla15[[#This Row],[6]])</f>
        <v>0</v>
      </c>
      <c r="N40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0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05" s="52">
        <f>IF(Tabla15[[#This Row],[8]]="",0,VLOOKUP(TRAMOS!$H$2,Tabla5[#All],3,FALSE)*Tabla15[[#This Row],[9]])</f>
        <v>0</v>
      </c>
      <c r="Q40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0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05" s="52">
        <f>IF(Tabla15[[#This Row],[11]]="",0,VLOOKUP(TRAMOS!$Q$2,Tabla5[#All],3,FALSE)*Tabla15[[#This Row],[12]])</f>
        <v>0</v>
      </c>
      <c r="T40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0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0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0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0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0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0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0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05" s="52">
        <f>IF(Tabla15[[#This Row],[20]]="",0,VLOOKUP("VRP",Tabla5[#All],3,FALSE)*Tabla15[[#This Row],[21]])</f>
        <v>0</v>
      </c>
      <c r="AC40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0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05" s="52">
        <f>IF(Tabla15[[#This Row],[23]]="",0,VLOOKUP("VC",Tabla5[#All],3,FALSE)*Tabla15[[#This Row],[24]])</f>
        <v>0</v>
      </c>
      <c r="AF40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0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05" s="52">
        <f>IF(Tabla15[[#This Row],[26]]="",0,VLOOKUP(TRAMOS!$K$2,Tabla5[#All],3,FALSE)*Tabla15[[#This Row],[27]])</f>
        <v>0</v>
      </c>
      <c r="AI40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0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0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0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0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0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0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406" spans="2:41" x14ac:dyDescent="0.25">
      <c r="B406" s="58" t="str">
        <f>Tabla1[[#This Row],[nudo inicial]]</f>
        <v>N208</v>
      </c>
      <c r="C406" s="58" t="str">
        <f>Tabla1[[#This Row],[nudo final]]</f>
        <v>TP156</v>
      </c>
      <c r="D406" s="51">
        <f>Tabla1[[#This Row],[longitud]]</f>
        <v>54.67</v>
      </c>
      <c r="E406" s="51" t="str">
        <f>Tabla1[[#This Row],[diametro]]</f>
        <v>2"</v>
      </c>
      <c r="F406" s="51" t="str">
        <f>Tabla1[[#This Row],[material]]</f>
        <v>PVC</v>
      </c>
      <c r="G40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06" s="52" t="str">
        <f>IF(Tabla1[[#This Row],[5]]="TPD",Tabla1[[#This Row],[6]],"")</f>
        <v/>
      </c>
      <c r="I406" s="52" t="str">
        <f>IF(OR(Tabla1[[#This Row],[5]]="TPD"),Tabla1[[#This Row],[7]],"")</f>
        <v/>
      </c>
      <c r="J406" s="52">
        <f>IF(Tabla15[[#This Row],[2]]="",0,VLOOKUP(TRAMOS!$H$2,Tabla5[#All],3,FALSE)*Tabla15[[#This Row],[3]])</f>
        <v>0</v>
      </c>
      <c r="K406" s="52" t="str">
        <f>IF(Tabla1[[#This Row],[5]]="TPL",Tabla1[[#This Row],[6]],"")</f>
        <v>3"</v>
      </c>
      <c r="L406" s="52">
        <f>IF(OR(Tabla1[[#This Row],[5]]="TPL"),Tabla1[[#This Row],[7]],"")</f>
        <v>1</v>
      </c>
      <c r="M406" s="52">
        <f>IF(Tabla15[[#This Row],[5]]="",0,VLOOKUP(TRAMOS!$K$2,Tabla5[#All],3,FALSE)*Tabla15[[#This Row],[6]])</f>
        <v>0.9</v>
      </c>
      <c r="N40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0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06" s="52">
        <f>IF(Tabla15[[#This Row],[8]]="",0,VLOOKUP(TRAMOS!$H$2,Tabla5[#All],3,FALSE)*Tabla15[[#This Row],[9]])</f>
        <v>0</v>
      </c>
      <c r="Q40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0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06" s="52">
        <f>IF(Tabla15[[#This Row],[11]]="",0,VLOOKUP(TRAMOS!$Q$2,Tabla5[#All],3,FALSE)*Tabla15[[#This Row],[12]])</f>
        <v>0</v>
      </c>
      <c r="T40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406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40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40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0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0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0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0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06" s="52">
        <f>IF(Tabla15[[#This Row],[20]]="",0,VLOOKUP("VRP",Tabla5[#All],3,FALSE)*Tabla15[[#This Row],[21]])</f>
        <v>0</v>
      </c>
      <c r="AC40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406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406" s="52">
        <f>IF(Tabla15[[#This Row],[23]]="",0,VLOOKUP("VC",Tabla5[#All],3,FALSE)*Tabla15[[#This Row],[24]])</f>
        <v>0.25</v>
      </c>
      <c r="AF40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0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06" s="52">
        <f>IF(Tabla15[[#This Row],[26]]="",0,VLOOKUP(TRAMOS!$K$2,Tabla5[#All],3,FALSE)*Tabla15[[#This Row],[27]])</f>
        <v>0</v>
      </c>
      <c r="AI40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0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0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0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0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40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40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1.365</v>
      </c>
    </row>
    <row r="407" spans="2:41" x14ac:dyDescent="0.25">
      <c r="B407" s="58" t="str">
        <f>Tabla1[[#This Row],[nudo inicial]]</f>
        <v>N208</v>
      </c>
      <c r="C407" s="58" t="str">
        <f>Tabla1[[#This Row],[nudo final]]</f>
        <v>N209</v>
      </c>
      <c r="D407" s="51">
        <f>Tabla1[[#This Row],[longitud]]</f>
        <v>100.62</v>
      </c>
      <c r="E407" s="51" t="str">
        <f>Tabla1[[#This Row],[diametro]]</f>
        <v>3"</v>
      </c>
      <c r="F407" s="51" t="str">
        <f>Tabla1[[#This Row],[material]]</f>
        <v>PVC</v>
      </c>
      <c r="G40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07" s="52" t="str">
        <f>IF(Tabla1[[#This Row],[5]]="TPD",Tabla1[[#This Row],[6]],"")</f>
        <v>3"</v>
      </c>
      <c r="I407" s="52">
        <f>IF(OR(Tabla1[[#This Row],[5]]="TPD"),Tabla1[[#This Row],[7]],"")</f>
        <v>1</v>
      </c>
      <c r="J407" s="52">
        <f>IF(Tabla15[[#This Row],[2]]="",0,VLOOKUP(TRAMOS!$H$2,Tabla5[#All],3,FALSE)*Tabla15[[#This Row],[3]])</f>
        <v>0.15</v>
      </c>
      <c r="K407" s="52" t="str">
        <f>IF(Tabla1[[#This Row],[5]]="TPL",Tabla1[[#This Row],[6]],"")</f>
        <v/>
      </c>
      <c r="L407" s="52" t="str">
        <f>IF(OR(Tabla1[[#This Row],[5]]="TPL"),Tabla1[[#This Row],[7]],"")</f>
        <v/>
      </c>
      <c r="M407" s="52">
        <f>IF(Tabla15[[#This Row],[5]]="",0,VLOOKUP(TRAMOS!$K$2,Tabla5[#All],3,FALSE)*Tabla15[[#This Row],[6]])</f>
        <v>0</v>
      </c>
      <c r="N40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0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07" s="52">
        <f>IF(Tabla15[[#This Row],[8]]="",0,VLOOKUP(TRAMOS!$H$2,Tabla5[#All],3,FALSE)*Tabla15[[#This Row],[9]])</f>
        <v>0</v>
      </c>
      <c r="Q40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0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07" s="52">
        <f>IF(Tabla15[[#This Row],[11]]="",0,VLOOKUP(TRAMOS!$Q$2,Tabla5[#All],3,FALSE)*Tabla15[[#This Row],[12]])</f>
        <v>0</v>
      </c>
      <c r="T40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0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0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0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>12"</v>
      </c>
      <c r="X407" s="52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>1</v>
      </c>
      <c r="Y40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0.72</v>
      </c>
      <c r="Z40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0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07" s="52">
        <f>IF(Tabla15[[#This Row],[20]]="",0,VLOOKUP("VRP",Tabla5[#All],3,FALSE)*Tabla15[[#This Row],[21]])</f>
        <v>0</v>
      </c>
      <c r="AC40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407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2</v>
      </c>
      <c r="AE407" s="52">
        <f>IF(Tabla15[[#This Row],[23]]="",0,VLOOKUP("VC",Tabla5[#All],3,FALSE)*Tabla15[[#This Row],[24]])</f>
        <v>0.5</v>
      </c>
      <c r="AF40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0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07" s="52">
        <f>IF(Tabla15[[#This Row],[26]]="",0,VLOOKUP(TRAMOS!$K$2,Tabla5[#All],3,FALSE)*Tabla15[[#This Row],[27]])</f>
        <v>0</v>
      </c>
      <c r="AI40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0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0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0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0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0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0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1.37</v>
      </c>
    </row>
    <row r="408" spans="2:41" x14ac:dyDescent="0.25">
      <c r="B408" s="58" t="str">
        <f>Tabla1[[#This Row],[nudo inicial]]</f>
        <v>N201</v>
      </c>
      <c r="C408" s="58" t="str">
        <f>Tabla1[[#This Row],[nudo final]]</f>
        <v>N210</v>
      </c>
      <c r="D408" s="51">
        <f>Tabla1[[#This Row],[longitud]]</f>
        <v>54.97</v>
      </c>
      <c r="E408" s="51" t="str">
        <f>Tabla1[[#This Row],[diametro]]</f>
        <v>3"</v>
      </c>
      <c r="F408" s="51" t="str">
        <f>Tabla1[[#This Row],[material]]</f>
        <v>PVC</v>
      </c>
      <c r="G40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08" s="52" t="str">
        <f>IF(Tabla1[[#This Row],[5]]="TPD",Tabla1[[#This Row],[6]],"")</f>
        <v>3"</v>
      </c>
      <c r="I408" s="52">
        <f>IF(OR(Tabla1[[#This Row],[5]]="TPD"),Tabla1[[#This Row],[7]],"")</f>
        <v>1</v>
      </c>
      <c r="J408" s="52">
        <f>IF(Tabla15[[#This Row],[2]]="",0,VLOOKUP(TRAMOS!$H$2,Tabla5[#All],3,FALSE)*Tabla15[[#This Row],[3]])</f>
        <v>0.15</v>
      </c>
      <c r="K408" s="52" t="str">
        <f>IF(Tabla1[[#This Row],[5]]="TPL",Tabla1[[#This Row],[6]],"")</f>
        <v/>
      </c>
      <c r="L408" s="52" t="str">
        <f>IF(OR(Tabla1[[#This Row],[5]]="TPL"),Tabla1[[#This Row],[7]],"")</f>
        <v/>
      </c>
      <c r="M408" s="52">
        <f>IF(Tabla15[[#This Row],[5]]="",0,VLOOKUP(TRAMOS!$K$2,Tabla5[#All],3,FALSE)*Tabla15[[#This Row],[6]])</f>
        <v>0</v>
      </c>
      <c r="N40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0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08" s="52">
        <f>IF(Tabla15[[#This Row],[8]]="",0,VLOOKUP(TRAMOS!$H$2,Tabla5[#All],3,FALSE)*Tabla15[[#This Row],[9]])</f>
        <v>0</v>
      </c>
      <c r="Q40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0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08" s="52">
        <f>IF(Tabla15[[#This Row],[11]]="",0,VLOOKUP(TRAMOS!$Q$2,Tabla5[#All],3,FALSE)*Tabla15[[#This Row],[12]])</f>
        <v>0</v>
      </c>
      <c r="T40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0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0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0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0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0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0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0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08" s="52">
        <f>IF(Tabla15[[#This Row],[20]]="",0,VLOOKUP("VRP",Tabla5[#All],3,FALSE)*Tabla15[[#This Row],[21]])</f>
        <v>0</v>
      </c>
      <c r="AC40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0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08" s="52">
        <f>IF(Tabla15[[#This Row],[23]]="",0,VLOOKUP("VC",Tabla5[#All],3,FALSE)*Tabla15[[#This Row],[24]])</f>
        <v>0</v>
      </c>
      <c r="AF40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0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08" s="52">
        <f>IF(Tabla15[[#This Row],[26]]="",0,VLOOKUP(TRAMOS!$K$2,Tabla5[#All],3,FALSE)*Tabla15[[#This Row],[27]])</f>
        <v>0</v>
      </c>
      <c r="AI40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0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0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0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0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0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0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409" spans="2:41" x14ac:dyDescent="0.25">
      <c r="B409" s="58" t="str">
        <f>Tabla1[[#This Row],[nudo inicial]]</f>
        <v>N210</v>
      </c>
      <c r="C409" s="58" t="str">
        <f>Tabla1[[#This Row],[nudo final]]</f>
        <v>N211</v>
      </c>
      <c r="D409" s="51">
        <f>Tabla1[[#This Row],[longitud]]</f>
        <v>245.47</v>
      </c>
      <c r="E409" s="51" t="str">
        <f>Tabla1[[#This Row],[diametro]]</f>
        <v>2"</v>
      </c>
      <c r="F409" s="51" t="str">
        <f>Tabla1[[#This Row],[material]]</f>
        <v>PVC</v>
      </c>
      <c r="G40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09" s="52" t="str">
        <f>IF(Tabla1[[#This Row],[5]]="TPD",Tabla1[[#This Row],[6]],"")</f>
        <v/>
      </c>
      <c r="I409" s="52" t="str">
        <f>IF(OR(Tabla1[[#This Row],[5]]="TPD"),Tabla1[[#This Row],[7]],"")</f>
        <v/>
      </c>
      <c r="J409" s="52">
        <f>IF(Tabla15[[#This Row],[2]]="",0,VLOOKUP(TRAMOS!$H$2,Tabla5[#All],3,FALSE)*Tabla15[[#This Row],[3]])</f>
        <v>0</v>
      </c>
      <c r="K409" s="52" t="str">
        <f>IF(Tabla1[[#This Row],[5]]="TPL",Tabla1[[#This Row],[6]],"")</f>
        <v>3"</v>
      </c>
      <c r="L409" s="52">
        <f>IF(OR(Tabla1[[#This Row],[5]]="TPL"),Tabla1[[#This Row],[7]],"")</f>
        <v>1</v>
      </c>
      <c r="M409" s="52">
        <f>IF(Tabla15[[#This Row],[5]]="",0,VLOOKUP(TRAMOS!$K$2,Tabla5[#All],3,FALSE)*Tabla15[[#This Row],[6]])</f>
        <v>0.9</v>
      </c>
      <c r="N40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0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09" s="52">
        <f>IF(Tabla15[[#This Row],[8]]="",0,VLOOKUP(TRAMOS!$H$2,Tabla5[#All],3,FALSE)*Tabla15[[#This Row],[9]])</f>
        <v>0</v>
      </c>
      <c r="Q40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0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09" s="52">
        <f>IF(Tabla15[[#This Row],[11]]="",0,VLOOKUP(TRAMOS!$Q$2,Tabla5[#All],3,FALSE)*Tabla15[[#This Row],[12]])</f>
        <v>0</v>
      </c>
      <c r="T40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409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2</v>
      </c>
      <c r="V40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0.43000000000000005</v>
      </c>
      <c r="W40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0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0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0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0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09" s="52">
        <f>IF(Tabla15[[#This Row],[20]]="",0,VLOOKUP("VRP",Tabla5[#All],3,FALSE)*Tabla15[[#This Row],[21]])</f>
        <v>0</v>
      </c>
      <c r="AC40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0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09" s="52">
        <f>IF(Tabla15[[#This Row],[23]]="",0,VLOOKUP("VC",Tabla5[#All],3,FALSE)*Tabla15[[#This Row],[24]])</f>
        <v>0</v>
      </c>
      <c r="AF40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0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09" s="52">
        <f>IF(Tabla15[[#This Row],[26]]="",0,VLOOKUP(TRAMOS!$K$2,Tabla5[#All],3,FALSE)*Tabla15[[#This Row],[27]])</f>
        <v>0</v>
      </c>
      <c r="AI40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0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0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0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0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0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0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1.33</v>
      </c>
    </row>
    <row r="410" spans="2:41" x14ac:dyDescent="0.25">
      <c r="B410" s="58" t="str">
        <f>Tabla1[[#This Row],[nudo inicial]]</f>
        <v>N211</v>
      </c>
      <c r="C410" s="58" t="str">
        <f>Tabla1[[#This Row],[nudo final]]</f>
        <v>N212</v>
      </c>
      <c r="D410" s="51">
        <f>Tabla1[[#This Row],[longitud]]</f>
        <v>160.86000000000001</v>
      </c>
      <c r="E410" s="51" t="str">
        <f>Tabla1[[#This Row],[diametro]]</f>
        <v>3"</v>
      </c>
      <c r="F410" s="51" t="str">
        <f>Tabla1[[#This Row],[material]]</f>
        <v>HF</v>
      </c>
      <c r="G41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10" s="52" t="str">
        <f>IF(Tabla1[[#This Row],[5]]="TPD",Tabla1[[#This Row],[6]],"")</f>
        <v/>
      </c>
      <c r="I410" s="52" t="str">
        <f>IF(OR(Tabla1[[#This Row],[5]]="TPD"),Tabla1[[#This Row],[7]],"")</f>
        <v/>
      </c>
      <c r="J410" s="52">
        <f>IF(Tabla15[[#This Row],[2]]="",0,VLOOKUP(TRAMOS!$H$2,Tabla5[#All],3,FALSE)*Tabla15[[#This Row],[3]])</f>
        <v>0</v>
      </c>
      <c r="K410" s="52" t="str">
        <f>IF(Tabla1[[#This Row],[5]]="TPL",Tabla1[[#This Row],[6]],"")</f>
        <v>3"</v>
      </c>
      <c r="L410" s="52">
        <f>IF(OR(Tabla1[[#This Row],[5]]="TPL"),Tabla1[[#This Row],[7]],"")</f>
        <v>1</v>
      </c>
      <c r="M410" s="52">
        <f>IF(Tabla15[[#This Row],[5]]="",0,VLOOKUP(TRAMOS!$K$2,Tabla5[#All],3,FALSE)*Tabla15[[#This Row],[6]])</f>
        <v>0.9</v>
      </c>
      <c r="N41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1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10" s="52">
        <f>IF(Tabla15[[#This Row],[8]]="",0,VLOOKUP(TRAMOS!$H$2,Tabla5[#All],3,FALSE)*Tabla15[[#This Row],[9]])</f>
        <v>0</v>
      </c>
      <c r="Q41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1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10" s="52">
        <f>IF(Tabla15[[#This Row],[11]]="",0,VLOOKUP(TRAMOS!$Q$2,Tabla5[#All],3,FALSE)*Tabla15[[#This Row],[12]])</f>
        <v>0</v>
      </c>
      <c r="T41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1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1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1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1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1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1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1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10" s="52">
        <f>IF(Tabla15[[#This Row],[20]]="",0,VLOOKUP("VRP",Tabla5[#All],3,FALSE)*Tabla15[[#This Row],[21]])</f>
        <v>0</v>
      </c>
      <c r="AC41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410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410" s="52">
        <f>IF(Tabla15[[#This Row],[23]]="",0,VLOOKUP("VC",Tabla5[#All],3,FALSE)*Tabla15[[#This Row],[24]])</f>
        <v>0.25</v>
      </c>
      <c r="AF41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1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10" s="52">
        <f>IF(Tabla15[[#This Row],[26]]="",0,VLOOKUP(TRAMOS!$K$2,Tabla5[#All],3,FALSE)*Tabla15[[#This Row],[27]])</f>
        <v>0</v>
      </c>
      <c r="AI41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1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1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1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1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1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1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1.1499999999999999</v>
      </c>
    </row>
    <row r="411" spans="2:41" x14ac:dyDescent="0.25">
      <c r="B411" s="58" t="str">
        <f>Tabla1[[#This Row],[nudo inicial]]</f>
        <v>N212</v>
      </c>
      <c r="C411" s="58" t="str">
        <f>Tabla1[[#This Row],[nudo final]]</f>
        <v>N213</v>
      </c>
      <c r="D411" s="51">
        <f>Tabla1[[#This Row],[longitud]]</f>
        <v>47.04</v>
      </c>
      <c r="E411" s="51" t="str">
        <f>Tabla1[[#This Row],[diametro]]</f>
        <v>3"</v>
      </c>
      <c r="F411" s="51" t="str">
        <f>Tabla1[[#This Row],[material]]</f>
        <v>PVC</v>
      </c>
      <c r="G41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11" s="52" t="str">
        <f>IF(Tabla1[[#This Row],[5]]="TPD",Tabla1[[#This Row],[6]],"")</f>
        <v/>
      </c>
      <c r="I411" s="52" t="str">
        <f>IF(OR(Tabla1[[#This Row],[5]]="TPD"),Tabla1[[#This Row],[7]],"")</f>
        <v/>
      </c>
      <c r="J411" s="52">
        <f>IF(Tabla15[[#This Row],[2]]="",0,VLOOKUP(TRAMOS!$H$2,Tabla5[#All],3,FALSE)*Tabla15[[#This Row],[3]])</f>
        <v>0</v>
      </c>
      <c r="K411" s="52" t="str">
        <f>IF(Tabla1[[#This Row],[5]]="TPL",Tabla1[[#This Row],[6]],"")</f>
        <v/>
      </c>
      <c r="L411" s="52" t="str">
        <f>IF(OR(Tabla1[[#This Row],[5]]="TPL"),Tabla1[[#This Row],[7]],"")</f>
        <v/>
      </c>
      <c r="M411" s="52">
        <f>IF(Tabla15[[#This Row],[5]]="",0,VLOOKUP(TRAMOS!$K$2,Tabla5[#All],3,FALSE)*Tabla15[[#This Row],[6]])</f>
        <v>0</v>
      </c>
      <c r="N41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1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11" s="52">
        <f>IF(Tabla15[[#This Row],[8]]="",0,VLOOKUP(TRAMOS!$H$2,Tabla5[#All],3,FALSE)*Tabla15[[#This Row],[9]])</f>
        <v>0</v>
      </c>
      <c r="Q41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1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11" s="52">
        <f>IF(Tabla15[[#This Row],[11]]="",0,VLOOKUP(TRAMOS!$Q$2,Tabla5[#All],3,FALSE)*Tabla15[[#This Row],[12]])</f>
        <v>0</v>
      </c>
      <c r="T41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1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1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1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1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1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1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1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11" s="52">
        <f>IF(Tabla15[[#This Row],[20]]="",0,VLOOKUP("VRP",Tabla5[#All],3,FALSE)*Tabla15[[#This Row],[21]])</f>
        <v>0</v>
      </c>
      <c r="AC41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1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11" s="52">
        <f>IF(Tabla15[[#This Row],[23]]="",0,VLOOKUP("VC",Tabla5[#All],3,FALSE)*Tabla15[[#This Row],[24]])</f>
        <v>0</v>
      </c>
      <c r="AF41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1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11" s="52">
        <f>IF(Tabla15[[#This Row],[26]]="",0,VLOOKUP(TRAMOS!$K$2,Tabla5[#All],3,FALSE)*Tabla15[[#This Row],[27]])</f>
        <v>0</v>
      </c>
      <c r="AI41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1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1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1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1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1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1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</v>
      </c>
    </row>
    <row r="412" spans="2:41" x14ac:dyDescent="0.25">
      <c r="B412" s="58" t="str">
        <f>Tabla1[[#This Row],[nudo inicial]]</f>
        <v>N213</v>
      </c>
      <c r="C412" s="58" t="str">
        <f>Tabla1[[#This Row],[nudo final]]</f>
        <v>TP157</v>
      </c>
      <c r="D412" s="51">
        <f>Tabla1[[#This Row],[longitud]]</f>
        <v>122.38</v>
      </c>
      <c r="E412" s="51" t="str">
        <f>Tabla1[[#This Row],[diametro]]</f>
        <v>2"</v>
      </c>
      <c r="F412" s="51" t="str">
        <f>Tabla1[[#This Row],[material]]</f>
        <v>PVC</v>
      </c>
      <c r="G41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12" s="52" t="str">
        <f>IF(Tabla1[[#This Row],[5]]="TPD",Tabla1[[#This Row],[6]],"")</f>
        <v/>
      </c>
      <c r="I412" s="52" t="str">
        <f>IF(OR(Tabla1[[#This Row],[5]]="TPD"),Tabla1[[#This Row],[7]],"")</f>
        <v/>
      </c>
      <c r="J412" s="52">
        <f>IF(Tabla15[[#This Row],[2]]="",0,VLOOKUP(TRAMOS!$H$2,Tabla5[#All],3,FALSE)*Tabla15[[#This Row],[3]])</f>
        <v>0</v>
      </c>
      <c r="K412" s="52" t="str">
        <f>IF(Tabla1[[#This Row],[5]]="TPL",Tabla1[[#This Row],[6]],"")</f>
        <v>3"</v>
      </c>
      <c r="L412" s="52">
        <f>IF(OR(Tabla1[[#This Row],[5]]="TPL"),Tabla1[[#This Row],[7]],"")</f>
        <v>1</v>
      </c>
      <c r="M412" s="52">
        <f>IF(Tabla15[[#This Row],[5]]="",0,VLOOKUP(TRAMOS!$K$2,Tabla5[#All],3,FALSE)*Tabla15[[#This Row],[6]])</f>
        <v>0.9</v>
      </c>
      <c r="N41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1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12" s="52">
        <f>IF(Tabla15[[#This Row],[8]]="",0,VLOOKUP(TRAMOS!$H$2,Tabla5[#All],3,FALSE)*Tabla15[[#This Row],[9]])</f>
        <v>0</v>
      </c>
      <c r="Q41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412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2</v>
      </c>
      <c r="S412" s="52">
        <f>IF(Tabla15[[#This Row],[11]]="",0,VLOOKUP(TRAMOS!$Q$2,Tabla5[#All],3,FALSE)*Tabla15[[#This Row],[12]])</f>
        <v>1.8</v>
      </c>
      <c r="T41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412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41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41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1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1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1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1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12" s="52">
        <f>IF(Tabla15[[#This Row],[20]]="",0,VLOOKUP("VRP",Tabla5[#All],3,FALSE)*Tabla15[[#This Row],[21]])</f>
        <v>0</v>
      </c>
      <c r="AC41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1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12" s="52">
        <f>IF(Tabla15[[#This Row],[23]]="",0,VLOOKUP("VC",Tabla5[#All],3,FALSE)*Tabla15[[#This Row],[24]])</f>
        <v>0</v>
      </c>
      <c r="AF41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1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12" s="52">
        <f>IF(Tabla15[[#This Row],[26]]="",0,VLOOKUP(TRAMOS!$K$2,Tabla5[#All],3,FALSE)*Tabla15[[#This Row],[27]])</f>
        <v>0</v>
      </c>
      <c r="AI41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1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1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1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1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412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41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2.915</v>
      </c>
    </row>
    <row r="413" spans="2:41" x14ac:dyDescent="0.25">
      <c r="B413" s="58" t="str">
        <f>Tabla1[[#This Row],[nudo inicial]]</f>
        <v>N213</v>
      </c>
      <c r="C413" s="58" t="str">
        <f>Tabla1[[#This Row],[nudo final]]</f>
        <v>N214</v>
      </c>
      <c r="D413" s="51">
        <f>Tabla1[[#This Row],[longitud]]</f>
        <v>46.62</v>
      </c>
      <c r="E413" s="51" t="str">
        <f>Tabla1[[#This Row],[diametro]]</f>
        <v>3"</v>
      </c>
      <c r="F413" s="51" t="str">
        <f>Tabla1[[#This Row],[material]]</f>
        <v>PVC</v>
      </c>
      <c r="G41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13" s="52" t="str">
        <f>IF(Tabla1[[#This Row],[5]]="TPD",Tabla1[[#This Row],[6]],"")</f>
        <v>3"</v>
      </c>
      <c r="I413" s="52">
        <f>IF(OR(Tabla1[[#This Row],[5]]="TPD"),Tabla1[[#This Row],[7]],"")</f>
        <v>1</v>
      </c>
      <c r="J413" s="52">
        <f>IF(Tabla15[[#This Row],[2]]="",0,VLOOKUP(TRAMOS!$H$2,Tabla5[#All],3,FALSE)*Tabla15[[#This Row],[3]])</f>
        <v>0.15</v>
      </c>
      <c r="K413" s="52" t="str">
        <f>IF(Tabla1[[#This Row],[5]]="TPL",Tabla1[[#This Row],[6]],"")</f>
        <v/>
      </c>
      <c r="L413" s="52" t="str">
        <f>IF(OR(Tabla1[[#This Row],[5]]="TPL"),Tabla1[[#This Row],[7]],"")</f>
        <v/>
      </c>
      <c r="M413" s="52">
        <f>IF(Tabla15[[#This Row],[5]]="",0,VLOOKUP(TRAMOS!$K$2,Tabla5[#All],3,FALSE)*Tabla15[[#This Row],[6]])</f>
        <v>0</v>
      </c>
      <c r="N41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1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13" s="52">
        <f>IF(Tabla15[[#This Row],[8]]="",0,VLOOKUP(TRAMOS!$H$2,Tabla5[#All],3,FALSE)*Tabla15[[#This Row],[9]])</f>
        <v>0</v>
      </c>
      <c r="Q41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1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13" s="52">
        <f>IF(Tabla15[[#This Row],[11]]="",0,VLOOKUP(TRAMOS!$Q$2,Tabla5[#All],3,FALSE)*Tabla15[[#This Row],[12]])</f>
        <v>0</v>
      </c>
      <c r="T41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1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1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1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1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1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1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1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13" s="52">
        <f>IF(Tabla15[[#This Row],[20]]="",0,VLOOKUP("VRP",Tabla5[#All],3,FALSE)*Tabla15[[#This Row],[21]])</f>
        <v>0</v>
      </c>
      <c r="AC41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1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13" s="52">
        <f>IF(Tabla15[[#This Row],[23]]="",0,VLOOKUP("VC",Tabla5[#All],3,FALSE)*Tabla15[[#This Row],[24]])</f>
        <v>0</v>
      </c>
      <c r="AF41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1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13" s="52">
        <f>IF(Tabla15[[#This Row],[26]]="",0,VLOOKUP(TRAMOS!$K$2,Tabla5[#All],3,FALSE)*Tabla15[[#This Row],[27]])</f>
        <v>0</v>
      </c>
      <c r="AI41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1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1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1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1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1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1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414" spans="2:41" x14ac:dyDescent="0.25">
      <c r="B414" s="58" t="str">
        <f>Tabla1[[#This Row],[nudo inicial]]</f>
        <v>N214</v>
      </c>
      <c r="C414" s="58" t="str">
        <f>Tabla1[[#This Row],[nudo final]]</f>
        <v>TP158</v>
      </c>
      <c r="D414" s="51">
        <f>Tabla1[[#This Row],[longitud]]</f>
        <v>22.03</v>
      </c>
      <c r="E414" s="51" t="str">
        <f>Tabla1[[#This Row],[diametro]]</f>
        <v>3"</v>
      </c>
      <c r="F414" s="51" t="str">
        <f>Tabla1[[#This Row],[material]]</f>
        <v>PVC</v>
      </c>
      <c r="G41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14" s="52" t="str">
        <f>IF(Tabla1[[#This Row],[5]]="TPD",Tabla1[[#This Row],[6]],"")</f>
        <v>3"</v>
      </c>
      <c r="I414" s="52">
        <f>IF(OR(Tabla1[[#This Row],[5]]="TPD"),Tabla1[[#This Row],[7]],"")</f>
        <v>1</v>
      </c>
      <c r="J414" s="52">
        <f>IF(Tabla15[[#This Row],[2]]="",0,VLOOKUP(TRAMOS!$H$2,Tabla5[#All],3,FALSE)*Tabla15[[#This Row],[3]])</f>
        <v>0.15</v>
      </c>
      <c r="K414" s="52" t="str">
        <f>IF(Tabla1[[#This Row],[5]]="TPL",Tabla1[[#This Row],[6]],"")</f>
        <v/>
      </c>
      <c r="L414" s="52" t="str">
        <f>IF(OR(Tabla1[[#This Row],[5]]="TPL"),Tabla1[[#This Row],[7]],"")</f>
        <v/>
      </c>
      <c r="M414" s="52">
        <f>IF(Tabla15[[#This Row],[5]]="",0,VLOOKUP(TRAMOS!$K$2,Tabla5[#All],3,FALSE)*Tabla15[[#This Row],[6]])</f>
        <v>0</v>
      </c>
      <c r="N41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1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14" s="52">
        <f>IF(Tabla15[[#This Row],[8]]="",0,VLOOKUP(TRAMOS!$H$2,Tabla5[#All],3,FALSE)*Tabla15[[#This Row],[9]])</f>
        <v>0</v>
      </c>
      <c r="Q41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1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14" s="52">
        <f>IF(Tabla15[[#This Row],[11]]="",0,VLOOKUP(TRAMOS!$Q$2,Tabla5[#All],3,FALSE)*Tabla15[[#This Row],[12]])</f>
        <v>0</v>
      </c>
      <c r="T41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1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1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1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1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1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1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1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14" s="52">
        <f>IF(Tabla15[[#This Row],[20]]="",0,VLOOKUP("VRP",Tabla5[#All],3,FALSE)*Tabla15[[#This Row],[21]])</f>
        <v>0</v>
      </c>
      <c r="AC41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1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14" s="52">
        <f>IF(Tabla15[[#This Row],[23]]="",0,VLOOKUP("VC",Tabla5[#All],3,FALSE)*Tabla15[[#This Row],[24]])</f>
        <v>0</v>
      </c>
      <c r="AF41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1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14" s="52">
        <f>IF(Tabla15[[#This Row],[26]]="",0,VLOOKUP(TRAMOS!$K$2,Tabla5[#All],3,FALSE)*Tabla15[[#This Row],[27]])</f>
        <v>0</v>
      </c>
      <c r="AI41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1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1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1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1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414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41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415" spans="2:41" x14ac:dyDescent="0.25">
      <c r="B415" s="58" t="str">
        <f>Tabla1[[#This Row],[nudo inicial]]</f>
        <v>N214</v>
      </c>
      <c r="C415" s="58" t="str">
        <f>Tabla1[[#This Row],[nudo final]]</f>
        <v>N215</v>
      </c>
      <c r="D415" s="51">
        <f>Tabla1[[#This Row],[longitud]]</f>
        <v>45.51</v>
      </c>
      <c r="E415" s="51" t="str">
        <f>Tabla1[[#This Row],[diametro]]</f>
        <v>3"</v>
      </c>
      <c r="F415" s="51" t="str">
        <f>Tabla1[[#This Row],[material]]</f>
        <v>PVC</v>
      </c>
      <c r="G41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15" s="52" t="str">
        <f>IF(Tabla1[[#This Row],[5]]="TPD",Tabla1[[#This Row],[6]],"")</f>
        <v/>
      </c>
      <c r="I415" s="52" t="str">
        <f>IF(OR(Tabla1[[#This Row],[5]]="TPD"),Tabla1[[#This Row],[7]],"")</f>
        <v/>
      </c>
      <c r="J415" s="52">
        <f>IF(Tabla15[[#This Row],[2]]="",0,VLOOKUP(TRAMOS!$H$2,Tabla5[#All],3,FALSE)*Tabla15[[#This Row],[3]])</f>
        <v>0</v>
      </c>
      <c r="K415" s="52" t="str">
        <f>IF(Tabla1[[#This Row],[5]]="TPL",Tabla1[[#This Row],[6]],"")</f>
        <v>3"</v>
      </c>
      <c r="L415" s="52">
        <f>IF(OR(Tabla1[[#This Row],[5]]="TPL"),Tabla1[[#This Row],[7]],"")</f>
        <v>1</v>
      </c>
      <c r="M415" s="52">
        <f>IF(Tabla15[[#This Row],[5]]="",0,VLOOKUP(TRAMOS!$K$2,Tabla5[#All],3,FALSE)*Tabla15[[#This Row],[6]])</f>
        <v>0.9</v>
      </c>
      <c r="N41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1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15" s="52">
        <f>IF(Tabla15[[#This Row],[8]]="",0,VLOOKUP(TRAMOS!$H$2,Tabla5[#All],3,FALSE)*Tabla15[[#This Row],[9]])</f>
        <v>0</v>
      </c>
      <c r="Q41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1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15" s="52">
        <f>IF(Tabla15[[#This Row],[11]]="",0,VLOOKUP(TRAMOS!$Q$2,Tabla5[#All],3,FALSE)*Tabla15[[#This Row],[12]])</f>
        <v>0</v>
      </c>
      <c r="T41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1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1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1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1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1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1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1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15" s="52">
        <f>IF(Tabla15[[#This Row],[20]]="",0,VLOOKUP("VRP",Tabla5[#All],3,FALSE)*Tabla15[[#This Row],[21]])</f>
        <v>0</v>
      </c>
      <c r="AC41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415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415" s="52">
        <f>IF(Tabla15[[#This Row],[23]]="",0,VLOOKUP("VC",Tabla5[#All],3,FALSE)*Tabla15[[#This Row],[24]])</f>
        <v>0.25</v>
      </c>
      <c r="AF41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1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15" s="52">
        <f>IF(Tabla15[[#This Row],[26]]="",0,VLOOKUP(TRAMOS!$K$2,Tabla5[#All],3,FALSE)*Tabla15[[#This Row],[27]])</f>
        <v>0</v>
      </c>
      <c r="AI41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1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1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1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1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1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1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1.1499999999999999</v>
      </c>
    </row>
    <row r="416" spans="2:41" x14ac:dyDescent="0.25">
      <c r="B416" s="58" t="str">
        <f>Tabla1[[#This Row],[nudo inicial]]</f>
        <v>N215</v>
      </c>
      <c r="C416" s="58" t="str">
        <f>Tabla1[[#This Row],[nudo final]]</f>
        <v>TP159</v>
      </c>
      <c r="D416" s="51">
        <f>Tabla1[[#This Row],[longitud]]</f>
        <v>35.869999999999997</v>
      </c>
      <c r="E416" s="51" t="str">
        <f>Tabla1[[#This Row],[diametro]]</f>
        <v>3"</v>
      </c>
      <c r="F416" s="51" t="str">
        <f>Tabla1[[#This Row],[material]]</f>
        <v>PVC</v>
      </c>
      <c r="G41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16" s="52" t="str">
        <f>IF(Tabla1[[#This Row],[5]]="TPD",Tabla1[[#This Row],[6]],"")</f>
        <v/>
      </c>
      <c r="I416" s="52" t="str">
        <f>IF(OR(Tabla1[[#This Row],[5]]="TPD"),Tabla1[[#This Row],[7]],"")</f>
        <v/>
      </c>
      <c r="J416" s="52">
        <f>IF(Tabla15[[#This Row],[2]]="",0,VLOOKUP(TRAMOS!$H$2,Tabla5[#All],3,FALSE)*Tabla15[[#This Row],[3]])</f>
        <v>0</v>
      </c>
      <c r="K416" s="52" t="str">
        <f>IF(Tabla1[[#This Row],[5]]="TPL",Tabla1[[#This Row],[6]],"")</f>
        <v>3"</v>
      </c>
      <c r="L416" s="52">
        <f>IF(OR(Tabla1[[#This Row],[5]]="TPL"),Tabla1[[#This Row],[7]],"")</f>
        <v>1</v>
      </c>
      <c r="M416" s="52">
        <f>IF(Tabla15[[#This Row],[5]]="",0,VLOOKUP(TRAMOS!$K$2,Tabla5[#All],3,FALSE)*Tabla15[[#This Row],[6]])</f>
        <v>0.9</v>
      </c>
      <c r="N41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1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16" s="52">
        <f>IF(Tabla15[[#This Row],[8]]="",0,VLOOKUP(TRAMOS!$H$2,Tabla5[#All],3,FALSE)*Tabla15[[#This Row],[9]])</f>
        <v>0</v>
      </c>
      <c r="Q41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1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16" s="52">
        <f>IF(Tabla15[[#This Row],[11]]="",0,VLOOKUP(TRAMOS!$Q$2,Tabla5[#All],3,FALSE)*Tabla15[[#This Row],[12]])</f>
        <v>0</v>
      </c>
      <c r="T41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1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1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1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1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1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1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1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16" s="52">
        <f>IF(Tabla15[[#This Row],[20]]="",0,VLOOKUP("VRP",Tabla5[#All],3,FALSE)*Tabla15[[#This Row],[21]])</f>
        <v>0</v>
      </c>
      <c r="AC41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1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16" s="52">
        <f>IF(Tabla15[[#This Row],[23]]="",0,VLOOKUP("VC",Tabla5[#All],3,FALSE)*Tabla15[[#This Row],[24]])</f>
        <v>0</v>
      </c>
      <c r="AF41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1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16" s="52">
        <f>IF(Tabla15[[#This Row],[26]]="",0,VLOOKUP(TRAMOS!$K$2,Tabla5[#All],3,FALSE)*Tabla15[[#This Row],[27]])</f>
        <v>0</v>
      </c>
      <c r="AI41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1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1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1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1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41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41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417" spans="2:41" x14ac:dyDescent="0.25">
      <c r="B417" s="58" t="str">
        <f>Tabla1[[#This Row],[nudo inicial]]</f>
        <v>N215</v>
      </c>
      <c r="C417" s="58" t="str">
        <f>Tabla1[[#This Row],[nudo final]]</f>
        <v>N216</v>
      </c>
      <c r="D417" s="51">
        <f>Tabla1[[#This Row],[longitud]]</f>
        <v>17.89</v>
      </c>
      <c r="E417" s="51" t="str">
        <f>Tabla1[[#This Row],[diametro]]</f>
        <v>3"</v>
      </c>
      <c r="F417" s="51" t="str">
        <f>Tabla1[[#This Row],[material]]</f>
        <v>PVC</v>
      </c>
      <c r="G41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17" s="52" t="str">
        <f>IF(Tabla1[[#This Row],[5]]="TPD",Tabla1[[#This Row],[6]],"")</f>
        <v>3"</v>
      </c>
      <c r="I417" s="52">
        <f>IF(OR(Tabla1[[#This Row],[5]]="TPD"),Tabla1[[#This Row],[7]],"")</f>
        <v>1</v>
      </c>
      <c r="J417" s="52">
        <f>IF(Tabla15[[#This Row],[2]]="",0,VLOOKUP(TRAMOS!$H$2,Tabla5[#All],3,FALSE)*Tabla15[[#This Row],[3]])</f>
        <v>0.15</v>
      </c>
      <c r="K417" s="52" t="str">
        <f>IF(Tabla1[[#This Row],[5]]="TPL",Tabla1[[#This Row],[6]],"")</f>
        <v/>
      </c>
      <c r="L417" s="52" t="str">
        <f>IF(OR(Tabla1[[#This Row],[5]]="TPL"),Tabla1[[#This Row],[7]],"")</f>
        <v/>
      </c>
      <c r="M417" s="52">
        <f>IF(Tabla15[[#This Row],[5]]="",0,VLOOKUP(TRAMOS!$K$2,Tabla5[#All],3,FALSE)*Tabla15[[#This Row],[6]])</f>
        <v>0</v>
      </c>
      <c r="N41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1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17" s="52">
        <f>IF(Tabla15[[#This Row],[8]]="",0,VLOOKUP(TRAMOS!$H$2,Tabla5[#All],3,FALSE)*Tabla15[[#This Row],[9]])</f>
        <v>0</v>
      </c>
      <c r="Q41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1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17" s="52">
        <f>IF(Tabla15[[#This Row],[11]]="",0,VLOOKUP(TRAMOS!$Q$2,Tabla5[#All],3,FALSE)*Tabla15[[#This Row],[12]])</f>
        <v>0</v>
      </c>
      <c r="T41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1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1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1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1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1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1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1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17" s="52">
        <f>IF(Tabla15[[#This Row],[20]]="",0,VLOOKUP("VRP",Tabla5[#All],3,FALSE)*Tabla15[[#This Row],[21]])</f>
        <v>0</v>
      </c>
      <c r="AC41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1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17" s="52">
        <f>IF(Tabla15[[#This Row],[23]]="",0,VLOOKUP("VC",Tabla5[#All],3,FALSE)*Tabla15[[#This Row],[24]])</f>
        <v>0</v>
      </c>
      <c r="AF41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1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17" s="52">
        <f>IF(Tabla15[[#This Row],[26]]="",0,VLOOKUP(TRAMOS!$K$2,Tabla5[#All],3,FALSE)*Tabla15[[#This Row],[27]])</f>
        <v>0</v>
      </c>
      <c r="AI41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1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1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1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1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1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1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418" spans="2:41" x14ac:dyDescent="0.25">
      <c r="B418" s="58" t="str">
        <f>Tabla1[[#This Row],[nudo inicial]]</f>
        <v>N216</v>
      </c>
      <c r="C418" s="58" t="str">
        <f>Tabla1[[#This Row],[nudo final]]</f>
        <v>TP160</v>
      </c>
      <c r="D418" s="51">
        <f>Tabla1[[#This Row],[longitud]]</f>
        <v>22.04</v>
      </c>
      <c r="E418" s="51" t="str">
        <f>Tabla1[[#This Row],[diametro]]</f>
        <v>3"</v>
      </c>
      <c r="F418" s="51" t="str">
        <f>Tabla1[[#This Row],[material]]</f>
        <v>PVC</v>
      </c>
      <c r="G41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18" s="52" t="str">
        <f>IF(Tabla1[[#This Row],[5]]="TPD",Tabla1[[#This Row],[6]],"")</f>
        <v/>
      </c>
      <c r="I418" s="52" t="str">
        <f>IF(OR(Tabla1[[#This Row],[5]]="TPD"),Tabla1[[#This Row],[7]],"")</f>
        <v/>
      </c>
      <c r="J418" s="52">
        <f>IF(Tabla15[[#This Row],[2]]="",0,VLOOKUP(TRAMOS!$H$2,Tabla5[#All],3,FALSE)*Tabla15[[#This Row],[3]])</f>
        <v>0</v>
      </c>
      <c r="K418" s="52" t="str">
        <f>IF(Tabla1[[#This Row],[5]]="TPL",Tabla1[[#This Row],[6]],"")</f>
        <v>3"</v>
      </c>
      <c r="L418" s="52">
        <f>IF(OR(Tabla1[[#This Row],[5]]="TPL"),Tabla1[[#This Row],[7]],"")</f>
        <v>1</v>
      </c>
      <c r="M418" s="52">
        <f>IF(Tabla15[[#This Row],[5]]="",0,VLOOKUP(TRAMOS!$K$2,Tabla5[#All],3,FALSE)*Tabla15[[#This Row],[6]])</f>
        <v>0.9</v>
      </c>
      <c r="N41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1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18" s="52">
        <f>IF(Tabla15[[#This Row],[8]]="",0,VLOOKUP(TRAMOS!$H$2,Tabla5[#All],3,FALSE)*Tabla15[[#This Row],[9]])</f>
        <v>0</v>
      </c>
      <c r="Q41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1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18" s="52">
        <f>IF(Tabla15[[#This Row],[11]]="",0,VLOOKUP(TRAMOS!$Q$2,Tabla5[#All],3,FALSE)*Tabla15[[#This Row],[12]])</f>
        <v>0</v>
      </c>
      <c r="T41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1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1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1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1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1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1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1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18" s="52">
        <f>IF(Tabla15[[#This Row],[20]]="",0,VLOOKUP("VRP",Tabla5[#All],3,FALSE)*Tabla15[[#This Row],[21]])</f>
        <v>0</v>
      </c>
      <c r="AC41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1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18" s="52">
        <f>IF(Tabla15[[#This Row],[23]]="",0,VLOOKUP("VC",Tabla5[#All],3,FALSE)*Tabla15[[#This Row],[24]])</f>
        <v>0</v>
      </c>
      <c r="AF41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1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18" s="52">
        <f>IF(Tabla15[[#This Row],[26]]="",0,VLOOKUP(TRAMOS!$K$2,Tabla5[#All],3,FALSE)*Tabla15[[#This Row],[27]])</f>
        <v>0</v>
      </c>
      <c r="AI41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1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1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1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1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418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41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419" spans="2:41" x14ac:dyDescent="0.25">
      <c r="B419" s="58" t="str">
        <f>Tabla1[[#This Row],[nudo inicial]]</f>
        <v>N216</v>
      </c>
      <c r="C419" s="58" t="str">
        <f>Tabla1[[#This Row],[nudo final]]</f>
        <v>TP161</v>
      </c>
      <c r="D419" s="51">
        <f>Tabla1[[#This Row],[longitud]]</f>
        <v>68.55</v>
      </c>
      <c r="E419" s="51" t="str">
        <f>Tabla1[[#This Row],[diametro]]</f>
        <v>3"</v>
      </c>
      <c r="F419" s="51" t="str">
        <f>Tabla1[[#This Row],[material]]</f>
        <v>PVC</v>
      </c>
      <c r="G41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19" s="52" t="str">
        <f>IF(Tabla1[[#This Row],[5]]="TPD",Tabla1[[#This Row],[6]],"")</f>
        <v/>
      </c>
      <c r="I419" s="52" t="str">
        <f>IF(OR(Tabla1[[#This Row],[5]]="TPD"),Tabla1[[#This Row],[7]],"")</f>
        <v/>
      </c>
      <c r="J419" s="52">
        <f>IF(Tabla15[[#This Row],[2]]="",0,VLOOKUP(TRAMOS!$H$2,Tabla5[#All],3,FALSE)*Tabla15[[#This Row],[3]])</f>
        <v>0</v>
      </c>
      <c r="K419" s="52" t="str">
        <f>IF(Tabla1[[#This Row],[5]]="TPL",Tabla1[[#This Row],[6]],"")</f>
        <v>3"</v>
      </c>
      <c r="L419" s="52">
        <f>IF(OR(Tabla1[[#This Row],[5]]="TPL"),Tabla1[[#This Row],[7]],"")</f>
        <v>1</v>
      </c>
      <c r="M419" s="52">
        <f>IF(Tabla15[[#This Row],[5]]="",0,VLOOKUP(TRAMOS!$K$2,Tabla5[#All],3,FALSE)*Tabla15[[#This Row],[6]])</f>
        <v>0.9</v>
      </c>
      <c r="N41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1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19" s="52">
        <f>IF(Tabla15[[#This Row],[8]]="",0,VLOOKUP(TRAMOS!$H$2,Tabla5[#All],3,FALSE)*Tabla15[[#This Row],[9]])</f>
        <v>0</v>
      </c>
      <c r="Q41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1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19" s="52">
        <f>IF(Tabla15[[#This Row],[11]]="",0,VLOOKUP(TRAMOS!$Q$2,Tabla5[#All],3,FALSE)*Tabla15[[#This Row],[12]])</f>
        <v>0</v>
      </c>
      <c r="T41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1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1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1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1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1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1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1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19" s="52">
        <f>IF(Tabla15[[#This Row],[20]]="",0,VLOOKUP("VRP",Tabla5[#All],3,FALSE)*Tabla15[[#This Row],[21]])</f>
        <v>0</v>
      </c>
      <c r="AC41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1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19" s="52">
        <f>IF(Tabla15[[#This Row],[23]]="",0,VLOOKUP("VC",Tabla5[#All],3,FALSE)*Tabla15[[#This Row],[24]])</f>
        <v>0</v>
      </c>
      <c r="AF41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1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19" s="52">
        <f>IF(Tabla15[[#This Row],[26]]="",0,VLOOKUP(TRAMOS!$K$2,Tabla5[#All],3,FALSE)*Tabla15[[#This Row],[27]])</f>
        <v>0</v>
      </c>
      <c r="AI41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1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1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1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1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419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41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420" spans="2:41" x14ac:dyDescent="0.25">
      <c r="B420" s="58" t="str">
        <f>Tabla1[[#This Row],[nudo inicial]]</f>
        <v>N210</v>
      </c>
      <c r="C420" s="58" t="str">
        <f>Tabla1[[#This Row],[nudo final]]</f>
        <v>N217</v>
      </c>
      <c r="D420" s="51">
        <f>Tabla1[[#This Row],[longitud]]</f>
        <v>51.29</v>
      </c>
      <c r="E420" s="51" t="str">
        <f>Tabla1[[#This Row],[diametro]]</f>
        <v>3"</v>
      </c>
      <c r="F420" s="51" t="str">
        <f>Tabla1[[#This Row],[material]]</f>
        <v>PVC</v>
      </c>
      <c r="G42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20" s="52" t="str">
        <f>IF(Tabla1[[#This Row],[5]]="TPD",Tabla1[[#This Row],[6]],"")</f>
        <v>3"</v>
      </c>
      <c r="I420" s="52">
        <f>IF(OR(Tabla1[[#This Row],[5]]="TPD"),Tabla1[[#This Row],[7]],"")</f>
        <v>1</v>
      </c>
      <c r="J420" s="52">
        <f>IF(Tabla15[[#This Row],[2]]="",0,VLOOKUP(TRAMOS!$H$2,Tabla5[#All],3,FALSE)*Tabla15[[#This Row],[3]])</f>
        <v>0.15</v>
      </c>
      <c r="K420" s="52" t="str">
        <f>IF(Tabla1[[#This Row],[5]]="TPL",Tabla1[[#This Row],[6]],"")</f>
        <v/>
      </c>
      <c r="L420" s="52" t="str">
        <f>IF(OR(Tabla1[[#This Row],[5]]="TPL"),Tabla1[[#This Row],[7]],"")</f>
        <v/>
      </c>
      <c r="M420" s="52">
        <f>IF(Tabla15[[#This Row],[5]]="",0,VLOOKUP(TRAMOS!$K$2,Tabla5[#All],3,FALSE)*Tabla15[[#This Row],[6]])</f>
        <v>0</v>
      </c>
      <c r="N42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2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20" s="52">
        <f>IF(Tabla15[[#This Row],[8]]="",0,VLOOKUP(TRAMOS!$H$2,Tabla5[#All],3,FALSE)*Tabla15[[#This Row],[9]])</f>
        <v>0</v>
      </c>
      <c r="Q42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2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20" s="52">
        <f>IF(Tabla15[[#This Row],[11]]="",0,VLOOKUP(TRAMOS!$Q$2,Tabla5[#All],3,FALSE)*Tabla15[[#This Row],[12]])</f>
        <v>0</v>
      </c>
      <c r="T42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2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2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2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2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2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2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2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20" s="52">
        <f>IF(Tabla15[[#This Row],[20]]="",0,VLOOKUP("VRP",Tabla5[#All],3,FALSE)*Tabla15[[#This Row],[21]])</f>
        <v>0</v>
      </c>
      <c r="AC42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420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420" s="52">
        <f>IF(Tabla15[[#This Row],[23]]="",0,VLOOKUP("VC",Tabla5[#All],3,FALSE)*Tabla15[[#This Row],[24]])</f>
        <v>0.25</v>
      </c>
      <c r="AF42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2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20" s="52">
        <f>IF(Tabla15[[#This Row],[26]]="",0,VLOOKUP(TRAMOS!$K$2,Tabla5[#All],3,FALSE)*Tabla15[[#This Row],[27]])</f>
        <v>0</v>
      </c>
      <c r="AI42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2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2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2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2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2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2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0.4</v>
      </c>
    </row>
    <row r="421" spans="2:41" x14ac:dyDescent="0.25">
      <c r="B421" s="58" t="str">
        <f>Tabla1[[#This Row],[nudo inicial]]</f>
        <v>N193</v>
      </c>
      <c r="C421" s="58" t="str">
        <f>Tabla1[[#This Row],[nudo final]]</f>
        <v>N218</v>
      </c>
      <c r="D421" s="51">
        <f>Tabla1[[#This Row],[longitud]]</f>
        <v>116.04</v>
      </c>
      <c r="E421" s="51" t="str">
        <f>Tabla1[[#This Row],[diametro]]</f>
        <v>3"</v>
      </c>
      <c r="F421" s="51" t="str">
        <f>Tabla1[[#This Row],[material]]</f>
        <v>PVC</v>
      </c>
      <c r="G42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21" s="52" t="str">
        <f>IF(Tabla1[[#This Row],[5]]="TPD",Tabla1[[#This Row],[6]],"")</f>
        <v>3"</v>
      </c>
      <c r="I421" s="52">
        <f>IF(OR(Tabla1[[#This Row],[5]]="TPD"),Tabla1[[#This Row],[7]],"")</f>
        <v>1</v>
      </c>
      <c r="J421" s="52">
        <f>IF(Tabla15[[#This Row],[2]]="",0,VLOOKUP(TRAMOS!$H$2,Tabla5[#All],3,FALSE)*Tabla15[[#This Row],[3]])</f>
        <v>0.15</v>
      </c>
      <c r="K421" s="52" t="str">
        <f>IF(Tabla1[[#This Row],[5]]="TPL",Tabla1[[#This Row],[6]],"")</f>
        <v/>
      </c>
      <c r="L421" s="52" t="str">
        <f>IF(OR(Tabla1[[#This Row],[5]]="TPL"),Tabla1[[#This Row],[7]],"")</f>
        <v/>
      </c>
      <c r="M421" s="52">
        <f>IF(Tabla15[[#This Row],[5]]="",0,VLOOKUP(TRAMOS!$K$2,Tabla5[#All],3,FALSE)*Tabla15[[#This Row],[6]])</f>
        <v>0</v>
      </c>
      <c r="N42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2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21" s="52">
        <f>IF(Tabla15[[#This Row],[8]]="",0,VLOOKUP(TRAMOS!$H$2,Tabla5[#All],3,FALSE)*Tabla15[[#This Row],[9]])</f>
        <v>0</v>
      </c>
      <c r="Q42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2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21" s="52">
        <f>IF(Tabla15[[#This Row],[11]]="",0,VLOOKUP(TRAMOS!$Q$2,Tabla5[#All],3,FALSE)*Tabla15[[#This Row],[12]])</f>
        <v>0</v>
      </c>
      <c r="T42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2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2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2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2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2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2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2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21" s="52">
        <f>IF(Tabla15[[#This Row],[20]]="",0,VLOOKUP("VRP",Tabla5[#All],3,FALSE)*Tabla15[[#This Row],[21]])</f>
        <v>0</v>
      </c>
      <c r="AC42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2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21" s="52">
        <f>IF(Tabla15[[#This Row],[23]]="",0,VLOOKUP("VC",Tabla5[#All],3,FALSE)*Tabla15[[#This Row],[24]])</f>
        <v>0</v>
      </c>
      <c r="AF42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2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21" s="52">
        <f>IF(Tabla15[[#This Row],[26]]="",0,VLOOKUP(TRAMOS!$K$2,Tabla5[#All],3,FALSE)*Tabla15[[#This Row],[27]])</f>
        <v>0</v>
      </c>
      <c r="AI42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2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2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2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2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2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2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422" spans="2:41" x14ac:dyDescent="0.25">
      <c r="B422" s="58" t="str">
        <f>Tabla1[[#This Row],[nudo inicial]]</f>
        <v>N218</v>
      </c>
      <c r="C422" s="58" t="str">
        <f>Tabla1[[#This Row],[nudo final]]</f>
        <v>N219</v>
      </c>
      <c r="D422" s="51">
        <f>Tabla1[[#This Row],[longitud]]</f>
        <v>47.34</v>
      </c>
      <c r="E422" s="51" t="str">
        <f>Tabla1[[#This Row],[diametro]]</f>
        <v>3"</v>
      </c>
      <c r="F422" s="51" t="str">
        <f>Tabla1[[#This Row],[material]]</f>
        <v>PVC</v>
      </c>
      <c r="G42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22" s="52" t="str">
        <f>IF(Tabla1[[#This Row],[5]]="TPD",Tabla1[[#This Row],[6]],"")</f>
        <v/>
      </c>
      <c r="I422" s="52" t="str">
        <f>IF(OR(Tabla1[[#This Row],[5]]="TPD"),Tabla1[[#This Row],[7]],"")</f>
        <v/>
      </c>
      <c r="J422" s="52">
        <f>IF(Tabla15[[#This Row],[2]]="",0,VLOOKUP(TRAMOS!$H$2,Tabla5[#All],3,FALSE)*Tabla15[[#This Row],[3]])</f>
        <v>0</v>
      </c>
      <c r="K422" s="52" t="str">
        <f>IF(Tabla1[[#This Row],[5]]="TPL",Tabla1[[#This Row],[6]],"")</f>
        <v>3"</v>
      </c>
      <c r="L422" s="52">
        <f>IF(OR(Tabla1[[#This Row],[5]]="TPL"),Tabla1[[#This Row],[7]],"")</f>
        <v>1</v>
      </c>
      <c r="M422" s="52">
        <f>IF(Tabla15[[#This Row],[5]]="",0,VLOOKUP(TRAMOS!$K$2,Tabla5[#All],3,FALSE)*Tabla15[[#This Row],[6]])</f>
        <v>0.9</v>
      </c>
      <c r="N42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2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22" s="52">
        <f>IF(Tabla15[[#This Row],[8]]="",0,VLOOKUP(TRAMOS!$H$2,Tabla5[#All],3,FALSE)*Tabla15[[#This Row],[9]])</f>
        <v>0</v>
      </c>
      <c r="Q42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2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22" s="52">
        <f>IF(Tabla15[[#This Row],[11]]="",0,VLOOKUP(TRAMOS!$Q$2,Tabla5[#All],3,FALSE)*Tabla15[[#This Row],[12]])</f>
        <v>0</v>
      </c>
      <c r="T42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2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2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2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2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2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2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2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22" s="52">
        <f>IF(Tabla15[[#This Row],[20]]="",0,VLOOKUP("VRP",Tabla5[#All],3,FALSE)*Tabla15[[#This Row],[21]])</f>
        <v>0</v>
      </c>
      <c r="AC42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2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22" s="52">
        <f>IF(Tabla15[[#This Row],[23]]="",0,VLOOKUP("VC",Tabla5[#All],3,FALSE)*Tabla15[[#This Row],[24]])</f>
        <v>0</v>
      </c>
      <c r="AF42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2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22" s="52">
        <f>IF(Tabla15[[#This Row],[26]]="",0,VLOOKUP(TRAMOS!$K$2,Tabla5[#All],3,FALSE)*Tabla15[[#This Row],[27]])</f>
        <v>0</v>
      </c>
      <c r="AI42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2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2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2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2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2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2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423" spans="2:41" x14ac:dyDescent="0.25">
      <c r="B423" s="58" t="str">
        <f>Tabla1[[#This Row],[nudo inicial]]</f>
        <v>N219</v>
      </c>
      <c r="C423" s="58" t="str">
        <f>Tabla1[[#This Row],[nudo final]]</f>
        <v>N220</v>
      </c>
      <c r="D423" s="51">
        <f>Tabla1[[#This Row],[longitud]]</f>
        <v>83.29</v>
      </c>
      <c r="E423" s="51" t="str">
        <f>Tabla1[[#This Row],[diametro]]</f>
        <v>3"</v>
      </c>
      <c r="F423" s="51" t="str">
        <f>Tabla1[[#This Row],[material]]</f>
        <v>HF</v>
      </c>
      <c r="G42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23" s="52" t="str">
        <f>IF(Tabla1[[#This Row],[5]]="TPD",Tabla1[[#This Row],[6]],"")</f>
        <v/>
      </c>
      <c r="I423" s="52" t="str">
        <f>IF(OR(Tabla1[[#This Row],[5]]="TPD"),Tabla1[[#This Row],[7]],"")</f>
        <v/>
      </c>
      <c r="J423" s="52">
        <f>IF(Tabla15[[#This Row],[2]]="",0,VLOOKUP(TRAMOS!$H$2,Tabla5[#All],3,FALSE)*Tabla15[[#This Row],[3]])</f>
        <v>0</v>
      </c>
      <c r="K423" s="52" t="str">
        <f>IF(Tabla1[[#This Row],[5]]="TPL",Tabla1[[#This Row],[6]],"")</f>
        <v/>
      </c>
      <c r="L423" s="52" t="str">
        <f>IF(OR(Tabla1[[#This Row],[5]]="TPL"),Tabla1[[#This Row],[7]],"")</f>
        <v/>
      </c>
      <c r="M423" s="52">
        <f>IF(Tabla15[[#This Row],[5]]="",0,VLOOKUP(TRAMOS!$K$2,Tabla5[#All],3,FALSE)*Tabla15[[#This Row],[6]])</f>
        <v>0</v>
      </c>
      <c r="N42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2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23" s="52">
        <f>IF(Tabla15[[#This Row],[8]]="",0,VLOOKUP(TRAMOS!$H$2,Tabla5[#All],3,FALSE)*Tabla15[[#This Row],[9]])</f>
        <v>0</v>
      </c>
      <c r="Q42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2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23" s="52">
        <f>IF(Tabla15[[#This Row],[11]]="",0,VLOOKUP(TRAMOS!$Q$2,Tabla5[#All],3,FALSE)*Tabla15[[#This Row],[12]])</f>
        <v>0</v>
      </c>
      <c r="T42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2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2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2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2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2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2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2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23" s="52">
        <f>IF(Tabla15[[#This Row],[20]]="",0,VLOOKUP("VRP",Tabla5[#All],3,FALSE)*Tabla15[[#This Row],[21]])</f>
        <v>0</v>
      </c>
      <c r="AC42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2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23" s="52">
        <f>IF(Tabla15[[#This Row],[23]]="",0,VLOOKUP("VC",Tabla5[#All],3,FALSE)*Tabla15[[#This Row],[24]])</f>
        <v>0</v>
      </c>
      <c r="AF42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2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23" s="52">
        <f>IF(Tabla15[[#This Row],[26]]="",0,VLOOKUP(TRAMOS!$K$2,Tabla5[#All],3,FALSE)*Tabla15[[#This Row],[27]])</f>
        <v>0</v>
      </c>
      <c r="AI42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2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2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2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2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2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2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</v>
      </c>
    </row>
    <row r="424" spans="2:41" x14ac:dyDescent="0.25">
      <c r="B424" s="58" t="str">
        <f>Tabla1[[#This Row],[nudo inicial]]</f>
        <v>N220</v>
      </c>
      <c r="C424" s="58" t="str">
        <f>Tabla1[[#This Row],[nudo final]]</f>
        <v>TP162</v>
      </c>
      <c r="D424" s="51">
        <f>Tabla1[[#This Row],[longitud]]</f>
        <v>77.27</v>
      </c>
      <c r="E424" s="51" t="str">
        <f>Tabla1[[#This Row],[diametro]]</f>
        <v>2"</v>
      </c>
      <c r="F424" s="51" t="str">
        <f>Tabla1[[#This Row],[material]]</f>
        <v>PVC</v>
      </c>
      <c r="G42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24" s="52" t="str">
        <f>IF(Tabla1[[#This Row],[5]]="TPD",Tabla1[[#This Row],[6]],"")</f>
        <v/>
      </c>
      <c r="I424" s="52" t="str">
        <f>IF(OR(Tabla1[[#This Row],[5]]="TPD"),Tabla1[[#This Row],[7]],"")</f>
        <v/>
      </c>
      <c r="J424" s="52">
        <f>IF(Tabla15[[#This Row],[2]]="",0,VLOOKUP(TRAMOS!$H$2,Tabla5[#All],3,FALSE)*Tabla15[[#This Row],[3]])</f>
        <v>0</v>
      </c>
      <c r="K424" s="52" t="str">
        <f>IF(Tabla1[[#This Row],[5]]="TPL",Tabla1[[#This Row],[6]],"")</f>
        <v>3"</v>
      </c>
      <c r="L424" s="52">
        <f>IF(OR(Tabla1[[#This Row],[5]]="TPL"),Tabla1[[#This Row],[7]],"")</f>
        <v>1</v>
      </c>
      <c r="M424" s="52">
        <f>IF(Tabla15[[#This Row],[5]]="",0,VLOOKUP(TRAMOS!$K$2,Tabla5[#All],3,FALSE)*Tabla15[[#This Row],[6]])</f>
        <v>0.9</v>
      </c>
      <c r="N42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2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24" s="52">
        <f>IF(Tabla15[[#This Row],[8]]="",0,VLOOKUP(TRAMOS!$H$2,Tabla5[#All],3,FALSE)*Tabla15[[#This Row],[9]])</f>
        <v>0</v>
      </c>
      <c r="Q42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2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24" s="52">
        <f>IF(Tabla15[[#This Row],[11]]="",0,VLOOKUP(TRAMOS!$Q$2,Tabla5[#All],3,FALSE)*Tabla15[[#This Row],[12]])</f>
        <v>0</v>
      </c>
      <c r="T42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424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42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42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2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2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2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2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24" s="52">
        <f>IF(Tabla15[[#This Row],[20]]="",0,VLOOKUP("VRP",Tabla5[#All],3,FALSE)*Tabla15[[#This Row],[21]])</f>
        <v>0</v>
      </c>
      <c r="AC42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2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24" s="52">
        <f>IF(Tabla15[[#This Row],[23]]="",0,VLOOKUP("VC",Tabla5[#All],3,FALSE)*Tabla15[[#This Row],[24]])</f>
        <v>0</v>
      </c>
      <c r="AF42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2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24" s="52">
        <f>IF(Tabla15[[#This Row],[26]]="",0,VLOOKUP(TRAMOS!$K$2,Tabla5[#All],3,FALSE)*Tabla15[[#This Row],[27]])</f>
        <v>0</v>
      </c>
      <c r="AI42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2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2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2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2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424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42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425" spans="2:41" x14ac:dyDescent="0.25">
      <c r="B425" s="58" t="str">
        <f>Tabla1[[#This Row],[nudo inicial]]</f>
        <v>N220</v>
      </c>
      <c r="C425" s="58" t="str">
        <f>Tabla1[[#This Row],[nudo final]]</f>
        <v>N221</v>
      </c>
      <c r="D425" s="51">
        <f>Tabla1[[#This Row],[longitud]]</f>
        <v>20.100000000000001</v>
      </c>
      <c r="E425" s="51" t="str">
        <f>Tabla1[[#This Row],[diametro]]</f>
        <v>3"</v>
      </c>
      <c r="F425" s="51" t="str">
        <f>Tabla1[[#This Row],[material]]</f>
        <v>HF</v>
      </c>
      <c r="G42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25" s="52" t="str">
        <f>IF(Tabla1[[#This Row],[5]]="TPD",Tabla1[[#This Row],[6]],"")</f>
        <v>3"</v>
      </c>
      <c r="I425" s="52">
        <f>IF(OR(Tabla1[[#This Row],[5]]="TPD"),Tabla1[[#This Row],[7]],"")</f>
        <v>1</v>
      </c>
      <c r="J425" s="52">
        <f>IF(Tabla15[[#This Row],[2]]="",0,VLOOKUP(TRAMOS!$H$2,Tabla5[#All],3,FALSE)*Tabla15[[#This Row],[3]])</f>
        <v>0.15</v>
      </c>
      <c r="K425" s="52" t="str">
        <f>IF(Tabla1[[#This Row],[5]]="TPL",Tabla1[[#This Row],[6]],"")</f>
        <v/>
      </c>
      <c r="L425" s="52" t="str">
        <f>IF(OR(Tabla1[[#This Row],[5]]="TPL"),Tabla1[[#This Row],[7]],"")</f>
        <v/>
      </c>
      <c r="M425" s="52">
        <f>IF(Tabla15[[#This Row],[5]]="",0,VLOOKUP(TRAMOS!$K$2,Tabla5[#All],3,FALSE)*Tabla15[[#This Row],[6]])</f>
        <v>0</v>
      </c>
      <c r="N42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2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25" s="52">
        <f>IF(Tabla15[[#This Row],[8]]="",0,VLOOKUP(TRAMOS!$H$2,Tabla5[#All],3,FALSE)*Tabla15[[#This Row],[9]])</f>
        <v>0</v>
      </c>
      <c r="Q42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2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25" s="52">
        <f>IF(Tabla15[[#This Row],[11]]="",0,VLOOKUP(TRAMOS!$Q$2,Tabla5[#All],3,FALSE)*Tabla15[[#This Row],[12]])</f>
        <v>0</v>
      </c>
      <c r="T42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2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2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2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2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2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2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2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25" s="52">
        <f>IF(Tabla15[[#This Row],[20]]="",0,VLOOKUP("VRP",Tabla5[#All],3,FALSE)*Tabla15[[#This Row],[21]])</f>
        <v>0</v>
      </c>
      <c r="AC42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2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25" s="52">
        <f>IF(Tabla15[[#This Row],[23]]="",0,VLOOKUP("VC",Tabla5[#All],3,FALSE)*Tabla15[[#This Row],[24]])</f>
        <v>0</v>
      </c>
      <c r="AF42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2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25" s="52">
        <f>IF(Tabla15[[#This Row],[26]]="",0,VLOOKUP(TRAMOS!$K$2,Tabla5[#All],3,FALSE)*Tabla15[[#This Row],[27]])</f>
        <v>0</v>
      </c>
      <c r="AI42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2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2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2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2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2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2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426" spans="2:41" x14ac:dyDescent="0.25">
      <c r="B426" s="58" t="str">
        <f>Tabla1[[#This Row],[nudo inicial]]</f>
        <v>N221</v>
      </c>
      <c r="C426" s="58" t="str">
        <f>Tabla1[[#This Row],[nudo final]]</f>
        <v>TP163</v>
      </c>
      <c r="D426" s="51">
        <f>Tabla1[[#This Row],[longitud]]</f>
        <v>128.91999999999999</v>
      </c>
      <c r="E426" s="51" t="str">
        <f>Tabla1[[#This Row],[diametro]]</f>
        <v>2"</v>
      </c>
      <c r="F426" s="51" t="str">
        <f>Tabla1[[#This Row],[material]]</f>
        <v>PVC</v>
      </c>
      <c r="G42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26" s="52" t="str">
        <f>IF(Tabla1[[#This Row],[5]]="TPD",Tabla1[[#This Row],[6]],"")</f>
        <v/>
      </c>
      <c r="I426" s="52" t="str">
        <f>IF(OR(Tabla1[[#This Row],[5]]="TPD"),Tabla1[[#This Row],[7]],"")</f>
        <v/>
      </c>
      <c r="J426" s="52">
        <f>IF(Tabla15[[#This Row],[2]]="",0,VLOOKUP(TRAMOS!$H$2,Tabla5[#All],3,FALSE)*Tabla15[[#This Row],[3]])</f>
        <v>0</v>
      </c>
      <c r="K426" s="52" t="str">
        <f>IF(Tabla1[[#This Row],[5]]="TPL",Tabla1[[#This Row],[6]],"")</f>
        <v>3"</v>
      </c>
      <c r="L426" s="52">
        <f>IF(OR(Tabla1[[#This Row],[5]]="TPL"),Tabla1[[#This Row],[7]],"")</f>
        <v>1</v>
      </c>
      <c r="M426" s="52">
        <f>IF(Tabla15[[#This Row],[5]]="",0,VLOOKUP(TRAMOS!$K$2,Tabla5[#All],3,FALSE)*Tabla15[[#This Row],[6]])</f>
        <v>0.9</v>
      </c>
      <c r="N42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2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26" s="52">
        <f>IF(Tabla15[[#This Row],[8]]="",0,VLOOKUP(TRAMOS!$H$2,Tabla5[#All],3,FALSE)*Tabla15[[#This Row],[9]])</f>
        <v>0</v>
      </c>
      <c r="Q42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2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26" s="52">
        <f>IF(Tabla15[[#This Row],[11]]="",0,VLOOKUP(TRAMOS!$Q$2,Tabla5[#All],3,FALSE)*Tabla15[[#This Row],[12]])</f>
        <v>0</v>
      </c>
      <c r="T42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426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42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42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2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2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2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2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26" s="52">
        <f>IF(Tabla15[[#This Row],[20]]="",0,VLOOKUP("VRP",Tabla5[#All],3,FALSE)*Tabla15[[#This Row],[21]])</f>
        <v>0</v>
      </c>
      <c r="AC42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2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26" s="52">
        <f>IF(Tabla15[[#This Row],[23]]="",0,VLOOKUP("VC",Tabla5[#All],3,FALSE)*Tabla15[[#This Row],[24]])</f>
        <v>0</v>
      </c>
      <c r="AF42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2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26" s="52">
        <f>IF(Tabla15[[#This Row],[26]]="",0,VLOOKUP(TRAMOS!$K$2,Tabla5[#All],3,FALSE)*Tabla15[[#This Row],[27]])</f>
        <v>0</v>
      </c>
      <c r="AI42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2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2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2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2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42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42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427" spans="2:41" x14ac:dyDescent="0.25">
      <c r="B427" s="58" t="str">
        <f>Tabla1[[#This Row],[nudo inicial]]</f>
        <v>N221</v>
      </c>
      <c r="C427" s="58" t="str">
        <f>Tabla1[[#This Row],[nudo final]]</f>
        <v>N199</v>
      </c>
      <c r="D427" s="51">
        <f>Tabla1[[#This Row],[longitud]]</f>
        <v>76.05</v>
      </c>
      <c r="E427" s="51" t="str">
        <f>Tabla1[[#This Row],[diametro]]</f>
        <v>3"</v>
      </c>
      <c r="F427" s="51" t="str">
        <f>Tabla1[[#This Row],[material]]</f>
        <v>HF</v>
      </c>
      <c r="G42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27" s="52" t="str">
        <f>IF(Tabla1[[#This Row],[5]]="TPD",Tabla1[[#This Row],[6]],"")</f>
        <v>3"</v>
      </c>
      <c r="I427" s="52">
        <f>IF(OR(Tabla1[[#This Row],[5]]="TPD"),Tabla1[[#This Row],[7]],"")</f>
        <v>1</v>
      </c>
      <c r="J427" s="52">
        <f>IF(Tabla15[[#This Row],[2]]="",0,VLOOKUP(TRAMOS!$H$2,Tabla5[#All],3,FALSE)*Tabla15[[#This Row],[3]])</f>
        <v>0.15</v>
      </c>
      <c r="K427" s="52" t="str">
        <f>IF(Tabla1[[#This Row],[5]]="TPL",Tabla1[[#This Row],[6]],"")</f>
        <v/>
      </c>
      <c r="L427" s="52" t="str">
        <f>IF(OR(Tabla1[[#This Row],[5]]="TPL"),Tabla1[[#This Row],[7]],"")</f>
        <v/>
      </c>
      <c r="M427" s="52">
        <f>IF(Tabla15[[#This Row],[5]]="",0,VLOOKUP(TRAMOS!$K$2,Tabla5[#All],3,FALSE)*Tabla15[[#This Row],[6]])</f>
        <v>0</v>
      </c>
      <c r="N42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2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27" s="52">
        <f>IF(Tabla15[[#This Row],[8]]="",0,VLOOKUP(TRAMOS!$H$2,Tabla5[#All],3,FALSE)*Tabla15[[#This Row],[9]])</f>
        <v>0</v>
      </c>
      <c r="Q42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2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27" s="52">
        <f>IF(Tabla15[[#This Row],[11]]="",0,VLOOKUP(TRAMOS!$Q$2,Tabla5[#All],3,FALSE)*Tabla15[[#This Row],[12]])</f>
        <v>0</v>
      </c>
      <c r="T42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2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2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2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2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2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2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2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27" s="52">
        <f>IF(Tabla15[[#This Row],[20]]="",0,VLOOKUP("VRP",Tabla5[#All],3,FALSE)*Tabla15[[#This Row],[21]])</f>
        <v>0</v>
      </c>
      <c r="AC42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2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27" s="52">
        <f>IF(Tabla15[[#This Row],[23]]="",0,VLOOKUP("VC",Tabla5[#All],3,FALSE)*Tabla15[[#This Row],[24]])</f>
        <v>0</v>
      </c>
      <c r="AF42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2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27" s="52">
        <f>IF(Tabla15[[#This Row],[26]]="",0,VLOOKUP(TRAMOS!$K$2,Tabla5[#All],3,FALSE)*Tabla15[[#This Row],[27]])</f>
        <v>0</v>
      </c>
      <c r="AI42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2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2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2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2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2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2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428" spans="2:41" x14ac:dyDescent="0.25">
      <c r="B428" s="58" t="str">
        <f>Tabla1[[#This Row],[nudo inicial]]</f>
        <v>N199</v>
      </c>
      <c r="C428" s="58" t="str">
        <f>Tabla1[[#This Row],[nudo final]]</f>
        <v>N222</v>
      </c>
      <c r="D428" s="51">
        <f>Tabla1[[#This Row],[longitud]]</f>
        <v>34.69</v>
      </c>
      <c r="E428" s="51" t="str">
        <f>Tabla1[[#This Row],[diametro]]</f>
        <v>3"</v>
      </c>
      <c r="F428" s="51" t="str">
        <f>Tabla1[[#This Row],[material]]</f>
        <v>HF</v>
      </c>
      <c r="G42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28" s="52" t="str">
        <f>IF(Tabla1[[#This Row],[5]]="TPD",Tabla1[[#This Row],[6]],"")</f>
        <v>3"</v>
      </c>
      <c r="I428" s="52">
        <f>IF(OR(Tabla1[[#This Row],[5]]="TPD"),Tabla1[[#This Row],[7]],"")</f>
        <v>1</v>
      </c>
      <c r="J428" s="52">
        <f>IF(Tabla15[[#This Row],[2]]="",0,VLOOKUP(TRAMOS!$H$2,Tabla5[#All],3,FALSE)*Tabla15[[#This Row],[3]])</f>
        <v>0.15</v>
      </c>
      <c r="K428" s="52" t="str">
        <f>IF(Tabla1[[#This Row],[5]]="TPL",Tabla1[[#This Row],[6]],"")</f>
        <v/>
      </c>
      <c r="L428" s="52" t="str">
        <f>IF(OR(Tabla1[[#This Row],[5]]="TPL"),Tabla1[[#This Row],[7]],"")</f>
        <v/>
      </c>
      <c r="M428" s="52">
        <f>IF(Tabla15[[#This Row],[5]]="",0,VLOOKUP(TRAMOS!$K$2,Tabla5[#All],3,FALSE)*Tabla15[[#This Row],[6]])</f>
        <v>0</v>
      </c>
      <c r="N42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2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28" s="52">
        <f>IF(Tabla15[[#This Row],[8]]="",0,VLOOKUP(TRAMOS!$H$2,Tabla5[#All],3,FALSE)*Tabla15[[#This Row],[9]])</f>
        <v>0</v>
      </c>
      <c r="Q42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2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28" s="52">
        <f>IF(Tabla15[[#This Row],[11]]="",0,VLOOKUP(TRAMOS!$Q$2,Tabla5[#All],3,FALSE)*Tabla15[[#This Row],[12]])</f>
        <v>0</v>
      </c>
      <c r="T42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2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2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2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2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2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2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2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28" s="52">
        <f>IF(Tabla15[[#This Row],[20]]="",0,VLOOKUP("VRP",Tabla5[#All],3,FALSE)*Tabla15[[#This Row],[21]])</f>
        <v>0</v>
      </c>
      <c r="AC42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2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28" s="52">
        <f>IF(Tabla15[[#This Row],[23]]="",0,VLOOKUP("VC",Tabla5[#All],3,FALSE)*Tabla15[[#This Row],[24]])</f>
        <v>0</v>
      </c>
      <c r="AF42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2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28" s="52">
        <f>IF(Tabla15[[#This Row],[26]]="",0,VLOOKUP(TRAMOS!$K$2,Tabla5[#All],3,FALSE)*Tabla15[[#This Row],[27]])</f>
        <v>0</v>
      </c>
      <c r="AI42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2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2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2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2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2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2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429" spans="2:41" x14ac:dyDescent="0.25">
      <c r="B429" s="58" t="str">
        <f>Tabla1[[#This Row],[nudo inicial]]</f>
        <v>N222</v>
      </c>
      <c r="C429" s="58" t="str">
        <f>Tabla1[[#This Row],[nudo final]]</f>
        <v>N223</v>
      </c>
      <c r="D429" s="51">
        <f>Tabla1[[#This Row],[longitud]]</f>
        <v>89.76</v>
      </c>
      <c r="E429" s="51" t="str">
        <f>Tabla1[[#This Row],[diametro]]</f>
        <v>3"</v>
      </c>
      <c r="F429" s="51" t="str">
        <f>Tabla1[[#This Row],[material]]</f>
        <v>HF</v>
      </c>
      <c r="G42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29" s="52" t="str">
        <f>IF(Tabla1[[#This Row],[5]]="TPD",Tabla1[[#This Row],[6]],"")</f>
        <v/>
      </c>
      <c r="I429" s="52" t="str">
        <f>IF(OR(Tabla1[[#This Row],[5]]="TPD"),Tabla1[[#This Row],[7]],"")</f>
        <v/>
      </c>
      <c r="J429" s="52">
        <f>IF(Tabla15[[#This Row],[2]]="",0,VLOOKUP(TRAMOS!$H$2,Tabla5[#All],3,FALSE)*Tabla15[[#This Row],[3]])</f>
        <v>0</v>
      </c>
      <c r="K429" s="52" t="str">
        <f>IF(Tabla1[[#This Row],[5]]="TPL",Tabla1[[#This Row],[6]],"")</f>
        <v>3"</v>
      </c>
      <c r="L429" s="52">
        <f>IF(OR(Tabla1[[#This Row],[5]]="TPL"),Tabla1[[#This Row],[7]],"")</f>
        <v>1</v>
      </c>
      <c r="M429" s="52">
        <f>IF(Tabla15[[#This Row],[5]]="",0,VLOOKUP(TRAMOS!$K$2,Tabla5[#All],3,FALSE)*Tabla15[[#This Row],[6]])</f>
        <v>0.9</v>
      </c>
      <c r="N42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2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29" s="52">
        <f>IF(Tabla15[[#This Row],[8]]="",0,VLOOKUP(TRAMOS!$H$2,Tabla5[#All],3,FALSE)*Tabla15[[#This Row],[9]])</f>
        <v>0</v>
      </c>
      <c r="Q42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2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29" s="52">
        <f>IF(Tabla15[[#This Row],[11]]="",0,VLOOKUP(TRAMOS!$Q$2,Tabla5[#All],3,FALSE)*Tabla15[[#This Row],[12]])</f>
        <v>0</v>
      </c>
      <c r="T42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2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2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2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2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2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2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2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29" s="52">
        <f>IF(Tabla15[[#This Row],[20]]="",0,VLOOKUP("VRP",Tabla5[#All],3,FALSE)*Tabla15[[#This Row],[21]])</f>
        <v>0</v>
      </c>
      <c r="AC42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2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29" s="52">
        <f>IF(Tabla15[[#This Row],[23]]="",0,VLOOKUP("VC",Tabla5[#All],3,FALSE)*Tabla15[[#This Row],[24]])</f>
        <v>0</v>
      </c>
      <c r="AF42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2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29" s="52">
        <f>IF(Tabla15[[#This Row],[26]]="",0,VLOOKUP(TRAMOS!$K$2,Tabla5[#All],3,FALSE)*Tabla15[[#This Row],[27]])</f>
        <v>0</v>
      </c>
      <c r="AI42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2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2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2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2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2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2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430" spans="2:41" x14ac:dyDescent="0.25">
      <c r="B430" s="58" t="str">
        <f>Tabla1[[#This Row],[nudo inicial]]</f>
        <v>N223</v>
      </c>
      <c r="C430" s="58" t="str">
        <f>Tabla1[[#This Row],[nudo final]]</f>
        <v>TP164</v>
      </c>
      <c r="D430" s="51">
        <f>Tabla1[[#This Row],[longitud]]</f>
        <v>71.09</v>
      </c>
      <c r="E430" s="51" t="str">
        <f>Tabla1[[#This Row],[diametro]]</f>
        <v>2"</v>
      </c>
      <c r="F430" s="51" t="str">
        <f>Tabla1[[#This Row],[material]]</f>
        <v>PVC</v>
      </c>
      <c r="G43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30" s="52" t="str">
        <f>IF(Tabla1[[#This Row],[5]]="TPD",Tabla1[[#This Row],[6]],"")</f>
        <v/>
      </c>
      <c r="I430" s="52" t="str">
        <f>IF(OR(Tabla1[[#This Row],[5]]="TPD"),Tabla1[[#This Row],[7]],"")</f>
        <v/>
      </c>
      <c r="J430" s="52">
        <f>IF(Tabla15[[#This Row],[2]]="",0,VLOOKUP(TRAMOS!$H$2,Tabla5[#All],3,FALSE)*Tabla15[[#This Row],[3]])</f>
        <v>0</v>
      </c>
      <c r="K430" s="52" t="str">
        <f>IF(Tabla1[[#This Row],[5]]="TPL",Tabla1[[#This Row],[6]],"")</f>
        <v>3"</v>
      </c>
      <c r="L430" s="52">
        <f>IF(OR(Tabla1[[#This Row],[5]]="TPL"),Tabla1[[#This Row],[7]],"")</f>
        <v>1</v>
      </c>
      <c r="M430" s="52">
        <f>IF(Tabla15[[#This Row],[5]]="",0,VLOOKUP(TRAMOS!$K$2,Tabla5[#All],3,FALSE)*Tabla15[[#This Row],[6]])</f>
        <v>0.9</v>
      </c>
      <c r="N43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3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30" s="52">
        <f>IF(Tabla15[[#This Row],[8]]="",0,VLOOKUP(TRAMOS!$H$2,Tabla5[#All],3,FALSE)*Tabla15[[#This Row],[9]])</f>
        <v>0</v>
      </c>
      <c r="Q43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3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30" s="52">
        <f>IF(Tabla15[[#This Row],[11]]="",0,VLOOKUP(TRAMOS!$Q$2,Tabla5[#All],3,FALSE)*Tabla15[[#This Row],[12]])</f>
        <v>0</v>
      </c>
      <c r="T43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430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43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43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3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3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3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3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30" s="52">
        <f>IF(Tabla15[[#This Row],[20]]="",0,VLOOKUP("VRP",Tabla5[#All],3,FALSE)*Tabla15[[#This Row],[21]])</f>
        <v>0</v>
      </c>
      <c r="AC43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430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430" s="52">
        <f>IF(Tabla15[[#This Row],[23]]="",0,VLOOKUP("VC",Tabla5[#All],3,FALSE)*Tabla15[[#This Row],[24]])</f>
        <v>0.25</v>
      </c>
      <c r="AF43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3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30" s="52">
        <f>IF(Tabla15[[#This Row],[26]]="",0,VLOOKUP(TRAMOS!$K$2,Tabla5[#All],3,FALSE)*Tabla15[[#This Row],[27]])</f>
        <v>0</v>
      </c>
      <c r="AI43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3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3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3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3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430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43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1.365</v>
      </c>
    </row>
    <row r="431" spans="2:41" x14ac:dyDescent="0.25">
      <c r="B431" s="58" t="str">
        <f>Tabla1[[#This Row],[nudo inicial]]</f>
        <v>N223</v>
      </c>
      <c r="C431" s="58" t="str">
        <f>Tabla1[[#This Row],[nudo final]]</f>
        <v>N224</v>
      </c>
      <c r="D431" s="51">
        <f>Tabla1[[#This Row],[longitud]]</f>
        <v>110.84</v>
      </c>
      <c r="E431" s="51" t="str">
        <f>Tabla1[[#This Row],[diametro]]</f>
        <v>3"</v>
      </c>
      <c r="F431" s="51" t="str">
        <f>Tabla1[[#This Row],[material]]</f>
        <v>HF</v>
      </c>
      <c r="G43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31" s="52" t="str">
        <f>IF(Tabla1[[#This Row],[5]]="TPD",Tabla1[[#This Row],[6]],"")</f>
        <v>3"</v>
      </c>
      <c r="I431" s="52">
        <f>IF(OR(Tabla1[[#This Row],[5]]="TPD"),Tabla1[[#This Row],[7]],"")</f>
        <v>1</v>
      </c>
      <c r="J431" s="52">
        <f>IF(Tabla15[[#This Row],[2]]="",0,VLOOKUP(TRAMOS!$H$2,Tabla5[#All],3,FALSE)*Tabla15[[#This Row],[3]])</f>
        <v>0.15</v>
      </c>
      <c r="K431" s="52" t="str">
        <f>IF(Tabla1[[#This Row],[5]]="TPL",Tabla1[[#This Row],[6]],"")</f>
        <v/>
      </c>
      <c r="L431" s="52" t="str">
        <f>IF(OR(Tabla1[[#This Row],[5]]="TPL"),Tabla1[[#This Row],[7]],"")</f>
        <v/>
      </c>
      <c r="M431" s="52">
        <f>IF(Tabla15[[#This Row],[5]]="",0,VLOOKUP(TRAMOS!$K$2,Tabla5[#All],3,FALSE)*Tabla15[[#This Row],[6]])</f>
        <v>0</v>
      </c>
      <c r="N43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3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31" s="52">
        <f>IF(Tabla15[[#This Row],[8]]="",0,VLOOKUP(TRAMOS!$H$2,Tabla5[#All],3,FALSE)*Tabla15[[#This Row],[9]])</f>
        <v>0</v>
      </c>
      <c r="Q43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3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31" s="52">
        <f>IF(Tabla15[[#This Row],[11]]="",0,VLOOKUP(TRAMOS!$Q$2,Tabla5[#All],3,FALSE)*Tabla15[[#This Row],[12]])</f>
        <v>0</v>
      </c>
      <c r="T43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3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3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3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3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3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3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3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31" s="52">
        <f>IF(Tabla15[[#This Row],[20]]="",0,VLOOKUP("VRP",Tabla5[#All],3,FALSE)*Tabla15[[#This Row],[21]])</f>
        <v>0</v>
      </c>
      <c r="AC43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431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431" s="52">
        <f>IF(Tabla15[[#This Row],[23]]="",0,VLOOKUP("VC",Tabla5[#All],3,FALSE)*Tabla15[[#This Row],[24]])</f>
        <v>0.25</v>
      </c>
      <c r="AF43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3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31" s="52">
        <f>IF(Tabla15[[#This Row],[26]]="",0,VLOOKUP(TRAMOS!$K$2,Tabla5[#All],3,FALSE)*Tabla15[[#This Row],[27]])</f>
        <v>0</v>
      </c>
      <c r="AI43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3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3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3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3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3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3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0.4</v>
      </c>
    </row>
    <row r="432" spans="2:41" x14ac:dyDescent="0.25">
      <c r="B432" s="58" t="str">
        <f>Tabla1[[#This Row],[nudo inicial]]</f>
        <v>N224</v>
      </c>
      <c r="C432" s="58" t="str">
        <f>Tabla1[[#This Row],[nudo final]]</f>
        <v>TP165</v>
      </c>
      <c r="D432" s="51">
        <f>Tabla1[[#This Row],[longitud]]</f>
        <v>64.95</v>
      </c>
      <c r="E432" s="51" t="str">
        <f>Tabla1[[#This Row],[diametro]]</f>
        <v>2"</v>
      </c>
      <c r="F432" s="51" t="str">
        <f>Tabla1[[#This Row],[material]]</f>
        <v>PVC</v>
      </c>
      <c r="G43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32" s="52" t="str">
        <f>IF(Tabla1[[#This Row],[5]]="TPD",Tabla1[[#This Row],[6]],"")</f>
        <v/>
      </c>
      <c r="I432" s="52" t="str">
        <f>IF(OR(Tabla1[[#This Row],[5]]="TPD"),Tabla1[[#This Row],[7]],"")</f>
        <v/>
      </c>
      <c r="J432" s="52">
        <f>IF(Tabla15[[#This Row],[2]]="",0,VLOOKUP(TRAMOS!$H$2,Tabla5[#All],3,FALSE)*Tabla15[[#This Row],[3]])</f>
        <v>0</v>
      </c>
      <c r="K432" s="52" t="str">
        <f>IF(Tabla1[[#This Row],[5]]="TPL",Tabla1[[#This Row],[6]],"")</f>
        <v>3"</v>
      </c>
      <c r="L432" s="52">
        <f>IF(OR(Tabla1[[#This Row],[5]]="TPL"),Tabla1[[#This Row],[7]],"")</f>
        <v>1</v>
      </c>
      <c r="M432" s="52">
        <f>IF(Tabla15[[#This Row],[5]]="",0,VLOOKUP(TRAMOS!$K$2,Tabla5[#All],3,FALSE)*Tabla15[[#This Row],[6]])</f>
        <v>0.9</v>
      </c>
      <c r="N43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3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32" s="52">
        <f>IF(Tabla15[[#This Row],[8]]="",0,VLOOKUP(TRAMOS!$H$2,Tabla5[#All],3,FALSE)*Tabla15[[#This Row],[9]])</f>
        <v>0</v>
      </c>
      <c r="Q43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3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32" s="52">
        <f>IF(Tabla15[[#This Row],[11]]="",0,VLOOKUP(TRAMOS!$Q$2,Tabla5[#All],3,FALSE)*Tabla15[[#This Row],[12]])</f>
        <v>0</v>
      </c>
      <c r="T43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432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43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43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3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3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3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3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32" s="52">
        <f>IF(Tabla15[[#This Row],[20]]="",0,VLOOKUP("VRP",Tabla5[#All],3,FALSE)*Tabla15[[#This Row],[21]])</f>
        <v>0</v>
      </c>
      <c r="AC43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3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32" s="52">
        <f>IF(Tabla15[[#This Row],[23]]="",0,VLOOKUP("VC",Tabla5[#All],3,FALSE)*Tabla15[[#This Row],[24]])</f>
        <v>0</v>
      </c>
      <c r="AF43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3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32" s="52">
        <f>IF(Tabla15[[#This Row],[26]]="",0,VLOOKUP(TRAMOS!$K$2,Tabla5[#All],3,FALSE)*Tabla15[[#This Row],[27]])</f>
        <v>0</v>
      </c>
      <c r="AI43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3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3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3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3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432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43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433" spans="2:41" x14ac:dyDescent="0.25">
      <c r="B433" s="58" t="str">
        <f>Tabla1[[#This Row],[nudo inicial]]</f>
        <v>N224</v>
      </c>
      <c r="C433" s="58" t="str">
        <f>Tabla1[[#This Row],[nudo final]]</f>
        <v>N225</v>
      </c>
      <c r="D433" s="51">
        <f>Tabla1[[#This Row],[longitud]]</f>
        <v>6.47</v>
      </c>
      <c r="E433" s="51" t="str">
        <f>Tabla1[[#This Row],[diametro]]</f>
        <v>3"</v>
      </c>
      <c r="F433" s="51" t="str">
        <f>Tabla1[[#This Row],[material]]</f>
        <v>HF</v>
      </c>
      <c r="G43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33" s="52" t="str">
        <f>IF(Tabla1[[#This Row],[5]]="TPD",Tabla1[[#This Row],[6]],"")</f>
        <v>3"</v>
      </c>
      <c r="I433" s="52">
        <f>IF(OR(Tabla1[[#This Row],[5]]="TPD"),Tabla1[[#This Row],[7]],"")</f>
        <v>1</v>
      </c>
      <c r="J433" s="52">
        <f>IF(Tabla15[[#This Row],[2]]="",0,VLOOKUP(TRAMOS!$H$2,Tabla5[#All],3,FALSE)*Tabla15[[#This Row],[3]])</f>
        <v>0.15</v>
      </c>
      <c r="K433" s="52" t="str">
        <f>IF(Tabla1[[#This Row],[5]]="TPL",Tabla1[[#This Row],[6]],"")</f>
        <v/>
      </c>
      <c r="L433" s="52" t="str">
        <f>IF(OR(Tabla1[[#This Row],[5]]="TPL"),Tabla1[[#This Row],[7]],"")</f>
        <v/>
      </c>
      <c r="M433" s="52">
        <f>IF(Tabla15[[#This Row],[5]]="",0,VLOOKUP(TRAMOS!$K$2,Tabla5[#All],3,FALSE)*Tabla15[[#This Row],[6]])</f>
        <v>0</v>
      </c>
      <c r="N43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3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33" s="52">
        <f>IF(Tabla15[[#This Row],[8]]="",0,VLOOKUP(TRAMOS!$H$2,Tabla5[#All],3,FALSE)*Tabla15[[#This Row],[9]])</f>
        <v>0</v>
      </c>
      <c r="Q43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3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33" s="52">
        <f>IF(Tabla15[[#This Row],[11]]="",0,VLOOKUP(TRAMOS!$Q$2,Tabla5[#All],3,FALSE)*Tabla15[[#This Row],[12]])</f>
        <v>0</v>
      </c>
      <c r="T43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3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3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3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3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3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3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3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33" s="52">
        <f>IF(Tabla15[[#This Row],[20]]="",0,VLOOKUP("VRP",Tabla5[#All],3,FALSE)*Tabla15[[#This Row],[21]])</f>
        <v>0</v>
      </c>
      <c r="AC43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3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33" s="52">
        <f>IF(Tabla15[[#This Row],[23]]="",0,VLOOKUP("VC",Tabla5[#All],3,FALSE)*Tabla15[[#This Row],[24]])</f>
        <v>0</v>
      </c>
      <c r="AF43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3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33" s="52">
        <f>IF(Tabla15[[#This Row],[26]]="",0,VLOOKUP(TRAMOS!$K$2,Tabla5[#All],3,FALSE)*Tabla15[[#This Row],[27]])</f>
        <v>0</v>
      </c>
      <c r="AI43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3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3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3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3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3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3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434" spans="2:41" x14ac:dyDescent="0.25">
      <c r="B434" s="58" t="str">
        <f>Tabla1[[#This Row],[nudo inicial]]</f>
        <v>N218</v>
      </c>
      <c r="C434" s="58" t="str">
        <f>Tabla1[[#This Row],[nudo final]]</f>
        <v>N217</v>
      </c>
      <c r="D434" s="51">
        <f>Tabla1[[#This Row],[longitud]]</f>
        <v>8.15</v>
      </c>
      <c r="E434" s="51" t="str">
        <f>Tabla1[[#This Row],[diametro]]</f>
        <v>3"</v>
      </c>
      <c r="F434" s="51" t="str">
        <f>Tabla1[[#This Row],[material]]</f>
        <v>PVC</v>
      </c>
      <c r="G43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34" s="52" t="str">
        <f>IF(Tabla1[[#This Row],[5]]="TPD",Tabla1[[#This Row],[6]],"")</f>
        <v>3"</v>
      </c>
      <c r="I434" s="52">
        <f>IF(OR(Tabla1[[#This Row],[5]]="TPD"),Tabla1[[#This Row],[7]],"")</f>
        <v>1</v>
      </c>
      <c r="J434" s="52">
        <f>IF(Tabla15[[#This Row],[2]]="",0,VLOOKUP(TRAMOS!$H$2,Tabla5[#All],3,FALSE)*Tabla15[[#This Row],[3]])</f>
        <v>0.15</v>
      </c>
      <c r="K434" s="52" t="str">
        <f>IF(Tabla1[[#This Row],[5]]="TPL",Tabla1[[#This Row],[6]],"")</f>
        <v/>
      </c>
      <c r="L434" s="52" t="str">
        <f>IF(OR(Tabla1[[#This Row],[5]]="TPL"),Tabla1[[#This Row],[7]],"")</f>
        <v/>
      </c>
      <c r="M434" s="52">
        <f>IF(Tabla15[[#This Row],[5]]="",0,VLOOKUP(TRAMOS!$K$2,Tabla5[#All],3,FALSE)*Tabla15[[#This Row],[6]])</f>
        <v>0</v>
      </c>
      <c r="N43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3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34" s="52">
        <f>IF(Tabla15[[#This Row],[8]]="",0,VLOOKUP(TRAMOS!$H$2,Tabla5[#All],3,FALSE)*Tabla15[[#This Row],[9]])</f>
        <v>0</v>
      </c>
      <c r="Q43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3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34" s="52">
        <f>IF(Tabla15[[#This Row],[11]]="",0,VLOOKUP(TRAMOS!$Q$2,Tabla5[#All],3,FALSE)*Tabla15[[#This Row],[12]])</f>
        <v>0</v>
      </c>
      <c r="T43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3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3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3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3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3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3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3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34" s="52">
        <f>IF(Tabla15[[#This Row],[20]]="",0,VLOOKUP("VRP",Tabla5[#All],3,FALSE)*Tabla15[[#This Row],[21]])</f>
        <v>0</v>
      </c>
      <c r="AC43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3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34" s="52">
        <f>IF(Tabla15[[#This Row],[23]]="",0,VLOOKUP("VC",Tabla5[#All],3,FALSE)*Tabla15[[#This Row],[24]])</f>
        <v>0</v>
      </c>
      <c r="AF43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3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34" s="52">
        <f>IF(Tabla15[[#This Row],[26]]="",0,VLOOKUP(TRAMOS!$K$2,Tabla5[#All],3,FALSE)*Tabla15[[#This Row],[27]])</f>
        <v>0</v>
      </c>
      <c r="AI43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3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3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3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3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3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3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435" spans="2:41" x14ac:dyDescent="0.25">
      <c r="B435" s="58" t="str">
        <f>Tabla1[[#This Row],[nudo inicial]]</f>
        <v>N217</v>
      </c>
      <c r="C435" s="58" t="str">
        <f>Tabla1[[#This Row],[nudo final]]</f>
        <v>N226</v>
      </c>
      <c r="D435" s="51">
        <f>Tabla1[[#This Row],[longitud]]</f>
        <v>104.42</v>
      </c>
      <c r="E435" s="51" t="str">
        <f>Tabla1[[#This Row],[diametro]]</f>
        <v>3"</v>
      </c>
      <c r="F435" s="51" t="str">
        <f>Tabla1[[#This Row],[material]]</f>
        <v>PVC</v>
      </c>
      <c r="G43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35" s="52" t="str">
        <f>IF(Tabla1[[#This Row],[5]]="TPD",Tabla1[[#This Row],[6]],"")</f>
        <v>3"</v>
      </c>
      <c r="I435" s="52">
        <f>IF(OR(Tabla1[[#This Row],[5]]="TPD"),Tabla1[[#This Row],[7]],"")</f>
        <v>1</v>
      </c>
      <c r="J435" s="52">
        <f>IF(Tabla15[[#This Row],[2]]="",0,VLOOKUP(TRAMOS!$H$2,Tabla5[#All],3,FALSE)*Tabla15[[#This Row],[3]])</f>
        <v>0.15</v>
      </c>
      <c r="K435" s="52" t="str">
        <f>IF(Tabla1[[#This Row],[5]]="TPL",Tabla1[[#This Row],[6]],"")</f>
        <v/>
      </c>
      <c r="L435" s="52" t="str">
        <f>IF(OR(Tabla1[[#This Row],[5]]="TPL"),Tabla1[[#This Row],[7]],"")</f>
        <v/>
      </c>
      <c r="M435" s="52">
        <f>IF(Tabla15[[#This Row],[5]]="",0,VLOOKUP(TRAMOS!$K$2,Tabla5[#All],3,FALSE)*Tabla15[[#This Row],[6]])</f>
        <v>0</v>
      </c>
      <c r="N43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3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35" s="52">
        <f>IF(Tabla15[[#This Row],[8]]="",0,VLOOKUP(TRAMOS!$H$2,Tabla5[#All],3,FALSE)*Tabla15[[#This Row],[9]])</f>
        <v>0</v>
      </c>
      <c r="Q43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3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35" s="52">
        <f>IF(Tabla15[[#This Row],[11]]="",0,VLOOKUP(TRAMOS!$Q$2,Tabla5[#All],3,FALSE)*Tabla15[[#This Row],[12]])</f>
        <v>0</v>
      </c>
      <c r="T43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3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3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3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3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3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3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3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35" s="52">
        <f>IF(Tabla15[[#This Row],[20]]="",0,VLOOKUP("VRP",Tabla5[#All],3,FALSE)*Tabla15[[#This Row],[21]])</f>
        <v>0</v>
      </c>
      <c r="AC43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3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35" s="52">
        <f>IF(Tabla15[[#This Row],[23]]="",0,VLOOKUP("VC",Tabla5[#All],3,FALSE)*Tabla15[[#This Row],[24]])</f>
        <v>0</v>
      </c>
      <c r="AF43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3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35" s="52">
        <f>IF(Tabla15[[#This Row],[26]]="",0,VLOOKUP(TRAMOS!$K$2,Tabla5[#All],3,FALSE)*Tabla15[[#This Row],[27]])</f>
        <v>0</v>
      </c>
      <c r="AI435" s="52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>0</v>
      </c>
      <c r="AJ435" s="52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>1</v>
      </c>
      <c r="AK43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3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3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3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3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436" spans="2:41" x14ac:dyDescent="0.25">
      <c r="B436" s="58" t="str">
        <f>Tabla1[[#This Row],[nudo inicial]]</f>
        <v>N226</v>
      </c>
      <c r="C436" s="58" t="str">
        <f>Tabla1[[#This Row],[nudo final]]</f>
        <v>TP166</v>
      </c>
      <c r="D436" s="51">
        <f>Tabla1[[#This Row],[longitud]]</f>
        <v>31.39</v>
      </c>
      <c r="E436" s="51" t="str">
        <f>Tabla1[[#This Row],[diametro]]</f>
        <v>2"</v>
      </c>
      <c r="F436" s="51" t="str">
        <f>Tabla1[[#This Row],[material]]</f>
        <v>PVC</v>
      </c>
      <c r="G43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36" s="52" t="str">
        <f>IF(Tabla1[[#This Row],[5]]="TPD",Tabla1[[#This Row],[6]],"")</f>
        <v/>
      </c>
      <c r="I436" s="52" t="str">
        <f>IF(OR(Tabla1[[#This Row],[5]]="TPD"),Tabla1[[#This Row],[7]],"")</f>
        <v/>
      </c>
      <c r="J436" s="52">
        <f>IF(Tabla15[[#This Row],[2]]="",0,VLOOKUP(TRAMOS!$H$2,Tabla5[#All],3,FALSE)*Tabla15[[#This Row],[3]])</f>
        <v>0</v>
      </c>
      <c r="K436" s="52" t="str">
        <f>IF(Tabla1[[#This Row],[5]]="TPL",Tabla1[[#This Row],[6]],"")</f>
        <v>3"</v>
      </c>
      <c r="L436" s="52">
        <f>IF(OR(Tabla1[[#This Row],[5]]="TPL"),Tabla1[[#This Row],[7]],"")</f>
        <v>1</v>
      </c>
      <c r="M436" s="52">
        <f>IF(Tabla15[[#This Row],[5]]="",0,VLOOKUP(TRAMOS!$K$2,Tabla5[#All],3,FALSE)*Tabla15[[#This Row],[6]])</f>
        <v>0.9</v>
      </c>
      <c r="N43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3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36" s="52">
        <f>IF(Tabla15[[#This Row],[8]]="",0,VLOOKUP(TRAMOS!$H$2,Tabla5[#All],3,FALSE)*Tabla15[[#This Row],[9]])</f>
        <v>0</v>
      </c>
      <c r="Q43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3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36" s="52">
        <f>IF(Tabla15[[#This Row],[11]]="",0,VLOOKUP(TRAMOS!$Q$2,Tabla5[#All],3,FALSE)*Tabla15[[#This Row],[12]])</f>
        <v>0</v>
      </c>
      <c r="T43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436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43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43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3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3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3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3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36" s="52">
        <f>IF(Tabla15[[#This Row],[20]]="",0,VLOOKUP("VRP",Tabla5[#All],3,FALSE)*Tabla15[[#This Row],[21]])</f>
        <v>0</v>
      </c>
      <c r="AC43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3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36" s="52">
        <f>IF(Tabla15[[#This Row],[23]]="",0,VLOOKUP("VC",Tabla5[#All],3,FALSE)*Tabla15[[#This Row],[24]])</f>
        <v>0</v>
      </c>
      <c r="AF43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3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36" s="52">
        <f>IF(Tabla15[[#This Row],[26]]="",0,VLOOKUP(TRAMOS!$K$2,Tabla5[#All],3,FALSE)*Tabla15[[#This Row],[27]])</f>
        <v>0</v>
      </c>
      <c r="AI43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3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3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3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3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43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43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437" spans="2:41" x14ac:dyDescent="0.25">
      <c r="B437" s="58" t="str">
        <f>Tabla1[[#This Row],[nudo inicial]]</f>
        <v>N226</v>
      </c>
      <c r="C437" s="58" t="str">
        <f>Tabla1[[#This Row],[nudo final]]</f>
        <v>N227</v>
      </c>
      <c r="D437" s="51">
        <f>Tabla1[[#This Row],[longitud]]</f>
        <v>96.07</v>
      </c>
      <c r="E437" s="51" t="str">
        <f>Tabla1[[#This Row],[diametro]]</f>
        <v>3"</v>
      </c>
      <c r="F437" s="51" t="str">
        <f>Tabla1[[#This Row],[material]]</f>
        <v>PVC</v>
      </c>
      <c r="G43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37" s="52" t="str">
        <f>IF(Tabla1[[#This Row],[5]]="TPD",Tabla1[[#This Row],[6]],"")</f>
        <v>3"</v>
      </c>
      <c r="I437" s="52">
        <f>IF(OR(Tabla1[[#This Row],[5]]="TPD"),Tabla1[[#This Row],[7]],"")</f>
        <v>1</v>
      </c>
      <c r="J437" s="52">
        <f>IF(Tabla15[[#This Row],[2]]="",0,VLOOKUP(TRAMOS!$H$2,Tabla5[#All],3,FALSE)*Tabla15[[#This Row],[3]])</f>
        <v>0.15</v>
      </c>
      <c r="K437" s="52" t="str">
        <f>IF(Tabla1[[#This Row],[5]]="TPL",Tabla1[[#This Row],[6]],"")</f>
        <v/>
      </c>
      <c r="L437" s="52" t="str">
        <f>IF(OR(Tabla1[[#This Row],[5]]="TPL"),Tabla1[[#This Row],[7]],"")</f>
        <v/>
      </c>
      <c r="M437" s="52">
        <f>IF(Tabla15[[#This Row],[5]]="",0,VLOOKUP(TRAMOS!$K$2,Tabla5[#All],3,FALSE)*Tabla15[[#This Row],[6]])</f>
        <v>0</v>
      </c>
      <c r="N43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3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37" s="52">
        <f>IF(Tabla15[[#This Row],[8]]="",0,VLOOKUP(TRAMOS!$H$2,Tabla5[#All],3,FALSE)*Tabla15[[#This Row],[9]])</f>
        <v>0</v>
      </c>
      <c r="Q43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3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37" s="52">
        <f>IF(Tabla15[[#This Row],[11]]="",0,VLOOKUP(TRAMOS!$Q$2,Tabla5[#All],3,FALSE)*Tabla15[[#This Row],[12]])</f>
        <v>0</v>
      </c>
      <c r="T43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3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3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3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>4"</v>
      </c>
      <c r="X437" s="52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>1</v>
      </c>
      <c r="Y43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0.4740000000000002</v>
      </c>
      <c r="Z43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3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37" s="52">
        <f>IF(Tabla15[[#This Row],[20]]="",0,VLOOKUP("VRP",Tabla5[#All],3,FALSE)*Tabla15[[#This Row],[21]])</f>
        <v>0</v>
      </c>
      <c r="AC43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437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437" s="52">
        <f>IF(Tabla15[[#This Row],[23]]="",0,VLOOKUP("VC",Tabla5[#All],3,FALSE)*Tabla15[[#This Row],[24]])</f>
        <v>0.25</v>
      </c>
      <c r="AF43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3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37" s="52">
        <f>IF(Tabla15[[#This Row],[26]]="",0,VLOOKUP(TRAMOS!$K$2,Tabla5[#All],3,FALSE)*Tabla15[[#This Row],[27]])</f>
        <v>0</v>
      </c>
      <c r="AI43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3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3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3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3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3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3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0.87400000000000022</v>
      </c>
    </row>
    <row r="438" spans="2:41" x14ac:dyDescent="0.25">
      <c r="B438" s="58" t="str">
        <f>Tabla1[[#This Row],[nudo inicial]]</f>
        <v>N211</v>
      </c>
      <c r="C438" s="58" t="str">
        <f>Tabla1[[#This Row],[nudo final]]</f>
        <v>N228</v>
      </c>
      <c r="D438" s="51">
        <f>Tabla1[[#This Row],[longitud]]</f>
        <v>80.599999999999994</v>
      </c>
      <c r="E438" s="51" t="str">
        <f>Tabla1[[#This Row],[diametro]]</f>
        <v>3"</v>
      </c>
      <c r="F438" s="51" t="str">
        <f>Tabla1[[#This Row],[material]]</f>
        <v>HF</v>
      </c>
      <c r="G43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38" s="52" t="str">
        <f>IF(Tabla1[[#This Row],[5]]="TPD",Tabla1[[#This Row],[6]],"")</f>
        <v>3"</v>
      </c>
      <c r="I438" s="52">
        <f>IF(OR(Tabla1[[#This Row],[5]]="TPD"),Tabla1[[#This Row],[7]],"")</f>
        <v>1</v>
      </c>
      <c r="J438" s="52">
        <f>IF(Tabla15[[#This Row],[2]]="",0,VLOOKUP(TRAMOS!$H$2,Tabla5[#All],3,FALSE)*Tabla15[[#This Row],[3]])</f>
        <v>0.15</v>
      </c>
      <c r="K438" s="52" t="str">
        <f>IF(Tabla1[[#This Row],[5]]="TPL",Tabla1[[#This Row],[6]],"")</f>
        <v/>
      </c>
      <c r="L438" s="52" t="str">
        <f>IF(OR(Tabla1[[#This Row],[5]]="TPL"),Tabla1[[#This Row],[7]],"")</f>
        <v/>
      </c>
      <c r="M438" s="52">
        <f>IF(Tabla15[[#This Row],[5]]="",0,VLOOKUP(TRAMOS!$K$2,Tabla5[#All],3,FALSE)*Tabla15[[#This Row],[6]])</f>
        <v>0</v>
      </c>
      <c r="N43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3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38" s="52">
        <f>IF(Tabla15[[#This Row],[8]]="",0,VLOOKUP(TRAMOS!$H$2,Tabla5[#All],3,FALSE)*Tabla15[[#This Row],[9]])</f>
        <v>0</v>
      </c>
      <c r="Q43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3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38" s="52">
        <f>IF(Tabla15[[#This Row],[11]]="",0,VLOOKUP(TRAMOS!$Q$2,Tabla5[#All],3,FALSE)*Tabla15[[#This Row],[12]])</f>
        <v>0</v>
      </c>
      <c r="T43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3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3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3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>4"</v>
      </c>
      <c r="X438" s="52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>1</v>
      </c>
      <c r="Y43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0.4740000000000002</v>
      </c>
      <c r="Z43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3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38" s="52">
        <f>IF(Tabla15[[#This Row],[20]]="",0,VLOOKUP("VRP",Tabla5[#All],3,FALSE)*Tabla15[[#This Row],[21]])</f>
        <v>0</v>
      </c>
      <c r="AC43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3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38" s="52">
        <f>IF(Tabla15[[#This Row],[23]]="",0,VLOOKUP("VC",Tabla5[#All],3,FALSE)*Tabla15[[#This Row],[24]])</f>
        <v>0</v>
      </c>
      <c r="AF43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3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38" s="52">
        <f>IF(Tabla15[[#This Row],[26]]="",0,VLOOKUP(TRAMOS!$K$2,Tabla5[#All],3,FALSE)*Tabla15[[#This Row],[27]])</f>
        <v>0</v>
      </c>
      <c r="AI43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3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3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3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3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3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3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0.62400000000000022</v>
      </c>
    </row>
    <row r="439" spans="2:41" x14ac:dyDescent="0.25">
      <c r="B439" s="58" t="str">
        <f>Tabla1[[#This Row],[nudo inicial]]</f>
        <v>N228</v>
      </c>
      <c r="C439" s="58" t="str">
        <f>Tabla1[[#This Row],[nudo final]]</f>
        <v>N229</v>
      </c>
      <c r="D439" s="51">
        <f>Tabla1[[#This Row],[longitud]]</f>
        <v>19.38</v>
      </c>
      <c r="E439" s="51" t="str">
        <f>Tabla1[[#This Row],[diametro]]</f>
        <v>4"</v>
      </c>
      <c r="F439" s="51" t="str">
        <f>Tabla1[[#This Row],[material]]</f>
        <v>HF</v>
      </c>
      <c r="G43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439" s="52" t="str">
        <f>IF(Tabla1[[#This Row],[5]]="TPD",Tabla1[[#This Row],[6]],"")</f>
        <v>4"</v>
      </c>
      <c r="I439" s="52">
        <f>IF(OR(Tabla1[[#This Row],[5]]="TPD"),Tabla1[[#This Row],[7]],"")</f>
        <v>1</v>
      </c>
      <c r="J439" s="52">
        <f>IF(Tabla15[[#This Row],[2]]="",0,VLOOKUP(TRAMOS!$H$2,Tabla5[#All],3,FALSE)*Tabla15[[#This Row],[3]])</f>
        <v>0.15</v>
      </c>
      <c r="K439" s="52" t="str">
        <f>IF(Tabla1[[#This Row],[5]]="TPL",Tabla1[[#This Row],[6]],"")</f>
        <v/>
      </c>
      <c r="L439" s="52" t="str">
        <f>IF(OR(Tabla1[[#This Row],[5]]="TPL"),Tabla1[[#This Row],[7]],"")</f>
        <v/>
      </c>
      <c r="M439" s="52">
        <f>IF(Tabla15[[#This Row],[5]]="",0,VLOOKUP(TRAMOS!$K$2,Tabla5[#All],3,FALSE)*Tabla15[[#This Row],[6]])</f>
        <v>0</v>
      </c>
      <c r="N43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3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39" s="52">
        <f>IF(Tabla15[[#This Row],[8]]="",0,VLOOKUP(TRAMOS!$H$2,Tabla5[#All],3,FALSE)*Tabla15[[#This Row],[9]])</f>
        <v>0</v>
      </c>
      <c r="Q43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3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39" s="52">
        <f>IF(Tabla15[[#This Row],[11]]="",0,VLOOKUP(TRAMOS!$Q$2,Tabla5[#All],3,FALSE)*Tabla15[[#This Row],[12]])</f>
        <v>0</v>
      </c>
      <c r="T43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3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3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3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3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3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3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3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39" s="52">
        <f>IF(Tabla15[[#This Row],[20]]="",0,VLOOKUP("VRP",Tabla5[#All],3,FALSE)*Tabla15[[#This Row],[21]])</f>
        <v>0</v>
      </c>
      <c r="AC43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3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39" s="52">
        <f>IF(Tabla15[[#This Row],[23]]="",0,VLOOKUP("VC",Tabla5[#All],3,FALSE)*Tabla15[[#This Row],[24]])</f>
        <v>0</v>
      </c>
      <c r="AF43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3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39" s="52">
        <f>IF(Tabla15[[#This Row],[26]]="",0,VLOOKUP(TRAMOS!$K$2,Tabla5[#All],3,FALSE)*Tabla15[[#This Row],[27]])</f>
        <v>0</v>
      </c>
      <c r="AI43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3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3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3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3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3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3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440" spans="2:41" x14ac:dyDescent="0.25">
      <c r="B440" s="58" t="str">
        <f>Tabla1[[#This Row],[nudo inicial]]</f>
        <v>N229</v>
      </c>
      <c r="C440" s="58" t="str">
        <f>Tabla1[[#This Row],[nudo final]]</f>
        <v>N227</v>
      </c>
      <c r="D440" s="51">
        <f>Tabla1[[#This Row],[longitud]]</f>
        <v>11.02</v>
      </c>
      <c r="E440" s="51" t="str">
        <f>Tabla1[[#This Row],[diametro]]</f>
        <v>4"</v>
      </c>
      <c r="F440" s="51" t="str">
        <f>Tabla1[[#This Row],[material]]</f>
        <v>HF</v>
      </c>
      <c r="G44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440" s="52" t="str">
        <f>IF(Tabla1[[#This Row],[5]]="TPD",Tabla1[[#This Row],[6]],"")</f>
        <v>4"</v>
      </c>
      <c r="I440" s="52">
        <f>IF(OR(Tabla1[[#This Row],[5]]="TPD"),Tabla1[[#This Row],[7]],"")</f>
        <v>1</v>
      </c>
      <c r="J440" s="52">
        <f>IF(Tabla15[[#This Row],[2]]="",0,VLOOKUP(TRAMOS!$H$2,Tabla5[#All],3,FALSE)*Tabla15[[#This Row],[3]])</f>
        <v>0.15</v>
      </c>
      <c r="K440" s="52" t="str">
        <f>IF(Tabla1[[#This Row],[5]]="TPL",Tabla1[[#This Row],[6]],"")</f>
        <v/>
      </c>
      <c r="L440" s="52" t="str">
        <f>IF(OR(Tabla1[[#This Row],[5]]="TPL"),Tabla1[[#This Row],[7]],"")</f>
        <v/>
      </c>
      <c r="M440" s="52">
        <f>IF(Tabla15[[#This Row],[5]]="",0,VLOOKUP(TRAMOS!$K$2,Tabla5[#All],3,FALSE)*Tabla15[[#This Row],[6]])</f>
        <v>0</v>
      </c>
      <c r="N44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4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40" s="52">
        <f>IF(Tabla15[[#This Row],[8]]="",0,VLOOKUP(TRAMOS!$H$2,Tabla5[#All],3,FALSE)*Tabla15[[#This Row],[9]])</f>
        <v>0</v>
      </c>
      <c r="Q44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4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40" s="52">
        <f>IF(Tabla15[[#This Row],[11]]="",0,VLOOKUP(TRAMOS!$Q$2,Tabla5[#All],3,FALSE)*Tabla15[[#This Row],[12]])</f>
        <v>0</v>
      </c>
      <c r="T44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4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4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4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4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4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4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4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40" s="52">
        <f>IF(Tabla15[[#This Row],[20]]="",0,VLOOKUP("VRP",Tabla5[#All],3,FALSE)*Tabla15[[#This Row],[21]])</f>
        <v>0</v>
      </c>
      <c r="AC44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4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40" s="52">
        <f>IF(Tabla15[[#This Row],[23]]="",0,VLOOKUP("VC",Tabla5[#All],3,FALSE)*Tabla15[[#This Row],[24]])</f>
        <v>0</v>
      </c>
      <c r="AF44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4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40" s="52">
        <f>IF(Tabla15[[#This Row],[26]]="",0,VLOOKUP(TRAMOS!$K$2,Tabla5[#All],3,FALSE)*Tabla15[[#This Row],[27]])</f>
        <v>0</v>
      </c>
      <c r="AI44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4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4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4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4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4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4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441" spans="2:41" x14ac:dyDescent="0.25">
      <c r="B441" s="58" t="str">
        <f>Tabla1[[#This Row],[nudo inicial]]</f>
        <v>N228</v>
      </c>
      <c r="C441" s="58" t="str">
        <f>Tabla1[[#This Row],[nudo final]]</f>
        <v>N230</v>
      </c>
      <c r="D441" s="51">
        <f>Tabla1[[#This Row],[longitud]]</f>
        <v>46.86</v>
      </c>
      <c r="E441" s="51" t="str">
        <f>Tabla1[[#This Row],[diametro]]</f>
        <v>4"</v>
      </c>
      <c r="F441" s="51" t="str">
        <f>Tabla1[[#This Row],[material]]</f>
        <v>HF</v>
      </c>
      <c r="G44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441" s="52" t="str">
        <f>IF(Tabla1[[#This Row],[5]]="TPD",Tabla1[[#This Row],[6]],"")</f>
        <v>4"</v>
      </c>
      <c r="I441" s="52">
        <f>IF(OR(Tabla1[[#This Row],[5]]="TPD"),Tabla1[[#This Row],[7]],"")</f>
        <v>1</v>
      </c>
      <c r="J441" s="52">
        <f>IF(Tabla15[[#This Row],[2]]="",0,VLOOKUP(TRAMOS!$H$2,Tabla5[#All],3,FALSE)*Tabla15[[#This Row],[3]])</f>
        <v>0.15</v>
      </c>
      <c r="K441" s="52" t="str">
        <f>IF(Tabla1[[#This Row],[5]]="TPL",Tabla1[[#This Row],[6]],"")</f>
        <v/>
      </c>
      <c r="L441" s="52" t="str">
        <f>IF(OR(Tabla1[[#This Row],[5]]="TPL"),Tabla1[[#This Row],[7]],"")</f>
        <v/>
      </c>
      <c r="M441" s="52">
        <f>IF(Tabla15[[#This Row],[5]]="",0,VLOOKUP(TRAMOS!$K$2,Tabla5[#All],3,FALSE)*Tabla15[[#This Row],[6]])</f>
        <v>0</v>
      </c>
      <c r="N44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4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41" s="52">
        <f>IF(Tabla15[[#This Row],[8]]="",0,VLOOKUP(TRAMOS!$H$2,Tabla5[#All],3,FALSE)*Tabla15[[#This Row],[9]])</f>
        <v>0</v>
      </c>
      <c r="Q44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4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41" s="52">
        <f>IF(Tabla15[[#This Row],[11]]="",0,VLOOKUP(TRAMOS!$Q$2,Tabla5[#All],3,FALSE)*Tabla15[[#This Row],[12]])</f>
        <v>0</v>
      </c>
      <c r="T44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4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4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4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4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4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4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4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41" s="52">
        <f>IF(Tabla15[[#This Row],[20]]="",0,VLOOKUP("VRP",Tabla5[#All],3,FALSE)*Tabla15[[#This Row],[21]])</f>
        <v>0</v>
      </c>
      <c r="AC44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4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41" s="52">
        <f>IF(Tabla15[[#This Row],[23]]="",0,VLOOKUP("VC",Tabla5[#All],3,FALSE)*Tabla15[[#This Row],[24]])</f>
        <v>0</v>
      </c>
      <c r="AF44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4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41" s="52">
        <f>IF(Tabla15[[#This Row],[26]]="",0,VLOOKUP(TRAMOS!$K$2,Tabla5[#All],3,FALSE)*Tabla15[[#This Row],[27]])</f>
        <v>0</v>
      </c>
      <c r="AI44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4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4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4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4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4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4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442" spans="2:41" x14ac:dyDescent="0.25">
      <c r="B442" s="58" t="str">
        <f>Tabla1[[#This Row],[nudo inicial]]</f>
        <v>N229</v>
      </c>
      <c r="C442" s="58" t="str">
        <f>Tabla1[[#This Row],[nudo final]]</f>
        <v>N231</v>
      </c>
      <c r="D442" s="51">
        <f>Tabla1[[#This Row],[longitud]]</f>
        <v>123.43</v>
      </c>
      <c r="E442" s="51" t="str">
        <f>Tabla1[[#This Row],[diametro]]</f>
        <v>3"</v>
      </c>
      <c r="F442" s="51" t="str">
        <f>Tabla1[[#This Row],[material]]</f>
        <v>HF</v>
      </c>
      <c r="G44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442" s="52" t="str">
        <f>IF(Tabla1[[#This Row],[5]]="TPD",Tabla1[[#This Row],[6]],"")</f>
        <v/>
      </c>
      <c r="I442" s="52" t="str">
        <f>IF(OR(Tabla1[[#This Row],[5]]="TPD"),Tabla1[[#This Row],[7]],"")</f>
        <v/>
      </c>
      <c r="J442" s="52">
        <f>IF(Tabla15[[#This Row],[2]]="",0,VLOOKUP(TRAMOS!$H$2,Tabla5[#All],3,FALSE)*Tabla15[[#This Row],[3]])</f>
        <v>0</v>
      </c>
      <c r="K442" s="52" t="str">
        <f>IF(Tabla1[[#This Row],[5]]="TPL",Tabla1[[#This Row],[6]],"")</f>
        <v>4"</v>
      </c>
      <c r="L442" s="52">
        <f>IF(OR(Tabla1[[#This Row],[5]]="TPL"),Tabla1[[#This Row],[7]],"")</f>
        <v>1</v>
      </c>
      <c r="M442" s="52">
        <f>IF(Tabla15[[#This Row],[5]]="",0,VLOOKUP(TRAMOS!$K$2,Tabla5[#All],3,FALSE)*Tabla15[[#This Row],[6]])</f>
        <v>0.9</v>
      </c>
      <c r="N44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4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42" s="52">
        <f>IF(Tabla15[[#This Row],[8]]="",0,VLOOKUP(TRAMOS!$H$2,Tabla5[#All],3,FALSE)*Tabla15[[#This Row],[9]])</f>
        <v>0</v>
      </c>
      <c r="Q44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4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42" s="52">
        <f>IF(Tabla15[[#This Row],[11]]="",0,VLOOKUP(TRAMOS!$Q$2,Tabla5[#All],3,FALSE)*Tabla15[[#This Row],[12]])</f>
        <v>0</v>
      </c>
      <c r="T44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442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44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0.13850000000000007</v>
      </c>
      <c r="W44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4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4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4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4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42" s="52">
        <f>IF(Tabla15[[#This Row],[20]]="",0,VLOOKUP("VRP",Tabla5[#All],3,FALSE)*Tabla15[[#This Row],[21]])</f>
        <v>0</v>
      </c>
      <c r="AC44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442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442" s="52">
        <f>IF(Tabla15[[#This Row],[23]]="",0,VLOOKUP("VC",Tabla5[#All],3,FALSE)*Tabla15[[#This Row],[24]])</f>
        <v>0.25</v>
      </c>
      <c r="AF44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4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42" s="52">
        <f>IF(Tabla15[[#This Row],[26]]="",0,VLOOKUP(TRAMOS!$K$2,Tabla5[#All],3,FALSE)*Tabla15[[#This Row],[27]])</f>
        <v>0</v>
      </c>
      <c r="AI44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4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4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4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4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4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4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1.2885</v>
      </c>
    </row>
    <row r="443" spans="2:41" x14ac:dyDescent="0.25">
      <c r="B443" s="58" t="str">
        <f>Tabla1[[#This Row],[nudo inicial]]</f>
        <v>N231</v>
      </c>
      <c r="C443" s="58" t="str">
        <f>Tabla1[[#This Row],[nudo final]]</f>
        <v>N232</v>
      </c>
      <c r="D443" s="51">
        <f>Tabla1[[#This Row],[longitud]]</f>
        <v>156.4</v>
      </c>
      <c r="E443" s="51" t="str">
        <f>Tabla1[[#This Row],[diametro]]</f>
        <v>2"</v>
      </c>
      <c r="F443" s="51" t="str">
        <f>Tabla1[[#This Row],[material]]</f>
        <v>PVC</v>
      </c>
      <c r="G44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43" s="52" t="str">
        <f>IF(Tabla1[[#This Row],[5]]="TPD",Tabla1[[#This Row],[6]],"")</f>
        <v/>
      </c>
      <c r="I443" s="52" t="str">
        <f>IF(OR(Tabla1[[#This Row],[5]]="TPD"),Tabla1[[#This Row],[7]],"")</f>
        <v/>
      </c>
      <c r="J443" s="52">
        <f>IF(Tabla15[[#This Row],[2]]="",0,VLOOKUP(TRAMOS!$H$2,Tabla5[#All],3,FALSE)*Tabla15[[#This Row],[3]])</f>
        <v>0</v>
      </c>
      <c r="K443" s="52" t="str">
        <f>IF(Tabla1[[#This Row],[5]]="TPL",Tabla1[[#This Row],[6]],"")</f>
        <v>3"</v>
      </c>
      <c r="L443" s="52">
        <f>IF(OR(Tabla1[[#This Row],[5]]="TPL"),Tabla1[[#This Row],[7]],"")</f>
        <v>1</v>
      </c>
      <c r="M443" s="52">
        <f>IF(Tabla15[[#This Row],[5]]="",0,VLOOKUP(TRAMOS!$K$2,Tabla5[#All],3,FALSE)*Tabla15[[#This Row],[6]])</f>
        <v>0.9</v>
      </c>
      <c r="N44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4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43" s="52">
        <f>IF(Tabla15[[#This Row],[8]]="",0,VLOOKUP(TRAMOS!$H$2,Tabla5[#All],3,FALSE)*Tabla15[[#This Row],[9]])</f>
        <v>0</v>
      </c>
      <c r="Q44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443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443" s="52">
        <f>IF(Tabla15[[#This Row],[11]]="",0,VLOOKUP(TRAMOS!$Q$2,Tabla5[#All],3,FALSE)*Tabla15[[#This Row],[12]])</f>
        <v>0.9</v>
      </c>
      <c r="T44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443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44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44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4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4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4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4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43" s="52">
        <f>IF(Tabla15[[#This Row],[20]]="",0,VLOOKUP("VRP",Tabla5[#All],3,FALSE)*Tabla15[[#This Row],[21]])</f>
        <v>0</v>
      </c>
      <c r="AC44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443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443" s="52">
        <f>IF(Tabla15[[#This Row],[23]]="",0,VLOOKUP("VC",Tabla5[#All],3,FALSE)*Tabla15[[#This Row],[24]])</f>
        <v>0.25</v>
      </c>
      <c r="AF44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4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43" s="52">
        <f>IF(Tabla15[[#This Row],[26]]="",0,VLOOKUP(TRAMOS!$K$2,Tabla5[#All],3,FALSE)*Tabla15[[#This Row],[27]])</f>
        <v>0</v>
      </c>
      <c r="AI44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4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4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4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4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4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4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2.2650000000000001</v>
      </c>
    </row>
    <row r="444" spans="2:41" x14ac:dyDescent="0.25">
      <c r="B444" s="58" t="str">
        <f>Tabla1[[#This Row],[nudo inicial]]</f>
        <v>N232</v>
      </c>
      <c r="C444" s="58" t="str">
        <f>Tabla1[[#This Row],[nudo final]]</f>
        <v>TP167</v>
      </c>
      <c r="D444" s="51">
        <f>Tabla1[[#This Row],[longitud]]</f>
        <v>42.11</v>
      </c>
      <c r="E444" s="51" t="str">
        <f>Tabla1[[#This Row],[diametro]]</f>
        <v>2"</v>
      </c>
      <c r="F444" s="51" t="str">
        <f>Tabla1[[#This Row],[material]]</f>
        <v>PVC</v>
      </c>
      <c r="G44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444" s="52" t="str">
        <f>IF(Tabla1[[#This Row],[5]]="TPD",Tabla1[[#This Row],[6]],"")</f>
        <v/>
      </c>
      <c r="I444" s="52" t="str">
        <f>IF(OR(Tabla1[[#This Row],[5]]="TPD"),Tabla1[[#This Row],[7]],"")</f>
        <v/>
      </c>
      <c r="J444" s="52">
        <f>IF(Tabla15[[#This Row],[2]]="",0,VLOOKUP(TRAMOS!$H$2,Tabla5[#All],3,FALSE)*Tabla15[[#This Row],[3]])</f>
        <v>0</v>
      </c>
      <c r="K444" s="52" t="str">
        <f>IF(Tabla1[[#This Row],[5]]="TPL",Tabla1[[#This Row],[6]],"")</f>
        <v>2"</v>
      </c>
      <c r="L444" s="52">
        <f>IF(OR(Tabla1[[#This Row],[5]]="TPL"),Tabla1[[#This Row],[7]],"")</f>
        <v>1</v>
      </c>
      <c r="M444" s="52">
        <f>IF(Tabla15[[#This Row],[5]]="",0,VLOOKUP(TRAMOS!$K$2,Tabla5[#All],3,FALSE)*Tabla15[[#This Row],[6]])</f>
        <v>0.9</v>
      </c>
      <c r="N44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4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44" s="52">
        <f>IF(Tabla15[[#This Row],[8]]="",0,VLOOKUP(TRAMOS!$H$2,Tabla5[#All],3,FALSE)*Tabla15[[#This Row],[9]])</f>
        <v>0</v>
      </c>
      <c r="Q44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4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44" s="52">
        <f>IF(Tabla15[[#This Row],[11]]="",0,VLOOKUP(TRAMOS!$Q$2,Tabla5[#All],3,FALSE)*Tabla15[[#This Row],[12]])</f>
        <v>0</v>
      </c>
      <c r="T44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4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4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4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4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4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4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4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44" s="52">
        <f>IF(Tabla15[[#This Row],[20]]="",0,VLOOKUP("VRP",Tabla5[#All],3,FALSE)*Tabla15[[#This Row],[21]])</f>
        <v>0</v>
      </c>
      <c r="AC44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4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44" s="52">
        <f>IF(Tabla15[[#This Row],[23]]="",0,VLOOKUP("VC",Tabla5[#All],3,FALSE)*Tabla15[[#This Row],[24]])</f>
        <v>0</v>
      </c>
      <c r="AF44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4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44" s="52">
        <f>IF(Tabla15[[#This Row],[26]]="",0,VLOOKUP(TRAMOS!$K$2,Tabla5[#All],3,FALSE)*Tabla15[[#This Row],[27]])</f>
        <v>0</v>
      </c>
      <c r="AI44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4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4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4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4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444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44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445" spans="2:41" x14ac:dyDescent="0.25">
      <c r="B445" s="58" t="str">
        <f>Tabla1[[#This Row],[nudo inicial]]</f>
        <v>N232</v>
      </c>
      <c r="C445" s="58" t="str">
        <f>Tabla1[[#This Row],[nudo final]]</f>
        <v>TP168</v>
      </c>
      <c r="D445" s="51">
        <f>Tabla1[[#This Row],[longitud]]</f>
        <v>22.91</v>
      </c>
      <c r="E445" s="51" t="str">
        <f>Tabla1[[#This Row],[diametro]]</f>
        <v>2"</v>
      </c>
      <c r="F445" s="51" t="str">
        <f>Tabla1[[#This Row],[material]]</f>
        <v>PVC</v>
      </c>
      <c r="G44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445" s="52" t="str">
        <f>IF(Tabla1[[#This Row],[5]]="TPD",Tabla1[[#This Row],[6]],"")</f>
        <v>2"</v>
      </c>
      <c r="I445" s="52">
        <f>IF(OR(Tabla1[[#This Row],[5]]="TPD"),Tabla1[[#This Row],[7]],"")</f>
        <v>1</v>
      </c>
      <c r="J445" s="52">
        <f>IF(Tabla15[[#This Row],[2]]="",0,VLOOKUP(TRAMOS!$H$2,Tabla5[#All],3,FALSE)*Tabla15[[#This Row],[3]])</f>
        <v>0.15</v>
      </c>
      <c r="K445" s="52" t="str">
        <f>IF(Tabla1[[#This Row],[5]]="TPL",Tabla1[[#This Row],[6]],"")</f>
        <v/>
      </c>
      <c r="L445" s="52" t="str">
        <f>IF(OR(Tabla1[[#This Row],[5]]="TPL"),Tabla1[[#This Row],[7]],"")</f>
        <v/>
      </c>
      <c r="M445" s="52">
        <f>IF(Tabla15[[#This Row],[5]]="",0,VLOOKUP(TRAMOS!$K$2,Tabla5[#All],3,FALSE)*Tabla15[[#This Row],[6]])</f>
        <v>0</v>
      </c>
      <c r="N44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4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45" s="52">
        <f>IF(Tabla15[[#This Row],[8]]="",0,VLOOKUP(TRAMOS!$H$2,Tabla5[#All],3,FALSE)*Tabla15[[#This Row],[9]])</f>
        <v>0</v>
      </c>
      <c r="Q44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4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45" s="52">
        <f>IF(Tabla15[[#This Row],[11]]="",0,VLOOKUP(TRAMOS!$Q$2,Tabla5[#All],3,FALSE)*Tabla15[[#This Row],[12]])</f>
        <v>0</v>
      </c>
      <c r="T44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4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4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4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4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4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4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4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45" s="52">
        <f>IF(Tabla15[[#This Row],[20]]="",0,VLOOKUP("VRP",Tabla5[#All],3,FALSE)*Tabla15[[#This Row],[21]])</f>
        <v>0</v>
      </c>
      <c r="AC44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4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45" s="52">
        <f>IF(Tabla15[[#This Row],[23]]="",0,VLOOKUP("VC",Tabla5[#All],3,FALSE)*Tabla15[[#This Row],[24]])</f>
        <v>0</v>
      </c>
      <c r="AF44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4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45" s="52">
        <f>IF(Tabla15[[#This Row],[26]]="",0,VLOOKUP(TRAMOS!$K$2,Tabla5[#All],3,FALSE)*Tabla15[[#This Row],[27]])</f>
        <v>0</v>
      </c>
      <c r="AI44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4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4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4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4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445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44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446" spans="2:41" x14ac:dyDescent="0.25">
      <c r="B446" s="58" t="str">
        <f>Tabla1[[#This Row],[nudo inicial]]</f>
        <v>N231</v>
      </c>
      <c r="C446" s="58" t="str">
        <f>Tabla1[[#This Row],[nudo final]]</f>
        <v>N233</v>
      </c>
      <c r="D446" s="51">
        <f>Tabla1[[#This Row],[longitud]]</f>
        <v>163.1</v>
      </c>
      <c r="E446" s="51" t="str">
        <f>Tabla1[[#This Row],[diametro]]</f>
        <v>3"</v>
      </c>
      <c r="F446" s="51" t="str">
        <f>Tabla1[[#This Row],[material]]</f>
        <v>HF</v>
      </c>
      <c r="G44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46" s="52" t="str">
        <f>IF(Tabla1[[#This Row],[5]]="TPD",Tabla1[[#This Row],[6]],"")</f>
        <v>3"</v>
      </c>
      <c r="I446" s="52">
        <f>IF(OR(Tabla1[[#This Row],[5]]="TPD"),Tabla1[[#This Row],[7]],"")</f>
        <v>1</v>
      </c>
      <c r="J446" s="52">
        <f>IF(Tabla15[[#This Row],[2]]="",0,VLOOKUP(TRAMOS!$H$2,Tabla5[#All],3,FALSE)*Tabla15[[#This Row],[3]])</f>
        <v>0.15</v>
      </c>
      <c r="K446" s="52" t="str">
        <f>IF(Tabla1[[#This Row],[5]]="TPL",Tabla1[[#This Row],[6]],"")</f>
        <v/>
      </c>
      <c r="L446" s="52" t="str">
        <f>IF(OR(Tabla1[[#This Row],[5]]="TPL"),Tabla1[[#This Row],[7]],"")</f>
        <v/>
      </c>
      <c r="M446" s="52">
        <f>IF(Tabla15[[#This Row],[5]]="",0,VLOOKUP(TRAMOS!$K$2,Tabla5[#All],3,FALSE)*Tabla15[[#This Row],[6]])</f>
        <v>0</v>
      </c>
      <c r="N44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4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46" s="52">
        <f>IF(Tabla15[[#This Row],[8]]="",0,VLOOKUP(TRAMOS!$H$2,Tabla5[#All],3,FALSE)*Tabla15[[#This Row],[9]])</f>
        <v>0</v>
      </c>
      <c r="Q44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4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46" s="52">
        <f>IF(Tabla15[[#This Row],[11]]="",0,VLOOKUP(TRAMOS!$Q$2,Tabla5[#All],3,FALSE)*Tabla15[[#This Row],[12]])</f>
        <v>0</v>
      </c>
      <c r="T44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4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4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4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4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4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4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4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46" s="52">
        <f>IF(Tabla15[[#This Row],[20]]="",0,VLOOKUP("VRP",Tabla5[#All],3,FALSE)*Tabla15[[#This Row],[21]])</f>
        <v>0</v>
      </c>
      <c r="AC44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4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46" s="52">
        <f>IF(Tabla15[[#This Row],[23]]="",0,VLOOKUP("VC",Tabla5[#All],3,FALSE)*Tabla15[[#This Row],[24]])</f>
        <v>0</v>
      </c>
      <c r="AF44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4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46" s="52">
        <f>IF(Tabla15[[#This Row],[26]]="",0,VLOOKUP(TRAMOS!$K$2,Tabla5[#All],3,FALSE)*Tabla15[[#This Row],[27]])</f>
        <v>0</v>
      </c>
      <c r="AI44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4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4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4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4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4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4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447" spans="2:41" x14ac:dyDescent="0.25">
      <c r="B447" s="58" t="str">
        <f>Tabla1[[#This Row],[nudo inicial]]</f>
        <v>N222</v>
      </c>
      <c r="C447" s="58" t="str">
        <f>Tabla1[[#This Row],[nudo final]]</f>
        <v>TP169</v>
      </c>
      <c r="D447" s="51">
        <f>Tabla1[[#This Row],[longitud]]</f>
        <v>147.19999999999999</v>
      </c>
      <c r="E447" s="51" t="str">
        <f>Tabla1[[#This Row],[diametro]]</f>
        <v>3"</v>
      </c>
      <c r="F447" s="51" t="str">
        <f>Tabla1[[#This Row],[material]]</f>
        <v>HF</v>
      </c>
      <c r="G44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47" s="52" t="str">
        <f>IF(Tabla1[[#This Row],[5]]="TPD",Tabla1[[#This Row],[6]],"")</f>
        <v>3"</v>
      </c>
      <c r="I447" s="52">
        <f>IF(OR(Tabla1[[#This Row],[5]]="TPD"),Tabla1[[#This Row],[7]],"")</f>
        <v>1</v>
      </c>
      <c r="J447" s="52">
        <f>IF(Tabla15[[#This Row],[2]]="",0,VLOOKUP(TRAMOS!$H$2,Tabla5[#All],3,FALSE)*Tabla15[[#This Row],[3]])</f>
        <v>0.15</v>
      </c>
      <c r="K447" s="52" t="str">
        <f>IF(Tabla1[[#This Row],[5]]="TPL",Tabla1[[#This Row],[6]],"")</f>
        <v/>
      </c>
      <c r="L447" s="52" t="str">
        <f>IF(OR(Tabla1[[#This Row],[5]]="TPL"),Tabla1[[#This Row],[7]],"")</f>
        <v/>
      </c>
      <c r="M447" s="52">
        <f>IF(Tabla15[[#This Row],[5]]="",0,VLOOKUP(TRAMOS!$K$2,Tabla5[#All],3,FALSE)*Tabla15[[#This Row],[6]])</f>
        <v>0</v>
      </c>
      <c r="N44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4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47" s="52">
        <f>IF(Tabla15[[#This Row],[8]]="",0,VLOOKUP(TRAMOS!$H$2,Tabla5[#All],3,FALSE)*Tabla15[[#This Row],[9]])</f>
        <v>0</v>
      </c>
      <c r="Q44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4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47" s="52">
        <f>IF(Tabla15[[#This Row],[11]]="",0,VLOOKUP(TRAMOS!$Q$2,Tabla5[#All],3,FALSE)*Tabla15[[#This Row],[12]])</f>
        <v>0</v>
      </c>
      <c r="T44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4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4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4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4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4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4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4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47" s="52">
        <f>IF(Tabla15[[#This Row],[20]]="",0,VLOOKUP("VRP",Tabla5[#All],3,FALSE)*Tabla15[[#This Row],[21]])</f>
        <v>0</v>
      </c>
      <c r="AC44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4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47" s="52">
        <f>IF(Tabla15[[#This Row],[23]]="",0,VLOOKUP("VC",Tabla5[#All],3,FALSE)*Tabla15[[#This Row],[24]])</f>
        <v>0</v>
      </c>
      <c r="AF44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4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47" s="52">
        <f>IF(Tabla15[[#This Row],[26]]="",0,VLOOKUP(TRAMOS!$K$2,Tabla5[#All],3,FALSE)*Tabla15[[#This Row],[27]])</f>
        <v>0</v>
      </c>
      <c r="AI44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4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4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4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4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4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4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448" spans="2:41" x14ac:dyDescent="0.25">
      <c r="B448" s="58" t="str">
        <f>Tabla1[[#This Row],[nudo inicial]]</f>
        <v>N233</v>
      </c>
      <c r="C448" s="58" t="str">
        <f>Tabla1[[#This Row],[nudo final]]</f>
        <v>TP170</v>
      </c>
      <c r="D448" s="51">
        <f>Tabla1[[#This Row],[longitud]]</f>
        <v>38.04</v>
      </c>
      <c r="E448" s="51" t="str">
        <f>Tabla1[[#This Row],[diametro]]</f>
        <v>2"</v>
      </c>
      <c r="F448" s="51" t="str">
        <f>Tabla1[[#This Row],[material]]</f>
        <v>PVC</v>
      </c>
      <c r="G44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48" s="52" t="str">
        <f>IF(Tabla1[[#This Row],[5]]="TPD",Tabla1[[#This Row],[6]],"")</f>
        <v/>
      </c>
      <c r="I448" s="52" t="str">
        <f>IF(OR(Tabla1[[#This Row],[5]]="TPD"),Tabla1[[#This Row],[7]],"")</f>
        <v/>
      </c>
      <c r="J448" s="52">
        <f>IF(Tabla15[[#This Row],[2]]="",0,VLOOKUP(TRAMOS!$H$2,Tabla5[#All],3,FALSE)*Tabla15[[#This Row],[3]])</f>
        <v>0</v>
      </c>
      <c r="K448" s="52" t="str">
        <f>IF(Tabla1[[#This Row],[5]]="TPL",Tabla1[[#This Row],[6]],"")</f>
        <v>3"</v>
      </c>
      <c r="L448" s="52">
        <f>IF(OR(Tabla1[[#This Row],[5]]="TPL"),Tabla1[[#This Row],[7]],"")</f>
        <v>1</v>
      </c>
      <c r="M448" s="52">
        <f>IF(Tabla15[[#This Row],[5]]="",0,VLOOKUP(TRAMOS!$K$2,Tabla5[#All],3,FALSE)*Tabla15[[#This Row],[6]])</f>
        <v>0.9</v>
      </c>
      <c r="N44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4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48" s="52">
        <f>IF(Tabla15[[#This Row],[8]]="",0,VLOOKUP(TRAMOS!$H$2,Tabla5[#All],3,FALSE)*Tabla15[[#This Row],[9]])</f>
        <v>0</v>
      </c>
      <c r="Q44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4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48" s="52">
        <f>IF(Tabla15[[#This Row],[11]]="",0,VLOOKUP(TRAMOS!$Q$2,Tabla5[#All],3,FALSE)*Tabla15[[#This Row],[12]])</f>
        <v>0</v>
      </c>
      <c r="T44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448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44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44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4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4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4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4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48" s="52">
        <f>IF(Tabla15[[#This Row],[20]]="",0,VLOOKUP("VRP",Tabla5[#All],3,FALSE)*Tabla15[[#This Row],[21]])</f>
        <v>0</v>
      </c>
      <c r="AC44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4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48" s="52">
        <f>IF(Tabla15[[#This Row],[23]]="",0,VLOOKUP("VC",Tabla5[#All],3,FALSE)*Tabla15[[#This Row],[24]])</f>
        <v>0</v>
      </c>
      <c r="AF44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4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48" s="52">
        <f>IF(Tabla15[[#This Row],[26]]="",0,VLOOKUP(TRAMOS!$K$2,Tabla5[#All],3,FALSE)*Tabla15[[#This Row],[27]])</f>
        <v>0</v>
      </c>
      <c r="AI44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4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4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4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4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448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44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449" spans="2:41" x14ac:dyDescent="0.25">
      <c r="B449" s="58" t="str">
        <f>Tabla1[[#This Row],[nudo inicial]]</f>
        <v>N233</v>
      </c>
      <c r="C449" s="58" t="str">
        <f>Tabla1[[#This Row],[nudo final]]</f>
        <v>N234</v>
      </c>
      <c r="D449" s="51">
        <f>Tabla1[[#This Row],[longitud]]</f>
        <v>131.88</v>
      </c>
      <c r="E449" s="51" t="str">
        <f>Tabla1[[#This Row],[diametro]]</f>
        <v>3"</v>
      </c>
      <c r="F449" s="51" t="str">
        <f>Tabla1[[#This Row],[material]]</f>
        <v>HF</v>
      </c>
      <c r="G44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49" s="52" t="str">
        <f>IF(Tabla1[[#This Row],[5]]="TPD",Tabla1[[#This Row],[6]],"")</f>
        <v>3"</v>
      </c>
      <c r="I449" s="52">
        <f>IF(OR(Tabla1[[#This Row],[5]]="TPD"),Tabla1[[#This Row],[7]],"")</f>
        <v>1</v>
      </c>
      <c r="J449" s="52">
        <f>IF(Tabla15[[#This Row],[2]]="",0,VLOOKUP(TRAMOS!$H$2,Tabla5[#All],3,FALSE)*Tabla15[[#This Row],[3]])</f>
        <v>0.15</v>
      </c>
      <c r="K449" s="52" t="str">
        <f>IF(Tabla1[[#This Row],[5]]="TPL",Tabla1[[#This Row],[6]],"")</f>
        <v/>
      </c>
      <c r="L449" s="52" t="str">
        <f>IF(OR(Tabla1[[#This Row],[5]]="TPL"),Tabla1[[#This Row],[7]],"")</f>
        <v/>
      </c>
      <c r="M449" s="52">
        <f>IF(Tabla15[[#This Row],[5]]="",0,VLOOKUP(TRAMOS!$K$2,Tabla5[#All],3,FALSE)*Tabla15[[#This Row],[6]])</f>
        <v>0</v>
      </c>
      <c r="N44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4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49" s="52">
        <f>IF(Tabla15[[#This Row],[8]]="",0,VLOOKUP(TRAMOS!$H$2,Tabla5[#All],3,FALSE)*Tabla15[[#This Row],[9]])</f>
        <v>0</v>
      </c>
      <c r="Q44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4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49" s="52">
        <f>IF(Tabla15[[#This Row],[11]]="",0,VLOOKUP(TRAMOS!$Q$2,Tabla5[#All],3,FALSE)*Tabla15[[#This Row],[12]])</f>
        <v>0</v>
      </c>
      <c r="T44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4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4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4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>6"</v>
      </c>
      <c r="X449" s="52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>1</v>
      </c>
      <c r="Y44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0.68</v>
      </c>
      <c r="Z44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4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49" s="52">
        <f>IF(Tabla15[[#This Row],[20]]="",0,VLOOKUP("VRP",Tabla5[#All],3,FALSE)*Tabla15[[#This Row],[21]])</f>
        <v>0</v>
      </c>
      <c r="AC44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4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49" s="52">
        <f>IF(Tabla15[[#This Row],[23]]="",0,VLOOKUP("VC",Tabla5[#All],3,FALSE)*Tabla15[[#This Row],[24]])</f>
        <v>0</v>
      </c>
      <c r="AF44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4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49" s="52">
        <f>IF(Tabla15[[#This Row],[26]]="",0,VLOOKUP(TRAMOS!$K$2,Tabla5[#All],3,FALSE)*Tabla15[[#This Row],[27]])</f>
        <v>0</v>
      </c>
      <c r="AI44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4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4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4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4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4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4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0.83000000000000007</v>
      </c>
    </row>
    <row r="450" spans="2:41" x14ac:dyDescent="0.25">
      <c r="B450" s="58" t="str">
        <f>Tabla1[[#This Row],[nudo inicial]]</f>
        <v>N225</v>
      </c>
      <c r="C450" s="58" t="str">
        <f>Tabla1[[#This Row],[nudo final]]</f>
        <v>N235</v>
      </c>
      <c r="D450" s="51">
        <f>Tabla1[[#This Row],[longitud]]</f>
        <v>243.06</v>
      </c>
      <c r="E450" s="51" t="str">
        <f>Tabla1[[#This Row],[diametro]]</f>
        <v>3"</v>
      </c>
      <c r="F450" s="51" t="str">
        <f>Tabla1[[#This Row],[material]]</f>
        <v>HF</v>
      </c>
      <c r="G45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50" s="52" t="str">
        <f>IF(Tabla1[[#This Row],[5]]="TPD",Tabla1[[#This Row],[6]],"")</f>
        <v>3"</v>
      </c>
      <c r="I450" s="52">
        <f>IF(OR(Tabla1[[#This Row],[5]]="TPD"),Tabla1[[#This Row],[7]],"")</f>
        <v>1</v>
      </c>
      <c r="J450" s="52">
        <f>IF(Tabla15[[#This Row],[2]]="",0,VLOOKUP(TRAMOS!$H$2,Tabla5[#All],3,FALSE)*Tabla15[[#This Row],[3]])</f>
        <v>0.15</v>
      </c>
      <c r="K450" s="52" t="str">
        <f>IF(Tabla1[[#This Row],[5]]="TPL",Tabla1[[#This Row],[6]],"")</f>
        <v/>
      </c>
      <c r="L450" s="52" t="str">
        <f>IF(OR(Tabla1[[#This Row],[5]]="TPL"),Tabla1[[#This Row],[7]],"")</f>
        <v/>
      </c>
      <c r="M450" s="52">
        <f>IF(Tabla15[[#This Row],[5]]="",0,VLOOKUP(TRAMOS!$K$2,Tabla5[#All],3,FALSE)*Tabla15[[#This Row],[6]])</f>
        <v>0</v>
      </c>
      <c r="N45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5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50" s="52">
        <f>IF(Tabla15[[#This Row],[8]]="",0,VLOOKUP(TRAMOS!$H$2,Tabla5[#All],3,FALSE)*Tabla15[[#This Row],[9]])</f>
        <v>0</v>
      </c>
      <c r="Q45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5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50" s="52">
        <f>IF(Tabla15[[#This Row],[11]]="",0,VLOOKUP(TRAMOS!$Q$2,Tabla5[#All],3,FALSE)*Tabla15[[#This Row],[12]])</f>
        <v>0</v>
      </c>
      <c r="T45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5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5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5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5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5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5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5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50" s="52">
        <f>IF(Tabla15[[#This Row],[20]]="",0,VLOOKUP("VRP",Tabla5[#All],3,FALSE)*Tabla15[[#This Row],[21]])</f>
        <v>0</v>
      </c>
      <c r="AC45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5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50" s="52">
        <f>IF(Tabla15[[#This Row],[23]]="",0,VLOOKUP("VC",Tabla5[#All],3,FALSE)*Tabla15[[#This Row],[24]])</f>
        <v>0</v>
      </c>
      <c r="AF45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5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50" s="52">
        <f>IF(Tabla15[[#This Row],[26]]="",0,VLOOKUP(TRAMOS!$K$2,Tabla5[#All],3,FALSE)*Tabla15[[#This Row],[27]])</f>
        <v>0</v>
      </c>
      <c r="AI45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5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5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5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5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5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5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451" spans="2:41" x14ac:dyDescent="0.25">
      <c r="B451" s="58" t="str">
        <f>Tabla1[[#This Row],[nudo inicial]]</f>
        <v>N235</v>
      </c>
      <c r="C451" s="58" t="str">
        <f>Tabla1[[#This Row],[nudo final]]</f>
        <v>N236</v>
      </c>
      <c r="D451" s="51">
        <f>Tabla1[[#This Row],[longitud]]</f>
        <v>93.28</v>
      </c>
      <c r="E451" s="51" t="str">
        <f>Tabla1[[#This Row],[diametro]]</f>
        <v>2"</v>
      </c>
      <c r="F451" s="51" t="str">
        <f>Tabla1[[#This Row],[material]]</f>
        <v>PVC</v>
      </c>
      <c r="G45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51" s="52" t="str">
        <f>IF(Tabla1[[#This Row],[5]]="TPD",Tabla1[[#This Row],[6]],"")</f>
        <v/>
      </c>
      <c r="I451" s="52" t="str">
        <f>IF(OR(Tabla1[[#This Row],[5]]="TPD"),Tabla1[[#This Row],[7]],"")</f>
        <v/>
      </c>
      <c r="J451" s="52">
        <f>IF(Tabla15[[#This Row],[2]]="",0,VLOOKUP(TRAMOS!$H$2,Tabla5[#All],3,FALSE)*Tabla15[[#This Row],[3]])</f>
        <v>0</v>
      </c>
      <c r="K451" s="52" t="str">
        <f>IF(Tabla1[[#This Row],[5]]="TPL",Tabla1[[#This Row],[6]],"")</f>
        <v/>
      </c>
      <c r="L451" s="52" t="str">
        <f>IF(OR(Tabla1[[#This Row],[5]]="TPL"),Tabla1[[#This Row],[7]],"")</f>
        <v/>
      </c>
      <c r="M451" s="52">
        <f>IF(Tabla15[[#This Row],[5]]="",0,VLOOKUP(TRAMOS!$K$2,Tabla5[#All],3,FALSE)*Tabla15[[#This Row],[6]])</f>
        <v>0</v>
      </c>
      <c r="N45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5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51" s="52">
        <f>IF(Tabla15[[#This Row],[8]]="",0,VLOOKUP(TRAMOS!$H$2,Tabla5[#All],3,FALSE)*Tabla15[[#This Row],[9]])</f>
        <v>0</v>
      </c>
      <c r="Q45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5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51" s="52">
        <f>IF(Tabla15[[#This Row],[11]]="",0,VLOOKUP(TRAMOS!$Q$2,Tabla5[#All],3,FALSE)*Tabla15[[#This Row],[12]])</f>
        <v>0</v>
      </c>
      <c r="T45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451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45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45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5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5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5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5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51" s="52">
        <f>IF(Tabla15[[#This Row],[20]]="",0,VLOOKUP("VRP",Tabla5[#All],3,FALSE)*Tabla15[[#This Row],[21]])</f>
        <v>0</v>
      </c>
      <c r="AC45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5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51" s="52">
        <f>IF(Tabla15[[#This Row],[23]]="",0,VLOOKUP("VC",Tabla5[#All],3,FALSE)*Tabla15[[#This Row],[24]])</f>
        <v>0</v>
      </c>
      <c r="AF45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5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51" s="52">
        <f>IF(Tabla15[[#This Row],[26]]="",0,VLOOKUP(TRAMOS!$K$2,Tabla5[#All],3,FALSE)*Tabla15[[#This Row],[27]])</f>
        <v>0</v>
      </c>
      <c r="AI45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5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5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5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5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5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5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0.21500000000000002</v>
      </c>
    </row>
    <row r="452" spans="2:41" x14ac:dyDescent="0.25">
      <c r="B452" s="58" t="str">
        <f>Tabla1[[#This Row],[nudo inicial]]</f>
        <v>N236</v>
      </c>
      <c r="C452" s="58" t="str">
        <f>Tabla1[[#This Row],[nudo final]]</f>
        <v>TP171</v>
      </c>
      <c r="D452" s="51">
        <f>Tabla1[[#This Row],[longitud]]</f>
        <v>41.33</v>
      </c>
      <c r="E452" s="51" t="str">
        <f>Tabla1[[#This Row],[diametro]]</f>
        <v>2"</v>
      </c>
      <c r="F452" s="51" t="str">
        <f>Tabla1[[#This Row],[material]]</f>
        <v>PVC</v>
      </c>
      <c r="G45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452" s="52" t="str">
        <f>IF(Tabla1[[#This Row],[5]]="TPD",Tabla1[[#This Row],[6]],"")</f>
        <v/>
      </c>
      <c r="I452" s="52" t="str">
        <f>IF(OR(Tabla1[[#This Row],[5]]="TPD"),Tabla1[[#This Row],[7]],"")</f>
        <v/>
      </c>
      <c r="J452" s="52">
        <f>IF(Tabla15[[#This Row],[2]]="",0,VLOOKUP(TRAMOS!$H$2,Tabla5[#All],3,FALSE)*Tabla15[[#This Row],[3]])</f>
        <v>0</v>
      </c>
      <c r="K452" s="52" t="str">
        <f>IF(Tabla1[[#This Row],[5]]="TPL",Tabla1[[#This Row],[6]],"")</f>
        <v>2"</v>
      </c>
      <c r="L452" s="52">
        <f>IF(OR(Tabla1[[#This Row],[5]]="TPL"),Tabla1[[#This Row],[7]],"")</f>
        <v>1</v>
      </c>
      <c r="M452" s="52">
        <f>IF(Tabla15[[#This Row],[5]]="",0,VLOOKUP(TRAMOS!$K$2,Tabla5[#All],3,FALSE)*Tabla15[[#This Row],[6]])</f>
        <v>0.9</v>
      </c>
      <c r="N45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5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52" s="52">
        <f>IF(Tabla15[[#This Row],[8]]="",0,VLOOKUP(TRAMOS!$H$2,Tabla5[#All],3,FALSE)*Tabla15[[#This Row],[9]])</f>
        <v>0</v>
      </c>
      <c r="Q45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5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52" s="52">
        <f>IF(Tabla15[[#This Row],[11]]="",0,VLOOKUP(TRAMOS!$Q$2,Tabla5[#All],3,FALSE)*Tabla15[[#This Row],[12]])</f>
        <v>0</v>
      </c>
      <c r="T45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5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5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5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5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5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5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5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52" s="52">
        <f>IF(Tabla15[[#This Row],[20]]="",0,VLOOKUP("VRP",Tabla5[#All],3,FALSE)*Tabla15[[#This Row],[21]])</f>
        <v>0</v>
      </c>
      <c r="AC45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5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52" s="52">
        <f>IF(Tabla15[[#This Row],[23]]="",0,VLOOKUP("VC",Tabla5[#All],3,FALSE)*Tabla15[[#This Row],[24]])</f>
        <v>0</v>
      </c>
      <c r="AF45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5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52" s="52">
        <f>IF(Tabla15[[#This Row],[26]]="",0,VLOOKUP(TRAMOS!$K$2,Tabla5[#All],3,FALSE)*Tabla15[[#This Row],[27]])</f>
        <v>0</v>
      </c>
      <c r="AI45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5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5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5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5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452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45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453" spans="2:41" x14ac:dyDescent="0.25">
      <c r="B453" s="58" t="str">
        <f>Tabla1[[#This Row],[nudo inicial]]</f>
        <v>N236</v>
      </c>
      <c r="C453" s="58" t="str">
        <f>Tabla1[[#This Row],[nudo final]]</f>
        <v>TP172</v>
      </c>
      <c r="D453" s="51">
        <f>Tabla1[[#This Row],[longitud]]</f>
        <v>62.24</v>
      </c>
      <c r="E453" s="51" t="str">
        <f>Tabla1[[#This Row],[diametro]]</f>
        <v>2"</v>
      </c>
      <c r="F453" s="51" t="str">
        <f>Tabla1[[#This Row],[material]]</f>
        <v>PVC</v>
      </c>
      <c r="G45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453" s="52" t="str">
        <f>IF(Tabla1[[#This Row],[5]]="TPD",Tabla1[[#This Row],[6]],"")</f>
        <v>2"</v>
      </c>
      <c r="I453" s="52">
        <f>IF(OR(Tabla1[[#This Row],[5]]="TPD"),Tabla1[[#This Row],[7]],"")</f>
        <v>1</v>
      </c>
      <c r="J453" s="52">
        <f>IF(Tabla15[[#This Row],[2]]="",0,VLOOKUP(TRAMOS!$H$2,Tabla5[#All],3,FALSE)*Tabla15[[#This Row],[3]])</f>
        <v>0.15</v>
      </c>
      <c r="K453" s="52" t="str">
        <f>IF(Tabla1[[#This Row],[5]]="TPL",Tabla1[[#This Row],[6]],"")</f>
        <v/>
      </c>
      <c r="L453" s="52" t="str">
        <f>IF(OR(Tabla1[[#This Row],[5]]="TPL"),Tabla1[[#This Row],[7]],"")</f>
        <v/>
      </c>
      <c r="M453" s="52">
        <f>IF(Tabla15[[#This Row],[5]]="",0,VLOOKUP(TRAMOS!$K$2,Tabla5[#All],3,FALSE)*Tabla15[[#This Row],[6]])</f>
        <v>0</v>
      </c>
      <c r="N45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5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53" s="52">
        <f>IF(Tabla15[[#This Row],[8]]="",0,VLOOKUP(TRAMOS!$H$2,Tabla5[#All],3,FALSE)*Tabla15[[#This Row],[9]])</f>
        <v>0</v>
      </c>
      <c r="Q45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453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453" s="52">
        <f>IF(Tabla15[[#This Row],[11]]="",0,VLOOKUP(TRAMOS!$Q$2,Tabla5[#All],3,FALSE)*Tabla15[[#This Row],[12]])</f>
        <v>0.9</v>
      </c>
      <c r="T45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5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5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5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5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5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5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5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53" s="52">
        <f>IF(Tabla15[[#This Row],[20]]="",0,VLOOKUP("VRP",Tabla5[#All],3,FALSE)*Tabla15[[#This Row],[21]])</f>
        <v>0</v>
      </c>
      <c r="AC45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5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53" s="52">
        <f>IF(Tabla15[[#This Row],[23]]="",0,VLOOKUP("VC",Tabla5[#All],3,FALSE)*Tabla15[[#This Row],[24]])</f>
        <v>0</v>
      </c>
      <c r="AF45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5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53" s="52">
        <f>IF(Tabla15[[#This Row],[26]]="",0,VLOOKUP(TRAMOS!$K$2,Tabla5[#All],3,FALSE)*Tabla15[[#This Row],[27]])</f>
        <v>0</v>
      </c>
      <c r="AI45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5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5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5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5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453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45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454" spans="2:41" x14ac:dyDescent="0.25">
      <c r="B454" s="58" t="str">
        <f>Tabla1[[#This Row],[nudo inicial]]</f>
        <v>N225</v>
      </c>
      <c r="C454" s="58" t="str">
        <f>Tabla1[[#This Row],[nudo final]]</f>
        <v>N234</v>
      </c>
      <c r="D454" s="51">
        <f>Tabla1[[#This Row],[longitud]]</f>
        <v>15.31</v>
      </c>
      <c r="E454" s="51" t="str">
        <f>Tabla1[[#This Row],[diametro]]</f>
        <v>3"</v>
      </c>
      <c r="F454" s="51" t="str">
        <f>Tabla1[[#This Row],[material]]</f>
        <v>HF</v>
      </c>
      <c r="G45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54" s="52" t="str">
        <f>IF(Tabla1[[#This Row],[5]]="TPD",Tabla1[[#This Row],[6]],"")</f>
        <v/>
      </c>
      <c r="I454" s="52" t="str">
        <f>IF(OR(Tabla1[[#This Row],[5]]="TPD"),Tabla1[[#This Row],[7]],"")</f>
        <v/>
      </c>
      <c r="J454" s="52">
        <f>IF(Tabla15[[#This Row],[2]]="",0,VLOOKUP(TRAMOS!$H$2,Tabla5[#All],3,FALSE)*Tabla15[[#This Row],[3]])</f>
        <v>0</v>
      </c>
      <c r="K454" s="52" t="str">
        <f>IF(Tabla1[[#This Row],[5]]="TPL",Tabla1[[#This Row],[6]],"")</f>
        <v>3"</v>
      </c>
      <c r="L454" s="52">
        <f>IF(OR(Tabla1[[#This Row],[5]]="TPL"),Tabla1[[#This Row],[7]],"")</f>
        <v>1</v>
      </c>
      <c r="M454" s="52">
        <f>IF(Tabla15[[#This Row],[5]]="",0,VLOOKUP(TRAMOS!$K$2,Tabla5[#All],3,FALSE)*Tabla15[[#This Row],[6]])</f>
        <v>0.9</v>
      </c>
      <c r="N45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5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54" s="52">
        <f>IF(Tabla15[[#This Row],[8]]="",0,VLOOKUP(TRAMOS!$H$2,Tabla5[#All],3,FALSE)*Tabla15[[#This Row],[9]])</f>
        <v>0</v>
      </c>
      <c r="Q45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5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54" s="52">
        <f>IF(Tabla15[[#This Row],[11]]="",0,VLOOKUP(TRAMOS!$Q$2,Tabla5[#All],3,FALSE)*Tabla15[[#This Row],[12]])</f>
        <v>0</v>
      </c>
      <c r="T45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5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5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5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>6"</v>
      </c>
      <c r="X454" s="52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>1</v>
      </c>
      <c r="Y45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0.68</v>
      </c>
      <c r="Z45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5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54" s="52">
        <f>IF(Tabla15[[#This Row],[20]]="",0,VLOOKUP("VRP",Tabla5[#All],3,FALSE)*Tabla15[[#This Row],[21]])</f>
        <v>0</v>
      </c>
      <c r="AC45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454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454" s="52">
        <f>IF(Tabla15[[#This Row],[23]]="",0,VLOOKUP("VC",Tabla5[#All],3,FALSE)*Tabla15[[#This Row],[24]])</f>
        <v>0.25</v>
      </c>
      <c r="AF45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5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54" s="52">
        <f>IF(Tabla15[[#This Row],[26]]="",0,VLOOKUP(TRAMOS!$K$2,Tabla5[#All],3,FALSE)*Tabla15[[#This Row],[27]])</f>
        <v>0</v>
      </c>
      <c r="AI45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5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5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5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5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5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5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1.83</v>
      </c>
    </row>
    <row r="455" spans="2:41" x14ac:dyDescent="0.25">
      <c r="B455" s="58" t="str">
        <f>Tabla1[[#This Row],[nudo inicial]]</f>
        <v>N234</v>
      </c>
      <c r="C455" s="58" t="str">
        <f>Tabla1[[#This Row],[nudo final]]</f>
        <v>N237</v>
      </c>
      <c r="D455" s="51">
        <f>Tabla1[[#This Row],[longitud]]</f>
        <v>26.13</v>
      </c>
      <c r="E455" s="51" t="str">
        <f>Tabla1[[#This Row],[diametro]]</f>
        <v>6"</v>
      </c>
      <c r="F455" s="51" t="str">
        <f>Tabla1[[#This Row],[material]]</f>
        <v>HF</v>
      </c>
      <c r="G45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455" s="52" t="str">
        <f>IF(Tabla1[[#This Row],[5]]="TPD",Tabla1[[#This Row],[6]],"")</f>
        <v/>
      </c>
      <c r="I455" s="52" t="str">
        <f>IF(OR(Tabla1[[#This Row],[5]]="TPD"),Tabla1[[#This Row],[7]],"")</f>
        <v/>
      </c>
      <c r="J455" s="52">
        <f>IF(Tabla15[[#This Row],[2]]="",0,VLOOKUP(TRAMOS!$H$2,Tabla5[#All],3,FALSE)*Tabla15[[#This Row],[3]])</f>
        <v>0</v>
      </c>
      <c r="K455" s="52" t="str">
        <f>IF(Tabla1[[#This Row],[5]]="TPL",Tabla1[[#This Row],[6]],"")</f>
        <v>6"</v>
      </c>
      <c r="L455" s="52">
        <f>IF(OR(Tabla1[[#This Row],[5]]="TPL"),Tabla1[[#This Row],[7]],"")</f>
        <v>1</v>
      </c>
      <c r="M455" s="52">
        <f>IF(Tabla15[[#This Row],[5]]="",0,VLOOKUP(TRAMOS!$K$2,Tabla5[#All],3,FALSE)*Tabla15[[#This Row],[6]])</f>
        <v>0.9</v>
      </c>
      <c r="N45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5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55" s="52">
        <f>IF(Tabla15[[#This Row],[8]]="",0,VLOOKUP(TRAMOS!$H$2,Tabla5[#All],3,FALSE)*Tabla15[[#This Row],[9]])</f>
        <v>0</v>
      </c>
      <c r="Q45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5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55" s="52">
        <f>IF(Tabla15[[#This Row],[11]]="",0,VLOOKUP(TRAMOS!$Q$2,Tabla5[#All],3,FALSE)*Tabla15[[#This Row],[12]])</f>
        <v>0</v>
      </c>
      <c r="T45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5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5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5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5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5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5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5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55" s="52">
        <f>IF(Tabla15[[#This Row],[20]]="",0,VLOOKUP("VRP",Tabla5[#All],3,FALSE)*Tabla15[[#This Row],[21]])</f>
        <v>0</v>
      </c>
      <c r="AC45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5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55" s="52">
        <f>IF(Tabla15[[#This Row],[23]]="",0,VLOOKUP("VC",Tabla5[#All],3,FALSE)*Tabla15[[#This Row],[24]])</f>
        <v>0</v>
      </c>
      <c r="AF45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5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55" s="52">
        <f>IF(Tabla15[[#This Row],[26]]="",0,VLOOKUP(TRAMOS!$K$2,Tabla5[#All],3,FALSE)*Tabla15[[#This Row],[27]])</f>
        <v>0</v>
      </c>
      <c r="AI45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5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5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5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5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5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5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456" spans="2:41" x14ac:dyDescent="0.25">
      <c r="B456" s="58" t="str">
        <f>Tabla1[[#This Row],[nudo inicial]]</f>
        <v>N48</v>
      </c>
      <c r="C456" s="58" t="str">
        <f>Tabla1[[#This Row],[nudo final]]</f>
        <v>N238</v>
      </c>
      <c r="D456" s="51">
        <f>Tabla1[[#This Row],[longitud]]</f>
        <v>26.81</v>
      </c>
      <c r="E456" s="51" t="str">
        <f>Tabla1[[#This Row],[diametro]]</f>
        <v>1"</v>
      </c>
      <c r="F456" s="51" t="str">
        <f>Tabla1[[#This Row],[material]]</f>
        <v>HG</v>
      </c>
      <c r="G45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12"</v>
      </c>
      <c r="H456" s="52" t="str">
        <f>IF(Tabla1[[#This Row],[5]]="TPD",Tabla1[[#This Row],[6]],"")</f>
        <v/>
      </c>
      <c r="I456" s="52" t="str">
        <f>IF(OR(Tabla1[[#This Row],[5]]="TPD"),Tabla1[[#This Row],[7]],"")</f>
        <v/>
      </c>
      <c r="J456" s="52">
        <f>IF(Tabla15[[#This Row],[2]]="",0,VLOOKUP(TRAMOS!$H$2,Tabla5[#All],3,FALSE)*Tabla15[[#This Row],[3]])</f>
        <v>0</v>
      </c>
      <c r="K456" s="52" t="str">
        <f>IF(Tabla1[[#This Row],[5]]="TPL",Tabla1[[#This Row],[6]],"")</f>
        <v/>
      </c>
      <c r="L456" s="52" t="str">
        <f>IF(OR(Tabla1[[#This Row],[5]]="TPL"),Tabla1[[#This Row],[7]],"")</f>
        <v/>
      </c>
      <c r="M456" s="52">
        <f>IF(Tabla15[[#This Row],[5]]="",0,VLOOKUP(TRAMOS!$K$2,Tabla5[#All],3,FALSE)*Tabla15[[#This Row],[6]])</f>
        <v>0</v>
      </c>
      <c r="N45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5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56" s="52">
        <f>IF(Tabla15[[#This Row],[8]]="",0,VLOOKUP(TRAMOS!$H$2,Tabla5[#All],3,FALSE)*Tabla15[[#This Row],[9]])</f>
        <v>0</v>
      </c>
      <c r="Q45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5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56" s="52">
        <f>IF(Tabla15[[#This Row],[11]]="",0,VLOOKUP(TRAMOS!$Q$2,Tabla5[#All],3,FALSE)*Tabla15[[#This Row],[12]])</f>
        <v>0</v>
      </c>
      <c r="T45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1"</v>
      </c>
      <c r="U456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45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0.46</v>
      </c>
      <c r="W45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5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5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5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5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56" s="52">
        <f>IF(Tabla15[[#This Row],[20]]="",0,VLOOKUP("VRP",Tabla5[#All],3,FALSE)*Tabla15[[#This Row],[21]])</f>
        <v>0</v>
      </c>
      <c r="AC45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5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56" s="52">
        <f>IF(Tabla15[[#This Row],[23]]="",0,VLOOKUP("VC",Tabla5[#All],3,FALSE)*Tabla15[[#This Row],[24]])</f>
        <v>0</v>
      </c>
      <c r="AF45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>12"</v>
      </c>
      <c r="AG456" s="52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>1</v>
      </c>
      <c r="AH456" s="52">
        <f>IF(Tabla15[[#This Row],[26]]="",0,VLOOKUP(TRAMOS!$K$2,Tabla5[#All],3,FALSE)*Tabla15[[#This Row],[27]])</f>
        <v>0.9</v>
      </c>
      <c r="AI45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5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5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5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5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5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5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1.36</v>
      </c>
    </row>
    <row r="457" spans="2:41" x14ac:dyDescent="0.25">
      <c r="B457" s="58" t="str">
        <f>Tabla1[[#This Row],[nudo inicial]]</f>
        <v>N238</v>
      </c>
      <c r="C457" s="58" t="str">
        <f>Tabla1[[#This Row],[nudo final]]</f>
        <v>TP173</v>
      </c>
      <c r="D457" s="51">
        <f>Tabla1[[#This Row],[longitud]]</f>
        <v>71.02</v>
      </c>
      <c r="E457" s="51" t="str">
        <f>Tabla1[[#This Row],[diametro]]</f>
        <v>1"</v>
      </c>
      <c r="F457" s="51" t="str">
        <f>Tabla1[[#This Row],[material]]</f>
        <v>PVC</v>
      </c>
      <c r="G45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1"</v>
      </c>
      <c r="H457" s="52" t="str">
        <f>IF(Tabla1[[#This Row],[5]]="TPD",Tabla1[[#This Row],[6]],"")</f>
        <v/>
      </c>
      <c r="I457" s="52" t="str">
        <f>IF(OR(Tabla1[[#This Row],[5]]="TPD"),Tabla1[[#This Row],[7]],"")</f>
        <v/>
      </c>
      <c r="J457" s="52">
        <f>IF(Tabla15[[#This Row],[2]]="",0,VLOOKUP(TRAMOS!$H$2,Tabla5[#All],3,FALSE)*Tabla15[[#This Row],[3]])</f>
        <v>0</v>
      </c>
      <c r="K457" s="52" t="str">
        <f>IF(Tabla1[[#This Row],[5]]="TPL",Tabla1[[#This Row],[6]],"")</f>
        <v/>
      </c>
      <c r="L457" s="52" t="str">
        <f>IF(OR(Tabla1[[#This Row],[5]]="TPL"),Tabla1[[#This Row],[7]],"")</f>
        <v/>
      </c>
      <c r="M457" s="52">
        <f>IF(Tabla15[[#This Row],[5]]="",0,VLOOKUP(TRAMOS!$K$2,Tabla5[#All],3,FALSE)*Tabla15[[#This Row],[6]])</f>
        <v>0</v>
      </c>
      <c r="N45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5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57" s="52">
        <f>IF(Tabla15[[#This Row],[8]]="",0,VLOOKUP(TRAMOS!$H$2,Tabla5[#All],3,FALSE)*Tabla15[[#This Row],[9]])</f>
        <v>0</v>
      </c>
      <c r="Q45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1"</v>
      </c>
      <c r="R457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457" s="52">
        <f>IF(Tabla15[[#This Row],[11]]="",0,VLOOKUP(TRAMOS!$Q$2,Tabla5[#All],3,FALSE)*Tabla15[[#This Row],[12]])</f>
        <v>0.9</v>
      </c>
      <c r="T45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5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5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5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5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5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5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5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57" s="52">
        <f>IF(Tabla15[[#This Row],[20]]="",0,VLOOKUP("VRP",Tabla5[#All],3,FALSE)*Tabla15[[#This Row],[21]])</f>
        <v>0</v>
      </c>
      <c r="AC45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5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57" s="52">
        <f>IF(Tabla15[[#This Row],[23]]="",0,VLOOKUP("VC",Tabla5[#All],3,FALSE)*Tabla15[[#This Row],[24]])</f>
        <v>0</v>
      </c>
      <c r="AF45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5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57" s="52">
        <f>IF(Tabla15[[#This Row],[26]]="",0,VLOOKUP(TRAMOS!$K$2,Tabla5[#All],3,FALSE)*Tabla15[[#This Row],[27]])</f>
        <v>0</v>
      </c>
      <c r="AI45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5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5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5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5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1"</v>
      </c>
      <c r="AN457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45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458" spans="2:41" x14ac:dyDescent="0.25">
      <c r="B458" s="58" t="str">
        <f>Tabla1[[#This Row],[nudo inicial]]</f>
        <v>N48</v>
      </c>
      <c r="C458" s="58" t="str">
        <f>Tabla1[[#This Row],[nudo final]]</f>
        <v>N239</v>
      </c>
      <c r="D458" s="51">
        <f>Tabla1[[#This Row],[longitud]]</f>
        <v>65.75</v>
      </c>
      <c r="E458" s="51" t="str">
        <f>Tabla1[[#This Row],[diametro]]</f>
        <v>12"</v>
      </c>
      <c r="F458" s="51" t="str">
        <f>Tabla1[[#This Row],[material]]</f>
        <v>HF</v>
      </c>
      <c r="G45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12"</v>
      </c>
      <c r="H458" s="52" t="str">
        <f>IF(Tabla1[[#This Row],[5]]="TPD",Tabla1[[#This Row],[6]],"")</f>
        <v/>
      </c>
      <c r="I458" s="52" t="str">
        <f>IF(OR(Tabla1[[#This Row],[5]]="TPD"),Tabla1[[#This Row],[7]],"")</f>
        <v/>
      </c>
      <c r="J458" s="52">
        <f>IF(Tabla15[[#This Row],[2]]="",0,VLOOKUP(TRAMOS!$H$2,Tabla5[#All],3,FALSE)*Tabla15[[#This Row],[3]])</f>
        <v>0</v>
      </c>
      <c r="K458" s="52" t="str">
        <f>IF(Tabla1[[#This Row],[5]]="TPL",Tabla1[[#This Row],[6]],"")</f>
        <v/>
      </c>
      <c r="L458" s="52" t="str">
        <f>IF(OR(Tabla1[[#This Row],[5]]="TPL"),Tabla1[[#This Row],[7]],"")</f>
        <v/>
      </c>
      <c r="M458" s="52">
        <f>IF(Tabla15[[#This Row],[5]]="",0,VLOOKUP(TRAMOS!$K$2,Tabla5[#All],3,FALSE)*Tabla15[[#This Row],[6]])</f>
        <v>0</v>
      </c>
      <c r="N45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5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58" s="52">
        <f>IF(Tabla15[[#This Row],[8]]="",0,VLOOKUP(TRAMOS!$H$2,Tabla5[#All],3,FALSE)*Tabla15[[#This Row],[9]])</f>
        <v>0</v>
      </c>
      <c r="Q45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5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58" s="52">
        <f>IF(Tabla15[[#This Row],[11]]="",0,VLOOKUP(TRAMOS!$Q$2,Tabla5[#All],3,FALSE)*Tabla15[[#This Row],[12]])</f>
        <v>0</v>
      </c>
      <c r="T45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5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5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5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5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5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5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5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58" s="52">
        <f>IF(Tabla15[[#This Row],[20]]="",0,VLOOKUP("VRP",Tabla5[#All],3,FALSE)*Tabla15[[#This Row],[21]])</f>
        <v>0</v>
      </c>
      <c r="AC45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5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58" s="52">
        <f>IF(Tabla15[[#This Row],[23]]="",0,VLOOKUP("VC",Tabla5[#All],3,FALSE)*Tabla15[[#This Row],[24]])</f>
        <v>0</v>
      </c>
      <c r="AF45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5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58" s="52">
        <f>IF(Tabla15[[#This Row],[26]]="",0,VLOOKUP(TRAMOS!$K$2,Tabla5[#All],3,FALSE)*Tabla15[[#This Row],[27]])</f>
        <v>0</v>
      </c>
      <c r="AI45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5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5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5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5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5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5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</v>
      </c>
    </row>
    <row r="459" spans="2:41" x14ac:dyDescent="0.25">
      <c r="B459" s="58" t="str">
        <f>Tabla1[[#This Row],[nudo inicial]]</f>
        <v>N239</v>
      </c>
      <c r="C459" s="58" t="str">
        <f>Tabla1[[#This Row],[nudo final]]</f>
        <v>TP174</v>
      </c>
      <c r="D459" s="51">
        <f>Tabla1[[#This Row],[longitud]]</f>
        <v>69.599999999999994</v>
      </c>
      <c r="E459" s="51" t="str">
        <f>Tabla1[[#This Row],[diametro]]</f>
        <v>2"</v>
      </c>
      <c r="F459" s="51" t="str">
        <f>Tabla1[[#This Row],[material]]</f>
        <v>PVC</v>
      </c>
      <c r="G45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12"</v>
      </c>
      <c r="H459" s="52" t="str">
        <f>IF(Tabla1[[#This Row],[5]]="TPD",Tabla1[[#This Row],[6]],"")</f>
        <v/>
      </c>
      <c r="I459" s="52" t="str">
        <f>IF(OR(Tabla1[[#This Row],[5]]="TPD"),Tabla1[[#This Row],[7]],"")</f>
        <v/>
      </c>
      <c r="J459" s="52">
        <f>IF(Tabla15[[#This Row],[2]]="",0,VLOOKUP(TRAMOS!$H$2,Tabla5[#All],3,FALSE)*Tabla15[[#This Row],[3]])</f>
        <v>0</v>
      </c>
      <c r="K459" s="52" t="str">
        <f>IF(Tabla1[[#This Row],[5]]="TPL",Tabla1[[#This Row],[6]],"")</f>
        <v/>
      </c>
      <c r="L459" s="52" t="str">
        <f>IF(OR(Tabla1[[#This Row],[5]]="TPL"),Tabla1[[#This Row],[7]],"")</f>
        <v/>
      </c>
      <c r="M459" s="52">
        <f>IF(Tabla15[[#This Row],[5]]="",0,VLOOKUP(TRAMOS!$K$2,Tabla5[#All],3,FALSE)*Tabla15[[#This Row],[6]])</f>
        <v>0</v>
      </c>
      <c r="N45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5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59" s="52">
        <f>IF(Tabla15[[#This Row],[8]]="",0,VLOOKUP(TRAMOS!$H$2,Tabla5[#All],3,FALSE)*Tabla15[[#This Row],[9]])</f>
        <v>0</v>
      </c>
      <c r="Q45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5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59" s="52">
        <f>IF(Tabla15[[#This Row],[11]]="",0,VLOOKUP(TRAMOS!$Q$2,Tabla5[#All],3,FALSE)*Tabla15[[#This Row],[12]])</f>
        <v>0</v>
      </c>
      <c r="T45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459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45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0.46</v>
      </c>
      <c r="W45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5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5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5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5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59" s="52">
        <f>IF(Tabla15[[#This Row],[20]]="",0,VLOOKUP("VRP",Tabla5[#All],3,FALSE)*Tabla15[[#This Row],[21]])</f>
        <v>0</v>
      </c>
      <c r="AC45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5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59" s="52">
        <f>IF(Tabla15[[#This Row],[23]]="",0,VLOOKUP("VC",Tabla5[#All],3,FALSE)*Tabla15[[#This Row],[24]])</f>
        <v>0</v>
      </c>
      <c r="AF45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>12"</v>
      </c>
      <c r="AG459" s="52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>1</v>
      </c>
      <c r="AH459" s="52">
        <f>IF(Tabla15[[#This Row],[26]]="",0,VLOOKUP(TRAMOS!$K$2,Tabla5[#All],3,FALSE)*Tabla15[[#This Row],[27]])</f>
        <v>0.9</v>
      </c>
      <c r="AI45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5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5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5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5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459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45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1.36</v>
      </c>
    </row>
    <row r="460" spans="2:41" x14ac:dyDescent="0.25">
      <c r="B460" s="58" t="str">
        <f>Tabla1[[#This Row],[nudo inicial]]</f>
        <v>N239</v>
      </c>
      <c r="C460" s="58" t="str">
        <f>Tabla1[[#This Row],[nudo final]]</f>
        <v>N209</v>
      </c>
      <c r="D460" s="51">
        <f>Tabla1[[#This Row],[longitud]]</f>
        <v>135.72999999999999</v>
      </c>
      <c r="E460" s="51" t="str">
        <f>Tabla1[[#This Row],[diametro]]</f>
        <v>12"</v>
      </c>
      <c r="F460" s="51" t="str">
        <f>Tabla1[[#This Row],[material]]</f>
        <v>HF</v>
      </c>
      <c r="G46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12"</v>
      </c>
      <c r="H460" s="52" t="str">
        <f>IF(Tabla1[[#This Row],[5]]="TPD",Tabla1[[#This Row],[6]],"")</f>
        <v/>
      </c>
      <c r="I460" s="52" t="str">
        <f>IF(OR(Tabla1[[#This Row],[5]]="TPD"),Tabla1[[#This Row],[7]],"")</f>
        <v/>
      </c>
      <c r="J460" s="52">
        <f>IF(Tabla15[[#This Row],[2]]="",0,VLOOKUP(TRAMOS!$H$2,Tabla5[#All],3,FALSE)*Tabla15[[#This Row],[3]])</f>
        <v>0</v>
      </c>
      <c r="K460" s="52" t="str">
        <f>IF(Tabla1[[#This Row],[5]]="TPL",Tabla1[[#This Row],[6]],"")</f>
        <v/>
      </c>
      <c r="L460" s="52" t="str">
        <f>IF(OR(Tabla1[[#This Row],[5]]="TPL"),Tabla1[[#This Row],[7]],"")</f>
        <v/>
      </c>
      <c r="M460" s="52">
        <f>IF(Tabla15[[#This Row],[5]]="",0,VLOOKUP(TRAMOS!$K$2,Tabla5[#All],3,FALSE)*Tabla15[[#This Row],[6]])</f>
        <v>0</v>
      </c>
      <c r="N46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6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60" s="52">
        <f>IF(Tabla15[[#This Row],[8]]="",0,VLOOKUP(TRAMOS!$H$2,Tabla5[#All],3,FALSE)*Tabla15[[#This Row],[9]])</f>
        <v>0</v>
      </c>
      <c r="Q46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6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60" s="52">
        <f>IF(Tabla15[[#This Row],[11]]="",0,VLOOKUP(TRAMOS!$Q$2,Tabla5[#All],3,FALSE)*Tabla15[[#This Row],[12]])</f>
        <v>0</v>
      </c>
      <c r="T46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6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6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6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6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6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6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6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60" s="52">
        <f>IF(Tabla15[[#This Row],[20]]="",0,VLOOKUP("VRP",Tabla5[#All],3,FALSE)*Tabla15[[#This Row],[21]])</f>
        <v>0</v>
      </c>
      <c r="AC46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6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60" s="52">
        <f>IF(Tabla15[[#This Row],[23]]="",0,VLOOKUP("VC",Tabla5[#All],3,FALSE)*Tabla15[[#This Row],[24]])</f>
        <v>0</v>
      </c>
      <c r="AF46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6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60" s="52">
        <f>IF(Tabla15[[#This Row],[26]]="",0,VLOOKUP(TRAMOS!$K$2,Tabla5[#All],3,FALSE)*Tabla15[[#This Row],[27]])</f>
        <v>0</v>
      </c>
      <c r="AI46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6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60" s="52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>0</v>
      </c>
      <c r="AL460" s="52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>1</v>
      </c>
      <c r="AM46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6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6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</v>
      </c>
    </row>
    <row r="461" spans="2:41" x14ac:dyDescent="0.25">
      <c r="B461" s="58" t="str">
        <f>Tabla1[[#This Row],[nudo inicial]]</f>
        <v>N209</v>
      </c>
      <c r="C461" s="58" t="str">
        <f>Tabla1[[#This Row],[nudo final]]</f>
        <v>N240</v>
      </c>
      <c r="D461" s="51">
        <f>Tabla1[[#This Row],[longitud]]</f>
        <v>63.37</v>
      </c>
      <c r="E461" s="51" t="str">
        <f>Tabla1[[#This Row],[diametro]]</f>
        <v>12"</v>
      </c>
      <c r="F461" s="51" t="str">
        <f>Tabla1[[#This Row],[material]]</f>
        <v>HF</v>
      </c>
      <c r="G46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12"</v>
      </c>
      <c r="H461" s="52" t="str">
        <f>IF(Tabla1[[#This Row],[5]]="TPD",Tabla1[[#This Row],[6]],"")</f>
        <v>12"</v>
      </c>
      <c r="I461" s="52">
        <f>IF(OR(Tabla1[[#This Row],[5]]="TPD"),Tabla1[[#This Row],[7]],"")</f>
        <v>1</v>
      </c>
      <c r="J461" s="52">
        <f>IF(Tabla15[[#This Row],[2]]="",0,VLOOKUP(TRAMOS!$H$2,Tabla5[#All],3,FALSE)*Tabla15[[#This Row],[3]])</f>
        <v>0.15</v>
      </c>
      <c r="K461" s="52" t="str">
        <f>IF(Tabla1[[#This Row],[5]]="TPL",Tabla1[[#This Row],[6]],"")</f>
        <v/>
      </c>
      <c r="L461" s="52" t="str">
        <f>IF(OR(Tabla1[[#This Row],[5]]="TPL"),Tabla1[[#This Row],[7]],"")</f>
        <v/>
      </c>
      <c r="M461" s="52">
        <f>IF(Tabla15[[#This Row],[5]]="",0,VLOOKUP(TRAMOS!$K$2,Tabla5[#All],3,FALSE)*Tabla15[[#This Row],[6]])</f>
        <v>0</v>
      </c>
      <c r="N46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6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61" s="52">
        <f>IF(Tabla15[[#This Row],[8]]="",0,VLOOKUP(TRAMOS!$H$2,Tabla5[#All],3,FALSE)*Tabla15[[#This Row],[9]])</f>
        <v>0</v>
      </c>
      <c r="Q46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6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61" s="52">
        <f>IF(Tabla15[[#This Row],[11]]="",0,VLOOKUP(TRAMOS!$Q$2,Tabla5[#All],3,FALSE)*Tabla15[[#This Row],[12]])</f>
        <v>0</v>
      </c>
      <c r="T46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6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6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6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6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6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6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6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61" s="52">
        <f>IF(Tabla15[[#This Row],[20]]="",0,VLOOKUP("VRP",Tabla5[#All],3,FALSE)*Tabla15[[#This Row],[21]])</f>
        <v>0</v>
      </c>
      <c r="AC46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6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61" s="52">
        <f>IF(Tabla15[[#This Row],[23]]="",0,VLOOKUP("VC",Tabla5[#All],3,FALSE)*Tabla15[[#This Row],[24]])</f>
        <v>0</v>
      </c>
      <c r="AF46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6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61" s="52">
        <f>IF(Tabla15[[#This Row],[26]]="",0,VLOOKUP(TRAMOS!$K$2,Tabla5[#All],3,FALSE)*Tabla15[[#This Row],[27]])</f>
        <v>0</v>
      </c>
      <c r="AI46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6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6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6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6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6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6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462" spans="2:41" x14ac:dyDescent="0.25">
      <c r="B462" s="58" t="str">
        <f>Tabla1[[#This Row],[nudo inicial]]</f>
        <v>N240</v>
      </c>
      <c r="C462" s="58" t="str">
        <f>Tabla1[[#This Row],[nudo final]]</f>
        <v>N241</v>
      </c>
      <c r="D462" s="51">
        <f>Tabla1[[#This Row],[longitud]]</f>
        <v>112.91</v>
      </c>
      <c r="E462" s="51" t="str">
        <f>Tabla1[[#This Row],[diametro]]</f>
        <v>12"</v>
      </c>
      <c r="F462" s="51" t="str">
        <f>Tabla1[[#This Row],[material]]</f>
        <v>HF</v>
      </c>
      <c r="G46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12"</v>
      </c>
      <c r="H462" s="52" t="str">
        <f>IF(Tabla1[[#This Row],[5]]="TPD",Tabla1[[#This Row],[6]],"")</f>
        <v>12"</v>
      </c>
      <c r="I462" s="52">
        <f>IF(OR(Tabla1[[#This Row],[5]]="TPD"),Tabla1[[#This Row],[7]],"")</f>
        <v>1</v>
      </c>
      <c r="J462" s="52">
        <f>IF(Tabla15[[#This Row],[2]]="",0,VLOOKUP(TRAMOS!$H$2,Tabla5[#All],3,FALSE)*Tabla15[[#This Row],[3]])</f>
        <v>0.15</v>
      </c>
      <c r="K462" s="52" t="str">
        <f>IF(Tabla1[[#This Row],[5]]="TPL",Tabla1[[#This Row],[6]],"")</f>
        <v/>
      </c>
      <c r="L462" s="52" t="str">
        <f>IF(OR(Tabla1[[#This Row],[5]]="TPL"),Tabla1[[#This Row],[7]],"")</f>
        <v/>
      </c>
      <c r="M462" s="52">
        <f>IF(Tabla15[[#This Row],[5]]="",0,VLOOKUP(TRAMOS!$K$2,Tabla5[#All],3,FALSE)*Tabla15[[#This Row],[6]])</f>
        <v>0</v>
      </c>
      <c r="N46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6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62" s="52">
        <f>IF(Tabla15[[#This Row],[8]]="",0,VLOOKUP(TRAMOS!$H$2,Tabla5[#All],3,FALSE)*Tabla15[[#This Row],[9]])</f>
        <v>0</v>
      </c>
      <c r="Q46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6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62" s="52">
        <f>IF(Tabla15[[#This Row],[11]]="",0,VLOOKUP(TRAMOS!$Q$2,Tabla5[#All],3,FALSE)*Tabla15[[#This Row],[12]])</f>
        <v>0</v>
      </c>
      <c r="T46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6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6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6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6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6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6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6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62" s="52">
        <f>IF(Tabla15[[#This Row],[20]]="",0,VLOOKUP("VRP",Tabla5[#All],3,FALSE)*Tabla15[[#This Row],[21]])</f>
        <v>0</v>
      </c>
      <c r="AC46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6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62" s="52">
        <f>IF(Tabla15[[#This Row],[23]]="",0,VLOOKUP("VC",Tabla5[#All],3,FALSE)*Tabla15[[#This Row],[24]])</f>
        <v>0</v>
      </c>
      <c r="AF46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6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62" s="52">
        <f>IF(Tabla15[[#This Row],[26]]="",0,VLOOKUP(TRAMOS!$K$2,Tabla5[#All],3,FALSE)*Tabla15[[#This Row],[27]])</f>
        <v>0</v>
      </c>
      <c r="AI46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6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6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6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6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6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6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463" spans="2:41" x14ac:dyDescent="0.25">
      <c r="B463" s="58" t="str">
        <f>Tabla1[[#This Row],[nudo inicial]]</f>
        <v>N240</v>
      </c>
      <c r="C463" s="58" t="str">
        <f>Tabla1[[#This Row],[nudo final]]</f>
        <v>N242</v>
      </c>
      <c r="D463" s="51">
        <f>Tabla1[[#This Row],[longitud]]</f>
        <v>9.2200000000000006</v>
      </c>
      <c r="E463" s="51" t="str">
        <f>Tabla1[[#This Row],[diametro]]</f>
        <v>3"</v>
      </c>
      <c r="F463" s="51" t="str">
        <f>Tabla1[[#This Row],[material]]</f>
        <v>HG</v>
      </c>
      <c r="G46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12"</v>
      </c>
      <c r="H463" s="52" t="str">
        <f>IF(Tabla1[[#This Row],[5]]="TPD",Tabla1[[#This Row],[6]],"")</f>
        <v/>
      </c>
      <c r="I463" s="52" t="str">
        <f>IF(OR(Tabla1[[#This Row],[5]]="TPD"),Tabla1[[#This Row],[7]],"")</f>
        <v/>
      </c>
      <c r="J463" s="52">
        <f>IF(Tabla15[[#This Row],[2]]="",0,VLOOKUP(TRAMOS!$H$2,Tabla5[#All],3,FALSE)*Tabla15[[#This Row],[3]])</f>
        <v>0</v>
      </c>
      <c r="K463" s="52" t="str">
        <f>IF(Tabla1[[#This Row],[5]]="TPL",Tabla1[[#This Row],[6]],"")</f>
        <v>12"</v>
      </c>
      <c r="L463" s="52">
        <f>IF(OR(Tabla1[[#This Row],[5]]="TPL"),Tabla1[[#This Row],[7]],"")</f>
        <v>1</v>
      </c>
      <c r="M463" s="52">
        <f>IF(Tabla15[[#This Row],[5]]="",0,VLOOKUP(TRAMOS!$K$2,Tabla5[#All],3,FALSE)*Tabla15[[#This Row],[6]])</f>
        <v>0.9</v>
      </c>
      <c r="N46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6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63" s="52">
        <f>IF(Tabla15[[#This Row],[8]]="",0,VLOOKUP(TRAMOS!$H$2,Tabla5[#All],3,FALSE)*Tabla15[[#This Row],[9]])</f>
        <v>0</v>
      </c>
      <c r="Q46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6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63" s="52">
        <f>IF(Tabla15[[#This Row],[11]]="",0,VLOOKUP(TRAMOS!$Q$2,Tabla5[#All],3,FALSE)*Tabla15[[#This Row],[12]])</f>
        <v>0</v>
      </c>
      <c r="T46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463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46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0.45</v>
      </c>
      <c r="W46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6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6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6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6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63" s="52">
        <f>IF(Tabla15[[#This Row],[20]]="",0,VLOOKUP("VRP",Tabla5[#All],3,FALSE)*Tabla15[[#This Row],[21]])</f>
        <v>0</v>
      </c>
      <c r="AC46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6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63" s="52">
        <f>IF(Tabla15[[#This Row],[23]]="",0,VLOOKUP("VC",Tabla5[#All],3,FALSE)*Tabla15[[#This Row],[24]])</f>
        <v>0</v>
      </c>
      <c r="AF46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6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63" s="52">
        <f>IF(Tabla15[[#This Row],[26]]="",0,VLOOKUP(TRAMOS!$K$2,Tabla5[#All],3,FALSE)*Tabla15[[#This Row],[27]])</f>
        <v>0</v>
      </c>
      <c r="AI46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6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6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6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6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6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6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1.35</v>
      </c>
    </row>
    <row r="464" spans="2:41" x14ac:dyDescent="0.25">
      <c r="B464" s="58" t="str">
        <f>Tabla1[[#This Row],[nudo inicial]]</f>
        <v>N242</v>
      </c>
      <c r="C464" s="58" t="str">
        <f>Tabla1[[#This Row],[nudo final]]</f>
        <v>N243</v>
      </c>
      <c r="D464" s="51">
        <f>Tabla1[[#This Row],[longitud]]</f>
        <v>100.34</v>
      </c>
      <c r="E464" s="51" t="str">
        <f>Tabla1[[#This Row],[diametro]]</f>
        <v>3"</v>
      </c>
      <c r="F464" s="51" t="str">
        <f>Tabla1[[#This Row],[material]]</f>
        <v>PVC</v>
      </c>
      <c r="G46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64" s="52" t="str">
        <f>IF(Tabla1[[#This Row],[5]]="TPD",Tabla1[[#This Row],[6]],"")</f>
        <v/>
      </c>
      <c r="I464" s="52" t="str">
        <f>IF(OR(Tabla1[[#This Row],[5]]="TPD"),Tabla1[[#This Row],[7]],"")</f>
        <v/>
      </c>
      <c r="J464" s="52">
        <f>IF(Tabla15[[#This Row],[2]]="",0,VLOOKUP(TRAMOS!$H$2,Tabla5[#All],3,FALSE)*Tabla15[[#This Row],[3]])</f>
        <v>0</v>
      </c>
      <c r="K464" s="52" t="str">
        <f>IF(Tabla1[[#This Row],[5]]="TPL",Tabla1[[#This Row],[6]],"")</f>
        <v/>
      </c>
      <c r="L464" s="52" t="str">
        <f>IF(OR(Tabla1[[#This Row],[5]]="TPL"),Tabla1[[#This Row],[7]],"")</f>
        <v/>
      </c>
      <c r="M464" s="52">
        <f>IF(Tabla15[[#This Row],[5]]="",0,VLOOKUP(TRAMOS!$K$2,Tabla5[#All],3,FALSE)*Tabla15[[#This Row],[6]])</f>
        <v>0</v>
      </c>
      <c r="N46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6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64" s="52">
        <f>IF(Tabla15[[#This Row],[8]]="",0,VLOOKUP(TRAMOS!$H$2,Tabla5[#All],3,FALSE)*Tabla15[[#This Row],[9]])</f>
        <v>0</v>
      </c>
      <c r="Q46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6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64" s="52">
        <f>IF(Tabla15[[#This Row],[11]]="",0,VLOOKUP(TRAMOS!$Q$2,Tabla5[#All],3,FALSE)*Tabla15[[#This Row],[12]])</f>
        <v>0</v>
      </c>
      <c r="T46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6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6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6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6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6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6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6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64" s="52">
        <f>IF(Tabla15[[#This Row],[20]]="",0,VLOOKUP("VRP",Tabla5[#All],3,FALSE)*Tabla15[[#This Row],[21]])</f>
        <v>0</v>
      </c>
      <c r="AC46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464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464" s="52">
        <f>IF(Tabla15[[#This Row],[23]]="",0,VLOOKUP("VC",Tabla5[#All],3,FALSE)*Tabla15[[#This Row],[24]])</f>
        <v>0.25</v>
      </c>
      <c r="AF46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6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64" s="52">
        <f>IF(Tabla15[[#This Row],[26]]="",0,VLOOKUP(TRAMOS!$K$2,Tabla5[#All],3,FALSE)*Tabla15[[#This Row],[27]])</f>
        <v>0</v>
      </c>
      <c r="AI46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6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6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6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6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6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6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0.25</v>
      </c>
    </row>
    <row r="465" spans="2:41" x14ac:dyDescent="0.25">
      <c r="B465" s="58" t="str">
        <f>Tabla1[[#This Row],[nudo inicial]]</f>
        <v>N243</v>
      </c>
      <c r="C465" s="58" t="str">
        <f>Tabla1[[#This Row],[nudo final]]</f>
        <v>TP175</v>
      </c>
      <c r="D465" s="51">
        <f>Tabla1[[#This Row],[longitud]]</f>
        <v>38.29</v>
      </c>
      <c r="E465" s="51" t="str">
        <f>Tabla1[[#This Row],[diametro]]</f>
        <v>2"</v>
      </c>
      <c r="F465" s="51" t="str">
        <f>Tabla1[[#This Row],[material]]</f>
        <v>PVC</v>
      </c>
      <c r="G46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65" s="52" t="str">
        <f>IF(Tabla1[[#This Row],[5]]="TPD",Tabla1[[#This Row],[6]],"")</f>
        <v/>
      </c>
      <c r="I465" s="52" t="str">
        <f>IF(OR(Tabla1[[#This Row],[5]]="TPD"),Tabla1[[#This Row],[7]],"")</f>
        <v/>
      </c>
      <c r="J465" s="52">
        <f>IF(Tabla15[[#This Row],[2]]="",0,VLOOKUP(TRAMOS!$H$2,Tabla5[#All],3,FALSE)*Tabla15[[#This Row],[3]])</f>
        <v>0</v>
      </c>
      <c r="K465" s="52" t="str">
        <f>IF(Tabla1[[#This Row],[5]]="TPL",Tabla1[[#This Row],[6]],"")</f>
        <v>3"</v>
      </c>
      <c r="L465" s="52">
        <f>IF(OR(Tabla1[[#This Row],[5]]="TPL"),Tabla1[[#This Row],[7]],"")</f>
        <v>1</v>
      </c>
      <c r="M465" s="52">
        <f>IF(Tabla15[[#This Row],[5]]="",0,VLOOKUP(TRAMOS!$K$2,Tabla5[#All],3,FALSE)*Tabla15[[#This Row],[6]])</f>
        <v>0.9</v>
      </c>
      <c r="N46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6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65" s="52">
        <f>IF(Tabla15[[#This Row],[8]]="",0,VLOOKUP(TRAMOS!$H$2,Tabla5[#All],3,FALSE)*Tabla15[[#This Row],[9]])</f>
        <v>0</v>
      </c>
      <c r="Q46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6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65" s="52">
        <f>IF(Tabla15[[#This Row],[11]]="",0,VLOOKUP(TRAMOS!$Q$2,Tabla5[#All],3,FALSE)*Tabla15[[#This Row],[12]])</f>
        <v>0</v>
      </c>
      <c r="T46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465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46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46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6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6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6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6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65" s="52">
        <f>IF(Tabla15[[#This Row],[20]]="",0,VLOOKUP("VRP",Tabla5[#All],3,FALSE)*Tabla15[[#This Row],[21]])</f>
        <v>0</v>
      </c>
      <c r="AC46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6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65" s="52">
        <f>IF(Tabla15[[#This Row],[23]]="",0,VLOOKUP("VC",Tabla5[#All],3,FALSE)*Tabla15[[#This Row],[24]])</f>
        <v>0</v>
      </c>
      <c r="AF46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6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65" s="52">
        <f>IF(Tabla15[[#This Row],[26]]="",0,VLOOKUP(TRAMOS!$K$2,Tabla5[#All],3,FALSE)*Tabla15[[#This Row],[27]])</f>
        <v>0</v>
      </c>
      <c r="AI46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6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6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6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6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465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46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466" spans="2:41" x14ac:dyDescent="0.25">
      <c r="B466" s="58" t="str">
        <f>Tabla1[[#This Row],[nudo inicial]]</f>
        <v>N243</v>
      </c>
      <c r="C466" s="58" t="str">
        <f>Tabla1[[#This Row],[nudo final]]</f>
        <v>N285</v>
      </c>
      <c r="D466" s="51">
        <f>Tabla1[[#This Row],[longitud]]</f>
        <v>448.76</v>
      </c>
      <c r="E466" s="51" t="str">
        <f>Tabla1[[#This Row],[diametro]]</f>
        <v>2"</v>
      </c>
      <c r="F466" s="51" t="str">
        <f>Tabla1[[#This Row],[material]]</f>
        <v>PVC</v>
      </c>
      <c r="G46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66" s="52" t="str">
        <f>IF(Tabla1[[#This Row],[5]]="TPD",Tabla1[[#This Row],[6]],"")</f>
        <v>3"</v>
      </c>
      <c r="I466" s="52">
        <f>IF(OR(Tabla1[[#This Row],[5]]="TPD"),Tabla1[[#This Row],[7]],"")</f>
        <v>1</v>
      </c>
      <c r="J466" s="52">
        <f>IF(Tabla15[[#This Row],[2]]="",0,VLOOKUP(TRAMOS!$H$2,Tabla5[#All],3,FALSE)*Tabla15[[#This Row],[3]])</f>
        <v>0.15</v>
      </c>
      <c r="K466" s="52" t="str">
        <f>IF(Tabla1[[#This Row],[5]]="TPL",Tabla1[[#This Row],[6]],"")</f>
        <v/>
      </c>
      <c r="L466" s="52" t="str">
        <f>IF(OR(Tabla1[[#This Row],[5]]="TPL"),Tabla1[[#This Row],[7]],"")</f>
        <v/>
      </c>
      <c r="M466" s="52">
        <f>IF(Tabla15[[#This Row],[5]]="",0,VLOOKUP(TRAMOS!$K$2,Tabla5[#All],3,FALSE)*Tabla15[[#This Row],[6]])</f>
        <v>0</v>
      </c>
      <c r="N46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6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66" s="52">
        <f>IF(Tabla15[[#This Row],[8]]="",0,VLOOKUP(TRAMOS!$H$2,Tabla5[#All],3,FALSE)*Tabla15[[#This Row],[9]])</f>
        <v>0</v>
      </c>
      <c r="Q46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466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2</v>
      </c>
      <c r="S466" s="52">
        <f>IF(Tabla15[[#This Row],[11]]="",0,VLOOKUP(TRAMOS!$Q$2,Tabla5[#All],3,FALSE)*Tabla15[[#This Row],[12]])</f>
        <v>1.8</v>
      </c>
      <c r="T46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466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46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46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6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6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6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6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66" s="52">
        <f>IF(Tabla15[[#This Row],[20]]="",0,VLOOKUP("VRP",Tabla5[#All],3,FALSE)*Tabla15[[#This Row],[21]])</f>
        <v>0</v>
      </c>
      <c r="AC46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466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466" s="52">
        <f>IF(Tabla15[[#This Row],[23]]="",0,VLOOKUP("VC",Tabla5[#All],3,FALSE)*Tabla15[[#This Row],[24]])</f>
        <v>0.25</v>
      </c>
      <c r="AF46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6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66" s="52">
        <f>IF(Tabla15[[#This Row],[26]]="",0,VLOOKUP(TRAMOS!$K$2,Tabla5[#All],3,FALSE)*Tabla15[[#This Row],[27]])</f>
        <v>0</v>
      </c>
      <c r="AI46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6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6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6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6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6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6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2.415</v>
      </c>
    </row>
    <row r="467" spans="2:41" x14ac:dyDescent="0.25">
      <c r="B467" s="58" t="str">
        <f>Tabla1[[#This Row],[nudo inicial]]</f>
        <v>N75</v>
      </c>
      <c r="C467" s="58" t="str">
        <f>Tabla1[[#This Row],[nudo final]]</f>
        <v>N286</v>
      </c>
      <c r="D467" s="51">
        <f>Tabla1[[#This Row],[longitud]]</f>
        <v>75.67</v>
      </c>
      <c r="E467" s="51" t="str">
        <f>Tabla1[[#This Row],[diametro]]</f>
        <v>8"</v>
      </c>
      <c r="F467" s="51" t="str">
        <f>Tabla1[[#This Row],[material]]</f>
        <v>AC</v>
      </c>
      <c r="G46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467" s="52" t="str">
        <f>IF(Tabla1[[#This Row],[5]]="TPD",Tabla1[[#This Row],[6]],"")</f>
        <v/>
      </c>
      <c r="I467" s="52" t="str">
        <f>IF(OR(Tabla1[[#This Row],[5]]="TPD"),Tabla1[[#This Row],[7]],"")</f>
        <v/>
      </c>
      <c r="J467" s="52">
        <f>IF(Tabla15[[#This Row],[2]]="",0,VLOOKUP(TRAMOS!$H$2,Tabla5[#All],3,FALSE)*Tabla15[[#This Row],[3]])</f>
        <v>0</v>
      </c>
      <c r="K467" s="52" t="str">
        <f>IF(Tabla1[[#This Row],[5]]="TPL",Tabla1[[#This Row],[6]],"")</f>
        <v>8"</v>
      </c>
      <c r="L467" s="52">
        <f>IF(OR(Tabla1[[#This Row],[5]]="TPL"),Tabla1[[#This Row],[7]],"")</f>
        <v>1</v>
      </c>
      <c r="M467" s="52">
        <f>IF(Tabla15[[#This Row],[5]]="",0,VLOOKUP(TRAMOS!$K$2,Tabla5[#All],3,FALSE)*Tabla15[[#This Row],[6]])</f>
        <v>0.9</v>
      </c>
      <c r="N46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6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67" s="52">
        <f>IF(Tabla15[[#This Row],[8]]="",0,VLOOKUP(TRAMOS!$H$2,Tabla5[#All],3,FALSE)*Tabla15[[#This Row],[9]])</f>
        <v>0</v>
      </c>
      <c r="Q46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6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67" s="52">
        <f>IF(Tabla15[[#This Row],[11]]="",0,VLOOKUP(TRAMOS!$Q$2,Tabla5[#All],3,FALSE)*Tabla15[[#This Row],[12]])</f>
        <v>0</v>
      </c>
      <c r="T46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6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6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6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6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6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6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6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67" s="52">
        <f>IF(Tabla15[[#This Row],[20]]="",0,VLOOKUP("VRP",Tabla5[#All],3,FALSE)*Tabla15[[#This Row],[21]])</f>
        <v>0</v>
      </c>
      <c r="AC46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8"</v>
      </c>
      <c r="AD467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467" s="52">
        <f>IF(Tabla15[[#This Row],[23]]="",0,VLOOKUP("VC",Tabla5[#All],3,FALSE)*Tabla15[[#This Row],[24]])</f>
        <v>0.25</v>
      </c>
      <c r="AF46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6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67" s="52">
        <f>IF(Tabla15[[#This Row],[26]]="",0,VLOOKUP(TRAMOS!$K$2,Tabla5[#All],3,FALSE)*Tabla15[[#This Row],[27]])</f>
        <v>0</v>
      </c>
      <c r="AI46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6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6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6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6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6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6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1.1499999999999999</v>
      </c>
    </row>
    <row r="468" spans="2:41" x14ac:dyDescent="0.25">
      <c r="B468" s="58" t="str">
        <f>Tabla1[[#This Row],[nudo inicial]]</f>
        <v>N286</v>
      </c>
      <c r="C468" s="58" t="str">
        <f>Tabla1[[#This Row],[nudo final]]</f>
        <v>N287</v>
      </c>
      <c r="D468" s="51">
        <f>Tabla1[[#This Row],[longitud]]</f>
        <v>711.2</v>
      </c>
      <c r="E468" s="51" t="str">
        <f>Tabla1[[#This Row],[diametro]]</f>
        <v>8"</v>
      </c>
      <c r="F468" s="51" t="str">
        <f>Tabla1[[#This Row],[material]]</f>
        <v>PVC</v>
      </c>
      <c r="G46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468" s="52" t="str">
        <f>IF(Tabla1[[#This Row],[5]]="TPD",Tabla1[[#This Row],[6]],"")</f>
        <v/>
      </c>
      <c r="I468" s="52" t="str">
        <f>IF(OR(Tabla1[[#This Row],[5]]="TPD"),Tabla1[[#This Row],[7]],"")</f>
        <v/>
      </c>
      <c r="J468" s="52">
        <f>IF(Tabla15[[#This Row],[2]]="",0,VLOOKUP(TRAMOS!$H$2,Tabla5[#All],3,FALSE)*Tabla15[[#This Row],[3]])</f>
        <v>0</v>
      </c>
      <c r="K468" s="52" t="str">
        <f>IF(Tabla1[[#This Row],[5]]="TPL",Tabla1[[#This Row],[6]],"")</f>
        <v/>
      </c>
      <c r="L468" s="52" t="str">
        <f>IF(OR(Tabla1[[#This Row],[5]]="TPL"),Tabla1[[#This Row],[7]],"")</f>
        <v/>
      </c>
      <c r="M468" s="52">
        <f>IF(Tabla15[[#This Row],[5]]="",0,VLOOKUP(TRAMOS!$K$2,Tabla5[#All],3,FALSE)*Tabla15[[#This Row],[6]])</f>
        <v>0</v>
      </c>
      <c r="N46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6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68" s="52">
        <f>IF(Tabla15[[#This Row],[8]]="",0,VLOOKUP(TRAMOS!$H$2,Tabla5[#All],3,FALSE)*Tabla15[[#This Row],[9]])</f>
        <v>0</v>
      </c>
      <c r="Q46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8"</v>
      </c>
      <c r="R468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468" s="52">
        <f>IF(Tabla15[[#This Row],[11]]="",0,VLOOKUP(TRAMOS!$Q$2,Tabla5[#All],3,FALSE)*Tabla15[[#This Row],[12]])</f>
        <v>0.9</v>
      </c>
      <c r="T46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6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6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6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6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6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6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6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68" s="52">
        <f>IF(Tabla15[[#This Row],[20]]="",0,VLOOKUP("VRP",Tabla5[#All],3,FALSE)*Tabla15[[#This Row],[21]])</f>
        <v>0</v>
      </c>
      <c r="AC46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6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68" s="52">
        <f>IF(Tabla15[[#This Row],[23]]="",0,VLOOKUP("VC",Tabla5[#All],3,FALSE)*Tabla15[[#This Row],[24]])</f>
        <v>0</v>
      </c>
      <c r="AF46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6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68" s="52">
        <f>IF(Tabla15[[#This Row],[26]]="",0,VLOOKUP(TRAMOS!$K$2,Tabla5[#All],3,FALSE)*Tabla15[[#This Row],[27]])</f>
        <v>0</v>
      </c>
      <c r="AI46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6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6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6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6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6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6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469" spans="2:41" x14ac:dyDescent="0.25">
      <c r="B469" s="58" t="str">
        <f>Tabla1[[#This Row],[nudo inicial]]</f>
        <v>N287</v>
      </c>
      <c r="C469" s="58" t="str">
        <f>Tabla1[[#This Row],[nudo final]]</f>
        <v>T. PROVINCIAL</v>
      </c>
      <c r="D469" s="51">
        <f>Tabla1[[#This Row],[longitud]]</f>
        <v>13.87</v>
      </c>
      <c r="E469" s="51" t="str">
        <f>Tabla1[[#This Row],[diametro]]</f>
        <v>8"</v>
      </c>
      <c r="F469" s="51" t="str">
        <f>Tabla1[[#This Row],[material]]</f>
        <v>AC</v>
      </c>
      <c r="G46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469" s="52" t="str">
        <f>IF(Tabla1[[#This Row],[5]]="TPD",Tabla1[[#This Row],[6]],"")</f>
        <v/>
      </c>
      <c r="I469" s="52" t="str">
        <f>IF(OR(Tabla1[[#This Row],[5]]="TPD"),Tabla1[[#This Row],[7]],"")</f>
        <v/>
      </c>
      <c r="J469" s="52">
        <f>IF(Tabla15[[#This Row],[2]]="",0,VLOOKUP(TRAMOS!$H$2,Tabla5[#All],3,FALSE)*Tabla15[[#This Row],[3]])</f>
        <v>0</v>
      </c>
      <c r="K469" s="52" t="str">
        <f>IF(Tabla1[[#This Row],[5]]="TPL",Tabla1[[#This Row],[6]],"")</f>
        <v>8"</v>
      </c>
      <c r="L469" s="52">
        <f>IF(OR(Tabla1[[#This Row],[5]]="TPL"),Tabla1[[#This Row],[7]],"")</f>
        <v>1</v>
      </c>
      <c r="M469" s="52">
        <f>IF(Tabla15[[#This Row],[5]]="",0,VLOOKUP(TRAMOS!$K$2,Tabla5[#All],3,FALSE)*Tabla15[[#This Row],[6]])</f>
        <v>0.9</v>
      </c>
      <c r="N46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6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69" s="52">
        <f>IF(Tabla15[[#This Row],[8]]="",0,VLOOKUP(TRAMOS!$H$2,Tabla5[#All],3,FALSE)*Tabla15[[#This Row],[9]])</f>
        <v>0</v>
      </c>
      <c r="Q46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6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69" s="52">
        <f>IF(Tabla15[[#This Row],[11]]="",0,VLOOKUP(TRAMOS!$Q$2,Tabla5[#All],3,FALSE)*Tabla15[[#This Row],[12]])</f>
        <v>0</v>
      </c>
      <c r="T46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6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6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6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6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6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6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6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69" s="52">
        <f>IF(Tabla15[[#This Row],[20]]="",0,VLOOKUP("VRP",Tabla5[#All],3,FALSE)*Tabla15[[#This Row],[21]])</f>
        <v>0</v>
      </c>
      <c r="AC46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8"</v>
      </c>
      <c r="AD469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469" s="52">
        <f>IF(Tabla15[[#This Row],[23]]="",0,VLOOKUP("VC",Tabla5[#All],3,FALSE)*Tabla15[[#This Row],[24]])</f>
        <v>0.25</v>
      </c>
      <c r="AF46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6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69" s="52">
        <f>IF(Tabla15[[#This Row],[26]]="",0,VLOOKUP(TRAMOS!$K$2,Tabla5[#All],3,FALSE)*Tabla15[[#This Row],[27]])</f>
        <v>0</v>
      </c>
      <c r="AI46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6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6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6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6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6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6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1.1499999999999999</v>
      </c>
    </row>
    <row r="470" spans="2:41" x14ac:dyDescent="0.25">
      <c r="B470" s="58" t="str">
        <f>Tabla1[[#This Row],[nudo inicial]]</f>
        <v>N287</v>
      </c>
      <c r="C470" s="58" t="str">
        <f>Tabla1[[#This Row],[nudo final]]</f>
        <v>N244</v>
      </c>
      <c r="D470" s="51">
        <f>Tabla1[[#This Row],[longitud]]</f>
        <v>107.35</v>
      </c>
      <c r="E470" s="51" t="str">
        <f>Tabla1[[#This Row],[diametro]]</f>
        <v>8"</v>
      </c>
      <c r="F470" s="51" t="str">
        <f>Tabla1[[#This Row],[material]]</f>
        <v>PVC</v>
      </c>
      <c r="G47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470" s="52" t="str">
        <f>IF(Tabla1[[#This Row],[5]]="TPD",Tabla1[[#This Row],[6]],"")</f>
        <v>8"</v>
      </c>
      <c r="I470" s="52">
        <f>IF(OR(Tabla1[[#This Row],[5]]="TPD"),Tabla1[[#This Row],[7]],"")</f>
        <v>1</v>
      </c>
      <c r="J470" s="52">
        <f>IF(Tabla15[[#This Row],[2]]="",0,VLOOKUP(TRAMOS!$H$2,Tabla5[#All],3,FALSE)*Tabla15[[#This Row],[3]])</f>
        <v>0.15</v>
      </c>
      <c r="K470" s="52" t="str">
        <f>IF(Tabla1[[#This Row],[5]]="TPL",Tabla1[[#This Row],[6]],"")</f>
        <v/>
      </c>
      <c r="L470" s="52" t="str">
        <f>IF(OR(Tabla1[[#This Row],[5]]="TPL"),Tabla1[[#This Row],[7]],"")</f>
        <v/>
      </c>
      <c r="M470" s="52">
        <f>IF(Tabla15[[#This Row],[5]]="",0,VLOOKUP(TRAMOS!$K$2,Tabla5[#All],3,FALSE)*Tabla15[[#This Row],[6]])</f>
        <v>0</v>
      </c>
      <c r="N47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7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70" s="52">
        <f>IF(Tabla15[[#This Row],[8]]="",0,VLOOKUP(TRAMOS!$H$2,Tabla5[#All],3,FALSE)*Tabla15[[#This Row],[9]])</f>
        <v>0</v>
      </c>
      <c r="Q47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7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70" s="52">
        <f>IF(Tabla15[[#This Row],[11]]="",0,VLOOKUP(TRAMOS!$Q$2,Tabla5[#All],3,FALSE)*Tabla15[[#This Row],[12]])</f>
        <v>0</v>
      </c>
      <c r="T47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7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7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7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7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7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7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7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70" s="52">
        <f>IF(Tabla15[[#This Row],[20]]="",0,VLOOKUP("VRP",Tabla5[#All],3,FALSE)*Tabla15[[#This Row],[21]])</f>
        <v>0</v>
      </c>
      <c r="AC47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7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70" s="52">
        <f>IF(Tabla15[[#This Row],[23]]="",0,VLOOKUP("VC",Tabla5[#All],3,FALSE)*Tabla15[[#This Row],[24]])</f>
        <v>0</v>
      </c>
      <c r="AF47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7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70" s="52">
        <f>IF(Tabla15[[#This Row],[26]]="",0,VLOOKUP(TRAMOS!$K$2,Tabla5[#All],3,FALSE)*Tabla15[[#This Row],[27]])</f>
        <v>0</v>
      </c>
      <c r="AI47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7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7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7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7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7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7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471" spans="2:41" x14ac:dyDescent="0.25">
      <c r="B471" s="58" t="str">
        <f>Tabla1[[#This Row],[nudo inicial]]</f>
        <v>N244</v>
      </c>
      <c r="C471" s="58" t="str">
        <f>Tabla1[[#This Row],[nudo final]]</f>
        <v>N245</v>
      </c>
      <c r="D471" s="51">
        <f>Tabla1[[#This Row],[longitud]]</f>
        <v>48.08</v>
      </c>
      <c r="E471" s="51" t="str">
        <f>Tabla1[[#This Row],[diametro]]</f>
        <v>8"</v>
      </c>
      <c r="F471" s="51" t="str">
        <f>Tabla1[[#This Row],[material]]</f>
        <v>AC</v>
      </c>
      <c r="G47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471" s="52" t="str">
        <f>IF(Tabla1[[#This Row],[5]]="TPD",Tabla1[[#This Row],[6]],"")</f>
        <v/>
      </c>
      <c r="I471" s="52" t="str">
        <f>IF(OR(Tabla1[[#This Row],[5]]="TPD"),Tabla1[[#This Row],[7]],"")</f>
        <v/>
      </c>
      <c r="J471" s="52">
        <f>IF(Tabla15[[#This Row],[2]]="",0,VLOOKUP(TRAMOS!$H$2,Tabla5[#All],3,FALSE)*Tabla15[[#This Row],[3]])</f>
        <v>0</v>
      </c>
      <c r="K471" s="52" t="str">
        <f>IF(Tabla1[[#This Row],[5]]="TPL",Tabla1[[#This Row],[6]],"")</f>
        <v/>
      </c>
      <c r="L471" s="52" t="str">
        <f>IF(OR(Tabla1[[#This Row],[5]]="TPL"),Tabla1[[#This Row],[7]],"")</f>
        <v/>
      </c>
      <c r="M471" s="52">
        <f>IF(Tabla15[[#This Row],[5]]="",0,VLOOKUP(TRAMOS!$K$2,Tabla5[#All],3,FALSE)*Tabla15[[#This Row],[6]])</f>
        <v>0</v>
      </c>
      <c r="N47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7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71" s="52">
        <f>IF(Tabla15[[#This Row],[8]]="",0,VLOOKUP(TRAMOS!$H$2,Tabla5[#All],3,FALSE)*Tabla15[[#This Row],[9]])</f>
        <v>0</v>
      </c>
      <c r="Q47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7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71" s="52">
        <f>IF(Tabla15[[#This Row],[11]]="",0,VLOOKUP(TRAMOS!$Q$2,Tabla5[#All],3,FALSE)*Tabla15[[#This Row],[12]])</f>
        <v>0</v>
      </c>
      <c r="T47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7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7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7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7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7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7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7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71" s="52">
        <f>IF(Tabla15[[#This Row],[20]]="",0,VLOOKUP("VRP",Tabla5[#All],3,FALSE)*Tabla15[[#This Row],[21]])</f>
        <v>0</v>
      </c>
      <c r="AC47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7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71" s="52">
        <f>IF(Tabla15[[#This Row],[23]]="",0,VLOOKUP("VC",Tabla5[#All],3,FALSE)*Tabla15[[#This Row],[24]])</f>
        <v>0</v>
      </c>
      <c r="AF47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7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71" s="52">
        <f>IF(Tabla15[[#This Row],[26]]="",0,VLOOKUP(TRAMOS!$K$2,Tabla5[#All],3,FALSE)*Tabla15[[#This Row],[27]])</f>
        <v>0</v>
      </c>
      <c r="AI47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7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7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7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7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7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7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</v>
      </c>
    </row>
    <row r="472" spans="2:41" x14ac:dyDescent="0.25">
      <c r="B472" s="58" t="str">
        <f>Tabla1[[#This Row],[nudo inicial]]</f>
        <v>N245</v>
      </c>
      <c r="C472" s="58" t="str">
        <f>Tabla1[[#This Row],[nudo final]]</f>
        <v>TP176</v>
      </c>
      <c r="D472" s="51">
        <f>Tabla1[[#This Row],[longitud]]</f>
        <v>187.11</v>
      </c>
      <c r="E472" s="51" t="str">
        <f>Tabla1[[#This Row],[diametro]]</f>
        <v>2"</v>
      </c>
      <c r="F472" s="51" t="str">
        <f>Tabla1[[#This Row],[material]]</f>
        <v>PVC</v>
      </c>
      <c r="G47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472" s="52" t="str">
        <f>IF(Tabla1[[#This Row],[5]]="TPD",Tabla1[[#This Row],[6]],"")</f>
        <v/>
      </c>
      <c r="I472" s="52" t="str">
        <f>IF(OR(Tabla1[[#This Row],[5]]="TPD"),Tabla1[[#This Row],[7]],"")</f>
        <v/>
      </c>
      <c r="J472" s="52">
        <f>IF(Tabla15[[#This Row],[2]]="",0,VLOOKUP(TRAMOS!$H$2,Tabla5[#All],3,FALSE)*Tabla15[[#This Row],[3]])</f>
        <v>0</v>
      </c>
      <c r="K472" s="52" t="str">
        <f>IF(Tabla1[[#This Row],[5]]="TPL",Tabla1[[#This Row],[6]],"")</f>
        <v>8"</v>
      </c>
      <c r="L472" s="52">
        <f>IF(OR(Tabla1[[#This Row],[5]]="TPL"),Tabla1[[#This Row],[7]],"")</f>
        <v>1</v>
      </c>
      <c r="M472" s="52">
        <f>IF(Tabla15[[#This Row],[5]]="",0,VLOOKUP(TRAMOS!$K$2,Tabla5[#All],3,FALSE)*Tabla15[[#This Row],[6]])</f>
        <v>0.9</v>
      </c>
      <c r="N47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7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72" s="52">
        <f>IF(Tabla15[[#This Row],[8]]="",0,VLOOKUP(TRAMOS!$H$2,Tabla5[#All],3,FALSE)*Tabla15[[#This Row],[9]])</f>
        <v>0</v>
      </c>
      <c r="Q47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7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72" s="52">
        <f>IF(Tabla15[[#This Row],[11]]="",0,VLOOKUP(TRAMOS!$Q$2,Tabla5[#All],3,FALSE)*Tabla15[[#This Row],[12]])</f>
        <v>0</v>
      </c>
      <c r="T47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472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47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0.45</v>
      </c>
      <c r="W47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7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7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7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7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72" s="52">
        <f>IF(Tabla15[[#This Row],[20]]="",0,VLOOKUP("VRP",Tabla5[#All],3,FALSE)*Tabla15[[#This Row],[21]])</f>
        <v>0</v>
      </c>
      <c r="AC47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7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72" s="52">
        <f>IF(Tabla15[[#This Row],[23]]="",0,VLOOKUP("VC",Tabla5[#All],3,FALSE)*Tabla15[[#This Row],[24]])</f>
        <v>0</v>
      </c>
      <c r="AF47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7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72" s="52">
        <f>IF(Tabla15[[#This Row],[26]]="",0,VLOOKUP(TRAMOS!$K$2,Tabla5[#All],3,FALSE)*Tabla15[[#This Row],[27]])</f>
        <v>0</v>
      </c>
      <c r="AI47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7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7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7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7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472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47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1.35</v>
      </c>
    </row>
    <row r="473" spans="2:41" x14ac:dyDescent="0.25">
      <c r="B473" s="58" t="str">
        <f>Tabla1[[#This Row],[nudo inicial]]</f>
        <v>N245</v>
      </c>
      <c r="C473" s="58" t="str">
        <f>Tabla1[[#This Row],[nudo final]]</f>
        <v>N246</v>
      </c>
      <c r="D473" s="51">
        <f>Tabla1[[#This Row],[longitud]]</f>
        <v>343.5</v>
      </c>
      <c r="E473" s="51" t="str">
        <f>Tabla1[[#This Row],[diametro]]</f>
        <v>8"</v>
      </c>
      <c r="F473" s="51" t="str">
        <f>Tabla1[[#This Row],[material]]</f>
        <v>AC</v>
      </c>
      <c r="G47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473" s="52" t="str">
        <f>IF(Tabla1[[#This Row],[5]]="TPD",Tabla1[[#This Row],[6]],"")</f>
        <v/>
      </c>
      <c r="I473" s="52" t="str">
        <f>IF(OR(Tabla1[[#This Row],[5]]="TPD"),Tabla1[[#This Row],[7]],"")</f>
        <v/>
      </c>
      <c r="J473" s="52">
        <f>IF(Tabla15[[#This Row],[2]]="",0,VLOOKUP(TRAMOS!$H$2,Tabla5[#All],3,FALSE)*Tabla15[[#This Row],[3]])</f>
        <v>0</v>
      </c>
      <c r="K473" s="52" t="str">
        <f>IF(Tabla1[[#This Row],[5]]="TPL",Tabla1[[#This Row],[6]],"")</f>
        <v>8"</v>
      </c>
      <c r="L473" s="52">
        <f>IF(OR(Tabla1[[#This Row],[5]]="TPL"),Tabla1[[#This Row],[7]],"")</f>
        <v>1</v>
      </c>
      <c r="M473" s="52">
        <f>IF(Tabla15[[#This Row],[5]]="",0,VLOOKUP(TRAMOS!$K$2,Tabla5[#All],3,FALSE)*Tabla15[[#This Row],[6]])</f>
        <v>0.9</v>
      </c>
      <c r="N47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7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73" s="52">
        <f>IF(Tabla15[[#This Row],[8]]="",0,VLOOKUP(TRAMOS!$H$2,Tabla5[#All],3,FALSE)*Tabla15[[#This Row],[9]])</f>
        <v>0</v>
      </c>
      <c r="Q47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8"</v>
      </c>
      <c r="R473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473" s="52">
        <f>IF(Tabla15[[#This Row],[11]]="",0,VLOOKUP(TRAMOS!$Q$2,Tabla5[#All],3,FALSE)*Tabla15[[#This Row],[12]])</f>
        <v>0.9</v>
      </c>
      <c r="T47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7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7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7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7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7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7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7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73" s="52">
        <f>IF(Tabla15[[#This Row],[20]]="",0,VLOOKUP("VRP",Tabla5[#All],3,FALSE)*Tabla15[[#This Row],[21]])</f>
        <v>0</v>
      </c>
      <c r="AC47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8"</v>
      </c>
      <c r="AD473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473" s="52">
        <f>IF(Tabla15[[#This Row],[23]]="",0,VLOOKUP("VC",Tabla5[#All],3,FALSE)*Tabla15[[#This Row],[24]])</f>
        <v>0.25</v>
      </c>
      <c r="AF47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7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73" s="52">
        <f>IF(Tabla15[[#This Row],[26]]="",0,VLOOKUP(TRAMOS!$K$2,Tabla5[#All],3,FALSE)*Tabla15[[#This Row],[27]])</f>
        <v>0</v>
      </c>
      <c r="AI47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7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7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7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7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7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7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2.0499999999999998</v>
      </c>
    </row>
    <row r="474" spans="2:41" x14ac:dyDescent="0.25">
      <c r="B474" s="58" t="str">
        <f>Tabla1[[#This Row],[nudo inicial]]</f>
        <v>T. PROVINCIAL</v>
      </c>
      <c r="C474" s="58" t="str">
        <f>Tabla1[[#This Row],[nudo final]]</f>
        <v>N247</v>
      </c>
      <c r="D474" s="51">
        <f>Tabla1[[#This Row],[longitud]]</f>
        <v>367.22</v>
      </c>
      <c r="E474" s="51" t="str">
        <f>Tabla1[[#This Row],[diametro]]</f>
        <v>8"</v>
      </c>
      <c r="F474" s="51" t="str">
        <f>Tabla1[[#This Row],[material]]</f>
        <v>AC</v>
      </c>
      <c r="G47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474" s="52" t="str">
        <f>IF(Tabla1[[#This Row],[5]]="TPD",Tabla1[[#This Row],[6]],"")</f>
        <v/>
      </c>
      <c r="I474" s="52" t="str">
        <f>IF(OR(Tabla1[[#This Row],[5]]="TPD"),Tabla1[[#This Row],[7]],"")</f>
        <v/>
      </c>
      <c r="J474" s="52">
        <f>IF(Tabla15[[#This Row],[2]]="",0,VLOOKUP(TRAMOS!$H$2,Tabla5[#All],3,FALSE)*Tabla15[[#This Row],[3]])</f>
        <v>0</v>
      </c>
      <c r="K474" s="52" t="str">
        <f>IF(Tabla1[[#This Row],[5]]="TPL",Tabla1[[#This Row],[6]],"")</f>
        <v/>
      </c>
      <c r="L474" s="52" t="str">
        <f>IF(OR(Tabla1[[#This Row],[5]]="TPL"),Tabla1[[#This Row],[7]],"")</f>
        <v/>
      </c>
      <c r="M474" s="52">
        <f>IF(Tabla15[[#This Row],[5]]="",0,VLOOKUP(TRAMOS!$K$2,Tabla5[#All],3,FALSE)*Tabla15[[#This Row],[6]])</f>
        <v>0</v>
      </c>
      <c r="N47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7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74" s="52">
        <f>IF(Tabla15[[#This Row],[8]]="",0,VLOOKUP(TRAMOS!$H$2,Tabla5[#All],3,FALSE)*Tabla15[[#This Row],[9]])</f>
        <v>0</v>
      </c>
      <c r="Q47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8"</v>
      </c>
      <c r="R474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474" s="52">
        <f>IF(Tabla15[[#This Row],[11]]="",0,VLOOKUP(TRAMOS!$Q$2,Tabla5[#All],3,FALSE)*Tabla15[[#This Row],[12]])</f>
        <v>0.9</v>
      </c>
      <c r="T47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7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7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7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7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7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7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7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74" s="52">
        <f>IF(Tabla15[[#This Row],[20]]="",0,VLOOKUP("VRP",Tabla5[#All],3,FALSE)*Tabla15[[#This Row],[21]])</f>
        <v>0</v>
      </c>
      <c r="AC47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8"</v>
      </c>
      <c r="AD474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474" s="52">
        <f>IF(Tabla15[[#This Row],[23]]="",0,VLOOKUP("VC",Tabla5[#All],3,FALSE)*Tabla15[[#This Row],[24]])</f>
        <v>0.25</v>
      </c>
      <c r="AF47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7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74" s="52">
        <f>IF(Tabla15[[#This Row],[26]]="",0,VLOOKUP(TRAMOS!$K$2,Tabla5[#All],3,FALSE)*Tabla15[[#This Row],[27]])</f>
        <v>0</v>
      </c>
      <c r="AI47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7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7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7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7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7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7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1.1499999999999999</v>
      </c>
    </row>
    <row r="475" spans="2:41" x14ac:dyDescent="0.25">
      <c r="B475" s="58" t="str">
        <f>Tabla1[[#This Row],[nudo inicial]]</f>
        <v>N247</v>
      </c>
      <c r="C475" s="58" t="str">
        <f>Tabla1[[#This Row],[nudo final]]</f>
        <v>TP177</v>
      </c>
      <c r="D475" s="51">
        <f>Tabla1[[#This Row],[longitud]]</f>
        <v>94.09</v>
      </c>
      <c r="E475" s="51" t="str">
        <f>Tabla1[[#This Row],[diametro]]</f>
        <v>2"</v>
      </c>
      <c r="F475" s="51" t="str">
        <f>Tabla1[[#This Row],[material]]</f>
        <v>PVC</v>
      </c>
      <c r="G47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475" s="52" t="str">
        <f>IF(Tabla1[[#This Row],[5]]="TPD",Tabla1[[#This Row],[6]],"")</f>
        <v/>
      </c>
      <c r="I475" s="52" t="str">
        <f>IF(OR(Tabla1[[#This Row],[5]]="TPD"),Tabla1[[#This Row],[7]],"")</f>
        <v/>
      </c>
      <c r="J475" s="52">
        <f>IF(Tabla15[[#This Row],[2]]="",0,VLOOKUP(TRAMOS!$H$2,Tabla5[#All],3,FALSE)*Tabla15[[#This Row],[3]])</f>
        <v>0</v>
      </c>
      <c r="K475" s="52" t="str">
        <f>IF(Tabla1[[#This Row],[5]]="TPL",Tabla1[[#This Row],[6]],"")</f>
        <v>8"</v>
      </c>
      <c r="L475" s="52">
        <f>IF(OR(Tabla1[[#This Row],[5]]="TPL"),Tabla1[[#This Row],[7]],"")</f>
        <v>1</v>
      </c>
      <c r="M475" s="52">
        <f>IF(Tabla15[[#This Row],[5]]="",0,VLOOKUP(TRAMOS!$K$2,Tabla5[#All],3,FALSE)*Tabla15[[#This Row],[6]])</f>
        <v>0.9</v>
      </c>
      <c r="N47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7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75" s="52">
        <f>IF(Tabla15[[#This Row],[8]]="",0,VLOOKUP(TRAMOS!$H$2,Tabla5[#All],3,FALSE)*Tabla15[[#This Row],[9]])</f>
        <v>0</v>
      </c>
      <c r="Q47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7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75" s="52">
        <f>IF(Tabla15[[#This Row],[11]]="",0,VLOOKUP(TRAMOS!$Q$2,Tabla5[#All],3,FALSE)*Tabla15[[#This Row],[12]])</f>
        <v>0</v>
      </c>
      <c r="T47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475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47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0.45</v>
      </c>
      <c r="W47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7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7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7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7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75" s="52">
        <f>IF(Tabla15[[#This Row],[20]]="",0,VLOOKUP("VRP",Tabla5[#All],3,FALSE)*Tabla15[[#This Row],[21]])</f>
        <v>0</v>
      </c>
      <c r="AC47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7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75" s="52">
        <f>IF(Tabla15[[#This Row],[23]]="",0,VLOOKUP("VC",Tabla5[#All],3,FALSE)*Tabla15[[#This Row],[24]])</f>
        <v>0</v>
      </c>
      <c r="AF47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7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75" s="52">
        <f>IF(Tabla15[[#This Row],[26]]="",0,VLOOKUP(TRAMOS!$K$2,Tabla5[#All],3,FALSE)*Tabla15[[#This Row],[27]])</f>
        <v>0</v>
      </c>
      <c r="AI47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7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7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7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7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475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47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1.35</v>
      </c>
    </row>
    <row r="476" spans="2:41" x14ac:dyDescent="0.25">
      <c r="B476" s="58" t="str">
        <f>Tabla1[[#This Row],[nudo inicial]]</f>
        <v>N247</v>
      </c>
      <c r="C476" s="58" t="str">
        <f>Tabla1[[#This Row],[nudo final]]</f>
        <v>N248</v>
      </c>
      <c r="D476" s="51">
        <f>Tabla1[[#This Row],[longitud]]</f>
        <v>131.79</v>
      </c>
      <c r="E476" s="51" t="str">
        <f>Tabla1[[#This Row],[diametro]]</f>
        <v>8"</v>
      </c>
      <c r="F476" s="51" t="str">
        <f>Tabla1[[#This Row],[material]]</f>
        <v>AC</v>
      </c>
      <c r="G47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476" s="52" t="str">
        <f>IF(Tabla1[[#This Row],[5]]="TPD",Tabla1[[#This Row],[6]],"")</f>
        <v>8"</v>
      </c>
      <c r="I476" s="52">
        <f>IF(OR(Tabla1[[#This Row],[5]]="TPD"),Tabla1[[#This Row],[7]],"")</f>
        <v>1</v>
      </c>
      <c r="J476" s="52">
        <f>IF(Tabla15[[#This Row],[2]]="",0,VLOOKUP(TRAMOS!$H$2,Tabla5[#All],3,FALSE)*Tabla15[[#This Row],[3]])</f>
        <v>0.15</v>
      </c>
      <c r="K476" s="52" t="str">
        <f>IF(Tabla1[[#This Row],[5]]="TPL",Tabla1[[#This Row],[6]],"")</f>
        <v/>
      </c>
      <c r="L476" s="52" t="str">
        <f>IF(OR(Tabla1[[#This Row],[5]]="TPL"),Tabla1[[#This Row],[7]],"")</f>
        <v/>
      </c>
      <c r="M476" s="52">
        <f>IF(Tabla15[[#This Row],[5]]="",0,VLOOKUP(TRAMOS!$K$2,Tabla5[#All],3,FALSE)*Tabla15[[#This Row],[6]])</f>
        <v>0</v>
      </c>
      <c r="N47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7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76" s="52">
        <f>IF(Tabla15[[#This Row],[8]]="",0,VLOOKUP(TRAMOS!$H$2,Tabla5[#All],3,FALSE)*Tabla15[[#This Row],[9]])</f>
        <v>0</v>
      </c>
      <c r="Q47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8"</v>
      </c>
      <c r="R476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476" s="52">
        <f>IF(Tabla15[[#This Row],[11]]="",0,VLOOKUP(TRAMOS!$Q$2,Tabla5[#All],3,FALSE)*Tabla15[[#This Row],[12]])</f>
        <v>0.9</v>
      </c>
      <c r="T47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7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7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7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7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7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7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7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76" s="52">
        <f>IF(Tabla15[[#This Row],[20]]="",0,VLOOKUP("VRP",Tabla5[#All],3,FALSE)*Tabla15[[#This Row],[21]])</f>
        <v>0</v>
      </c>
      <c r="AC47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7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76" s="52">
        <f>IF(Tabla15[[#This Row],[23]]="",0,VLOOKUP("VC",Tabla5[#All],3,FALSE)*Tabla15[[#This Row],[24]])</f>
        <v>0</v>
      </c>
      <c r="AF47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7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76" s="52">
        <f>IF(Tabla15[[#This Row],[26]]="",0,VLOOKUP(TRAMOS!$K$2,Tabla5[#All],3,FALSE)*Tabla15[[#This Row],[27]])</f>
        <v>0</v>
      </c>
      <c r="AI47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7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7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7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7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7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7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477" spans="2:41" x14ac:dyDescent="0.25">
      <c r="B477" s="58" t="str">
        <f>Tabla1[[#This Row],[nudo inicial]]</f>
        <v>N46</v>
      </c>
      <c r="C477" s="58" t="str">
        <f>Tabla1[[#This Row],[nudo final]]</f>
        <v>N249</v>
      </c>
      <c r="D477" s="51">
        <f>Tabla1[[#This Row],[longitud]]</f>
        <v>822.78</v>
      </c>
      <c r="E477" s="51" t="str">
        <f>Tabla1[[#This Row],[diametro]]</f>
        <v>8"</v>
      </c>
      <c r="F477" s="51" t="str">
        <f>Tabla1[[#This Row],[material]]</f>
        <v>PVC</v>
      </c>
      <c r="G47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16"</v>
      </c>
      <c r="H477" s="52" t="str">
        <f>IF(Tabla1[[#This Row],[5]]="TPD",Tabla1[[#This Row],[6]],"")</f>
        <v/>
      </c>
      <c r="I477" s="52" t="str">
        <f>IF(OR(Tabla1[[#This Row],[5]]="TPD"),Tabla1[[#This Row],[7]],"")</f>
        <v/>
      </c>
      <c r="J477" s="52">
        <f>IF(Tabla15[[#This Row],[2]]="",0,VLOOKUP(TRAMOS!$H$2,Tabla5[#All],3,FALSE)*Tabla15[[#This Row],[3]])</f>
        <v>0</v>
      </c>
      <c r="K477" s="52" t="str">
        <f>IF(Tabla1[[#This Row],[5]]="TPL",Tabla1[[#This Row],[6]],"")</f>
        <v/>
      </c>
      <c r="L477" s="52" t="str">
        <f>IF(OR(Tabla1[[#This Row],[5]]="TPL"),Tabla1[[#This Row],[7]],"")</f>
        <v/>
      </c>
      <c r="M477" s="52">
        <f>IF(Tabla15[[#This Row],[5]]="",0,VLOOKUP(TRAMOS!$K$2,Tabla5[#All],3,FALSE)*Tabla15[[#This Row],[6]])</f>
        <v>0</v>
      </c>
      <c r="N47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7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77" s="52">
        <f>IF(Tabla15[[#This Row],[8]]="",0,VLOOKUP(TRAMOS!$H$2,Tabla5[#All],3,FALSE)*Tabla15[[#This Row],[9]])</f>
        <v>0</v>
      </c>
      <c r="Q47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7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77" s="52">
        <f>IF(Tabla15[[#This Row],[11]]="",0,VLOOKUP(TRAMOS!$Q$2,Tabla5[#All],3,FALSE)*Tabla15[[#This Row],[12]])</f>
        <v>0</v>
      </c>
      <c r="T47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7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7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7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7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7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7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7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77" s="52">
        <f>IF(Tabla15[[#This Row],[20]]="",0,VLOOKUP("VRP",Tabla5[#All],3,FALSE)*Tabla15[[#This Row],[21]])</f>
        <v>0</v>
      </c>
      <c r="AC47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7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77" s="52">
        <f>IF(Tabla15[[#This Row],[23]]="",0,VLOOKUP("VC",Tabla5[#All],3,FALSE)*Tabla15[[#This Row],[24]])</f>
        <v>0</v>
      </c>
      <c r="AF47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7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77" s="52">
        <f>IF(Tabla15[[#This Row],[26]]="",0,VLOOKUP(TRAMOS!$K$2,Tabla5[#All],3,FALSE)*Tabla15[[#This Row],[27]])</f>
        <v>0</v>
      </c>
      <c r="AI47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7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7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7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7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7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7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</v>
      </c>
    </row>
    <row r="478" spans="2:41" x14ac:dyDescent="0.25">
      <c r="B478" s="58" t="str">
        <f>Tabla1[[#This Row],[nudo inicial]]</f>
        <v>T. JURADO 3</v>
      </c>
      <c r="C478" s="58" t="str">
        <f>Tabla1[[#This Row],[nudo final]]</f>
        <v>T. JURADO 2</v>
      </c>
      <c r="D478" s="51">
        <f>Tabla1[[#This Row],[longitud]]</f>
        <v>75.92</v>
      </c>
      <c r="E478" s="51" t="str">
        <f>Tabla1[[#This Row],[diametro]]</f>
        <v>1"</v>
      </c>
      <c r="F478" s="51" t="str">
        <f>Tabla1[[#This Row],[material]]</f>
        <v>PVC</v>
      </c>
      <c r="G47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478" s="52" t="str">
        <f>IF(Tabla1[[#This Row],[5]]="TPD",Tabla1[[#This Row],[6]],"")</f>
        <v/>
      </c>
      <c r="I478" s="52" t="str">
        <f>IF(OR(Tabla1[[#This Row],[5]]="TPD"),Tabla1[[#This Row],[7]],"")</f>
        <v/>
      </c>
      <c r="J478" s="52">
        <f>IF(Tabla15[[#This Row],[2]]="",0,VLOOKUP(TRAMOS!$H$2,Tabla5[#All],3,FALSE)*Tabla15[[#This Row],[3]])</f>
        <v>0</v>
      </c>
      <c r="K478" s="52" t="str">
        <f>IF(Tabla1[[#This Row],[5]]="TPL",Tabla1[[#This Row],[6]],"")</f>
        <v/>
      </c>
      <c r="L478" s="52" t="str">
        <f>IF(OR(Tabla1[[#This Row],[5]]="TPL"),Tabla1[[#This Row],[7]],"")</f>
        <v/>
      </c>
      <c r="M478" s="52">
        <f>IF(Tabla15[[#This Row],[5]]="",0,VLOOKUP(TRAMOS!$K$2,Tabla5[#All],3,FALSE)*Tabla15[[#This Row],[6]])</f>
        <v>0</v>
      </c>
      <c r="N47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7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78" s="52">
        <f>IF(Tabla15[[#This Row],[8]]="",0,VLOOKUP(TRAMOS!$H$2,Tabla5[#All],3,FALSE)*Tabla15[[#This Row],[9]])</f>
        <v>0</v>
      </c>
      <c r="Q47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1"</v>
      </c>
      <c r="R478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2</v>
      </c>
      <c r="S478" s="52">
        <f>IF(Tabla15[[#This Row],[11]]="",0,VLOOKUP(TRAMOS!$Q$2,Tabla5[#All],3,FALSE)*Tabla15[[#This Row],[12]])</f>
        <v>1.8</v>
      </c>
      <c r="T47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7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7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7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7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7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7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7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78" s="52">
        <f>IF(Tabla15[[#This Row],[20]]="",0,VLOOKUP("VRP",Tabla5[#All],3,FALSE)*Tabla15[[#This Row],[21]])</f>
        <v>0</v>
      </c>
      <c r="AC47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7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78" s="52">
        <f>IF(Tabla15[[#This Row],[23]]="",0,VLOOKUP("VC",Tabla5[#All],3,FALSE)*Tabla15[[#This Row],[24]])</f>
        <v>0</v>
      </c>
      <c r="AF47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7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78" s="52">
        <f>IF(Tabla15[[#This Row],[26]]="",0,VLOOKUP(TRAMOS!$K$2,Tabla5[#All],3,FALSE)*Tabla15[[#This Row],[27]])</f>
        <v>0</v>
      </c>
      <c r="AI47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7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7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7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7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7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7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1.8</v>
      </c>
    </row>
    <row r="479" spans="2:41" x14ac:dyDescent="0.25">
      <c r="B479" s="58" t="str">
        <f>Tabla1[[#This Row],[nudo inicial]]</f>
        <v>T. JURADO 3</v>
      </c>
      <c r="C479" s="58" t="str">
        <f>Tabla1[[#This Row],[nudo final]]</f>
        <v>N250</v>
      </c>
      <c r="D479" s="51">
        <f>Tabla1[[#This Row],[longitud]]</f>
        <v>73.67</v>
      </c>
      <c r="E479" s="51" t="str">
        <f>Tabla1[[#This Row],[diametro]]</f>
        <v>2"</v>
      </c>
      <c r="F479" s="51" t="str">
        <f>Tabla1[[#This Row],[material]]</f>
        <v>PVC</v>
      </c>
      <c r="G47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479" s="52" t="str">
        <f>IF(Tabla1[[#This Row],[5]]="TPD",Tabla1[[#This Row],[6]],"")</f>
        <v/>
      </c>
      <c r="I479" s="52" t="str">
        <f>IF(OR(Tabla1[[#This Row],[5]]="TPD"),Tabla1[[#This Row],[7]],"")</f>
        <v/>
      </c>
      <c r="J479" s="52">
        <f>IF(Tabla15[[#This Row],[2]]="",0,VLOOKUP(TRAMOS!$H$2,Tabla5[#All],3,FALSE)*Tabla15[[#This Row],[3]])</f>
        <v>0</v>
      </c>
      <c r="K479" s="52" t="str">
        <f>IF(Tabla1[[#This Row],[5]]="TPL",Tabla1[[#This Row],[6]],"")</f>
        <v/>
      </c>
      <c r="L479" s="52" t="str">
        <f>IF(OR(Tabla1[[#This Row],[5]]="TPL"),Tabla1[[#This Row],[7]],"")</f>
        <v/>
      </c>
      <c r="M479" s="52">
        <f>IF(Tabla15[[#This Row],[5]]="",0,VLOOKUP(TRAMOS!$K$2,Tabla5[#All],3,FALSE)*Tabla15[[#This Row],[6]])</f>
        <v>0</v>
      </c>
      <c r="N47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7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79" s="52">
        <f>IF(Tabla15[[#This Row],[8]]="",0,VLOOKUP(TRAMOS!$H$2,Tabla5[#All],3,FALSE)*Tabla15[[#This Row],[9]])</f>
        <v>0</v>
      </c>
      <c r="Q47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7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79" s="52">
        <f>IF(Tabla15[[#This Row],[11]]="",0,VLOOKUP(TRAMOS!$Q$2,Tabla5[#All],3,FALSE)*Tabla15[[#This Row],[12]])</f>
        <v>0</v>
      </c>
      <c r="T47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7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7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7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7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7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7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7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79" s="52">
        <f>IF(Tabla15[[#This Row],[20]]="",0,VLOOKUP("VRP",Tabla5[#All],3,FALSE)*Tabla15[[#This Row],[21]])</f>
        <v>0</v>
      </c>
      <c r="AC47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7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79" s="52">
        <f>IF(Tabla15[[#This Row],[23]]="",0,VLOOKUP("VC",Tabla5[#All],3,FALSE)*Tabla15[[#This Row],[24]])</f>
        <v>0</v>
      </c>
      <c r="AF47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7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79" s="52">
        <f>IF(Tabla15[[#This Row],[26]]="",0,VLOOKUP(TRAMOS!$K$2,Tabla5[#All],3,FALSE)*Tabla15[[#This Row],[27]])</f>
        <v>0</v>
      </c>
      <c r="AI47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7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7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7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7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7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7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</v>
      </c>
    </row>
    <row r="480" spans="2:41" x14ac:dyDescent="0.25">
      <c r="B480" s="58" t="str">
        <f>Tabla1[[#This Row],[nudo inicial]]</f>
        <v>T. JURADO 2</v>
      </c>
      <c r="C480" s="58" t="str">
        <f>Tabla1[[#This Row],[nudo final]]</f>
        <v>N250</v>
      </c>
      <c r="D480" s="51">
        <f>Tabla1[[#This Row],[longitud]]</f>
        <v>17.59</v>
      </c>
      <c r="E480" s="51" t="str">
        <f>Tabla1[[#This Row],[diametro]]</f>
        <v>1"</v>
      </c>
      <c r="F480" s="51" t="str">
        <f>Tabla1[[#This Row],[material]]</f>
        <v>PVC</v>
      </c>
      <c r="G48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1"</v>
      </c>
      <c r="H480" s="52" t="str">
        <f>IF(Tabla1[[#This Row],[5]]="TPD",Tabla1[[#This Row],[6]],"")</f>
        <v/>
      </c>
      <c r="I480" s="52" t="str">
        <f>IF(OR(Tabla1[[#This Row],[5]]="TPD"),Tabla1[[#This Row],[7]],"")</f>
        <v/>
      </c>
      <c r="J480" s="52">
        <f>IF(Tabla15[[#This Row],[2]]="",0,VLOOKUP(TRAMOS!$H$2,Tabla5[#All],3,FALSE)*Tabla15[[#This Row],[3]])</f>
        <v>0</v>
      </c>
      <c r="K480" s="52" t="str">
        <f>IF(Tabla1[[#This Row],[5]]="TPL",Tabla1[[#This Row],[6]],"")</f>
        <v/>
      </c>
      <c r="L480" s="52" t="str">
        <f>IF(OR(Tabla1[[#This Row],[5]]="TPL"),Tabla1[[#This Row],[7]],"")</f>
        <v/>
      </c>
      <c r="M480" s="52">
        <f>IF(Tabla15[[#This Row],[5]]="",0,VLOOKUP(TRAMOS!$K$2,Tabla5[#All],3,FALSE)*Tabla15[[#This Row],[6]])</f>
        <v>0</v>
      </c>
      <c r="N48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8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80" s="52">
        <f>IF(Tabla15[[#This Row],[8]]="",0,VLOOKUP(TRAMOS!$H$2,Tabla5[#All],3,FALSE)*Tabla15[[#This Row],[9]])</f>
        <v>0</v>
      </c>
      <c r="Q48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8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80" s="52">
        <f>IF(Tabla15[[#This Row],[11]]="",0,VLOOKUP(TRAMOS!$Q$2,Tabla5[#All],3,FALSE)*Tabla15[[#This Row],[12]])</f>
        <v>0</v>
      </c>
      <c r="T48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8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8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8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>2"</v>
      </c>
      <c r="X480" s="52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>1</v>
      </c>
      <c r="Y48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0.68</v>
      </c>
      <c r="Z48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8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80" s="52">
        <f>IF(Tabla15[[#This Row],[20]]="",0,VLOOKUP("VRP",Tabla5[#All],3,FALSE)*Tabla15[[#This Row],[21]])</f>
        <v>0</v>
      </c>
      <c r="AC48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1"</v>
      </c>
      <c r="AD480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480" s="52">
        <f>IF(Tabla15[[#This Row],[23]]="",0,VLOOKUP("VC",Tabla5[#All],3,FALSE)*Tabla15[[#This Row],[24]])</f>
        <v>0.25</v>
      </c>
      <c r="AF48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8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80" s="52">
        <f>IF(Tabla15[[#This Row],[26]]="",0,VLOOKUP(TRAMOS!$K$2,Tabla5[#All],3,FALSE)*Tabla15[[#This Row],[27]])</f>
        <v>0</v>
      </c>
      <c r="AI48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8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8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8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8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8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8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0.93</v>
      </c>
    </row>
    <row r="481" spans="2:41" x14ac:dyDescent="0.25">
      <c r="B481" s="58" t="str">
        <f>Tabla1[[#This Row],[nudo inicial]]</f>
        <v>T. JURADO 3</v>
      </c>
      <c r="C481" s="58" t="str">
        <f>Tabla1[[#This Row],[nudo final]]</f>
        <v>N251</v>
      </c>
      <c r="D481" s="51">
        <f>Tabla1[[#This Row],[longitud]]</f>
        <v>77.22</v>
      </c>
      <c r="E481" s="51" t="str">
        <f>Tabla1[[#This Row],[diametro]]</f>
        <v>2"</v>
      </c>
      <c r="F481" s="51" t="str">
        <f>Tabla1[[#This Row],[material]]</f>
        <v>PVC</v>
      </c>
      <c r="G48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481" s="52" t="str">
        <f>IF(Tabla1[[#This Row],[5]]="TPD",Tabla1[[#This Row],[6]],"")</f>
        <v/>
      </c>
      <c r="I481" s="52" t="str">
        <f>IF(OR(Tabla1[[#This Row],[5]]="TPD"),Tabla1[[#This Row],[7]],"")</f>
        <v/>
      </c>
      <c r="J481" s="52">
        <f>IF(Tabla15[[#This Row],[2]]="",0,VLOOKUP(TRAMOS!$H$2,Tabla5[#All],3,FALSE)*Tabla15[[#This Row],[3]])</f>
        <v>0</v>
      </c>
      <c r="K481" s="52" t="str">
        <f>IF(Tabla1[[#This Row],[5]]="TPL",Tabla1[[#This Row],[6]],"")</f>
        <v/>
      </c>
      <c r="L481" s="52" t="str">
        <f>IF(OR(Tabla1[[#This Row],[5]]="TPL"),Tabla1[[#This Row],[7]],"")</f>
        <v/>
      </c>
      <c r="M481" s="52">
        <f>IF(Tabla15[[#This Row],[5]]="",0,VLOOKUP(TRAMOS!$K$2,Tabla5[#All],3,FALSE)*Tabla15[[#This Row],[6]])</f>
        <v>0</v>
      </c>
      <c r="N48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8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81" s="52">
        <f>IF(Tabla15[[#This Row],[8]]="",0,VLOOKUP(TRAMOS!$H$2,Tabla5[#All],3,FALSE)*Tabla15[[#This Row],[9]])</f>
        <v>0</v>
      </c>
      <c r="Q48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481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481" s="52">
        <f>IF(Tabla15[[#This Row],[11]]="",0,VLOOKUP(TRAMOS!$Q$2,Tabla5[#All],3,FALSE)*Tabla15[[#This Row],[12]])</f>
        <v>0.9</v>
      </c>
      <c r="T48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8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8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8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8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8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8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8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81" s="52">
        <f>IF(Tabla15[[#This Row],[20]]="",0,VLOOKUP("VRP",Tabla5[#All],3,FALSE)*Tabla15[[#This Row],[21]])</f>
        <v>0</v>
      </c>
      <c r="AC48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8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81" s="52">
        <f>IF(Tabla15[[#This Row],[23]]="",0,VLOOKUP("VC",Tabla5[#All],3,FALSE)*Tabla15[[#This Row],[24]])</f>
        <v>0</v>
      </c>
      <c r="AF48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8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81" s="52">
        <f>IF(Tabla15[[#This Row],[26]]="",0,VLOOKUP(TRAMOS!$K$2,Tabla5[#All],3,FALSE)*Tabla15[[#This Row],[27]])</f>
        <v>0</v>
      </c>
      <c r="AI48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8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8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8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8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8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8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482" spans="2:41" x14ac:dyDescent="0.25">
      <c r="B482" s="58" t="str">
        <f>Tabla1[[#This Row],[nudo inicial]]</f>
        <v>T. JURADO 2</v>
      </c>
      <c r="C482" s="58" t="str">
        <f>Tabla1[[#This Row],[nudo final]]</f>
        <v>N251</v>
      </c>
      <c r="D482" s="51">
        <f>Tabla1[[#This Row],[longitud]]</f>
        <v>17.77</v>
      </c>
      <c r="E482" s="51" t="str">
        <f>Tabla1[[#This Row],[diametro]]</f>
        <v>1"</v>
      </c>
      <c r="F482" s="51" t="str">
        <f>Tabla1[[#This Row],[material]]</f>
        <v>PVC</v>
      </c>
      <c r="G48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1"</v>
      </c>
      <c r="H482" s="52" t="str">
        <f>IF(Tabla1[[#This Row],[5]]="TPD",Tabla1[[#This Row],[6]],"")</f>
        <v/>
      </c>
      <c r="I482" s="52" t="str">
        <f>IF(OR(Tabla1[[#This Row],[5]]="TPD"),Tabla1[[#This Row],[7]],"")</f>
        <v/>
      </c>
      <c r="J482" s="52">
        <f>IF(Tabla15[[#This Row],[2]]="",0,VLOOKUP(TRAMOS!$H$2,Tabla5[#All],3,FALSE)*Tabla15[[#This Row],[3]])</f>
        <v>0</v>
      </c>
      <c r="K482" s="52" t="str">
        <f>IF(Tabla1[[#This Row],[5]]="TPL",Tabla1[[#This Row],[6]],"")</f>
        <v/>
      </c>
      <c r="L482" s="52" t="str">
        <f>IF(OR(Tabla1[[#This Row],[5]]="TPL"),Tabla1[[#This Row],[7]],"")</f>
        <v/>
      </c>
      <c r="M482" s="52">
        <f>IF(Tabla15[[#This Row],[5]]="",0,VLOOKUP(TRAMOS!$K$2,Tabla5[#All],3,FALSE)*Tabla15[[#This Row],[6]])</f>
        <v>0</v>
      </c>
      <c r="N48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8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82" s="52">
        <f>IF(Tabla15[[#This Row],[8]]="",0,VLOOKUP(TRAMOS!$H$2,Tabla5[#All],3,FALSE)*Tabla15[[#This Row],[9]])</f>
        <v>0</v>
      </c>
      <c r="Q48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8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82" s="52">
        <f>IF(Tabla15[[#This Row],[11]]="",0,VLOOKUP(TRAMOS!$Q$2,Tabla5[#All],3,FALSE)*Tabla15[[#This Row],[12]])</f>
        <v>0</v>
      </c>
      <c r="T48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8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8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8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>2"</v>
      </c>
      <c r="X482" s="52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>1</v>
      </c>
      <c r="Y48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0.68</v>
      </c>
      <c r="Z48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8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82" s="52">
        <f>IF(Tabla15[[#This Row],[20]]="",0,VLOOKUP("VRP",Tabla5[#All],3,FALSE)*Tabla15[[#This Row],[21]])</f>
        <v>0</v>
      </c>
      <c r="AC48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8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82" s="52">
        <f>IF(Tabla15[[#This Row],[23]]="",0,VLOOKUP("VC",Tabla5[#All],3,FALSE)*Tabla15[[#This Row],[24]])</f>
        <v>0</v>
      </c>
      <c r="AF48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8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82" s="52">
        <f>IF(Tabla15[[#This Row],[26]]="",0,VLOOKUP(TRAMOS!$K$2,Tabla5[#All],3,FALSE)*Tabla15[[#This Row],[27]])</f>
        <v>0</v>
      </c>
      <c r="AI48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8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8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8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8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8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8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0.68</v>
      </c>
    </row>
    <row r="483" spans="2:41" x14ac:dyDescent="0.25">
      <c r="B483" s="58" t="str">
        <f>Tabla1[[#This Row],[nudo inicial]]</f>
        <v>N250</v>
      </c>
      <c r="C483" s="58" t="str">
        <f>Tabla1[[#This Row],[nudo final]]</f>
        <v>N252</v>
      </c>
      <c r="D483" s="51">
        <f>Tabla1[[#This Row],[longitud]]</f>
        <v>190.05</v>
      </c>
      <c r="E483" s="51" t="str">
        <f>Tabla1[[#This Row],[diametro]]</f>
        <v>2"</v>
      </c>
      <c r="F483" s="51" t="str">
        <f>Tabla1[[#This Row],[material]]</f>
        <v>PVC</v>
      </c>
      <c r="G48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483" s="52" t="str">
        <f>IF(Tabla1[[#This Row],[5]]="TPD",Tabla1[[#This Row],[6]],"")</f>
        <v>2"</v>
      </c>
      <c r="I483" s="52">
        <f>IF(OR(Tabla1[[#This Row],[5]]="TPD"),Tabla1[[#This Row],[7]],"")</f>
        <v>1</v>
      </c>
      <c r="J483" s="52">
        <f>IF(Tabla15[[#This Row],[2]]="",0,VLOOKUP(TRAMOS!$H$2,Tabla5[#All],3,FALSE)*Tabla15[[#This Row],[3]])</f>
        <v>0.15</v>
      </c>
      <c r="K483" s="52" t="str">
        <f>IF(Tabla1[[#This Row],[5]]="TPL",Tabla1[[#This Row],[6]],"")</f>
        <v/>
      </c>
      <c r="L483" s="52" t="str">
        <f>IF(OR(Tabla1[[#This Row],[5]]="TPL"),Tabla1[[#This Row],[7]],"")</f>
        <v/>
      </c>
      <c r="M483" s="52">
        <f>IF(Tabla15[[#This Row],[5]]="",0,VLOOKUP(TRAMOS!$K$2,Tabla5[#All],3,FALSE)*Tabla15[[#This Row],[6]])</f>
        <v>0</v>
      </c>
      <c r="N48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8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83" s="52">
        <f>IF(Tabla15[[#This Row],[8]]="",0,VLOOKUP(TRAMOS!$H$2,Tabla5[#All],3,FALSE)*Tabla15[[#This Row],[9]])</f>
        <v>0</v>
      </c>
      <c r="Q48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483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483" s="52">
        <f>IF(Tabla15[[#This Row],[11]]="",0,VLOOKUP(TRAMOS!$Q$2,Tabla5[#All],3,FALSE)*Tabla15[[#This Row],[12]])</f>
        <v>0.9</v>
      </c>
      <c r="T48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8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8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8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8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8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8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8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83" s="52">
        <f>IF(Tabla15[[#This Row],[20]]="",0,VLOOKUP("VRP",Tabla5[#All],3,FALSE)*Tabla15[[#This Row],[21]])</f>
        <v>0</v>
      </c>
      <c r="AC48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8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83" s="52">
        <f>IF(Tabla15[[#This Row],[23]]="",0,VLOOKUP("VC",Tabla5[#All],3,FALSE)*Tabla15[[#This Row],[24]])</f>
        <v>0</v>
      </c>
      <c r="AF48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8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83" s="52">
        <f>IF(Tabla15[[#This Row],[26]]="",0,VLOOKUP(TRAMOS!$K$2,Tabla5[#All],3,FALSE)*Tabla15[[#This Row],[27]])</f>
        <v>0</v>
      </c>
      <c r="AI48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8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8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8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8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8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8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484" spans="2:41" x14ac:dyDescent="0.25">
      <c r="B484" s="58" t="str">
        <f>Tabla1[[#This Row],[nudo inicial]]</f>
        <v>N252</v>
      </c>
      <c r="C484" s="58" t="str">
        <f>Tabla1[[#This Row],[nudo final]]</f>
        <v>E.B.3</v>
      </c>
      <c r="D484" s="51">
        <f>Tabla1[[#This Row],[longitud]]</f>
        <v>6.46</v>
      </c>
      <c r="E484" s="51" t="str">
        <f>Tabla1[[#This Row],[diametro]]</f>
        <v>2"</v>
      </c>
      <c r="F484" s="51" t="str">
        <f>Tabla1[[#This Row],[material]]</f>
        <v>PVC</v>
      </c>
      <c r="G48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484" s="52" t="str">
        <f>IF(Tabla1[[#This Row],[5]]="TPD",Tabla1[[#This Row],[6]],"")</f>
        <v/>
      </c>
      <c r="I484" s="52" t="str">
        <f>IF(OR(Tabla1[[#This Row],[5]]="TPD"),Tabla1[[#This Row],[7]],"")</f>
        <v/>
      </c>
      <c r="J484" s="52">
        <f>IF(Tabla15[[#This Row],[2]]="",0,VLOOKUP(TRAMOS!$H$2,Tabla5[#All],3,FALSE)*Tabla15[[#This Row],[3]])</f>
        <v>0</v>
      </c>
      <c r="K484" s="52" t="str">
        <f>IF(Tabla1[[#This Row],[5]]="TPL",Tabla1[[#This Row],[6]],"")</f>
        <v>2"</v>
      </c>
      <c r="L484" s="52">
        <f>IF(OR(Tabla1[[#This Row],[5]]="TPL"),Tabla1[[#This Row],[7]],"")</f>
        <v>1</v>
      </c>
      <c r="M484" s="52">
        <f>IF(Tabla15[[#This Row],[5]]="",0,VLOOKUP(TRAMOS!$K$2,Tabla5[#All],3,FALSE)*Tabla15[[#This Row],[6]])</f>
        <v>0.9</v>
      </c>
      <c r="N48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8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84" s="52">
        <f>IF(Tabla15[[#This Row],[8]]="",0,VLOOKUP(TRAMOS!$H$2,Tabla5[#All],3,FALSE)*Tabla15[[#This Row],[9]])</f>
        <v>0</v>
      </c>
      <c r="Q48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8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84" s="52">
        <f>IF(Tabla15[[#This Row],[11]]="",0,VLOOKUP(TRAMOS!$Q$2,Tabla5[#All],3,FALSE)*Tabla15[[#This Row],[12]])</f>
        <v>0</v>
      </c>
      <c r="T48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8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8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8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8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8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8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8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84" s="52">
        <f>IF(Tabla15[[#This Row],[20]]="",0,VLOOKUP("VRP",Tabla5[#All],3,FALSE)*Tabla15[[#This Row],[21]])</f>
        <v>0</v>
      </c>
      <c r="AC48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8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84" s="52">
        <f>IF(Tabla15[[#This Row],[23]]="",0,VLOOKUP("VC",Tabla5[#All],3,FALSE)*Tabla15[[#This Row],[24]])</f>
        <v>0</v>
      </c>
      <c r="AF48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8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84" s="52">
        <f>IF(Tabla15[[#This Row],[26]]="",0,VLOOKUP(TRAMOS!$K$2,Tabla5[#All],3,FALSE)*Tabla15[[#This Row],[27]])</f>
        <v>0</v>
      </c>
      <c r="AI48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8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8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8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8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8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8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485" spans="2:41" x14ac:dyDescent="0.25">
      <c r="B485" s="58" t="str">
        <f>Tabla1[[#This Row],[nudo inicial]]</f>
        <v>N251</v>
      </c>
      <c r="C485" s="58" t="str">
        <f>Tabla1[[#This Row],[nudo final]]</f>
        <v>E.B.3</v>
      </c>
      <c r="D485" s="51">
        <f>Tabla1[[#This Row],[longitud]]</f>
        <v>194.7</v>
      </c>
      <c r="E485" s="51" t="str">
        <f>Tabla1[[#This Row],[diametro]]</f>
        <v>2"</v>
      </c>
      <c r="F485" s="51" t="str">
        <f>Tabla1[[#This Row],[material]]</f>
        <v>PVC</v>
      </c>
      <c r="G48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485" s="52" t="str">
        <f>IF(Tabla1[[#This Row],[5]]="TPD",Tabla1[[#This Row],[6]],"")</f>
        <v/>
      </c>
      <c r="I485" s="52" t="str">
        <f>IF(OR(Tabla1[[#This Row],[5]]="TPD"),Tabla1[[#This Row],[7]],"")</f>
        <v/>
      </c>
      <c r="J485" s="52">
        <f>IF(Tabla15[[#This Row],[2]]="",0,VLOOKUP(TRAMOS!$H$2,Tabla5[#All],3,FALSE)*Tabla15[[#This Row],[3]])</f>
        <v>0</v>
      </c>
      <c r="K485" s="52" t="str">
        <f>IF(Tabla1[[#This Row],[5]]="TPL",Tabla1[[#This Row],[6]],"")</f>
        <v/>
      </c>
      <c r="L485" s="52" t="str">
        <f>IF(OR(Tabla1[[#This Row],[5]]="TPL"),Tabla1[[#This Row],[7]],"")</f>
        <v/>
      </c>
      <c r="M485" s="52">
        <f>IF(Tabla15[[#This Row],[5]]="",0,VLOOKUP(TRAMOS!$K$2,Tabla5[#All],3,FALSE)*Tabla15[[#This Row],[6]])</f>
        <v>0</v>
      </c>
      <c r="N48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8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85" s="52">
        <f>IF(Tabla15[[#This Row],[8]]="",0,VLOOKUP(TRAMOS!$H$2,Tabla5[#All],3,FALSE)*Tabla15[[#This Row],[9]])</f>
        <v>0</v>
      </c>
      <c r="Q48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485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485" s="52">
        <f>IF(Tabla15[[#This Row],[11]]="",0,VLOOKUP(TRAMOS!$Q$2,Tabla5[#All],3,FALSE)*Tabla15[[#This Row],[12]])</f>
        <v>0.9</v>
      </c>
      <c r="T48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8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8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8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8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8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8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8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85" s="52">
        <f>IF(Tabla15[[#This Row],[20]]="",0,VLOOKUP("VRP",Tabla5[#All],3,FALSE)*Tabla15[[#This Row],[21]])</f>
        <v>0</v>
      </c>
      <c r="AC48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8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85" s="52">
        <f>IF(Tabla15[[#This Row],[23]]="",0,VLOOKUP("VC",Tabla5[#All],3,FALSE)*Tabla15[[#This Row],[24]])</f>
        <v>0</v>
      </c>
      <c r="AF48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8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85" s="52">
        <f>IF(Tabla15[[#This Row],[26]]="",0,VLOOKUP(TRAMOS!$K$2,Tabla5[#All],3,FALSE)*Tabla15[[#This Row],[27]])</f>
        <v>0</v>
      </c>
      <c r="AI48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8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8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8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8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8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8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486" spans="2:41" x14ac:dyDescent="0.25">
      <c r="B486" s="58" t="str">
        <f>Tabla1[[#This Row],[nudo inicial]]</f>
        <v>N252</v>
      </c>
      <c r="C486" s="58" t="str">
        <f>Tabla1[[#This Row],[nudo final]]</f>
        <v>TP178</v>
      </c>
      <c r="D486" s="51">
        <f>Tabla1[[#This Row],[longitud]]</f>
        <v>325.75</v>
      </c>
      <c r="E486" s="51" t="str">
        <f>Tabla1[[#This Row],[diametro]]</f>
        <v>2"</v>
      </c>
      <c r="F486" s="51" t="str">
        <f>Tabla1[[#This Row],[material]]</f>
        <v>PVC</v>
      </c>
      <c r="G48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486" s="52" t="str">
        <f>IF(Tabla1[[#This Row],[5]]="TPD",Tabla1[[#This Row],[6]],"")</f>
        <v>2"</v>
      </c>
      <c r="I486" s="52">
        <f>IF(OR(Tabla1[[#This Row],[5]]="TPD"),Tabla1[[#This Row],[7]],"")</f>
        <v>1</v>
      </c>
      <c r="J486" s="52">
        <f>IF(Tabla15[[#This Row],[2]]="",0,VLOOKUP(TRAMOS!$H$2,Tabla5[#All],3,FALSE)*Tabla15[[#This Row],[3]])</f>
        <v>0.15</v>
      </c>
      <c r="K486" s="52" t="str">
        <f>IF(Tabla1[[#This Row],[5]]="TPL",Tabla1[[#This Row],[6]],"")</f>
        <v/>
      </c>
      <c r="L486" s="52" t="str">
        <f>IF(OR(Tabla1[[#This Row],[5]]="TPL"),Tabla1[[#This Row],[7]],"")</f>
        <v/>
      </c>
      <c r="M486" s="52">
        <f>IF(Tabla15[[#This Row],[5]]="",0,VLOOKUP(TRAMOS!$K$2,Tabla5[#All],3,FALSE)*Tabla15[[#This Row],[6]])</f>
        <v>0</v>
      </c>
      <c r="N48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8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86" s="52">
        <f>IF(Tabla15[[#This Row],[8]]="",0,VLOOKUP(TRAMOS!$H$2,Tabla5[#All],3,FALSE)*Tabla15[[#This Row],[9]])</f>
        <v>0</v>
      </c>
      <c r="Q48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8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86" s="52">
        <f>IF(Tabla15[[#This Row],[11]]="",0,VLOOKUP(TRAMOS!$Q$2,Tabla5[#All],3,FALSE)*Tabla15[[#This Row],[12]])</f>
        <v>0</v>
      </c>
      <c r="T48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8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8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8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8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8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8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8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86" s="52">
        <f>IF(Tabla15[[#This Row],[20]]="",0,VLOOKUP("VRP",Tabla5[#All],3,FALSE)*Tabla15[[#This Row],[21]])</f>
        <v>0</v>
      </c>
      <c r="AC48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8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86" s="52">
        <f>IF(Tabla15[[#This Row],[23]]="",0,VLOOKUP("VC",Tabla5[#All],3,FALSE)*Tabla15[[#This Row],[24]])</f>
        <v>0</v>
      </c>
      <c r="AF48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8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86" s="52">
        <f>IF(Tabla15[[#This Row],[26]]="",0,VLOOKUP(TRAMOS!$K$2,Tabla5[#All],3,FALSE)*Tabla15[[#This Row],[27]])</f>
        <v>0</v>
      </c>
      <c r="AI48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8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8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8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8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48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48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487" spans="2:41" x14ac:dyDescent="0.25">
      <c r="B487" s="58" t="str">
        <f>Tabla1[[#This Row],[nudo inicial]]</f>
        <v>N249</v>
      </c>
      <c r="C487" s="58" t="str">
        <f>Tabla1[[#This Row],[nudo final]]</f>
        <v>N253</v>
      </c>
      <c r="D487" s="51">
        <f>Tabla1[[#This Row],[longitud]]</f>
        <v>21.23</v>
      </c>
      <c r="E487" s="51" t="str">
        <f>Tabla1[[#This Row],[diametro]]</f>
        <v>8"</v>
      </c>
      <c r="F487" s="51" t="str">
        <f>Tabla1[[#This Row],[material]]</f>
        <v>PVC</v>
      </c>
      <c r="G48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487" s="52" t="str">
        <f>IF(Tabla1[[#This Row],[5]]="TPD",Tabla1[[#This Row],[6]],"")</f>
        <v>8"</v>
      </c>
      <c r="I487" s="52">
        <f>IF(OR(Tabla1[[#This Row],[5]]="TPD"),Tabla1[[#This Row],[7]],"")</f>
        <v>1</v>
      </c>
      <c r="J487" s="52">
        <f>IF(Tabla15[[#This Row],[2]]="",0,VLOOKUP(TRAMOS!$H$2,Tabla5[#All],3,FALSE)*Tabla15[[#This Row],[3]])</f>
        <v>0.15</v>
      </c>
      <c r="K487" s="52" t="str">
        <f>IF(Tabla1[[#This Row],[5]]="TPL",Tabla1[[#This Row],[6]],"")</f>
        <v/>
      </c>
      <c r="L487" s="52" t="str">
        <f>IF(OR(Tabla1[[#This Row],[5]]="TPL"),Tabla1[[#This Row],[7]],"")</f>
        <v/>
      </c>
      <c r="M487" s="52">
        <f>IF(Tabla15[[#This Row],[5]]="",0,VLOOKUP(TRAMOS!$K$2,Tabla5[#All],3,FALSE)*Tabla15[[#This Row],[6]])</f>
        <v>0</v>
      </c>
      <c r="N48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8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87" s="52">
        <f>IF(Tabla15[[#This Row],[8]]="",0,VLOOKUP(TRAMOS!$H$2,Tabla5[#All],3,FALSE)*Tabla15[[#This Row],[9]])</f>
        <v>0</v>
      </c>
      <c r="Q48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8"</v>
      </c>
      <c r="R487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487" s="52">
        <f>IF(Tabla15[[#This Row],[11]]="",0,VLOOKUP(TRAMOS!$Q$2,Tabla5[#All],3,FALSE)*Tabla15[[#This Row],[12]])</f>
        <v>0.9</v>
      </c>
      <c r="T48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8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8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8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8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8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8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8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87" s="52">
        <f>IF(Tabla15[[#This Row],[20]]="",0,VLOOKUP("VRP",Tabla5[#All],3,FALSE)*Tabla15[[#This Row],[21]])</f>
        <v>0</v>
      </c>
      <c r="AC48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8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87" s="52">
        <f>IF(Tabla15[[#This Row],[23]]="",0,VLOOKUP("VC",Tabla5[#All],3,FALSE)*Tabla15[[#This Row],[24]])</f>
        <v>0</v>
      </c>
      <c r="AF48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8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87" s="52">
        <f>IF(Tabla15[[#This Row],[26]]="",0,VLOOKUP(TRAMOS!$K$2,Tabla5[#All],3,FALSE)*Tabla15[[#This Row],[27]])</f>
        <v>0</v>
      </c>
      <c r="AI48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8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8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8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8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8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8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488" spans="2:41" x14ac:dyDescent="0.25">
      <c r="B488" s="58" t="str">
        <f>Tabla1[[#This Row],[nudo inicial]]</f>
        <v>N249</v>
      </c>
      <c r="C488" s="58" t="str">
        <f>Tabla1[[#This Row],[nudo final]]</f>
        <v>E.B.3</v>
      </c>
      <c r="D488" s="51">
        <f>Tabla1[[#This Row],[longitud]]</f>
        <v>4.17</v>
      </c>
      <c r="E488" s="51" t="str">
        <f>Tabla1[[#This Row],[diametro]]</f>
        <v>8"</v>
      </c>
      <c r="F488" s="51" t="str">
        <f>Tabla1[[#This Row],[material]]</f>
        <v>PVC</v>
      </c>
      <c r="G48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488" s="52" t="str">
        <f>IF(Tabla1[[#This Row],[5]]="TPD",Tabla1[[#This Row],[6]],"")</f>
        <v/>
      </c>
      <c r="I488" s="52" t="str">
        <f>IF(OR(Tabla1[[#This Row],[5]]="TPD"),Tabla1[[#This Row],[7]],"")</f>
        <v/>
      </c>
      <c r="J488" s="52">
        <f>IF(Tabla15[[#This Row],[2]]="",0,VLOOKUP(TRAMOS!$H$2,Tabla5[#All],3,FALSE)*Tabla15[[#This Row],[3]])</f>
        <v>0</v>
      </c>
      <c r="K488" s="52" t="str">
        <f>IF(Tabla1[[#This Row],[5]]="TPL",Tabla1[[#This Row],[6]],"")</f>
        <v>8"</v>
      </c>
      <c r="L488" s="52">
        <f>IF(OR(Tabla1[[#This Row],[5]]="TPL"),Tabla1[[#This Row],[7]],"")</f>
        <v>1</v>
      </c>
      <c r="M488" s="52">
        <f>IF(Tabla15[[#This Row],[5]]="",0,VLOOKUP(TRAMOS!$K$2,Tabla5[#All],3,FALSE)*Tabla15[[#This Row],[6]])</f>
        <v>0.9</v>
      </c>
      <c r="N48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8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88" s="52">
        <f>IF(Tabla15[[#This Row],[8]]="",0,VLOOKUP(TRAMOS!$H$2,Tabla5[#All],3,FALSE)*Tabla15[[#This Row],[9]])</f>
        <v>0</v>
      </c>
      <c r="Q48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8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88" s="52">
        <f>IF(Tabla15[[#This Row],[11]]="",0,VLOOKUP(TRAMOS!$Q$2,Tabla5[#All],3,FALSE)*Tabla15[[#This Row],[12]])</f>
        <v>0</v>
      </c>
      <c r="T48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8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8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8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8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8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8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8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88" s="52">
        <f>IF(Tabla15[[#This Row],[20]]="",0,VLOOKUP("VRP",Tabla5[#All],3,FALSE)*Tabla15[[#This Row],[21]])</f>
        <v>0</v>
      </c>
      <c r="AC48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8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88" s="52">
        <f>IF(Tabla15[[#This Row],[23]]="",0,VLOOKUP("VC",Tabla5[#All],3,FALSE)*Tabla15[[#This Row],[24]])</f>
        <v>0</v>
      </c>
      <c r="AF48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8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88" s="52">
        <f>IF(Tabla15[[#This Row],[26]]="",0,VLOOKUP(TRAMOS!$K$2,Tabla5[#All],3,FALSE)*Tabla15[[#This Row],[27]])</f>
        <v>0</v>
      </c>
      <c r="AI48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8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8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8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8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8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8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489" spans="2:41" x14ac:dyDescent="0.25">
      <c r="B489" s="58" t="str">
        <f>Tabla1[[#This Row],[nudo inicial]]</f>
        <v>E.B.3</v>
      </c>
      <c r="C489" s="58" t="str">
        <f>Tabla1[[#This Row],[nudo final]]</f>
        <v>N253</v>
      </c>
      <c r="D489" s="51">
        <f>Tabla1[[#This Row],[longitud]]</f>
        <v>8.75</v>
      </c>
      <c r="E489" s="51" t="str">
        <f>Tabla1[[#This Row],[diametro]]</f>
        <v>8"</v>
      </c>
      <c r="F489" s="51" t="str">
        <f>Tabla1[[#This Row],[material]]</f>
        <v>PVC</v>
      </c>
      <c r="G48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489" s="52" t="str">
        <f>IF(Tabla1[[#This Row],[5]]="TPD",Tabla1[[#This Row],[6]],"")</f>
        <v/>
      </c>
      <c r="I489" s="52" t="str">
        <f>IF(OR(Tabla1[[#This Row],[5]]="TPD"),Tabla1[[#This Row],[7]],"")</f>
        <v/>
      </c>
      <c r="J489" s="52">
        <f>IF(Tabla15[[#This Row],[2]]="",0,VLOOKUP(TRAMOS!$H$2,Tabla5[#All],3,FALSE)*Tabla15[[#This Row],[3]])</f>
        <v>0</v>
      </c>
      <c r="K489" s="52" t="str">
        <f>IF(Tabla1[[#This Row],[5]]="TPL",Tabla1[[#This Row],[6]],"")</f>
        <v>8"</v>
      </c>
      <c r="L489" s="52">
        <f>IF(OR(Tabla1[[#This Row],[5]]="TPL"),Tabla1[[#This Row],[7]],"")</f>
        <v>1</v>
      </c>
      <c r="M489" s="52">
        <f>IF(Tabla15[[#This Row],[5]]="",0,VLOOKUP(TRAMOS!$K$2,Tabla5[#All],3,FALSE)*Tabla15[[#This Row],[6]])</f>
        <v>0.9</v>
      </c>
      <c r="N48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8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89" s="52">
        <f>IF(Tabla15[[#This Row],[8]]="",0,VLOOKUP(TRAMOS!$H$2,Tabla5[#All],3,FALSE)*Tabla15[[#This Row],[9]])</f>
        <v>0</v>
      </c>
      <c r="Q48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8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89" s="52">
        <f>IF(Tabla15[[#This Row],[11]]="",0,VLOOKUP(TRAMOS!$Q$2,Tabla5[#All],3,FALSE)*Tabla15[[#This Row],[12]])</f>
        <v>0</v>
      </c>
      <c r="T48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8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8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8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8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8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8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8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89" s="52">
        <f>IF(Tabla15[[#This Row],[20]]="",0,VLOOKUP("VRP",Tabla5[#All],3,FALSE)*Tabla15[[#This Row],[21]])</f>
        <v>0</v>
      </c>
      <c r="AC48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8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89" s="52">
        <f>IF(Tabla15[[#This Row],[23]]="",0,VLOOKUP("VC",Tabla5[#All],3,FALSE)*Tabla15[[#This Row],[24]])</f>
        <v>0</v>
      </c>
      <c r="AF48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8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89" s="52">
        <f>IF(Tabla15[[#This Row],[26]]="",0,VLOOKUP(TRAMOS!$K$2,Tabla5[#All],3,FALSE)*Tabla15[[#This Row],[27]])</f>
        <v>0</v>
      </c>
      <c r="AI48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8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8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8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8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8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8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490" spans="2:41" x14ac:dyDescent="0.25">
      <c r="B490" s="58" t="str">
        <f>Tabla1[[#This Row],[nudo inicial]]</f>
        <v>N253</v>
      </c>
      <c r="C490" s="58" t="str">
        <f>Tabla1[[#This Row],[nudo final]]</f>
        <v>N254</v>
      </c>
      <c r="D490" s="51">
        <f>Tabla1[[#This Row],[longitud]]</f>
        <v>97.64</v>
      </c>
      <c r="E490" s="51" t="str">
        <f>Tabla1[[#This Row],[diametro]]</f>
        <v>8"</v>
      </c>
      <c r="F490" s="51" t="str">
        <f>Tabla1[[#This Row],[material]]</f>
        <v>PVC</v>
      </c>
      <c r="G49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490" s="52" t="str">
        <f>IF(Tabla1[[#This Row],[5]]="TPD",Tabla1[[#This Row],[6]],"")</f>
        <v>8"</v>
      </c>
      <c r="I490" s="52">
        <f>IF(OR(Tabla1[[#This Row],[5]]="TPD"),Tabla1[[#This Row],[7]],"")</f>
        <v>1</v>
      </c>
      <c r="J490" s="52">
        <f>IF(Tabla15[[#This Row],[2]]="",0,VLOOKUP(TRAMOS!$H$2,Tabla5[#All],3,FALSE)*Tabla15[[#This Row],[3]])</f>
        <v>0.15</v>
      </c>
      <c r="K490" s="52" t="str">
        <f>IF(Tabla1[[#This Row],[5]]="TPL",Tabla1[[#This Row],[6]],"")</f>
        <v/>
      </c>
      <c r="L490" s="52" t="str">
        <f>IF(OR(Tabla1[[#This Row],[5]]="TPL"),Tabla1[[#This Row],[7]],"")</f>
        <v/>
      </c>
      <c r="M490" s="52">
        <f>IF(Tabla15[[#This Row],[5]]="",0,VLOOKUP(TRAMOS!$K$2,Tabla5[#All],3,FALSE)*Tabla15[[#This Row],[6]])</f>
        <v>0</v>
      </c>
      <c r="N49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9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90" s="52">
        <f>IF(Tabla15[[#This Row],[8]]="",0,VLOOKUP(TRAMOS!$H$2,Tabla5[#All],3,FALSE)*Tabla15[[#This Row],[9]])</f>
        <v>0</v>
      </c>
      <c r="Q49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9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90" s="52">
        <f>IF(Tabla15[[#This Row],[11]]="",0,VLOOKUP(TRAMOS!$Q$2,Tabla5[#All],3,FALSE)*Tabla15[[#This Row],[12]])</f>
        <v>0</v>
      </c>
      <c r="T49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9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9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9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9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9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9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9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90" s="52">
        <f>IF(Tabla15[[#This Row],[20]]="",0,VLOOKUP("VRP",Tabla5[#All],3,FALSE)*Tabla15[[#This Row],[21]])</f>
        <v>0</v>
      </c>
      <c r="AC49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9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90" s="52">
        <f>IF(Tabla15[[#This Row],[23]]="",0,VLOOKUP("VC",Tabla5[#All],3,FALSE)*Tabla15[[#This Row],[24]])</f>
        <v>0</v>
      </c>
      <c r="AF49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9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90" s="52">
        <f>IF(Tabla15[[#This Row],[26]]="",0,VLOOKUP(TRAMOS!$K$2,Tabla5[#All],3,FALSE)*Tabla15[[#This Row],[27]])</f>
        <v>0</v>
      </c>
      <c r="AI49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9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9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9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9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9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9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491" spans="2:41" x14ac:dyDescent="0.25">
      <c r="B491" s="58" t="str">
        <f>Tabla1[[#This Row],[nudo inicial]]</f>
        <v>N254</v>
      </c>
      <c r="C491" s="58" t="str">
        <f>Tabla1[[#This Row],[nudo final]]</f>
        <v>N255</v>
      </c>
      <c r="D491" s="51">
        <f>Tabla1[[#This Row],[longitud]]</f>
        <v>7.13</v>
      </c>
      <c r="E491" s="51" t="str">
        <f>Tabla1[[#This Row],[diametro]]</f>
        <v>3"</v>
      </c>
      <c r="F491" s="51" t="str">
        <f>Tabla1[[#This Row],[material]]</f>
        <v>AC</v>
      </c>
      <c r="G49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491" s="52" t="str">
        <f>IF(Tabla1[[#This Row],[5]]="TPD",Tabla1[[#This Row],[6]],"")</f>
        <v/>
      </c>
      <c r="I491" s="52" t="str">
        <f>IF(OR(Tabla1[[#This Row],[5]]="TPD"),Tabla1[[#This Row],[7]],"")</f>
        <v/>
      </c>
      <c r="J491" s="52">
        <f>IF(Tabla15[[#This Row],[2]]="",0,VLOOKUP(TRAMOS!$H$2,Tabla5[#All],3,FALSE)*Tabla15[[#This Row],[3]])</f>
        <v>0</v>
      </c>
      <c r="K491" s="52" t="str">
        <f>IF(Tabla1[[#This Row],[5]]="TPL",Tabla1[[#This Row],[6]],"")</f>
        <v>8"</v>
      </c>
      <c r="L491" s="52">
        <f>IF(OR(Tabla1[[#This Row],[5]]="TPL"),Tabla1[[#This Row],[7]],"")</f>
        <v>1</v>
      </c>
      <c r="M491" s="52">
        <f>IF(Tabla15[[#This Row],[5]]="",0,VLOOKUP(TRAMOS!$K$2,Tabla5[#All],3,FALSE)*Tabla15[[#This Row],[6]])</f>
        <v>0.9</v>
      </c>
      <c r="N49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9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91" s="52">
        <f>IF(Tabla15[[#This Row],[8]]="",0,VLOOKUP(TRAMOS!$H$2,Tabla5[#All],3,FALSE)*Tabla15[[#This Row],[9]])</f>
        <v>0</v>
      </c>
      <c r="Q49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9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91" s="52">
        <f>IF(Tabla15[[#This Row],[11]]="",0,VLOOKUP(TRAMOS!$Q$2,Tabla5[#All],3,FALSE)*Tabla15[[#This Row],[12]])</f>
        <v>0</v>
      </c>
      <c r="T49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491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49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0.41679999999999995</v>
      </c>
      <c r="W49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9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9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9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9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91" s="52">
        <f>IF(Tabla15[[#This Row],[20]]="",0,VLOOKUP("VRP",Tabla5[#All],3,FALSE)*Tabla15[[#This Row],[21]])</f>
        <v>0</v>
      </c>
      <c r="AC49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491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491" s="52">
        <f>IF(Tabla15[[#This Row],[23]]="",0,VLOOKUP("VC",Tabla5[#All],3,FALSE)*Tabla15[[#This Row],[24]])</f>
        <v>0.25</v>
      </c>
      <c r="AF49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9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91" s="52">
        <f>IF(Tabla15[[#This Row],[26]]="",0,VLOOKUP(TRAMOS!$K$2,Tabla5[#All],3,FALSE)*Tabla15[[#This Row],[27]])</f>
        <v>0</v>
      </c>
      <c r="AI49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9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9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9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9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9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9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1.5668</v>
      </c>
    </row>
    <row r="492" spans="2:41" x14ac:dyDescent="0.25">
      <c r="B492" s="58" t="str">
        <f>Tabla1[[#This Row],[nudo inicial]]</f>
        <v>N255</v>
      </c>
      <c r="C492" s="58" t="str">
        <f>Tabla1[[#This Row],[nudo final]]</f>
        <v>N256</v>
      </c>
      <c r="D492" s="51">
        <f>Tabla1[[#This Row],[longitud]]</f>
        <v>80.61</v>
      </c>
      <c r="E492" s="51" t="str">
        <f>Tabla1[[#This Row],[diametro]]</f>
        <v>3"</v>
      </c>
      <c r="F492" s="51" t="str">
        <f>Tabla1[[#This Row],[material]]</f>
        <v>PVC</v>
      </c>
      <c r="G49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92" s="52" t="str">
        <f>IF(Tabla1[[#This Row],[5]]="TPD",Tabla1[[#This Row],[6]],"")</f>
        <v/>
      </c>
      <c r="I492" s="52" t="str">
        <f>IF(OR(Tabla1[[#This Row],[5]]="TPD"),Tabla1[[#This Row],[7]],"")</f>
        <v/>
      </c>
      <c r="J492" s="52">
        <f>IF(Tabla15[[#This Row],[2]]="",0,VLOOKUP(TRAMOS!$H$2,Tabla5[#All],3,FALSE)*Tabla15[[#This Row],[3]])</f>
        <v>0</v>
      </c>
      <c r="K492" s="52" t="str">
        <f>IF(Tabla1[[#This Row],[5]]="TPL",Tabla1[[#This Row],[6]],"")</f>
        <v>3"</v>
      </c>
      <c r="L492" s="52">
        <f>IF(OR(Tabla1[[#This Row],[5]]="TPL"),Tabla1[[#This Row],[7]],"")</f>
        <v>0</v>
      </c>
      <c r="M492" s="52">
        <f>IF(Tabla15[[#This Row],[5]]="",0,VLOOKUP(TRAMOS!$K$2,Tabla5[#All],3,FALSE)*Tabla15[[#This Row],[6]])</f>
        <v>0</v>
      </c>
      <c r="N49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9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92" s="52">
        <f>IF(Tabla15[[#This Row],[8]]="",0,VLOOKUP(TRAMOS!$H$2,Tabla5[#All],3,FALSE)*Tabla15[[#This Row],[9]])</f>
        <v>0</v>
      </c>
      <c r="Q49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9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92" s="52">
        <f>IF(Tabla15[[#This Row],[11]]="",0,VLOOKUP(TRAMOS!$Q$2,Tabla5[#All],3,FALSE)*Tabla15[[#This Row],[12]])</f>
        <v>0</v>
      </c>
      <c r="T49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9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9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9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9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9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9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9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92" s="52">
        <f>IF(Tabla15[[#This Row],[20]]="",0,VLOOKUP("VRP",Tabla5[#All],3,FALSE)*Tabla15[[#This Row],[21]])</f>
        <v>0</v>
      </c>
      <c r="AC49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9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92" s="52">
        <f>IF(Tabla15[[#This Row],[23]]="",0,VLOOKUP("VC",Tabla5[#All],3,FALSE)*Tabla15[[#This Row],[24]])</f>
        <v>0</v>
      </c>
      <c r="AF49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9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92" s="52">
        <f>IF(Tabla15[[#This Row],[26]]="",0,VLOOKUP(TRAMOS!$K$2,Tabla5[#All],3,FALSE)*Tabla15[[#This Row],[27]])</f>
        <v>0</v>
      </c>
      <c r="AI49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9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9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9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9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9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9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</v>
      </c>
    </row>
    <row r="493" spans="2:41" x14ac:dyDescent="0.25">
      <c r="B493" s="58" t="str">
        <f>Tabla1[[#This Row],[nudo inicial]]</f>
        <v>N256</v>
      </c>
      <c r="C493" s="58" t="str">
        <f>Tabla1[[#This Row],[nudo final]]</f>
        <v>TP179</v>
      </c>
      <c r="D493" s="51">
        <f>Tabla1[[#This Row],[longitud]]</f>
        <v>175.11</v>
      </c>
      <c r="E493" s="51" t="str">
        <f>Tabla1[[#This Row],[diametro]]</f>
        <v>3"</v>
      </c>
      <c r="F493" s="51" t="str">
        <f>Tabla1[[#This Row],[material]]</f>
        <v>AC</v>
      </c>
      <c r="G49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93" s="52" t="str">
        <f>IF(Tabla1[[#This Row],[5]]="TPD",Tabla1[[#This Row],[6]],"")</f>
        <v>3"</v>
      </c>
      <c r="I493" s="52">
        <f>IF(OR(Tabla1[[#This Row],[5]]="TPD"),Tabla1[[#This Row],[7]],"")</f>
        <v>1</v>
      </c>
      <c r="J493" s="52">
        <f>IF(Tabla15[[#This Row],[2]]="",0,VLOOKUP(TRAMOS!$H$2,Tabla5[#All],3,FALSE)*Tabla15[[#This Row],[3]])</f>
        <v>0.15</v>
      </c>
      <c r="K493" s="52" t="str">
        <f>IF(Tabla1[[#This Row],[5]]="TPL",Tabla1[[#This Row],[6]],"")</f>
        <v/>
      </c>
      <c r="L493" s="52" t="str">
        <f>IF(OR(Tabla1[[#This Row],[5]]="TPL"),Tabla1[[#This Row],[7]],"")</f>
        <v/>
      </c>
      <c r="M493" s="52">
        <f>IF(Tabla15[[#This Row],[5]]="",0,VLOOKUP(TRAMOS!$K$2,Tabla5[#All],3,FALSE)*Tabla15[[#This Row],[6]])</f>
        <v>0</v>
      </c>
      <c r="N49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9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93" s="52">
        <f>IF(Tabla15[[#This Row],[8]]="",0,VLOOKUP(TRAMOS!$H$2,Tabla5[#All],3,FALSE)*Tabla15[[#This Row],[9]])</f>
        <v>0</v>
      </c>
      <c r="Q49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9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93" s="52">
        <f>IF(Tabla15[[#This Row],[11]]="",0,VLOOKUP(TRAMOS!$Q$2,Tabla5[#All],3,FALSE)*Tabla15[[#This Row],[12]])</f>
        <v>0</v>
      </c>
      <c r="T49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9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9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9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9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9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9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9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93" s="52">
        <f>IF(Tabla15[[#This Row],[20]]="",0,VLOOKUP("VRP",Tabla5[#All],3,FALSE)*Tabla15[[#This Row],[21]])</f>
        <v>0</v>
      </c>
      <c r="AC49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9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93" s="52">
        <f>IF(Tabla15[[#This Row],[23]]="",0,VLOOKUP("VC",Tabla5[#All],3,FALSE)*Tabla15[[#This Row],[24]])</f>
        <v>0</v>
      </c>
      <c r="AF49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9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93" s="52">
        <f>IF(Tabla15[[#This Row],[26]]="",0,VLOOKUP(TRAMOS!$K$2,Tabla5[#All],3,FALSE)*Tabla15[[#This Row],[27]])</f>
        <v>0</v>
      </c>
      <c r="AI49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9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9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9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9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493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49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494" spans="2:41" x14ac:dyDescent="0.25">
      <c r="B494" s="58" t="str">
        <f>Tabla1[[#This Row],[nudo inicial]]</f>
        <v>N256</v>
      </c>
      <c r="C494" s="58" t="str">
        <f>Tabla1[[#This Row],[nudo final]]</f>
        <v>N257</v>
      </c>
      <c r="D494" s="51">
        <f>Tabla1[[#This Row],[longitud]]</f>
        <v>92.56</v>
      </c>
      <c r="E494" s="51" t="str">
        <f>Tabla1[[#This Row],[diametro]]</f>
        <v>3"</v>
      </c>
      <c r="F494" s="51" t="str">
        <f>Tabla1[[#This Row],[material]]</f>
        <v>PVC</v>
      </c>
      <c r="G49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94" s="52" t="str">
        <f>IF(Tabla1[[#This Row],[5]]="TPD",Tabla1[[#This Row],[6]],"")</f>
        <v/>
      </c>
      <c r="I494" s="52" t="str">
        <f>IF(OR(Tabla1[[#This Row],[5]]="TPD"),Tabla1[[#This Row],[7]],"")</f>
        <v/>
      </c>
      <c r="J494" s="52">
        <f>IF(Tabla15[[#This Row],[2]]="",0,VLOOKUP(TRAMOS!$H$2,Tabla5[#All],3,FALSE)*Tabla15[[#This Row],[3]])</f>
        <v>0</v>
      </c>
      <c r="K494" s="52" t="str">
        <f>IF(Tabla1[[#This Row],[5]]="TPL",Tabla1[[#This Row],[6]],"")</f>
        <v>3"</v>
      </c>
      <c r="L494" s="52">
        <f>IF(OR(Tabla1[[#This Row],[5]]="TPL"),Tabla1[[#This Row],[7]],"")</f>
        <v>1</v>
      </c>
      <c r="M494" s="52">
        <f>IF(Tabla15[[#This Row],[5]]="",0,VLOOKUP(TRAMOS!$K$2,Tabla5[#All],3,FALSE)*Tabla15[[#This Row],[6]])</f>
        <v>0.9</v>
      </c>
      <c r="N49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9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94" s="52">
        <f>IF(Tabla15[[#This Row],[8]]="",0,VLOOKUP(TRAMOS!$H$2,Tabla5[#All],3,FALSE)*Tabla15[[#This Row],[9]])</f>
        <v>0</v>
      </c>
      <c r="Q49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9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94" s="52">
        <f>IF(Tabla15[[#This Row],[11]]="",0,VLOOKUP(TRAMOS!$Q$2,Tabla5[#All],3,FALSE)*Tabla15[[#This Row],[12]])</f>
        <v>0</v>
      </c>
      <c r="T49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9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9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9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9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9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9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9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94" s="52">
        <f>IF(Tabla15[[#This Row],[20]]="",0,VLOOKUP("VRP",Tabla5[#All],3,FALSE)*Tabla15[[#This Row],[21]])</f>
        <v>0</v>
      </c>
      <c r="AC49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9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94" s="52">
        <f>IF(Tabla15[[#This Row],[23]]="",0,VLOOKUP("VC",Tabla5[#All],3,FALSE)*Tabla15[[#This Row],[24]])</f>
        <v>0</v>
      </c>
      <c r="AF49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9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94" s="52">
        <f>IF(Tabla15[[#This Row],[26]]="",0,VLOOKUP(TRAMOS!$K$2,Tabla5[#All],3,FALSE)*Tabla15[[#This Row],[27]])</f>
        <v>0</v>
      </c>
      <c r="AI49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9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9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9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9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9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9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495" spans="2:41" x14ac:dyDescent="0.25">
      <c r="B495" s="58" t="str">
        <f>Tabla1[[#This Row],[nudo inicial]]</f>
        <v>N257</v>
      </c>
      <c r="C495" s="58" t="str">
        <f>Tabla1[[#This Row],[nudo final]]</f>
        <v>TP180</v>
      </c>
      <c r="D495" s="51">
        <f>Tabla1[[#This Row],[longitud]]</f>
        <v>4.4400000000000004</v>
      </c>
      <c r="E495" s="51" t="str">
        <f>Tabla1[[#This Row],[diametro]]</f>
        <v>3"</v>
      </c>
      <c r="F495" s="51" t="str">
        <f>Tabla1[[#This Row],[material]]</f>
        <v>PVC</v>
      </c>
      <c r="G49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95" s="52" t="str">
        <f>IF(Tabla1[[#This Row],[5]]="TPD",Tabla1[[#This Row],[6]],"")</f>
        <v>3"</v>
      </c>
      <c r="I495" s="52">
        <f>IF(OR(Tabla1[[#This Row],[5]]="TPD"),Tabla1[[#This Row],[7]],"")</f>
        <v>1</v>
      </c>
      <c r="J495" s="52">
        <f>IF(Tabla15[[#This Row],[2]]="",0,VLOOKUP(TRAMOS!$H$2,Tabla5[#All],3,FALSE)*Tabla15[[#This Row],[3]])</f>
        <v>0.15</v>
      </c>
      <c r="K495" s="52" t="str">
        <f>IF(Tabla1[[#This Row],[5]]="TPL",Tabla1[[#This Row],[6]],"")</f>
        <v/>
      </c>
      <c r="L495" s="52" t="str">
        <f>IF(OR(Tabla1[[#This Row],[5]]="TPL"),Tabla1[[#This Row],[7]],"")</f>
        <v/>
      </c>
      <c r="M495" s="52">
        <f>IF(Tabla15[[#This Row],[5]]="",0,VLOOKUP(TRAMOS!$K$2,Tabla5[#All],3,FALSE)*Tabla15[[#This Row],[6]])</f>
        <v>0</v>
      </c>
      <c r="N49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9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95" s="52">
        <f>IF(Tabla15[[#This Row],[8]]="",0,VLOOKUP(TRAMOS!$H$2,Tabla5[#All],3,FALSE)*Tabla15[[#This Row],[9]])</f>
        <v>0</v>
      </c>
      <c r="Q49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9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95" s="52">
        <f>IF(Tabla15[[#This Row],[11]]="",0,VLOOKUP(TRAMOS!$Q$2,Tabla5[#All],3,FALSE)*Tabla15[[#This Row],[12]])</f>
        <v>0</v>
      </c>
      <c r="T49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9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9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9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9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9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9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9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95" s="52">
        <f>IF(Tabla15[[#This Row],[20]]="",0,VLOOKUP("VRP",Tabla5[#All],3,FALSE)*Tabla15[[#This Row],[21]])</f>
        <v>0</v>
      </c>
      <c r="AC49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9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95" s="52">
        <f>IF(Tabla15[[#This Row],[23]]="",0,VLOOKUP("VC",Tabla5[#All],3,FALSE)*Tabla15[[#This Row],[24]])</f>
        <v>0</v>
      </c>
      <c r="AF49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9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95" s="52">
        <f>IF(Tabla15[[#This Row],[26]]="",0,VLOOKUP(TRAMOS!$K$2,Tabla5[#All],3,FALSE)*Tabla15[[#This Row],[27]])</f>
        <v>0</v>
      </c>
      <c r="AI49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9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9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9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9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495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49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496" spans="2:41" x14ac:dyDescent="0.25">
      <c r="B496" s="58" t="str">
        <f>Tabla1[[#This Row],[nudo inicial]]</f>
        <v>N257</v>
      </c>
      <c r="C496" s="58" t="str">
        <f>Tabla1[[#This Row],[nudo final]]</f>
        <v>TP181</v>
      </c>
      <c r="D496" s="51">
        <f>Tabla1[[#This Row],[longitud]]</f>
        <v>44.7</v>
      </c>
      <c r="E496" s="51" t="str">
        <f>Tabla1[[#This Row],[diametro]]</f>
        <v>1"</v>
      </c>
      <c r="F496" s="51" t="str">
        <f>Tabla1[[#This Row],[material]]</f>
        <v>PVC</v>
      </c>
      <c r="G49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96" s="52" t="str">
        <f>IF(Tabla1[[#This Row],[5]]="TPD",Tabla1[[#This Row],[6]],"")</f>
        <v/>
      </c>
      <c r="I496" s="52" t="str">
        <f>IF(OR(Tabla1[[#This Row],[5]]="TPD"),Tabla1[[#This Row],[7]],"")</f>
        <v/>
      </c>
      <c r="J496" s="52">
        <f>IF(Tabla15[[#This Row],[2]]="",0,VLOOKUP(TRAMOS!$H$2,Tabla5[#All],3,FALSE)*Tabla15[[#This Row],[3]])</f>
        <v>0</v>
      </c>
      <c r="K496" s="52" t="str">
        <f>IF(Tabla1[[#This Row],[5]]="TPL",Tabla1[[#This Row],[6]],"")</f>
        <v>3"</v>
      </c>
      <c r="L496" s="52">
        <f>IF(OR(Tabla1[[#This Row],[5]]="TPL"),Tabla1[[#This Row],[7]],"")</f>
        <v>1</v>
      </c>
      <c r="M496" s="52">
        <f>IF(Tabla15[[#This Row],[5]]="",0,VLOOKUP(TRAMOS!$K$2,Tabla5[#All],3,FALSE)*Tabla15[[#This Row],[6]])</f>
        <v>0.9</v>
      </c>
      <c r="N49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9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96" s="52">
        <f>IF(Tabla15[[#This Row],[8]]="",0,VLOOKUP(TRAMOS!$H$2,Tabla5[#All],3,FALSE)*Tabla15[[#This Row],[9]])</f>
        <v>0</v>
      </c>
      <c r="Q49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9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96" s="52">
        <f>IF(Tabla15[[#This Row],[11]]="",0,VLOOKUP(TRAMOS!$Q$2,Tabla5[#All],3,FALSE)*Tabla15[[#This Row],[12]])</f>
        <v>0</v>
      </c>
      <c r="T49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1"</v>
      </c>
      <c r="U496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49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0.43</v>
      </c>
      <c r="W49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9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9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9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9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96" s="52">
        <f>IF(Tabla15[[#This Row],[20]]="",0,VLOOKUP("VRP",Tabla5[#All],3,FALSE)*Tabla15[[#This Row],[21]])</f>
        <v>0</v>
      </c>
      <c r="AC49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9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96" s="52">
        <f>IF(Tabla15[[#This Row],[23]]="",0,VLOOKUP("VC",Tabla5[#All],3,FALSE)*Tabla15[[#This Row],[24]])</f>
        <v>0</v>
      </c>
      <c r="AF49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9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96" s="52">
        <f>IF(Tabla15[[#This Row],[26]]="",0,VLOOKUP(TRAMOS!$K$2,Tabla5[#All],3,FALSE)*Tabla15[[#This Row],[27]])</f>
        <v>0</v>
      </c>
      <c r="AI49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9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9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9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9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1"</v>
      </c>
      <c r="AN49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49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1.33</v>
      </c>
    </row>
    <row r="497" spans="2:41" x14ac:dyDescent="0.25">
      <c r="B497" s="58" t="str">
        <f>Tabla1[[#This Row],[nudo inicial]]</f>
        <v>N254</v>
      </c>
      <c r="C497" s="58" t="str">
        <f>Tabla1[[#This Row],[nudo final]]</f>
        <v>T. SANTA MARTA</v>
      </c>
      <c r="D497" s="51">
        <f>Tabla1[[#This Row],[longitud]]</f>
        <v>888.73</v>
      </c>
      <c r="E497" s="51" t="str">
        <f>Tabla1[[#This Row],[diametro]]</f>
        <v>8"</v>
      </c>
      <c r="F497" s="51" t="str">
        <f>Tabla1[[#This Row],[material]]</f>
        <v>PVC</v>
      </c>
      <c r="G49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497" s="52" t="str">
        <f>IF(Tabla1[[#This Row],[5]]="TPD",Tabla1[[#This Row],[6]],"")</f>
        <v>8"</v>
      </c>
      <c r="I497" s="52">
        <f>IF(OR(Tabla1[[#This Row],[5]]="TPD"),Tabla1[[#This Row],[7]],"")</f>
        <v>1</v>
      </c>
      <c r="J497" s="52">
        <f>IF(Tabla15[[#This Row],[2]]="",0,VLOOKUP(TRAMOS!$H$2,Tabla5[#All],3,FALSE)*Tabla15[[#This Row],[3]])</f>
        <v>0.15</v>
      </c>
      <c r="K497" s="52" t="str">
        <f>IF(Tabla1[[#This Row],[5]]="TPL",Tabla1[[#This Row],[6]],"")</f>
        <v/>
      </c>
      <c r="L497" s="52" t="str">
        <f>IF(OR(Tabla1[[#This Row],[5]]="TPL"),Tabla1[[#This Row],[7]],"")</f>
        <v/>
      </c>
      <c r="M497" s="52">
        <f>IF(Tabla15[[#This Row],[5]]="",0,VLOOKUP(TRAMOS!$K$2,Tabla5[#All],3,FALSE)*Tabla15[[#This Row],[6]])</f>
        <v>0</v>
      </c>
      <c r="N49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9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97" s="52">
        <f>IF(Tabla15[[#This Row],[8]]="",0,VLOOKUP(TRAMOS!$H$2,Tabla5[#All],3,FALSE)*Tabla15[[#This Row],[9]])</f>
        <v>0</v>
      </c>
      <c r="Q49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8"</v>
      </c>
      <c r="R497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6</v>
      </c>
      <c r="S497" s="52">
        <f>IF(Tabla15[[#This Row],[11]]="",0,VLOOKUP(TRAMOS!$Q$2,Tabla5[#All],3,FALSE)*Tabla15[[#This Row],[12]])</f>
        <v>5.4</v>
      </c>
      <c r="T49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9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9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9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9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9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9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9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97" s="52">
        <f>IF(Tabla15[[#This Row],[20]]="",0,VLOOKUP("VRP",Tabla5[#All],3,FALSE)*Tabla15[[#This Row],[21]])</f>
        <v>0</v>
      </c>
      <c r="AC49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9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97" s="52">
        <f>IF(Tabla15[[#This Row],[23]]="",0,VLOOKUP("VC",Tabla5[#All],3,FALSE)*Tabla15[[#This Row],[24]])</f>
        <v>0</v>
      </c>
      <c r="AF49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9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97" s="52">
        <f>IF(Tabla15[[#This Row],[26]]="",0,VLOOKUP(TRAMOS!$K$2,Tabla5[#All],3,FALSE)*Tabla15[[#This Row],[27]])</f>
        <v>0</v>
      </c>
      <c r="AI49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9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9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9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9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9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9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5.5500000000000007</v>
      </c>
    </row>
    <row r="498" spans="2:41" x14ac:dyDescent="0.25">
      <c r="B498" s="58" t="str">
        <f>Tabla1[[#This Row],[nudo inicial]]</f>
        <v>N255</v>
      </c>
      <c r="C498" s="58" t="str">
        <f>Tabla1[[#This Row],[nudo final]]</f>
        <v>N258</v>
      </c>
      <c r="D498" s="51">
        <f>Tabla1[[#This Row],[longitud]]</f>
        <v>167.43</v>
      </c>
      <c r="E498" s="51" t="str">
        <f>Tabla1[[#This Row],[diametro]]</f>
        <v>3"</v>
      </c>
      <c r="F498" s="51" t="str">
        <f>Tabla1[[#This Row],[material]]</f>
        <v>AC</v>
      </c>
      <c r="G49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98" s="52" t="str">
        <f>IF(Tabla1[[#This Row],[5]]="TPD",Tabla1[[#This Row],[6]],"")</f>
        <v>3"</v>
      </c>
      <c r="I498" s="52">
        <f>IF(OR(Tabla1[[#This Row],[5]]="TPD"),Tabla1[[#This Row],[7]],"")</f>
        <v>1</v>
      </c>
      <c r="J498" s="52">
        <f>IF(Tabla15[[#This Row],[2]]="",0,VLOOKUP(TRAMOS!$H$2,Tabla5[#All],3,FALSE)*Tabla15[[#This Row],[3]])</f>
        <v>0.15</v>
      </c>
      <c r="K498" s="52" t="str">
        <f>IF(Tabla1[[#This Row],[5]]="TPL",Tabla1[[#This Row],[6]],"")</f>
        <v/>
      </c>
      <c r="L498" s="52" t="str">
        <f>IF(OR(Tabla1[[#This Row],[5]]="TPL"),Tabla1[[#This Row],[7]],"")</f>
        <v/>
      </c>
      <c r="M498" s="52">
        <f>IF(Tabla15[[#This Row],[5]]="",0,VLOOKUP(TRAMOS!$K$2,Tabla5[#All],3,FALSE)*Tabla15[[#This Row],[6]])</f>
        <v>0</v>
      </c>
      <c r="N49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9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98" s="52">
        <f>IF(Tabla15[[#This Row],[8]]="",0,VLOOKUP(TRAMOS!$H$2,Tabla5[#All],3,FALSE)*Tabla15[[#This Row],[9]])</f>
        <v>0</v>
      </c>
      <c r="Q49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49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498" s="52">
        <f>IF(Tabla15[[#This Row],[11]]="",0,VLOOKUP(TRAMOS!$Q$2,Tabla5[#All],3,FALSE)*Tabla15[[#This Row],[12]])</f>
        <v>0</v>
      </c>
      <c r="T49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49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49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49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9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9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9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9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98" s="52">
        <f>IF(Tabla15[[#This Row],[20]]="",0,VLOOKUP("VRP",Tabla5[#All],3,FALSE)*Tabla15[[#This Row],[21]])</f>
        <v>0</v>
      </c>
      <c r="AC49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49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498" s="52">
        <f>IF(Tabla15[[#This Row],[23]]="",0,VLOOKUP("VC",Tabla5[#All],3,FALSE)*Tabla15[[#This Row],[24]])</f>
        <v>0</v>
      </c>
      <c r="AF49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9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98" s="52">
        <f>IF(Tabla15[[#This Row],[26]]="",0,VLOOKUP(TRAMOS!$K$2,Tabla5[#All],3,FALSE)*Tabla15[[#This Row],[27]])</f>
        <v>0</v>
      </c>
      <c r="AI49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9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9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9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9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49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49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499" spans="2:41" x14ac:dyDescent="0.25">
      <c r="B499" s="58" t="str">
        <f>Tabla1[[#This Row],[nudo inicial]]</f>
        <v>N258</v>
      </c>
      <c r="C499" s="58" t="str">
        <f>Tabla1[[#This Row],[nudo final]]</f>
        <v>TP182</v>
      </c>
      <c r="D499" s="51">
        <f>Tabla1[[#This Row],[longitud]]</f>
        <v>193.79</v>
      </c>
      <c r="E499" s="51" t="str">
        <f>Tabla1[[#This Row],[diametro]]</f>
        <v>2"</v>
      </c>
      <c r="F499" s="51" t="str">
        <f>Tabla1[[#This Row],[material]]</f>
        <v>PVC</v>
      </c>
      <c r="G49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499" s="52" t="str">
        <f>IF(Tabla1[[#This Row],[5]]="TPD",Tabla1[[#This Row],[6]],"")</f>
        <v/>
      </c>
      <c r="I499" s="52" t="str">
        <f>IF(OR(Tabla1[[#This Row],[5]]="TPD"),Tabla1[[#This Row],[7]],"")</f>
        <v/>
      </c>
      <c r="J499" s="52">
        <f>IF(Tabla15[[#This Row],[2]]="",0,VLOOKUP(TRAMOS!$H$2,Tabla5[#All],3,FALSE)*Tabla15[[#This Row],[3]])</f>
        <v>0</v>
      </c>
      <c r="K499" s="52" t="str">
        <f>IF(Tabla1[[#This Row],[5]]="TPL",Tabla1[[#This Row],[6]],"")</f>
        <v/>
      </c>
      <c r="L499" s="52" t="str">
        <f>IF(OR(Tabla1[[#This Row],[5]]="TPL"),Tabla1[[#This Row],[7]],"")</f>
        <v/>
      </c>
      <c r="M499" s="52">
        <f>IF(Tabla15[[#This Row],[5]]="",0,VLOOKUP(TRAMOS!$K$2,Tabla5[#All],3,FALSE)*Tabla15[[#This Row],[6]])</f>
        <v>0</v>
      </c>
      <c r="N49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49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499" s="52">
        <f>IF(Tabla15[[#This Row],[8]]="",0,VLOOKUP(TRAMOS!$H$2,Tabla5[#All],3,FALSE)*Tabla15[[#This Row],[9]])</f>
        <v>0</v>
      </c>
      <c r="Q49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499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499" s="52">
        <f>IF(Tabla15[[#This Row],[11]]="",0,VLOOKUP(TRAMOS!$Q$2,Tabla5[#All],3,FALSE)*Tabla15[[#This Row],[12]])</f>
        <v>0.9</v>
      </c>
      <c r="T49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499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49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49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49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49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49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49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499" s="52">
        <f>IF(Tabla15[[#This Row],[20]]="",0,VLOOKUP("VRP",Tabla5[#All],3,FALSE)*Tabla15[[#This Row],[21]])</f>
        <v>0</v>
      </c>
      <c r="AC49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499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499" s="52">
        <f>IF(Tabla15[[#This Row],[23]]="",0,VLOOKUP("VC",Tabla5[#All],3,FALSE)*Tabla15[[#This Row],[24]])</f>
        <v>0.25</v>
      </c>
      <c r="AF49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49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499" s="52">
        <f>IF(Tabla15[[#This Row],[26]]="",0,VLOOKUP(TRAMOS!$K$2,Tabla5[#All],3,FALSE)*Tabla15[[#This Row],[27]])</f>
        <v>0</v>
      </c>
      <c r="AI49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49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49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49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49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499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49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1.365</v>
      </c>
    </row>
    <row r="500" spans="2:41" x14ac:dyDescent="0.25">
      <c r="B500" s="58" t="str">
        <f>Tabla1[[#This Row],[nudo inicial]]</f>
        <v>N241</v>
      </c>
      <c r="C500" s="58" t="str">
        <f>Tabla1[[#This Row],[nudo final]]</f>
        <v>N259</v>
      </c>
      <c r="D500" s="51">
        <f>Tabla1[[#This Row],[longitud]]</f>
        <v>50.61</v>
      </c>
      <c r="E500" s="51" t="str">
        <f>Tabla1[[#This Row],[diametro]]</f>
        <v>10"</v>
      </c>
      <c r="F500" s="51" t="str">
        <f>Tabla1[[#This Row],[material]]</f>
        <v>HF</v>
      </c>
      <c r="G50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12"</v>
      </c>
      <c r="H500" s="52" t="str">
        <f>IF(Tabla1[[#This Row],[5]]="TPD",Tabla1[[#This Row],[6]],"")</f>
        <v/>
      </c>
      <c r="I500" s="52" t="str">
        <f>IF(OR(Tabla1[[#This Row],[5]]="TPD"),Tabla1[[#This Row],[7]],"")</f>
        <v/>
      </c>
      <c r="J500" s="52">
        <f>IF(Tabla15[[#This Row],[2]]="",0,VLOOKUP(TRAMOS!$H$2,Tabla5[#All],3,FALSE)*Tabla15[[#This Row],[3]])</f>
        <v>0</v>
      </c>
      <c r="K500" s="52" t="str">
        <f>IF(Tabla1[[#This Row],[5]]="TPL",Tabla1[[#This Row],[6]],"")</f>
        <v>12"</v>
      </c>
      <c r="L500" s="52">
        <f>IF(OR(Tabla1[[#This Row],[5]]="TPL"),Tabla1[[#This Row],[7]],"")</f>
        <v>1</v>
      </c>
      <c r="M500" s="52">
        <f>IF(Tabla15[[#This Row],[5]]="",0,VLOOKUP(TRAMOS!$K$2,Tabla5[#All],3,FALSE)*Tabla15[[#This Row],[6]])</f>
        <v>0.9</v>
      </c>
      <c r="N50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0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00" s="52">
        <f>IF(Tabla15[[#This Row],[8]]="",0,VLOOKUP(TRAMOS!$H$2,Tabla5[#All],3,FALSE)*Tabla15[[#This Row],[9]])</f>
        <v>0</v>
      </c>
      <c r="Q50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10"</v>
      </c>
      <c r="R500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500" s="52">
        <f>IF(Tabla15[[#This Row],[11]]="",0,VLOOKUP(TRAMOS!$Q$2,Tabla5[#All],3,FALSE)*Tabla15[[#This Row],[12]])</f>
        <v>0.9</v>
      </c>
      <c r="T50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10"</v>
      </c>
      <c r="U500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50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0.08</v>
      </c>
      <c r="W50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0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0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0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0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00" s="52">
        <f>IF(Tabla15[[#This Row],[20]]="",0,VLOOKUP("VRP",Tabla5[#All],3,FALSE)*Tabla15[[#This Row],[21]])</f>
        <v>0</v>
      </c>
      <c r="AC50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10"</v>
      </c>
      <c r="AD500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500" s="52">
        <f>IF(Tabla15[[#This Row],[23]]="",0,VLOOKUP("VC",Tabla5[#All],3,FALSE)*Tabla15[[#This Row],[24]])</f>
        <v>0.25</v>
      </c>
      <c r="AF50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0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00" s="52">
        <f>IF(Tabla15[[#This Row],[26]]="",0,VLOOKUP(TRAMOS!$K$2,Tabla5[#All],3,FALSE)*Tabla15[[#This Row],[27]])</f>
        <v>0</v>
      </c>
      <c r="AI50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0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0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0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0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0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0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2.13</v>
      </c>
    </row>
    <row r="501" spans="2:41" x14ac:dyDescent="0.25">
      <c r="B501" s="58" t="str">
        <f>Tabla1[[#This Row],[nudo inicial]]</f>
        <v>N259</v>
      </c>
      <c r="C501" s="58" t="str">
        <f>Tabla1[[#This Row],[nudo final]]</f>
        <v>N260</v>
      </c>
      <c r="D501" s="51">
        <f>Tabla1[[#This Row],[longitud]]</f>
        <v>19.100000000000001</v>
      </c>
      <c r="E501" s="51" t="str">
        <f>Tabla1[[#This Row],[diametro]]</f>
        <v>3"</v>
      </c>
      <c r="F501" s="51" t="str">
        <f>Tabla1[[#This Row],[material]]</f>
        <v>PVC</v>
      </c>
      <c r="G50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10"</v>
      </c>
      <c r="H501" s="52" t="str">
        <f>IF(Tabla1[[#This Row],[5]]="TPD",Tabla1[[#This Row],[6]],"")</f>
        <v/>
      </c>
      <c r="I501" s="52" t="str">
        <f>IF(OR(Tabla1[[#This Row],[5]]="TPD"),Tabla1[[#This Row],[7]],"")</f>
        <v/>
      </c>
      <c r="J501" s="52">
        <f>IF(Tabla15[[#This Row],[2]]="",0,VLOOKUP(TRAMOS!$H$2,Tabla5[#All],3,FALSE)*Tabla15[[#This Row],[3]])</f>
        <v>0</v>
      </c>
      <c r="K501" s="52" t="str">
        <f>IF(Tabla1[[#This Row],[5]]="TPL",Tabla1[[#This Row],[6]],"")</f>
        <v>10"</v>
      </c>
      <c r="L501" s="52">
        <f>IF(OR(Tabla1[[#This Row],[5]]="TPL"),Tabla1[[#This Row],[7]],"")</f>
        <v>1</v>
      </c>
      <c r="M501" s="52">
        <f>IF(Tabla15[[#This Row],[5]]="",0,VLOOKUP(TRAMOS!$K$2,Tabla5[#All],3,FALSE)*Tabla15[[#This Row],[6]])</f>
        <v>0.9</v>
      </c>
      <c r="N50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0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01" s="52">
        <f>IF(Tabla15[[#This Row],[8]]="",0,VLOOKUP(TRAMOS!$H$2,Tabla5[#All],3,FALSE)*Tabla15[[#This Row],[9]])</f>
        <v>0</v>
      </c>
      <c r="Q50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0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01" s="52">
        <f>IF(Tabla15[[#This Row],[11]]="",0,VLOOKUP(TRAMOS!$Q$2,Tabla5[#All],3,FALSE)*Tabla15[[#This Row],[12]])</f>
        <v>0</v>
      </c>
      <c r="T50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501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50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0.43659999999999999</v>
      </c>
      <c r="W50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0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0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0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0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01" s="52">
        <f>IF(Tabla15[[#This Row],[20]]="",0,VLOOKUP("VRP",Tabla5[#All],3,FALSE)*Tabla15[[#This Row],[21]])</f>
        <v>0</v>
      </c>
      <c r="AC50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501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501" s="52">
        <f>IF(Tabla15[[#This Row],[23]]="",0,VLOOKUP("VC",Tabla5[#All],3,FALSE)*Tabla15[[#This Row],[24]])</f>
        <v>0.25</v>
      </c>
      <c r="AF50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0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01" s="52">
        <f>IF(Tabla15[[#This Row],[26]]="",0,VLOOKUP(TRAMOS!$K$2,Tabla5[#All],3,FALSE)*Tabla15[[#This Row],[27]])</f>
        <v>0</v>
      </c>
      <c r="AI50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0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0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0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0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0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0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1.5866</v>
      </c>
    </row>
    <row r="502" spans="2:41" x14ac:dyDescent="0.25">
      <c r="B502" s="58" t="str">
        <f>Tabla1[[#This Row],[nudo inicial]]</f>
        <v>N260</v>
      </c>
      <c r="C502" s="58" t="str">
        <f>Tabla1[[#This Row],[nudo final]]</f>
        <v>TP183</v>
      </c>
      <c r="D502" s="51">
        <f>Tabla1[[#This Row],[longitud]]</f>
        <v>15.94</v>
      </c>
      <c r="E502" s="51" t="str">
        <f>Tabla1[[#This Row],[diametro]]</f>
        <v>3"</v>
      </c>
      <c r="F502" s="51" t="str">
        <f>Tabla1[[#This Row],[material]]</f>
        <v>PVC</v>
      </c>
      <c r="G50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502" s="52" t="str">
        <f>IF(Tabla1[[#This Row],[5]]="TPD",Tabla1[[#This Row],[6]],"")</f>
        <v/>
      </c>
      <c r="I502" s="52" t="str">
        <f>IF(OR(Tabla1[[#This Row],[5]]="TPD"),Tabla1[[#This Row],[7]],"")</f>
        <v/>
      </c>
      <c r="J502" s="52">
        <f>IF(Tabla15[[#This Row],[2]]="",0,VLOOKUP(TRAMOS!$H$2,Tabla5[#All],3,FALSE)*Tabla15[[#This Row],[3]])</f>
        <v>0</v>
      </c>
      <c r="K502" s="52" t="str">
        <f>IF(Tabla1[[#This Row],[5]]="TPL",Tabla1[[#This Row],[6]],"")</f>
        <v>3"</v>
      </c>
      <c r="L502" s="52">
        <f>IF(OR(Tabla1[[#This Row],[5]]="TPL"),Tabla1[[#This Row],[7]],"")</f>
        <v>1</v>
      </c>
      <c r="M502" s="52">
        <f>IF(Tabla15[[#This Row],[5]]="",0,VLOOKUP(TRAMOS!$K$2,Tabla5[#All],3,FALSE)*Tabla15[[#This Row],[6]])</f>
        <v>0.9</v>
      </c>
      <c r="N50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0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02" s="52">
        <f>IF(Tabla15[[#This Row],[8]]="",0,VLOOKUP(TRAMOS!$H$2,Tabla5[#All],3,FALSE)*Tabla15[[#This Row],[9]])</f>
        <v>0</v>
      </c>
      <c r="Q50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0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02" s="52">
        <f>IF(Tabla15[[#This Row],[11]]="",0,VLOOKUP(TRAMOS!$Q$2,Tabla5[#All],3,FALSE)*Tabla15[[#This Row],[12]])</f>
        <v>0</v>
      </c>
      <c r="T50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0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0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0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0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0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0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0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02" s="52">
        <f>IF(Tabla15[[#This Row],[20]]="",0,VLOOKUP("VRP",Tabla5[#All],3,FALSE)*Tabla15[[#This Row],[21]])</f>
        <v>0</v>
      </c>
      <c r="AC50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0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02" s="52">
        <f>IF(Tabla15[[#This Row],[23]]="",0,VLOOKUP("VC",Tabla5[#All],3,FALSE)*Tabla15[[#This Row],[24]])</f>
        <v>0</v>
      </c>
      <c r="AF50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0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02" s="52">
        <f>IF(Tabla15[[#This Row],[26]]="",0,VLOOKUP(TRAMOS!$K$2,Tabla5[#All],3,FALSE)*Tabla15[[#This Row],[27]])</f>
        <v>0</v>
      </c>
      <c r="AI50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0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0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0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0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502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50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503" spans="2:41" x14ac:dyDescent="0.25">
      <c r="B503" s="58" t="str">
        <f>Tabla1[[#This Row],[nudo inicial]]</f>
        <v>N260</v>
      </c>
      <c r="C503" s="58" t="str">
        <f>Tabla1[[#This Row],[nudo final]]</f>
        <v>N261</v>
      </c>
      <c r="D503" s="51">
        <f>Tabla1[[#This Row],[longitud]]</f>
        <v>25.91</v>
      </c>
      <c r="E503" s="51" t="str">
        <f>Tabla1[[#This Row],[diametro]]</f>
        <v>3"</v>
      </c>
      <c r="F503" s="51" t="str">
        <f>Tabla1[[#This Row],[material]]</f>
        <v>PVC</v>
      </c>
      <c r="G50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503" s="52" t="str">
        <f>IF(Tabla1[[#This Row],[5]]="TPD",Tabla1[[#This Row],[6]],"")</f>
        <v>3"</v>
      </c>
      <c r="I503" s="52">
        <f>IF(OR(Tabla1[[#This Row],[5]]="TPD"),Tabla1[[#This Row],[7]],"")</f>
        <v>1</v>
      </c>
      <c r="J503" s="52">
        <f>IF(Tabla15[[#This Row],[2]]="",0,VLOOKUP(TRAMOS!$H$2,Tabla5[#All],3,FALSE)*Tabla15[[#This Row],[3]])</f>
        <v>0.15</v>
      </c>
      <c r="K503" s="52" t="str">
        <f>IF(Tabla1[[#This Row],[5]]="TPL",Tabla1[[#This Row],[6]],"")</f>
        <v/>
      </c>
      <c r="L503" s="52" t="str">
        <f>IF(OR(Tabla1[[#This Row],[5]]="TPL"),Tabla1[[#This Row],[7]],"")</f>
        <v/>
      </c>
      <c r="M503" s="52">
        <f>IF(Tabla15[[#This Row],[5]]="",0,VLOOKUP(TRAMOS!$K$2,Tabla5[#All],3,FALSE)*Tabla15[[#This Row],[6]])</f>
        <v>0</v>
      </c>
      <c r="N50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0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03" s="52">
        <f>IF(Tabla15[[#This Row],[8]]="",0,VLOOKUP(TRAMOS!$H$2,Tabla5[#All],3,FALSE)*Tabla15[[#This Row],[9]])</f>
        <v>0</v>
      </c>
      <c r="Q50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0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03" s="52">
        <f>IF(Tabla15[[#This Row],[11]]="",0,VLOOKUP(TRAMOS!$Q$2,Tabla5[#All],3,FALSE)*Tabla15[[#This Row],[12]])</f>
        <v>0</v>
      </c>
      <c r="T50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0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0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0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0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0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0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0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03" s="52">
        <f>IF(Tabla15[[#This Row],[20]]="",0,VLOOKUP("VRP",Tabla5[#All],3,FALSE)*Tabla15[[#This Row],[21]])</f>
        <v>0</v>
      </c>
      <c r="AC50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0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03" s="52">
        <f>IF(Tabla15[[#This Row],[23]]="",0,VLOOKUP("VC",Tabla5[#All],3,FALSE)*Tabla15[[#This Row],[24]])</f>
        <v>0</v>
      </c>
      <c r="AF50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0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03" s="52">
        <f>IF(Tabla15[[#This Row],[26]]="",0,VLOOKUP(TRAMOS!$K$2,Tabla5[#All],3,FALSE)*Tabla15[[#This Row],[27]])</f>
        <v>0</v>
      </c>
      <c r="AI50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0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0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0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0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0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0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504" spans="2:41" x14ac:dyDescent="0.25">
      <c r="B504" s="58" t="str">
        <f>Tabla1[[#This Row],[nudo inicial]]</f>
        <v>N261</v>
      </c>
      <c r="C504" s="58" t="str">
        <f>Tabla1[[#This Row],[nudo final]]</f>
        <v>TP184</v>
      </c>
      <c r="D504" s="51">
        <f>Tabla1[[#This Row],[longitud]]</f>
        <v>18.12</v>
      </c>
      <c r="E504" s="51" t="str">
        <f>Tabla1[[#This Row],[diametro]]</f>
        <v>3"</v>
      </c>
      <c r="F504" s="51" t="str">
        <f>Tabla1[[#This Row],[material]]</f>
        <v>PVC</v>
      </c>
      <c r="G50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504" s="52" t="str">
        <f>IF(Tabla1[[#This Row],[5]]="TPD",Tabla1[[#This Row],[6]],"")</f>
        <v/>
      </c>
      <c r="I504" s="52" t="str">
        <f>IF(OR(Tabla1[[#This Row],[5]]="TPD"),Tabla1[[#This Row],[7]],"")</f>
        <v/>
      </c>
      <c r="J504" s="52">
        <f>IF(Tabla15[[#This Row],[2]]="",0,VLOOKUP(TRAMOS!$H$2,Tabla5[#All],3,FALSE)*Tabla15[[#This Row],[3]])</f>
        <v>0</v>
      </c>
      <c r="K504" s="52" t="str">
        <f>IF(Tabla1[[#This Row],[5]]="TPL",Tabla1[[#This Row],[6]],"")</f>
        <v>3"</v>
      </c>
      <c r="L504" s="52">
        <f>IF(OR(Tabla1[[#This Row],[5]]="TPL"),Tabla1[[#This Row],[7]],"")</f>
        <v>1</v>
      </c>
      <c r="M504" s="52">
        <f>IF(Tabla15[[#This Row],[5]]="",0,VLOOKUP(TRAMOS!$K$2,Tabla5[#All],3,FALSE)*Tabla15[[#This Row],[6]])</f>
        <v>0.9</v>
      </c>
      <c r="N50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0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04" s="52">
        <f>IF(Tabla15[[#This Row],[8]]="",0,VLOOKUP(TRAMOS!$H$2,Tabla5[#All],3,FALSE)*Tabla15[[#This Row],[9]])</f>
        <v>0</v>
      </c>
      <c r="Q50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0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04" s="52">
        <f>IF(Tabla15[[#This Row],[11]]="",0,VLOOKUP(TRAMOS!$Q$2,Tabla5[#All],3,FALSE)*Tabla15[[#This Row],[12]])</f>
        <v>0</v>
      </c>
      <c r="T50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0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0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0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0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0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0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0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04" s="52">
        <f>IF(Tabla15[[#This Row],[20]]="",0,VLOOKUP("VRP",Tabla5[#All],3,FALSE)*Tabla15[[#This Row],[21]])</f>
        <v>0</v>
      </c>
      <c r="AC50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0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04" s="52">
        <f>IF(Tabla15[[#This Row],[23]]="",0,VLOOKUP("VC",Tabla5[#All],3,FALSE)*Tabla15[[#This Row],[24]])</f>
        <v>0</v>
      </c>
      <c r="AF50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0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04" s="52">
        <f>IF(Tabla15[[#This Row],[26]]="",0,VLOOKUP(TRAMOS!$K$2,Tabla5[#All],3,FALSE)*Tabla15[[#This Row],[27]])</f>
        <v>0</v>
      </c>
      <c r="AI50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0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0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0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0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504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50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505" spans="2:41" x14ac:dyDescent="0.25">
      <c r="B505" s="58" t="str">
        <f>Tabla1[[#This Row],[nudo inicial]]</f>
        <v>N261</v>
      </c>
      <c r="C505" s="58" t="str">
        <f>Tabla1[[#This Row],[nudo final]]</f>
        <v>N262</v>
      </c>
      <c r="D505" s="51">
        <f>Tabla1[[#This Row],[longitud]]</f>
        <v>35</v>
      </c>
      <c r="E505" s="51" t="str">
        <f>Tabla1[[#This Row],[diametro]]</f>
        <v>2"</v>
      </c>
      <c r="F505" s="51" t="str">
        <f>Tabla1[[#This Row],[material]]</f>
        <v>PVC</v>
      </c>
      <c r="G50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505" s="52" t="str">
        <f>IF(Tabla1[[#This Row],[5]]="TPD",Tabla1[[#This Row],[6]],"")</f>
        <v>3"</v>
      </c>
      <c r="I505" s="52">
        <f>IF(OR(Tabla1[[#This Row],[5]]="TPD"),Tabla1[[#This Row],[7]],"")</f>
        <v>1</v>
      </c>
      <c r="J505" s="52">
        <f>IF(Tabla15[[#This Row],[2]]="",0,VLOOKUP(TRAMOS!$H$2,Tabla5[#All],3,FALSE)*Tabla15[[#This Row],[3]])</f>
        <v>0.15</v>
      </c>
      <c r="K505" s="52" t="str">
        <f>IF(Tabla1[[#This Row],[5]]="TPL",Tabla1[[#This Row],[6]],"")</f>
        <v/>
      </c>
      <c r="L505" s="52" t="str">
        <f>IF(OR(Tabla1[[#This Row],[5]]="TPL"),Tabla1[[#This Row],[7]],"")</f>
        <v/>
      </c>
      <c r="M505" s="52">
        <f>IF(Tabla15[[#This Row],[5]]="",0,VLOOKUP(TRAMOS!$K$2,Tabla5[#All],3,FALSE)*Tabla15[[#This Row],[6]])</f>
        <v>0</v>
      </c>
      <c r="N50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0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05" s="52">
        <f>IF(Tabla15[[#This Row],[8]]="",0,VLOOKUP(TRAMOS!$H$2,Tabla5[#All],3,FALSE)*Tabla15[[#This Row],[9]])</f>
        <v>0</v>
      </c>
      <c r="Q50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505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505" s="52">
        <f>IF(Tabla15[[#This Row],[11]]="",0,VLOOKUP(TRAMOS!$Q$2,Tabla5[#All],3,FALSE)*Tabla15[[#This Row],[12]])</f>
        <v>0.9</v>
      </c>
      <c r="T50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505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50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50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0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0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0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0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05" s="52">
        <f>IF(Tabla15[[#This Row],[20]]="",0,VLOOKUP("VRP",Tabla5[#All],3,FALSE)*Tabla15[[#This Row],[21]])</f>
        <v>0</v>
      </c>
      <c r="AC50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505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505" s="52">
        <f>IF(Tabla15[[#This Row],[23]]="",0,VLOOKUP("VC",Tabla5[#All],3,FALSE)*Tabla15[[#This Row],[24]])</f>
        <v>0.25</v>
      </c>
      <c r="AF50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0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05" s="52">
        <f>IF(Tabla15[[#This Row],[26]]="",0,VLOOKUP(TRAMOS!$K$2,Tabla5[#All],3,FALSE)*Tabla15[[#This Row],[27]])</f>
        <v>0</v>
      </c>
      <c r="AI50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0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0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0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0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0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0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1.5150000000000001</v>
      </c>
    </row>
    <row r="506" spans="2:41" x14ac:dyDescent="0.25">
      <c r="B506" s="58" t="str">
        <f>Tabla1[[#This Row],[nudo inicial]]</f>
        <v>N262</v>
      </c>
      <c r="C506" s="58" t="str">
        <f>Tabla1[[#This Row],[nudo final]]</f>
        <v>TP185</v>
      </c>
      <c r="D506" s="51">
        <f>Tabla1[[#This Row],[longitud]]</f>
        <v>29.08</v>
      </c>
      <c r="E506" s="51" t="str">
        <f>Tabla1[[#This Row],[diametro]]</f>
        <v>2"</v>
      </c>
      <c r="F506" s="51" t="str">
        <f>Tabla1[[#This Row],[material]]</f>
        <v>PVC</v>
      </c>
      <c r="G50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506" s="52" t="str">
        <f>IF(Tabla1[[#This Row],[5]]="TPD",Tabla1[[#This Row],[6]],"")</f>
        <v>2"</v>
      </c>
      <c r="I506" s="52">
        <f>IF(OR(Tabla1[[#This Row],[5]]="TPD"),Tabla1[[#This Row],[7]],"")</f>
        <v>1</v>
      </c>
      <c r="J506" s="52">
        <f>IF(Tabla15[[#This Row],[2]]="",0,VLOOKUP(TRAMOS!$H$2,Tabla5[#All],3,FALSE)*Tabla15[[#This Row],[3]])</f>
        <v>0.15</v>
      </c>
      <c r="K506" s="52" t="str">
        <f>IF(Tabla1[[#This Row],[5]]="TPL",Tabla1[[#This Row],[6]],"")</f>
        <v/>
      </c>
      <c r="L506" s="52" t="str">
        <f>IF(OR(Tabla1[[#This Row],[5]]="TPL"),Tabla1[[#This Row],[7]],"")</f>
        <v/>
      </c>
      <c r="M506" s="52">
        <f>IF(Tabla15[[#This Row],[5]]="",0,VLOOKUP(TRAMOS!$K$2,Tabla5[#All],3,FALSE)*Tabla15[[#This Row],[6]])</f>
        <v>0</v>
      </c>
      <c r="N50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0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06" s="52">
        <f>IF(Tabla15[[#This Row],[8]]="",0,VLOOKUP(TRAMOS!$H$2,Tabla5[#All],3,FALSE)*Tabla15[[#This Row],[9]])</f>
        <v>0</v>
      </c>
      <c r="Q50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0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06" s="52">
        <f>IF(Tabla15[[#This Row],[11]]="",0,VLOOKUP(TRAMOS!$Q$2,Tabla5[#All],3,FALSE)*Tabla15[[#This Row],[12]])</f>
        <v>0</v>
      </c>
      <c r="T50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0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0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0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0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0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0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0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06" s="52">
        <f>IF(Tabla15[[#This Row],[20]]="",0,VLOOKUP("VRP",Tabla5[#All],3,FALSE)*Tabla15[[#This Row],[21]])</f>
        <v>0</v>
      </c>
      <c r="AC50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0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06" s="52">
        <f>IF(Tabla15[[#This Row],[23]]="",0,VLOOKUP("VC",Tabla5[#All],3,FALSE)*Tabla15[[#This Row],[24]])</f>
        <v>0</v>
      </c>
      <c r="AF50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0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06" s="52">
        <f>IF(Tabla15[[#This Row],[26]]="",0,VLOOKUP(TRAMOS!$K$2,Tabla5[#All],3,FALSE)*Tabla15[[#This Row],[27]])</f>
        <v>0</v>
      </c>
      <c r="AI50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0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0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0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0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50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50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507" spans="2:41" x14ac:dyDescent="0.25">
      <c r="B507" s="58" t="str">
        <f>Tabla1[[#This Row],[nudo inicial]]</f>
        <v>N262</v>
      </c>
      <c r="C507" s="58" t="str">
        <f>Tabla1[[#This Row],[nudo final]]</f>
        <v>N263</v>
      </c>
      <c r="D507" s="51">
        <f>Tabla1[[#This Row],[longitud]]</f>
        <v>19.71</v>
      </c>
      <c r="E507" s="51" t="str">
        <f>Tabla1[[#This Row],[diametro]]</f>
        <v>2"</v>
      </c>
      <c r="F507" s="51" t="str">
        <f>Tabla1[[#This Row],[material]]</f>
        <v>PVC</v>
      </c>
      <c r="G50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507" s="52" t="str">
        <f>IF(Tabla1[[#This Row],[5]]="TPD",Tabla1[[#This Row],[6]],"")</f>
        <v/>
      </c>
      <c r="I507" s="52" t="str">
        <f>IF(OR(Tabla1[[#This Row],[5]]="TPD"),Tabla1[[#This Row],[7]],"")</f>
        <v/>
      </c>
      <c r="J507" s="52">
        <f>IF(Tabla15[[#This Row],[2]]="",0,VLOOKUP(TRAMOS!$H$2,Tabla5[#All],3,FALSE)*Tabla15[[#This Row],[3]])</f>
        <v>0</v>
      </c>
      <c r="K507" s="52" t="str">
        <f>IF(Tabla1[[#This Row],[5]]="TPL",Tabla1[[#This Row],[6]],"")</f>
        <v>2"</v>
      </c>
      <c r="L507" s="52">
        <f>IF(OR(Tabla1[[#This Row],[5]]="TPL"),Tabla1[[#This Row],[7]],"")</f>
        <v>1</v>
      </c>
      <c r="M507" s="52">
        <f>IF(Tabla15[[#This Row],[5]]="",0,VLOOKUP(TRAMOS!$K$2,Tabla5[#All],3,FALSE)*Tabla15[[#This Row],[6]])</f>
        <v>0.9</v>
      </c>
      <c r="N50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0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07" s="52">
        <f>IF(Tabla15[[#This Row],[8]]="",0,VLOOKUP(TRAMOS!$H$2,Tabla5[#All],3,FALSE)*Tabla15[[#This Row],[9]])</f>
        <v>0</v>
      </c>
      <c r="Q50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0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07" s="52">
        <f>IF(Tabla15[[#This Row],[11]]="",0,VLOOKUP(TRAMOS!$Q$2,Tabla5[#All],3,FALSE)*Tabla15[[#This Row],[12]])</f>
        <v>0</v>
      </c>
      <c r="T50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0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0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0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0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0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0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0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07" s="52">
        <f>IF(Tabla15[[#This Row],[20]]="",0,VLOOKUP("VRP",Tabla5[#All],3,FALSE)*Tabla15[[#This Row],[21]])</f>
        <v>0</v>
      </c>
      <c r="AC50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0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07" s="52">
        <f>IF(Tabla15[[#This Row],[23]]="",0,VLOOKUP("VC",Tabla5[#All],3,FALSE)*Tabla15[[#This Row],[24]])</f>
        <v>0</v>
      </c>
      <c r="AF50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0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07" s="52">
        <f>IF(Tabla15[[#This Row],[26]]="",0,VLOOKUP(TRAMOS!$K$2,Tabla5[#All],3,FALSE)*Tabla15[[#This Row],[27]])</f>
        <v>0</v>
      </c>
      <c r="AI50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0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0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0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0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0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0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508" spans="2:41" x14ac:dyDescent="0.25">
      <c r="B508" s="58" t="str">
        <f>Tabla1[[#This Row],[nudo inicial]]</f>
        <v>N263</v>
      </c>
      <c r="C508" s="58" t="str">
        <f>Tabla1[[#This Row],[nudo final]]</f>
        <v>TP186</v>
      </c>
      <c r="D508" s="51">
        <f>Tabla1[[#This Row],[longitud]]</f>
        <v>22.82</v>
      </c>
      <c r="E508" s="51" t="str">
        <f>Tabla1[[#This Row],[diametro]]</f>
        <v>2"</v>
      </c>
      <c r="F508" s="51" t="str">
        <f>Tabla1[[#This Row],[material]]</f>
        <v>PVC</v>
      </c>
      <c r="G50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508" s="52" t="str">
        <f>IF(Tabla1[[#This Row],[5]]="TPD",Tabla1[[#This Row],[6]],"")</f>
        <v/>
      </c>
      <c r="I508" s="52" t="str">
        <f>IF(OR(Tabla1[[#This Row],[5]]="TPD"),Tabla1[[#This Row],[7]],"")</f>
        <v/>
      </c>
      <c r="J508" s="52">
        <f>IF(Tabla15[[#This Row],[2]]="",0,VLOOKUP(TRAMOS!$H$2,Tabla5[#All],3,FALSE)*Tabla15[[#This Row],[3]])</f>
        <v>0</v>
      </c>
      <c r="K508" s="52" t="str">
        <f>IF(Tabla1[[#This Row],[5]]="TPL",Tabla1[[#This Row],[6]],"")</f>
        <v>2"</v>
      </c>
      <c r="L508" s="52">
        <f>IF(OR(Tabla1[[#This Row],[5]]="TPL"),Tabla1[[#This Row],[7]],"")</f>
        <v>1</v>
      </c>
      <c r="M508" s="52">
        <f>IF(Tabla15[[#This Row],[5]]="",0,VLOOKUP(TRAMOS!$K$2,Tabla5[#All],3,FALSE)*Tabla15[[#This Row],[6]])</f>
        <v>0.9</v>
      </c>
      <c r="N50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0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08" s="52">
        <f>IF(Tabla15[[#This Row],[8]]="",0,VLOOKUP(TRAMOS!$H$2,Tabla5[#All],3,FALSE)*Tabla15[[#This Row],[9]])</f>
        <v>0</v>
      </c>
      <c r="Q50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0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08" s="52">
        <f>IF(Tabla15[[#This Row],[11]]="",0,VLOOKUP(TRAMOS!$Q$2,Tabla5[#All],3,FALSE)*Tabla15[[#This Row],[12]])</f>
        <v>0</v>
      </c>
      <c r="T50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0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0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0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0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0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0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0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08" s="52">
        <f>IF(Tabla15[[#This Row],[20]]="",0,VLOOKUP("VRP",Tabla5[#All],3,FALSE)*Tabla15[[#This Row],[21]])</f>
        <v>0</v>
      </c>
      <c r="AC50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0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08" s="52">
        <f>IF(Tabla15[[#This Row],[23]]="",0,VLOOKUP("VC",Tabla5[#All],3,FALSE)*Tabla15[[#This Row],[24]])</f>
        <v>0</v>
      </c>
      <c r="AF50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0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08" s="52">
        <f>IF(Tabla15[[#This Row],[26]]="",0,VLOOKUP(TRAMOS!$K$2,Tabla5[#All],3,FALSE)*Tabla15[[#This Row],[27]])</f>
        <v>0</v>
      </c>
      <c r="AI50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0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0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0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0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508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50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509" spans="2:41" x14ac:dyDescent="0.25">
      <c r="B509" s="58" t="str">
        <f>Tabla1[[#This Row],[nudo inicial]]</f>
        <v>N263</v>
      </c>
      <c r="C509" s="58" t="str">
        <f>Tabla1[[#This Row],[nudo final]]</f>
        <v>TP187</v>
      </c>
      <c r="D509" s="51">
        <f>Tabla1[[#This Row],[longitud]]</f>
        <v>40.369999999999997</v>
      </c>
      <c r="E509" s="51" t="str">
        <f>Tabla1[[#This Row],[diametro]]</f>
        <v>2"</v>
      </c>
      <c r="F509" s="51" t="str">
        <f>Tabla1[[#This Row],[material]]</f>
        <v>PVC</v>
      </c>
      <c r="G50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509" s="52" t="str">
        <f>IF(Tabla1[[#This Row],[5]]="TPD",Tabla1[[#This Row],[6]],"")</f>
        <v>2"</v>
      </c>
      <c r="I509" s="52">
        <f>IF(OR(Tabla1[[#This Row],[5]]="TPD"),Tabla1[[#This Row],[7]],"")</f>
        <v>1</v>
      </c>
      <c r="J509" s="52">
        <f>IF(Tabla15[[#This Row],[2]]="",0,VLOOKUP(TRAMOS!$H$2,Tabla5[#All],3,FALSE)*Tabla15[[#This Row],[3]])</f>
        <v>0.15</v>
      </c>
      <c r="K509" s="52" t="str">
        <f>IF(Tabla1[[#This Row],[5]]="TPL",Tabla1[[#This Row],[6]],"")</f>
        <v/>
      </c>
      <c r="L509" s="52" t="str">
        <f>IF(OR(Tabla1[[#This Row],[5]]="TPL"),Tabla1[[#This Row],[7]],"")</f>
        <v/>
      </c>
      <c r="M509" s="52">
        <f>IF(Tabla15[[#This Row],[5]]="",0,VLOOKUP(TRAMOS!$K$2,Tabla5[#All],3,FALSE)*Tabla15[[#This Row],[6]])</f>
        <v>0</v>
      </c>
      <c r="N50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0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09" s="52">
        <f>IF(Tabla15[[#This Row],[8]]="",0,VLOOKUP(TRAMOS!$H$2,Tabla5[#All],3,FALSE)*Tabla15[[#This Row],[9]])</f>
        <v>0</v>
      </c>
      <c r="Q50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509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509" s="52">
        <f>IF(Tabla15[[#This Row],[11]]="",0,VLOOKUP(TRAMOS!$Q$2,Tabla5[#All],3,FALSE)*Tabla15[[#This Row],[12]])</f>
        <v>0.9</v>
      </c>
      <c r="T50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0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0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0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0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0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0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0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09" s="52">
        <f>IF(Tabla15[[#This Row],[20]]="",0,VLOOKUP("VRP",Tabla5[#All],3,FALSE)*Tabla15[[#This Row],[21]])</f>
        <v>0</v>
      </c>
      <c r="AC50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0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09" s="52">
        <f>IF(Tabla15[[#This Row],[23]]="",0,VLOOKUP("VC",Tabla5[#All],3,FALSE)*Tabla15[[#This Row],[24]])</f>
        <v>0</v>
      </c>
      <c r="AF50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0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09" s="52">
        <f>IF(Tabla15[[#This Row],[26]]="",0,VLOOKUP(TRAMOS!$K$2,Tabla5[#All],3,FALSE)*Tabla15[[#This Row],[27]])</f>
        <v>0</v>
      </c>
      <c r="AI50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0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0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0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0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509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50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510" spans="2:41" x14ac:dyDescent="0.25">
      <c r="B510" s="58" t="str">
        <f>Tabla1[[#This Row],[nudo inicial]]</f>
        <v>N259</v>
      </c>
      <c r="C510" s="58" t="str">
        <f>Tabla1[[#This Row],[nudo final]]</f>
        <v>N288</v>
      </c>
      <c r="D510" s="51">
        <f>Tabla1[[#This Row],[longitud]]</f>
        <v>123.77</v>
      </c>
      <c r="E510" s="51" t="str">
        <f>Tabla1[[#This Row],[diametro]]</f>
        <v>10"</v>
      </c>
      <c r="F510" s="51" t="str">
        <f>Tabla1[[#This Row],[material]]</f>
        <v>HF</v>
      </c>
      <c r="G51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10"</v>
      </c>
      <c r="H510" s="52" t="str">
        <f>IF(Tabla1[[#This Row],[5]]="TPD",Tabla1[[#This Row],[6]],"")</f>
        <v>10"</v>
      </c>
      <c r="I510" s="52">
        <f>IF(OR(Tabla1[[#This Row],[5]]="TPD"),Tabla1[[#This Row],[7]],"")</f>
        <v>1</v>
      </c>
      <c r="J510" s="52">
        <f>IF(Tabla15[[#This Row],[2]]="",0,VLOOKUP(TRAMOS!$H$2,Tabla5[#All],3,FALSE)*Tabla15[[#This Row],[3]])</f>
        <v>0.15</v>
      </c>
      <c r="K510" s="52" t="str">
        <f>IF(Tabla1[[#This Row],[5]]="TPL",Tabla1[[#This Row],[6]],"")</f>
        <v/>
      </c>
      <c r="L510" s="52" t="str">
        <f>IF(OR(Tabla1[[#This Row],[5]]="TPL"),Tabla1[[#This Row],[7]],"")</f>
        <v/>
      </c>
      <c r="M510" s="52">
        <f>IF(Tabla15[[#This Row],[5]]="",0,VLOOKUP(TRAMOS!$K$2,Tabla5[#All],3,FALSE)*Tabla15[[#This Row],[6]])</f>
        <v>0</v>
      </c>
      <c r="N51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1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10" s="52">
        <f>IF(Tabla15[[#This Row],[8]]="",0,VLOOKUP(TRAMOS!$H$2,Tabla5[#All],3,FALSE)*Tabla15[[#This Row],[9]])</f>
        <v>0</v>
      </c>
      <c r="Q51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1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10" s="52">
        <f>IF(Tabla15[[#This Row],[11]]="",0,VLOOKUP(TRAMOS!$Q$2,Tabla5[#All],3,FALSE)*Tabla15[[#This Row],[12]])</f>
        <v>0</v>
      </c>
      <c r="T51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1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1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1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1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1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1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1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10" s="52">
        <f>IF(Tabla15[[#This Row],[20]]="",0,VLOOKUP("VRP",Tabla5[#All],3,FALSE)*Tabla15[[#This Row],[21]])</f>
        <v>0</v>
      </c>
      <c r="AC51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1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10" s="52">
        <f>IF(Tabla15[[#This Row],[23]]="",0,VLOOKUP("VC",Tabla5[#All],3,FALSE)*Tabla15[[#This Row],[24]])</f>
        <v>0</v>
      </c>
      <c r="AF51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1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10" s="52">
        <f>IF(Tabla15[[#This Row],[26]]="",0,VLOOKUP(TRAMOS!$K$2,Tabla5[#All],3,FALSE)*Tabla15[[#This Row],[27]])</f>
        <v>0</v>
      </c>
      <c r="AI510" s="52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>0</v>
      </c>
      <c r="AJ510" s="52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>1</v>
      </c>
      <c r="AK51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1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1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1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1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511" spans="2:41" x14ac:dyDescent="0.25">
      <c r="B511" s="58" t="str">
        <f>Tabla1[[#This Row],[nudo inicial]]</f>
        <v>N288</v>
      </c>
      <c r="C511" s="58" t="str">
        <f>Tabla1[[#This Row],[nudo final]]</f>
        <v>TP198</v>
      </c>
      <c r="D511" s="51">
        <f>Tabla1[[#This Row],[longitud]]</f>
        <v>96.19</v>
      </c>
      <c r="E511" s="51" t="str">
        <f>Tabla1[[#This Row],[diametro]]</f>
        <v>3"</v>
      </c>
      <c r="F511" s="51" t="str">
        <f>Tabla1[[#This Row],[material]]</f>
        <v>HF</v>
      </c>
      <c r="G51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10"</v>
      </c>
      <c r="H511" s="52" t="str">
        <f>IF(Tabla1[[#This Row],[5]]="TPD",Tabla1[[#This Row],[6]],"")</f>
        <v/>
      </c>
      <c r="I511" s="52" t="str">
        <f>IF(OR(Tabla1[[#This Row],[5]]="TPD"),Tabla1[[#This Row],[7]],"")</f>
        <v/>
      </c>
      <c r="J511" s="52">
        <f>IF(Tabla15[[#This Row],[2]]="",0,VLOOKUP(TRAMOS!$H$2,Tabla5[#All],3,FALSE)*Tabla15[[#This Row],[3]])</f>
        <v>0</v>
      </c>
      <c r="K511" s="52" t="str">
        <f>IF(Tabla1[[#This Row],[5]]="TPL",Tabla1[[#This Row],[6]],"")</f>
        <v/>
      </c>
      <c r="L511" s="52" t="str">
        <f>IF(OR(Tabla1[[#This Row],[5]]="TPL"),Tabla1[[#This Row],[7]],"")</f>
        <v/>
      </c>
      <c r="M511" s="52">
        <f>IF(Tabla15[[#This Row],[5]]="",0,VLOOKUP(TRAMOS!$K$2,Tabla5[#All],3,FALSE)*Tabla15[[#This Row],[6]])</f>
        <v>0</v>
      </c>
      <c r="N51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10"</v>
      </c>
      <c r="O511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511" s="52">
        <f>IF(Tabla15[[#This Row],[8]]="",0,VLOOKUP(TRAMOS!$H$2,Tabla5[#All],3,FALSE)*Tabla15[[#This Row],[9]])</f>
        <v>0.15</v>
      </c>
      <c r="Q51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1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11" s="52">
        <f>IF(Tabla15[[#This Row],[11]]="",0,VLOOKUP(TRAMOS!$Q$2,Tabla5[#All],3,FALSE)*Tabla15[[#This Row],[12]])</f>
        <v>0</v>
      </c>
      <c r="T51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511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51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0.43659999999999999</v>
      </c>
      <c r="W51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1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1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1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1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11" s="52">
        <f>IF(Tabla15[[#This Row],[20]]="",0,VLOOKUP("VRP",Tabla5[#All],3,FALSE)*Tabla15[[#This Row],[21]])</f>
        <v>0</v>
      </c>
      <c r="AC51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511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511" s="52">
        <f>IF(Tabla15[[#This Row],[23]]="",0,VLOOKUP("VC",Tabla5[#All],3,FALSE)*Tabla15[[#This Row],[24]])</f>
        <v>0.25</v>
      </c>
      <c r="AF51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1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11" s="52">
        <f>IF(Tabla15[[#This Row],[26]]="",0,VLOOKUP(TRAMOS!$K$2,Tabla5[#All],3,FALSE)*Tabla15[[#This Row],[27]])</f>
        <v>0</v>
      </c>
      <c r="AI51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1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1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1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1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511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51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0.83660000000000001</v>
      </c>
    </row>
    <row r="512" spans="2:41" x14ac:dyDescent="0.25">
      <c r="B512" s="58" t="str">
        <f>Tabla1[[#This Row],[nudo inicial]]</f>
        <v>N288</v>
      </c>
      <c r="C512" s="58" t="str">
        <f>Tabla1[[#This Row],[nudo final]]</f>
        <v>N289</v>
      </c>
      <c r="D512" s="51">
        <f>Tabla1[[#This Row],[longitud]]</f>
        <v>139.22999999999999</v>
      </c>
      <c r="E512" s="51" t="str">
        <f>Tabla1[[#This Row],[diametro]]</f>
        <v>10"</v>
      </c>
      <c r="F512" s="51" t="str">
        <f>Tabla1[[#This Row],[material]]</f>
        <v>HF</v>
      </c>
      <c r="G51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10"</v>
      </c>
      <c r="H512" s="52" t="str">
        <f>IF(Tabla1[[#This Row],[5]]="TPD",Tabla1[[#This Row],[6]],"")</f>
        <v/>
      </c>
      <c r="I512" s="52" t="str">
        <f>IF(OR(Tabla1[[#This Row],[5]]="TPD"),Tabla1[[#This Row],[7]],"")</f>
        <v/>
      </c>
      <c r="J512" s="52">
        <f>IF(Tabla15[[#This Row],[2]]="",0,VLOOKUP(TRAMOS!$H$2,Tabla5[#All],3,FALSE)*Tabla15[[#This Row],[3]])</f>
        <v>0</v>
      </c>
      <c r="K512" s="52" t="str">
        <f>IF(Tabla1[[#This Row],[5]]="TPL",Tabla1[[#This Row],[6]],"")</f>
        <v/>
      </c>
      <c r="L512" s="52" t="str">
        <f>IF(OR(Tabla1[[#This Row],[5]]="TPL"),Tabla1[[#This Row],[7]],"")</f>
        <v/>
      </c>
      <c r="M512" s="52">
        <f>IF(Tabla15[[#This Row],[5]]="",0,VLOOKUP(TRAMOS!$K$2,Tabla5[#All],3,FALSE)*Tabla15[[#This Row],[6]])</f>
        <v>0</v>
      </c>
      <c r="N51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10"</v>
      </c>
      <c r="O512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512" s="52">
        <f>IF(Tabla15[[#This Row],[8]]="",0,VLOOKUP(TRAMOS!$H$2,Tabla5[#All],3,FALSE)*Tabla15[[#This Row],[9]])</f>
        <v>0.15</v>
      </c>
      <c r="Q51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1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12" s="52">
        <f>IF(Tabla15[[#This Row],[11]]="",0,VLOOKUP(TRAMOS!$Q$2,Tabla5[#All],3,FALSE)*Tabla15[[#This Row],[12]])</f>
        <v>0</v>
      </c>
      <c r="T51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1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1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1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1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1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1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1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12" s="52">
        <f>IF(Tabla15[[#This Row],[20]]="",0,VLOOKUP("VRP",Tabla5[#All],3,FALSE)*Tabla15[[#This Row],[21]])</f>
        <v>0</v>
      </c>
      <c r="AC51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10"</v>
      </c>
      <c r="AD512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512" s="52">
        <f>IF(Tabla15[[#This Row],[23]]="",0,VLOOKUP("VC",Tabla5[#All],3,FALSE)*Tabla15[[#This Row],[24]])</f>
        <v>0.25</v>
      </c>
      <c r="AF51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1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12" s="52">
        <f>IF(Tabla15[[#This Row],[26]]="",0,VLOOKUP(TRAMOS!$K$2,Tabla5[#All],3,FALSE)*Tabla15[[#This Row],[27]])</f>
        <v>0</v>
      </c>
      <c r="AI51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1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1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1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1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1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1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0.4</v>
      </c>
    </row>
    <row r="513" spans="2:41" x14ac:dyDescent="0.25">
      <c r="B513" s="58" t="str">
        <f>Tabla1[[#This Row],[nudo inicial]]</f>
        <v>N289</v>
      </c>
      <c r="C513" s="58" t="str">
        <f>Tabla1[[#This Row],[nudo final]]</f>
        <v>N264</v>
      </c>
      <c r="D513" s="51">
        <f>Tabla1[[#This Row],[longitud]]</f>
        <v>57.41</v>
      </c>
      <c r="E513" s="51" t="str">
        <f>Tabla1[[#This Row],[diametro]]</f>
        <v>10"</v>
      </c>
      <c r="F513" s="51" t="str">
        <f>Tabla1[[#This Row],[material]]</f>
        <v>HF</v>
      </c>
      <c r="G51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10"</v>
      </c>
      <c r="H513" s="52" t="str">
        <f>IF(Tabla1[[#This Row],[5]]="TPD",Tabla1[[#This Row],[6]],"")</f>
        <v/>
      </c>
      <c r="I513" s="52" t="str">
        <f>IF(OR(Tabla1[[#This Row],[5]]="TPD"),Tabla1[[#This Row],[7]],"")</f>
        <v/>
      </c>
      <c r="J513" s="52">
        <f>IF(Tabla15[[#This Row],[2]]="",0,VLOOKUP(TRAMOS!$H$2,Tabla5[#All],3,FALSE)*Tabla15[[#This Row],[3]])</f>
        <v>0</v>
      </c>
      <c r="K513" s="52" t="str">
        <f>IF(Tabla1[[#This Row],[5]]="TPL",Tabla1[[#This Row],[6]],"")</f>
        <v/>
      </c>
      <c r="L513" s="52" t="str">
        <f>IF(OR(Tabla1[[#This Row],[5]]="TPL"),Tabla1[[#This Row],[7]],"")</f>
        <v/>
      </c>
      <c r="M513" s="52">
        <f>IF(Tabla15[[#This Row],[5]]="",0,VLOOKUP(TRAMOS!$K$2,Tabla5[#All],3,FALSE)*Tabla15[[#This Row],[6]])</f>
        <v>0</v>
      </c>
      <c r="N51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10"</v>
      </c>
      <c r="O513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513" s="52">
        <f>IF(Tabla15[[#This Row],[8]]="",0,VLOOKUP(TRAMOS!$H$2,Tabla5[#All],3,FALSE)*Tabla15[[#This Row],[9]])</f>
        <v>0.15</v>
      </c>
      <c r="Q51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1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13" s="52">
        <f>IF(Tabla15[[#This Row],[11]]="",0,VLOOKUP(TRAMOS!$Q$2,Tabla5[#All],3,FALSE)*Tabla15[[#This Row],[12]])</f>
        <v>0</v>
      </c>
      <c r="T51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1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1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1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1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1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1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1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13" s="52">
        <f>IF(Tabla15[[#This Row],[20]]="",0,VLOOKUP("VRP",Tabla5[#All],3,FALSE)*Tabla15[[#This Row],[21]])</f>
        <v>0</v>
      </c>
      <c r="AC51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1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13" s="52">
        <f>IF(Tabla15[[#This Row],[23]]="",0,VLOOKUP("VC",Tabla5[#All],3,FALSE)*Tabla15[[#This Row],[24]])</f>
        <v>0</v>
      </c>
      <c r="AF51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1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13" s="52">
        <f>IF(Tabla15[[#This Row],[26]]="",0,VLOOKUP(TRAMOS!$K$2,Tabla5[#All],3,FALSE)*Tabla15[[#This Row],[27]])</f>
        <v>0</v>
      </c>
      <c r="AI51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1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1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1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1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1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1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514" spans="2:41" x14ac:dyDescent="0.25">
      <c r="B514" s="58" t="str">
        <f>Tabla1[[#This Row],[nudo inicial]]</f>
        <v>N264</v>
      </c>
      <c r="C514" s="58" t="str">
        <f>Tabla1[[#This Row],[nudo final]]</f>
        <v>N265</v>
      </c>
      <c r="D514" s="51">
        <f>Tabla1[[#This Row],[longitud]]</f>
        <v>11.02</v>
      </c>
      <c r="E514" s="51" t="str">
        <f>Tabla1[[#This Row],[diametro]]</f>
        <v>2"</v>
      </c>
      <c r="F514" s="51" t="str">
        <f>Tabla1[[#This Row],[material]]</f>
        <v>HF</v>
      </c>
      <c r="G51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10"</v>
      </c>
      <c r="H514" s="52" t="str">
        <f>IF(Tabla1[[#This Row],[5]]="TPD",Tabla1[[#This Row],[6]],"")</f>
        <v/>
      </c>
      <c r="I514" s="52" t="str">
        <f>IF(OR(Tabla1[[#This Row],[5]]="TPD"),Tabla1[[#This Row],[7]],"")</f>
        <v/>
      </c>
      <c r="J514" s="52">
        <f>IF(Tabla15[[#This Row],[2]]="",0,VLOOKUP(TRAMOS!$H$2,Tabla5[#All],3,FALSE)*Tabla15[[#This Row],[3]])</f>
        <v>0</v>
      </c>
      <c r="K514" s="52" t="str">
        <f>IF(Tabla1[[#This Row],[5]]="TPL",Tabla1[[#This Row],[6]],"")</f>
        <v>10"</v>
      </c>
      <c r="L514" s="52">
        <f>IF(OR(Tabla1[[#This Row],[5]]="TPL"),Tabla1[[#This Row],[7]],"")</f>
        <v>1</v>
      </c>
      <c r="M514" s="52">
        <f>IF(Tabla15[[#This Row],[5]]="",0,VLOOKUP(TRAMOS!$K$2,Tabla5[#All],3,FALSE)*Tabla15[[#This Row],[6]])</f>
        <v>0.9</v>
      </c>
      <c r="N51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1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14" s="52">
        <f>IF(Tabla15[[#This Row],[8]]="",0,VLOOKUP(TRAMOS!$H$2,Tabla5[#All],3,FALSE)*Tabla15[[#This Row],[9]])</f>
        <v>0</v>
      </c>
      <c r="Q51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1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14" s="52">
        <f>IF(Tabla15[[#This Row],[11]]="",0,VLOOKUP(TRAMOS!$Q$2,Tabla5[#All],3,FALSE)*Tabla15[[#This Row],[12]])</f>
        <v>0</v>
      </c>
      <c r="T51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514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51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0.46</v>
      </c>
      <c r="W51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1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1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1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1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14" s="52">
        <f>IF(Tabla15[[#This Row],[20]]="",0,VLOOKUP("VRP",Tabla5[#All],3,FALSE)*Tabla15[[#This Row],[21]])</f>
        <v>0</v>
      </c>
      <c r="AC51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1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14" s="52">
        <f>IF(Tabla15[[#This Row],[23]]="",0,VLOOKUP("VC",Tabla5[#All],3,FALSE)*Tabla15[[#This Row],[24]])</f>
        <v>0</v>
      </c>
      <c r="AF51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1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14" s="52">
        <f>IF(Tabla15[[#This Row],[26]]="",0,VLOOKUP(TRAMOS!$K$2,Tabla5[#All],3,FALSE)*Tabla15[[#This Row],[27]])</f>
        <v>0</v>
      </c>
      <c r="AI51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1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1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1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1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1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1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1.36</v>
      </c>
    </row>
    <row r="515" spans="2:41" x14ac:dyDescent="0.25">
      <c r="B515" s="58" t="str">
        <f>Tabla1[[#This Row],[nudo inicial]]</f>
        <v>N265</v>
      </c>
      <c r="C515" s="58" t="str">
        <f>Tabla1[[#This Row],[nudo final]]</f>
        <v>N266</v>
      </c>
      <c r="D515" s="51">
        <f>Tabla1[[#This Row],[longitud]]</f>
        <v>54.87</v>
      </c>
      <c r="E515" s="51" t="str">
        <f>Tabla1[[#This Row],[diametro]]</f>
        <v>2"</v>
      </c>
      <c r="F515" s="51" t="str">
        <f>Tabla1[[#This Row],[material]]</f>
        <v>PVC</v>
      </c>
      <c r="G51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515" s="52" t="str">
        <f>IF(Tabla1[[#This Row],[5]]="TPD",Tabla1[[#This Row],[6]],"")</f>
        <v/>
      </c>
      <c r="I515" s="52" t="str">
        <f>IF(OR(Tabla1[[#This Row],[5]]="TPD"),Tabla1[[#This Row],[7]],"")</f>
        <v/>
      </c>
      <c r="J515" s="52">
        <f>IF(Tabla15[[#This Row],[2]]="",0,VLOOKUP(TRAMOS!$H$2,Tabla5[#All],3,FALSE)*Tabla15[[#This Row],[3]])</f>
        <v>0</v>
      </c>
      <c r="K515" s="52" t="str">
        <f>IF(Tabla1[[#This Row],[5]]="TPL",Tabla1[[#This Row],[6]],"")</f>
        <v/>
      </c>
      <c r="L515" s="52" t="str">
        <f>IF(OR(Tabla1[[#This Row],[5]]="TPL"),Tabla1[[#This Row],[7]],"")</f>
        <v/>
      </c>
      <c r="M515" s="52">
        <f>IF(Tabla15[[#This Row],[5]]="",0,VLOOKUP(TRAMOS!$K$2,Tabla5[#All],3,FALSE)*Tabla15[[#This Row],[6]])</f>
        <v>0</v>
      </c>
      <c r="N51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1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15" s="52">
        <f>IF(Tabla15[[#This Row],[8]]="",0,VLOOKUP(TRAMOS!$H$2,Tabla5[#All],3,FALSE)*Tabla15[[#This Row],[9]])</f>
        <v>0</v>
      </c>
      <c r="Q51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1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15" s="52">
        <f>IF(Tabla15[[#This Row],[11]]="",0,VLOOKUP(TRAMOS!$Q$2,Tabla5[#All],3,FALSE)*Tabla15[[#This Row],[12]])</f>
        <v>0</v>
      </c>
      <c r="T51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1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1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1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1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1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1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1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15" s="52">
        <f>IF(Tabla15[[#This Row],[20]]="",0,VLOOKUP("VRP",Tabla5[#All],3,FALSE)*Tabla15[[#This Row],[21]])</f>
        <v>0</v>
      </c>
      <c r="AC51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515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515" s="52">
        <f>IF(Tabla15[[#This Row],[23]]="",0,VLOOKUP("VC",Tabla5[#All],3,FALSE)*Tabla15[[#This Row],[24]])</f>
        <v>0.25</v>
      </c>
      <c r="AF51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1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15" s="52">
        <f>IF(Tabla15[[#This Row],[26]]="",0,VLOOKUP(TRAMOS!$K$2,Tabla5[#All],3,FALSE)*Tabla15[[#This Row],[27]])</f>
        <v>0</v>
      </c>
      <c r="AI51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1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1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1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1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1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1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0.25</v>
      </c>
    </row>
    <row r="516" spans="2:41" x14ac:dyDescent="0.25">
      <c r="B516" s="58" t="str">
        <f>Tabla1[[#This Row],[nudo inicial]]</f>
        <v>N266</v>
      </c>
      <c r="C516" s="58" t="str">
        <f>Tabla1[[#This Row],[nudo final]]</f>
        <v>TP188</v>
      </c>
      <c r="D516" s="51">
        <f>Tabla1[[#This Row],[longitud]]</f>
        <v>45.13</v>
      </c>
      <c r="E516" s="51" t="str">
        <f>Tabla1[[#This Row],[diametro]]</f>
        <v>1"</v>
      </c>
      <c r="F516" s="51" t="str">
        <f>Tabla1[[#This Row],[material]]</f>
        <v>PVC</v>
      </c>
      <c r="G51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516" s="52" t="str">
        <f>IF(Tabla1[[#This Row],[5]]="TPD",Tabla1[[#This Row],[6]],"")</f>
        <v/>
      </c>
      <c r="I516" s="52" t="str">
        <f>IF(OR(Tabla1[[#This Row],[5]]="TPD"),Tabla1[[#This Row],[7]],"")</f>
        <v/>
      </c>
      <c r="J516" s="52">
        <f>IF(Tabla15[[#This Row],[2]]="",0,VLOOKUP(TRAMOS!$H$2,Tabla5[#All],3,FALSE)*Tabla15[[#This Row],[3]])</f>
        <v>0</v>
      </c>
      <c r="K516" s="52" t="str">
        <f>IF(Tabla1[[#This Row],[5]]="TPL",Tabla1[[#This Row],[6]],"")</f>
        <v>2"</v>
      </c>
      <c r="L516" s="52">
        <f>IF(OR(Tabla1[[#This Row],[5]]="TPL"),Tabla1[[#This Row],[7]],"")</f>
        <v>1</v>
      </c>
      <c r="M516" s="52">
        <f>IF(Tabla15[[#This Row],[5]]="",0,VLOOKUP(TRAMOS!$K$2,Tabla5[#All],3,FALSE)*Tabla15[[#This Row],[6]])</f>
        <v>0.9</v>
      </c>
      <c r="N51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1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16" s="52">
        <f>IF(Tabla15[[#This Row],[8]]="",0,VLOOKUP(TRAMOS!$H$2,Tabla5[#All],3,FALSE)*Tabla15[[#This Row],[9]])</f>
        <v>0</v>
      </c>
      <c r="Q51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1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16" s="52">
        <f>IF(Tabla15[[#This Row],[11]]="",0,VLOOKUP(TRAMOS!$Q$2,Tabla5[#All],3,FALSE)*Tabla15[[#This Row],[12]])</f>
        <v>0</v>
      </c>
      <c r="T51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1"</v>
      </c>
      <c r="U516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51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51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1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1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1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1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16" s="52">
        <f>IF(Tabla15[[#This Row],[20]]="",0,VLOOKUP("VRP",Tabla5[#All],3,FALSE)*Tabla15[[#This Row],[21]])</f>
        <v>0</v>
      </c>
      <c r="AC51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1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16" s="52">
        <f>IF(Tabla15[[#This Row],[23]]="",0,VLOOKUP("VC",Tabla5[#All],3,FALSE)*Tabla15[[#This Row],[24]])</f>
        <v>0</v>
      </c>
      <c r="AF51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1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16" s="52">
        <f>IF(Tabla15[[#This Row],[26]]="",0,VLOOKUP(TRAMOS!$K$2,Tabla5[#All],3,FALSE)*Tabla15[[#This Row],[27]])</f>
        <v>0</v>
      </c>
      <c r="AI51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1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1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1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1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1"</v>
      </c>
      <c r="AN51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51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1.27</v>
      </c>
    </row>
    <row r="517" spans="2:41" x14ac:dyDescent="0.25">
      <c r="B517" s="58" t="str">
        <f>Tabla1[[#This Row],[nudo inicial]]</f>
        <v>N266</v>
      </c>
      <c r="C517" s="58" t="str">
        <f>Tabla1[[#This Row],[nudo final]]</f>
        <v>N267</v>
      </c>
      <c r="D517" s="51">
        <f>Tabla1[[#This Row],[longitud]]</f>
        <v>30.08</v>
      </c>
      <c r="E517" s="51" t="str">
        <f>Tabla1[[#This Row],[diametro]]</f>
        <v>2"</v>
      </c>
      <c r="F517" s="51" t="str">
        <f>Tabla1[[#This Row],[material]]</f>
        <v>PVC</v>
      </c>
      <c r="G51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517" s="52" t="str">
        <f>IF(Tabla1[[#This Row],[5]]="TPD",Tabla1[[#This Row],[6]],"")</f>
        <v>2"</v>
      </c>
      <c r="I517" s="52">
        <f>IF(OR(Tabla1[[#This Row],[5]]="TPD"),Tabla1[[#This Row],[7]],"")</f>
        <v>1</v>
      </c>
      <c r="J517" s="52">
        <f>IF(Tabla15[[#This Row],[2]]="",0,VLOOKUP(TRAMOS!$H$2,Tabla5[#All],3,FALSE)*Tabla15[[#This Row],[3]])</f>
        <v>0.15</v>
      </c>
      <c r="K517" s="52" t="str">
        <f>IF(Tabla1[[#This Row],[5]]="TPL",Tabla1[[#This Row],[6]],"")</f>
        <v/>
      </c>
      <c r="L517" s="52" t="str">
        <f>IF(OR(Tabla1[[#This Row],[5]]="TPL"),Tabla1[[#This Row],[7]],"")</f>
        <v/>
      </c>
      <c r="M517" s="52">
        <f>IF(Tabla15[[#This Row],[5]]="",0,VLOOKUP(TRAMOS!$K$2,Tabla5[#All],3,FALSE)*Tabla15[[#This Row],[6]])</f>
        <v>0</v>
      </c>
      <c r="N51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1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17" s="52">
        <f>IF(Tabla15[[#This Row],[8]]="",0,VLOOKUP(TRAMOS!$H$2,Tabla5[#All],3,FALSE)*Tabla15[[#This Row],[9]])</f>
        <v>0</v>
      </c>
      <c r="Q51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1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17" s="52">
        <f>IF(Tabla15[[#This Row],[11]]="",0,VLOOKUP(TRAMOS!$Q$2,Tabla5[#All],3,FALSE)*Tabla15[[#This Row],[12]])</f>
        <v>0</v>
      </c>
      <c r="T51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1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1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1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1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1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1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1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17" s="52">
        <f>IF(Tabla15[[#This Row],[20]]="",0,VLOOKUP("VRP",Tabla5[#All],3,FALSE)*Tabla15[[#This Row],[21]])</f>
        <v>0</v>
      </c>
      <c r="AC51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1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17" s="52">
        <f>IF(Tabla15[[#This Row],[23]]="",0,VLOOKUP("VC",Tabla5[#All],3,FALSE)*Tabla15[[#This Row],[24]])</f>
        <v>0</v>
      </c>
      <c r="AF51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1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17" s="52">
        <f>IF(Tabla15[[#This Row],[26]]="",0,VLOOKUP(TRAMOS!$K$2,Tabla5[#All],3,FALSE)*Tabla15[[#This Row],[27]])</f>
        <v>0</v>
      </c>
      <c r="AI51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1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1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1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1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1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1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518" spans="2:41" x14ac:dyDescent="0.25">
      <c r="B518" s="58" t="str">
        <f>Tabla1[[#This Row],[nudo inicial]]</f>
        <v>N267</v>
      </c>
      <c r="C518" s="58" t="str">
        <f>Tabla1[[#This Row],[nudo final]]</f>
        <v>TP189</v>
      </c>
      <c r="D518" s="51">
        <f>Tabla1[[#This Row],[longitud]]</f>
        <v>16.84</v>
      </c>
      <c r="E518" s="51" t="str">
        <f>Tabla1[[#This Row],[diametro]]</f>
        <v>2"</v>
      </c>
      <c r="F518" s="51" t="str">
        <f>Tabla1[[#This Row],[material]]</f>
        <v>PVC</v>
      </c>
      <c r="G51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518" s="52" t="str">
        <f>IF(Tabla1[[#This Row],[5]]="TPD",Tabla1[[#This Row],[6]],"")</f>
        <v>2"</v>
      </c>
      <c r="I518" s="52">
        <f>IF(OR(Tabla1[[#This Row],[5]]="TPD"),Tabla1[[#This Row],[7]],"")</f>
        <v>1</v>
      </c>
      <c r="J518" s="52">
        <f>IF(Tabla15[[#This Row],[2]]="",0,VLOOKUP(TRAMOS!$H$2,Tabla5[#All],3,FALSE)*Tabla15[[#This Row],[3]])</f>
        <v>0.15</v>
      </c>
      <c r="K518" s="52" t="str">
        <f>IF(Tabla1[[#This Row],[5]]="TPL",Tabla1[[#This Row],[6]],"")</f>
        <v/>
      </c>
      <c r="L518" s="52" t="str">
        <f>IF(OR(Tabla1[[#This Row],[5]]="TPL"),Tabla1[[#This Row],[7]],"")</f>
        <v/>
      </c>
      <c r="M518" s="52">
        <f>IF(Tabla15[[#This Row],[5]]="",0,VLOOKUP(TRAMOS!$K$2,Tabla5[#All],3,FALSE)*Tabla15[[#This Row],[6]])</f>
        <v>0</v>
      </c>
      <c r="N51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1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18" s="52">
        <f>IF(Tabla15[[#This Row],[8]]="",0,VLOOKUP(TRAMOS!$H$2,Tabla5[#All],3,FALSE)*Tabla15[[#This Row],[9]])</f>
        <v>0</v>
      </c>
      <c r="Q51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1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18" s="52">
        <f>IF(Tabla15[[#This Row],[11]]="",0,VLOOKUP(TRAMOS!$Q$2,Tabla5[#All],3,FALSE)*Tabla15[[#This Row],[12]])</f>
        <v>0</v>
      </c>
      <c r="T51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1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1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1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1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1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1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1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18" s="52">
        <f>IF(Tabla15[[#This Row],[20]]="",0,VLOOKUP("VRP",Tabla5[#All],3,FALSE)*Tabla15[[#This Row],[21]])</f>
        <v>0</v>
      </c>
      <c r="AC51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1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18" s="52">
        <f>IF(Tabla15[[#This Row],[23]]="",0,VLOOKUP("VC",Tabla5[#All],3,FALSE)*Tabla15[[#This Row],[24]])</f>
        <v>0</v>
      </c>
      <c r="AF51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1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18" s="52">
        <f>IF(Tabla15[[#This Row],[26]]="",0,VLOOKUP(TRAMOS!$K$2,Tabla5[#All],3,FALSE)*Tabla15[[#This Row],[27]])</f>
        <v>0</v>
      </c>
      <c r="AI51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1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1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1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1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518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51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519" spans="2:41" x14ac:dyDescent="0.25">
      <c r="B519" s="58" t="str">
        <f>Tabla1[[#This Row],[nudo inicial]]</f>
        <v>N267</v>
      </c>
      <c r="C519" s="58" t="str">
        <f>Tabla1[[#This Row],[nudo final]]</f>
        <v>TP190</v>
      </c>
      <c r="D519" s="51">
        <f>Tabla1[[#This Row],[longitud]]</f>
        <v>77.66</v>
      </c>
      <c r="E519" s="51" t="str">
        <f>Tabla1[[#This Row],[diametro]]</f>
        <v>2"</v>
      </c>
      <c r="F519" s="51" t="str">
        <f>Tabla1[[#This Row],[material]]</f>
        <v>PVC</v>
      </c>
      <c r="G51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519" s="52" t="str">
        <f>IF(Tabla1[[#This Row],[5]]="TPD",Tabla1[[#This Row],[6]],"")</f>
        <v/>
      </c>
      <c r="I519" s="52" t="str">
        <f>IF(OR(Tabla1[[#This Row],[5]]="TPD"),Tabla1[[#This Row],[7]],"")</f>
        <v/>
      </c>
      <c r="J519" s="52">
        <f>IF(Tabla15[[#This Row],[2]]="",0,VLOOKUP(TRAMOS!$H$2,Tabla5[#All],3,FALSE)*Tabla15[[#This Row],[3]])</f>
        <v>0</v>
      </c>
      <c r="K519" s="52" t="str">
        <f>IF(Tabla1[[#This Row],[5]]="TPL",Tabla1[[#This Row],[6]],"")</f>
        <v>2"</v>
      </c>
      <c r="L519" s="52">
        <f>IF(OR(Tabla1[[#This Row],[5]]="TPL"),Tabla1[[#This Row],[7]],"")</f>
        <v>1</v>
      </c>
      <c r="M519" s="52">
        <f>IF(Tabla15[[#This Row],[5]]="",0,VLOOKUP(TRAMOS!$K$2,Tabla5[#All],3,FALSE)*Tabla15[[#This Row],[6]])</f>
        <v>0.9</v>
      </c>
      <c r="N51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1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19" s="52">
        <f>IF(Tabla15[[#This Row],[8]]="",0,VLOOKUP(TRAMOS!$H$2,Tabla5[#All],3,FALSE)*Tabla15[[#This Row],[9]])</f>
        <v>0</v>
      </c>
      <c r="Q51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1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19" s="52">
        <f>IF(Tabla15[[#This Row],[11]]="",0,VLOOKUP(TRAMOS!$Q$2,Tabla5[#All],3,FALSE)*Tabla15[[#This Row],[12]])</f>
        <v>0</v>
      </c>
      <c r="T51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1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1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1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1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1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1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1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19" s="52">
        <f>IF(Tabla15[[#This Row],[20]]="",0,VLOOKUP("VRP",Tabla5[#All],3,FALSE)*Tabla15[[#This Row],[21]])</f>
        <v>0</v>
      </c>
      <c r="AC51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1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19" s="52">
        <f>IF(Tabla15[[#This Row],[23]]="",0,VLOOKUP("VC",Tabla5[#All],3,FALSE)*Tabla15[[#This Row],[24]])</f>
        <v>0</v>
      </c>
      <c r="AF51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1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19" s="52">
        <f>IF(Tabla15[[#This Row],[26]]="",0,VLOOKUP(TRAMOS!$K$2,Tabla5[#All],3,FALSE)*Tabla15[[#This Row],[27]])</f>
        <v>0</v>
      </c>
      <c r="AI51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1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1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1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1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519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51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520" spans="2:41" x14ac:dyDescent="0.25">
      <c r="B520" s="58" t="str">
        <f>Tabla1[[#This Row],[nudo inicial]]</f>
        <v>N264</v>
      </c>
      <c r="C520" s="58" t="str">
        <f>Tabla1[[#This Row],[nudo final]]</f>
        <v>N268</v>
      </c>
      <c r="D520" s="51">
        <f>Tabla1[[#This Row],[longitud]]</f>
        <v>16.170000000000002</v>
      </c>
      <c r="E520" s="51" t="str">
        <f>Tabla1[[#This Row],[diametro]]</f>
        <v>10"</v>
      </c>
      <c r="F520" s="51" t="str">
        <f>Tabla1[[#This Row],[material]]</f>
        <v>HF</v>
      </c>
      <c r="G52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10"</v>
      </c>
      <c r="H520" s="52" t="str">
        <f>IF(Tabla1[[#This Row],[5]]="TPD",Tabla1[[#This Row],[6]],"")</f>
        <v>10"</v>
      </c>
      <c r="I520" s="52">
        <f>IF(OR(Tabla1[[#This Row],[5]]="TPD"),Tabla1[[#This Row],[7]],"")</f>
        <v>1</v>
      </c>
      <c r="J520" s="52">
        <f>IF(Tabla15[[#This Row],[2]]="",0,VLOOKUP(TRAMOS!$H$2,Tabla5[#All],3,FALSE)*Tabla15[[#This Row],[3]])</f>
        <v>0.15</v>
      </c>
      <c r="K520" s="52" t="str">
        <f>IF(Tabla1[[#This Row],[5]]="TPL",Tabla1[[#This Row],[6]],"")</f>
        <v/>
      </c>
      <c r="L520" s="52" t="str">
        <f>IF(OR(Tabla1[[#This Row],[5]]="TPL"),Tabla1[[#This Row],[7]],"")</f>
        <v/>
      </c>
      <c r="M520" s="52">
        <f>IF(Tabla15[[#This Row],[5]]="",0,VLOOKUP(TRAMOS!$K$2,Tabla5[#All],3,FALSE)*Tabla15[[#This Row],[6]])</f>
        <v>0</v>
      </c>
      <c r="N52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2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20" s="52">
        <f>IF(Tabla15[[#This Row],[8]]="",0,VLOOKUP(TRAMOS!$H$2,Tabla5[#All],3,FALSE)*Tabla15[[#This Row],[9]])</f>
        <v>0</v>
      </c>
      <c r="Q52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2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20" s="52">
        <f>IF(Tabla15[[#This Row],[11]]="",0,VLOOKUP(TRAMOS!$Q$2,Tabla5[#All],3,FALSE)*Tabla15[[#This Row],[12]])</f>
        <v>0</v>
      </c>
      <c r="T52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2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2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2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2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2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2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2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20" s="52">
        <f>IF(Tabla15[[#This Row],[20]]="",0,VLOOKUP("VRP",Tabla5[#All],3,FALSE)*Tabla15[[#This Row],[21]])</f>
        <v>0</v>
      </c>
      <c r="AC52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2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20" s="52">
        <f>IF(Tabla15[[#This Row],[23]]="",0,VLOOKUP("VC",Tabla5[#All],3,FALSE)*Tabla15[[#This Row],[24]])</f>
        <v>0</v>
      </c>
      <c r="AF52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2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20" s="52">
        <f>IF(Tabla15[[#This Row],[26]]="",0,VLOOKUP(TRAMOS!$K$2,Tabla5[#All],3,FALSE)*Tabla15[[#This Row],[27]])</f>
        <v>0</v>
      </c>
      <c r="AI52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2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2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2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2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2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2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521" spans="2:41" x14ac:dyDescent="0.25">
      <c r="B521" s="58" t="str">
        <f>Tabla1[[#This Row],[nudo inicial]]</f>
        <v>N268</v>
      </c>
      <c r="C521" s="58" t="str">
        <f>Tabla1[[#This Row],[nudo final]]</f>
        <v>N269</v>
      </c>
      <c r="D521" s="51">
        <f>Tabla1[[#This Row],[longitud]]</f>
        <v>61.39</v>
      </c>
      <c r="E521" s="51" t="str">
        <f>Tabla1[[#This Row],[diametro]]</f>
        <v>3"</v>
      </c>
      <c r="F521" s="51" t="str">
        <f>Tabla1[[#This Row],[material]]</f>
        <v>PVC</v>
      </c>
      <c r="G52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10"</v>
      </c>
      <c r="H521" s="52" t="str">
        <f>IF(Tabla1[[#This Row],[5]]="TPD",Tabla1[[#This Row],[6]],"")</f>
        <v/>
      </c>
      <c r="I521" s="52" t="str">
        <f>IF(OR(Tabla1[[#This Row],[5]]="TPD"),Tabla1[[#This Row],[7]],"")</f>
        <v/>
      </c>
      <c r="J521" s="52">
        <f>IF(Tabla15[[#This Row],[2]]="",0,VLOOKUP(TRAMOS!$H$2,Tabla5[#All],3,FALSE)*Tabla15[[#This Row],[3]])</f>
        <v>0</v>
      </c>
      <c r="K521" s="52" t="str">
        <f>IF(Tabla1[[#This Row],[5]]="TPL",Tabla1[[#This Row],[6]],"")</f>
        <v>10"</v>
      </c>
      <c r="L521" s="52">
        <f>IF(OR(Tabla1[[#This Row],[5]]="TPL"),Tabla1[[#This Row],[7]],"")</f>
        <v>1</v>
      </c>
      <c r="M521" s="52">
        <f>IF(Tabla15[[#This Row],[5]]="",0,VLOOKUP(TRAMOS!$K$2,Tabla5[#All],3,FALSE)*Tabla15[[#This Row],[6]])</f>
        <v>0.9</v>
      </c>
      <c r="N52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2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21" s="52">
        <f>IF(Tabla15[[#This Row],[8]]="",0,VLOOKUP(TRAMOS!$H$2,Tabla5[#All],3,FALSE)*Tabla15[[#This Row],[9]])</f>
        <v>0</v>
      </c>
      <c r="Q52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2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21" s="52">
        <f>IF(Tabla15[[#This Row],[11]]="",0,VLOOKUP(TRAMOS!$Q$2,Tabla5[#All],3,FALSE)*Tabla15[[#This Row],[12]])</f>
        <v>0</v>
      </c>
      <c r="T52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521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52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0.43659999999999999</v>
      </c>
      <c r="W52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2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2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2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2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21" s="52">
        <f>IF(Tabla15[[#This Row],[20]]="",0,VLOOKUP("VRP",Tabla5[#All],3,FALSE)*Tabla15[[#This Row],[21]])</f>
        <v>0</v>
      </c>
      <c r="AC52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2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21" s="52">
        <f>IF(Tabla15[[#This Row],[23]]="",0,VLOOKUP("VC",Tabla5[#All],3,FALSE)*Tabla15[[#This Row],[24]])</f>
        <v>0</v>
      </c>
      <c r="AF52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2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21" s="52">
        <f>IF(Tabla15[[#This Row],[26]]="",0,VLOOKUP(TRAMOS!$K$2,Tabla5[#All],3,FALSE)*Tabla15[[#This Row],[27]])</f>
        <v>0</v>
      </c>
      <c r="AI52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2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21" s="52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>0</v>
      </c>
      <c r="AL521" s="52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>1</v>
      </c>
      <c r="AM52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2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2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1.3366</v>
      </c>
    </row>
    <row r="522" spans="2:41" x14ac:dyDescent="0.25">
      <c r="B522" s="58" t="str">
        <f>Tabla1[[#This Row],[nudo inicial]]</f>
        <v>N268</v>
      </c>
      <c r="C522" s="58" t="str">
        <f>Tabla1[[#This Row],[nudo final]]</f>
        <v>N270</v>
      </c>
      <c r="D522" s="51">
        <f>Tabla1[[#This Row],[longitud]]</f>
        <v>56.34</v>
      </c>
      <c r="E522" s="51" t="str">
        <f>Tabla1[[#This Row],[diametro]]</f>
        <v>10"</v>
      </c>
      <c r="F522" s="51" t="str">
        <f>Tabla1[[#This Row],[material]]</f>
        <v>HF</v>
      </c>
      <c r="G52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10"</v>
      </c>
      <c r="H522" s="52" t="str">
        <f>IF(Tabla1[[#This Row],[5]]="TPD",Tabla1[[#This Row],[6]],"")</f>
        <v>10"</v>
      </c>
      <c r="I522" s="52">
        <f>IF(OR(Tabla1[[#This Row],[5]]="TPD"),Tabla1[[#This Row],[7]],"")</f>
        <v>1</v>
      </c>
      <c r="J522" s="52">
        <f>IF(Tabla15[[#This Row],[2]]="",0,VLOOKUP(TRAMOS!$H$2,Tabla5[#All],3,FALSE)*Tabla15[[#This Row],[3]])</f>
        <v>0.15</v>
      </c>
      <c r="K522" s="52" t="str">
        <f>IF(Tabla1[[#This Row],[5]]="TPL",Tabla1[[#This Row],[6]],"")</f>
        <v/>
      </c>
      <c r="L522" s="52" t="str">
        <f>IF(OR(Tabla1[[#This Row],[5]]="TPL"),Tabla1[[#This Row],[7]],"")</f>
        <v/>
      </c>
      <c r="M522" s="52">
        <f>IF(Tabla15[[#This Row],[5]]="",0,VLOOKUP(TRAMOS!$K$2,Tabla5[#All],3,FALSE)*Tabla15[[#This Row],[6]])</f>
        <v>0</v>
      </c>
      <c r="N52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2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22" s="52">
        <f>IF(Tabla15[[#This Row],[8]]="",0,VLOOKUP(TRAMOS!$H$2,Tabla5[#All],3,FALSE)*Tabla15[[#This Row],[9]])</f>
        <v>0</v>
      </c>
      <c r="Q52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2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22" s="52">
        <f>IF(Tabla15[[#This Row],[11]]="",0,VLOOKUP(TRAMOS!$Q$2,Tabla5[#All],3,FALSE)*Tabla15[[#This Row],[12]])</f>
        <v>0</v>
      </c>
      <c r="T52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2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2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2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2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2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2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2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22" s="52">
        <f>IF(Tabla15[[#This Row],[20]]="",0,VLOOKUP("VRP",Tabla5[#All],3,FALSE)*Tabla15[[#This Row],[21]])</f>
        <v>0</v>
      </c>
      <c r="AC52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10"</v>
      </c>
      <c r="AD522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522" s="52">
        <f>IF(Tabla15[[#This Row],[23]]="",0,VLOOKUP("VC",Tabla5[#All],3,FALSE)*Tabla15[[#This Row],[24]])</f>
        <v>0.25</v>
      </c>
      <c r="AF52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2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22" s="52">
        <f>IF(Tabla15[[#This Row],[26]]="",0,VLOOKUP(TRAMOS!$K$2,Tabla5[#All],3,FALSE)*Tabla15[[#This Row],[27]])</f>
        <v>0</v>
      </c>
      <c r="AI52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2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22" s="52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>0</v>
      </c>
      <c r="AL522" s="52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>1</v>
      </c>
      <c r="AM52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2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2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0.4</v>
      </c>
    </row>
    <row r="523" spans="2:41" x14ac:dyDescent="0.25">
      <c r="B523" s="58" t="str">
        <f>Tabla1[[#This Row],[nudo inicial]]</f>
        <v>N246</v>
      </c>
      <c r="C523" s="58" t="str">
        <f>Tabla1[[#This Row],[nudo final]]</f>
        <v>N271</v>
      </c>
      <c r="D523" s="51">
        <f>Tabla1[[#This Row],[longitud]]</f>
        <v>70.150000000000006</v>
      </c>
      <c r="E523" s="51" t="str">
        <f>Tabla1[[#This Row],[diametro]]</f>
        <v>4"</v>
      </c>
      <c r="F523" s="51" t="str">
        <f>Tabla1[[#This Row],[material]]</f>
        <v>HF</v>
      </c>
      <c r="G52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523" s="52" t="str">
        <f>IF(Tabla1[[#This Row],[5]]="TPD",Tabla1[[#This Row],[6]],"")</f>
        <v/>
      </c>
      <c r="I523" s="52" t="str">
        <f>IF(OR(Tabla1[[#This Row],[5]]="TPD"),Tabla1[[#This Row],[7]],"")</f>
        <v/>
      </c>
      <c r="J523" s="52">
        <f>IF(Tabla15[[#This Row],[2]]="",0,VLOOKUP(TRAMOS!$H$2,Tabla5[#All],3,FALSE)*Tabla15[[#This Row],[3]])</f>
        <v>0</v>
      </c>
      <c r="K523" s="52" t="str">
        <f>IF(Tabla1[[#This Row],[5]]="TPL",Tabla1[[#This Row],[6]],"")</f>
        <v>8"</v>
      </c>
      <c r="L523" s="52">
        <f>IF(OR(Tabla1[[#This Row],[5]]="TPL"),Tabla1[[#This Row],[7]],"")</f>
        <v>1</v>
      </c>
      <c r="M523" s="52">
        <f>IF(Tabla15[[#This Row],[5]]="",0,VLOOKUP(TRAMOS!$K$2,Tabla5[#All],3,FALSE)*Tabla15[[#This Row],[6]])</f>
        <v>0.9</v>
      </c>
      <c r="N52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2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23" s="52">
        <f>IF(Tabla15[[#This Row],[8]]="",0,VLOOKUP(TRAMOS!$H$2,Tabla5[#All],3,FALSE)*Tabla15[[#This Row],[9]])</f>
        <v>0</v>
      </c>
      <c r="Q52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2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23" s="52">
        <f>IF(Tabla15[[#This Row],[11]]="",0,VLOOKUP(TRAMOS!$Q$2,Tabla5[#All],3,FALSE)*Tabla15[[#This Row],[12]])</f>
        <v>0</v>
      </c>
      <c r="T52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4"</v>
      </c>
      <c r="U523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52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52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2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2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2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2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23" s="52">
        <f>IF(Tabla15[[#This Row],[20]]="",0,VLOOKUP("VRP",Tabla5[#All],3,FALSE)*Tabla15[[#This Row],[21]])</f>
        <v>0</v>
      </c>
      <c r="AC52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2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23" s="52">
        <f>IF(Tabla15[[#This Row],[23]]="",0,VLOOKUP("VC",Tabla5[#All],3,FALSE)*Tabla15[[#This Row],[24]])</f>
        <v>0</v>
      </c>
      <c r="AF52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2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23" s="52">
        <f>IF(Tabla15[[#This Row],[26]]="",0,VLOOKUP(TRAMOS!$K$2,Tabla5[#All],3,FALSE)*Tabla15[[#This Row],[27]])</f>
        <v>0</v>
      </c>
      <c r="AI52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2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2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2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2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2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2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1.27</v>
      </c>
    </row>
    <row r="524" spans="2:41" x14ac:dyDescent="0.25">
      <c r="B524" s="58" t="str">
        <f>Tabla1[[#This Row],[nudo inicial]]</f>
        <v>N271</v>
      </c>
      <c r="C524" s="58" t="str">
        <f>Tabla1[[#This Row],[nudo final]]</f>
        <v>TP191</v>
      </c>
      <c r="D524" s="51">
        <f>Tabla1[[#This Row],[longitud]]</f>
        <v>84.19</v>
      </c>
      <c r="E524" s="51" t="str">
        <f>Tabla1[[#This Row],[diametro]]</f>
        <v>1"</v>
      </c>
      <c r="F524" s="51" t="str">
        <f>Tabla1[[#This Row],[material]]</f>
        <v>PVC</v>
      </c>
      <c r="G52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524" s="52" t="str">
        <f>IF(Tabla1[[#This Row],[5]]="TPD",Tabla1[[#This Row],[6]],"")</f>
        <v/>
      </c>
      <c r="I524" s="52" t="str">
        <f>IF(OR(Tabla1[[#This Row],[5]]="TPD"),Tabla1[[#This Row],[7]],"")</f>
        <v/>
      </c>
      <c r="J524" s="52">
        <f>IF(Tabla15[[#This Row],[2]]="",0,VLOOKUP(TRAMOS!$H$2,Tabla5[#All],3,FALSE)*Tabla15[[#This Row],[3]])</f>
        <v>0</v>
      </c>
      <c r="K524" s="52" t="str">
        <f>IF(Tabla1[[#This Row],[5]]="TPL",Tabla1[[#This Row],[6]],"")</f>
        <v>4"</v>
      </c>
      <c r="L524" s="52">
        <f>IF(OR(Tabla1[[#This Row],[5]]="TPL"),Tabla1[[#This Row],[7]],"")</f>
        <v>1</v>
      </c>
      <c r="M524" s="52">
        <f>IF(Tabla15[[#This Row],[5]]="",0,VLOOKUP(TRAMOS!$K$2,Tabla5[#All],3,FALSE)*Tabla15[[#This Row],[6]])</f>
        <v>0.9</v>
      </c>
      <c r="N52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2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24" s="52">
        <f>IF(Tabla15[[#This Row],[8]]="",0,VLOOKUP(TRAMOS!$H$2,Tabla5[#All],3,FALSE)*Tabla15[[#This Row],[9]])</f>
        <v>0</v>
      </c>
      <c r="Q52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2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24" s="52">
        <f>IF(Tabla15[[#This Row],[11]]="",0,VLOOKUP(TRAMOS!$Q$2,Tabla5[#All],3,FALSE)*Tabla15[[#This Row],[12]])</f>
        <v>0</v>
      </c>
      <c r="T52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1"</v>
      </c>
      <c r="U524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52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0.45</v>
      </c>
      <c r="W52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2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2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2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2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24" s="52">
        <f>IF(Tabla15[[#This Row],[20]]="",0,VLOOKUP("VRP",Tabla5[#All],3,FALSE)*Tabla15[[#This Row],[21]])</f>
        <v>0</v>
      </c>
      <c r="AC52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1"</v>
      </c>
      <c r="AD524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524" s="52">
        <f>IF(Tabla15[[#This Row],[23]]="",0,VLOOKUP("VC",Tabla5[#All],3,FALSE)*Tabla15[[#This Row],[24]])</f>
        <v>0.25</v>
      </c>
      <c r="AF52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2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24" s="52">
        <f>IF(Tabla15[[#This Row],[26]]="",0,VLOOKUP(TRAMOS!$K$2,Tabla5[#All],3,FALSE)*Tabla15[[#This Row],[27]])</f>
        <v>0</v>
      </c>
      <c r="AI52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2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2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2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2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1"</v>
      </c>
      <c r="AN524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52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1.6</v>
      </c>
    </row>
    <row r="525" spans="2:41" x14ac:dyDescent="0.25">
      <c r="B525" s="58" t="str">
        <f>Tabla1[[#This Row],[nudo inicial]]</f>
        <v>N271</v>
      </c>
      <c r="C525" s="58" t="str">
        <f>Tabla1[[#This Row],[nudo final]]</f>
        <v>N272</v>
      </c>
      <c r="D525" s="51">
        <f>Tabla1[[#This Row],[longitud]]</f>
        <v>53.11</v>
      </c>
      <c r="E525" s="51" t="str">
        <f>Tabla1[[#This Row],[diametro]]</f>
        <v>4"</v>
      </c>
      <c r="F525" s="51" t="str">
        <f>Tabla1[[#This Row],[material]]</f>
        <v>HF</v>
      </c>
      <c r="G52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525" s="52" t="str">
        <f>IF(Tabla1[[#This Row],[5]]="TPD",Tabla1[[#This Row],[6]],"")</f>
        <v>4"</v>
      </c>
      <c r="I525" s="52">
        <f>IF(OR(Tabla1[[#This Row],[5]]="TPD"),Tabla1[[#This Row],[7]],"")</f>
        <v>1</v>
      </c>
      <c r="J525" s="52">
        <f>IF(Tabla15[[#This Row],[2]]="",0,VLOOKUP(TRAMOS!$H$2,Tabla5[#All],3,FALSE)*Tabla15[[#This Row],[3]])</f>
        <v>0.15</v>
      </c>
      <c r="K525" s="52" t="str">
        <f>IF(Tabla1[[#This Row],[5]]="TPL",Tabla1[[#This Row],[6]],"")</f>
        <v/>
      </c>
      <c r="L525" s="52" t="str">
        <f>IF(OR(Tabla1[[#This Row],[5]]="TPL"),Tabla1[[#This Row],[7]],"")</f>
        <v/>
      </c>
      <c r="M525" s="52">
        <f>IF(Tabla15[[#This Row],[5]]="",0,VLOOKUP(TRAMOS!$K$2,Tabla5[#All],3,FALSE)*Tabla15[[#This Row],[6]])</f>
        <v>0</v>
      </c>
      <c r="N52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2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25" s="52">
        <f>IF(Tabla15[[#This Row],[8]]="",0,VLOOKUP(TRAMOS!$H$2,Tabla5[#All],3,FALSE)*Tabla15[[#This Row],[9]])</f>
        <v>0</v>
      </c>
      <c r="Q52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2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25" s="52">
        <f>IF(Tabla15[[#This Row],[11]]="",0,VLOOKUP(TRAMOS!$Q$2,Tabla5[#All],3,FALSE)*Tabla15[[#This Row],[12]])</f>
        <v>0</v>
      </c>
      <c r="T52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2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2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2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2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2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2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2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25" s="52">
        <f>IF(Tabla15[[#This Row],[20]]="",0,VLOOKUP("VRP",Tabla5[#All],3,FALSE)*Tabla15[[#This Row],[21]])</f>
        <v>0</v>
      </c>
      <c r="AC52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2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25" s="52">
        <f>IF(Tabla15[[#This Row],[23]]="",0,VLOOKUP("VC",Tabla5[#All],3,FALSE)*Tabla15[[#This Row],[24]])</f>
        <v>0</v>
      </c>
      <c r="AF52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2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25" s="52">
        <f>IF(Tabla15[[#This Row],[26]]="",0,VLOOKUP(TRAMOS!$K$2,Tabla5[#All],3,FALSE)*Tabla15[[#This Row],[27]])</f>
        <v>0</v>
      </c>
      <c r="AI525" s="52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>0</v>
      </c>
      <c r="AJ525" s="52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>1</v>
      </c>
      <c r="AK52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2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2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2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2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526" spans="2:41" x14ac:dyDescent="0.25">
      <c r="B526" s="58" t="str">
        <f>Tabla1[[#This Row],[nudo inicial]]</f>
        <v>N272</v>
      </c>
      <c r="C526" s="58" t="str">
        <f>Tabla1[[#This Row],[nudo final]]</f>
        <v>TP192</v>
      </c>
      <c r="D526" s="51">
        <f>Tabla1[[#This Row],[longitud]]</f>
        <v>139.27000000000001</v>
      </c>
      <c r="E526" s="51" t="str">
        <f>Tabla1[[#This Row],[diametro]]</f>
        <v>2"</v>
      </c>
      <c r="F526" s="51" t="str">
        <f>Tabla1[[#This Row],[material]]</f>
        <v>PVC</v>
      </c>
      <c r="G52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526" s="52" t="str">
        <f>IF(Tabla1[[#This Row],[5]]="TPD",Tabla1[[#This Row],[6]],"")</f>
        <v/>
      </c>
      <c r="I526" s="52" t="str">
        <f>IF(OR(Tabla1[[#This Row],[5]]="TPD"),Tabla1[[#This Row],[7]],"")</f>
        <v/>
      </c>
      <c r="J526" s="52">
        <f>IF(Tabla15[[#This Row],[2]]="",0,VLOOKUP(TRAMOS!$H$2,Tabla5[#All],3,FALSE)*Tabla15[[#This Row],[3]])</f>
        <v>0</v>
      </c>
      <c r="K526" s="52" t="str">
        <f>IF(Tabla1[[#This Row],[5]]="TPL",Tabla1[[#This Row],[6]],"")</f>
        <v/>
      </c>
      <c r="L526" s="52" t="str">
        <f>IF(OR(Tabla1[[#This Row],[5]]="TPL"),Tabla1[[#This Row],[7]],"")</f>
        <v/>
      </c>
      <c r="M526" s="52">
        <f>IF(Tabla15[[#This Row],[5]]="",0,VLOOKUP(TRAMOS!$K$2,Tabla5[#All],3,FALSE)*Tabla15[[#This Row],[6]])</f>
        <v>0</v>
      </c>
      <c r="N52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8"</v>
      </c>
      <c r="O526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526" s="52">
        <f>IF(Tabla15[[#This Row],[8]]="",0,VLOOKUP(TRAMOS!$H$2,Tabla5[#All],3,FALSE)*Tabla15[[#This Row],[9]])</f>
        <v>0.15</v>
      </c>
      <c r="Q52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2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26" s="52">
        <f>IF(Tabla15[[#This Row],[11]]="",0,VLOOKUP(TRAMOS!$Q$2,Tabla5[#All],3,FALSE)*Tabla15[[#This Row],[12]])</f>
        <v>0</v>
      </c>
      <c r="T52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526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52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0.45</v>
      </c>
      <c r="W52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2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2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2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2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26" s="52">
        <f>IF(Tabla15[[#This Row],[20]]="",0,VLOOKUP("VRP",Tabla5[#All],3,FALSE)*Tabla15[[#This Row],[21]])</f>
        <v>0</v>
      </c>
      <c r="AC52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526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526" s="52">
        <f>IF(Tabla15[[#This Row],[23]]="",0,VLOOKUP("VC",Tabla5[#All],3,FALSE)*Tabla15[[#This Row],[24]])</f>
        <v>0.25</v>
      </c>
      <c r="AF52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2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26" s="52">
        <f>IF(Tabla15[[#This Row],[26]]="",0,VLOOKUP(TRAMOS!$K$2,Tabla5[#All],3,FALSE)*Tabla15[[#This Row],[27]])</f>
        <v>0</v>
      </c>
      <c r="AI52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2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2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2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2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52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52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0.85</v>
      </c>
    </row>
    <row r="527" spans="2:41" x14ac:dyDescent="0.25">
      <c r="B527" s="58" t="str">
        <f>Tabla1[[#This Row],[nudo inicial]]</f>
        <v>N272</v>
      </c>
      <c r="C527" s="58" t="str">
        <f>Tabla1[[#This Row],[nudo final]]</f>
        <v>N273</v>
      </c>
      <c r="D527" s="51">
        <f>Tabla1[[#This Row],[longitud]]</f>
        <v>8.5299999999999994</v>
      </c>
      <c r="E527" s="51" t="str">
        <f>Tabla1[[#This Row],[diametro]]</f>
        <v>4"</v>
      </c>
      <c r="F527" s="51" t="str">
        <f>Tabla1[[#This Row],[material]]</f>
        <v>HF</v>
      </c>
      <c r="G52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527" s="52" t="str">
        <f>IF(Tabla1[[#This Row],[5]]="TPD",Tabla1[[#This Row],[6]],"")</f>
        <v/>
      </c>
      <c r="I527" s="52" t="str">
        <f>IF(OR(Tabla1[[#This Row],[5]]="TPD"),Tabla1[[#This Row],[7]],"")</f>
        <v/>
      </c>
      <c r="J527" s="52">
        <f>IF(Tabla15[[#This Row],[2]]="",0,VLOOKUP(TRAMOS!$H$2,Tabla5[#All],3,FALSE)*Tabla15[[#This Row],[3]])</f>
        <v>0</v>
      </c>
      <c r="K527" s="52" t="str">
        <f>IF(Tabla1[[#This Row],[5]]="TPL",Tabla1[[#This Row],[6]],"")</f>
        <v/>
      </c>
      <c r="L527" s="52" t="str">
        <f>IF(OR(Tabla1[[#This Row],[5]]="TPL"),Tabla1[[#This Row],[7]],"")</f>
        <v/>
      </c>
      <c r="M527" s="52">
        <f>IF(Tabla15[[#This Row],[5]]="",0,VLOOKUP(TRAMOS!$K$2,Tabla5[#All],3,FALSE)*Tabla15[[#This Row],[6]])</f>
        <v>0</v>
      </c>
      <c r="N52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8"</v>
      </c>
      <c r="O527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527" s="52">
        <f>IF(Tabla15[[#This Row],[8]]="",0,VLOOKUP(TRAMOS!$H$2,Tabla5[#All],3,FALSE)*Tabla15[[#This Row],[9]])</f>
        <v>0.15</v>
      </c>
      <c r="Q52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2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27" s="52">
        <f>IF(Tabla15[[#This Row],[11]]="",0,VLOOKUP(TRAMOS!$Q$2,Tabla5[#All],3,FALSE)*Tabla15[[#This Row],[12]])</f>
        <v>0</v>
      </c>
      <c r="T52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4"</v>
      </c>
      <c r="U527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52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52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2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2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2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2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27" s="52">
        <f>IF(Tabla15[[#This Row],[20]]="",0,VLOOKUP("VRP",Tabla5[#All],3,FALSE)*Tabla15[[#This Row],[21]])</f>
        <v>0</v>
      </c>
      <c r="AC52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2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27" s="52">
        <f>IF(Tabla15[[#This Row],[23]]="",0,VLOOKUP("VC",Tabla5[#All],3,FALSE)*Tabla15[[#This Row],[24]])</f>
        <v>0</v>
      </c>
      <c r="AF52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2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27" s="52">
        <f>IF(Tabla15[[#This Row],[26]]="",0,VLOOKUP(TRAMOS!$K$2,Tabla5[#All],3,FALSE)*Tabla15[[#This Row],[27]])</f>
        <v>0</v>
      </c>
      <c r="AI52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2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2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2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2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2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2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0.52</v>
      </c>
    </row>
    <row r="528" spans="2:41" x14ac:dyDescent="0.25">
      <c r="B528" s="58" t="str">
        <f>Tabla1[[#This Row],[nudo inicial]]</f>
        <v>N273</v>
      </c>
      <c r="C528" s="58" t="str">
        <f>Tabla1[[#This Row],[nudo final]]</f>
        <v>N274</v>
      </c>
      <c r="D528" s="51">
        <f>Tabla1[[#This Row],[longitud]]</f>
        <v>115.68</v>
      </c>
      <c r="E528" s="51" t="str">
        <f>Tabla1[[#This Row],[diametro]]</f>
        <v>4"</v>
      </c>
      <c r="F528" s="51" t="str">
        <f>Tabla1[[#This Row],[material]]</f>
        <v>PVC</v>
      </c>
      <c r="G52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528" s="52" t="str">
        <f>IF(Tabla1[[#This Row],[5]]="TPD",Tabla1[[#This Row],[6]],"")</f>
        <v/>
      </c>
      <c r="I528" s="52" t="str">
        <f>IF(OR(Tabla1[[#This Row],[5]]="TPD"),Tabla1[[#This Row],[7]],"")</f>
        <v/>
      </c>
      <c r="J528" s="52">
        <f>IF(Tabla15[[#This Row],[2]]="",0,VLOOKUP(TRAMOS!$H$2,Tabla5[#All],3,FALSE)*Tabla15[[#This Row],[3]])</f>
        <v>0</v>
      </c>
      <c r="K528" s="52" t="str">
        <f>IF(Tabla1[[#This Row],[5]]="TPL",Tabla1[[#This Row],[6]],"")</f>
        <v/>
      </c>
      <c r="L528" s="52" t="str">
        <f>IF(OR(Tabla1[[#This Row],[5]]="TPL"),Tabla1[[#This Row],[7]],"")</f>
        <v/>
      </c>
      <c r="M528" s="52">
        <f>IF(Tabla15[[#This Row],[5]]="",0,VLOOKUP(TRAMOS!$K$2,Tabla5[#All],3,FALSE)*Tabla15[[#This Row],[6]])</f>
        <v>0</v>
      </c>
      <c r="N52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2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28" s="52">
        <f>IF(Tabla15[[#This Row],[8]]="",0,VLOOKUP(TRAMOS!$H$2,Tabla5[#All],3,FALSE)*Tabla15[[#This Row],[9]])</f>
        <v>0</v>
      </c>
      <c r="Q52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2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28" s="52">
        <f>IF(Tabla15[[#This Row],[11]]="",0,VLOOKUP(TRAMOS!$Q$2,Tabla5[#All],3,FALSE)*Tabla15[[#This Row],[12]])</f>
        <v>0</v>
      </c>
      <c r="T52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2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2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2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>6"</v>
      </c>
      <c r="X528" s="52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>1</v>
      </c>
      <c r="Y52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0.57000000000000006</v>
      </c>
      <c r="Z52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2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28" s="52">
        <f>IF(Tabla15[[#This Row],[20]]="",0,VLOOKUP("VRP",Tabla5[#All],3,FALSE)*Tabla15[[#This Row],[21]])</f>
        <v>0</v>
      </c>
      <c r="AC52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4"</v>
      </c>
      <c r="AD528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528" s="52">
        <f>IF(Tabla15[[#This Row],[23]]="",0,VLOOKUP("VC",Tabla5[#All],3,FALSE)*Tabla15[[#This Row],[24]])</f>
        <v>0.25</v>
      </c>
      <c r="AF52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2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28" s="52">
        <f>IF(Tabla15[[#This Row],[26]]="",0,VLOOKUP(TRAMOS!$K$2,Tabla5[#All],3,FALSE)*Tabla15[[#This Row],[27]])</f>
        <v>0</v>
      </c>
      <c r="AI52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2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2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2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2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2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2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0.82000000000000006</v>
      </c>
    </row>
    <row r="529" spans="2:41" x14ac:dyDescent="0.25">
      <c r="B529" s="58" t="str">
        <f>Tabla1[[#This Row],[nudo inicial]]</f>
        <v>N274</v>
      </c>
      <c r="C529" s="58" t="str">
        <f>Tabla1[[#This Row],[nudo final]]</f>
        <v>N275</v>
      </c>
      <c r="D529" s="51">
        <f>Tabla1[[#This Row],[longitud]]</f>
        <v>15.53</v>
      </c>
      <c r="E529" s="51" t="str">
        <f>Tabla1[[#This Row],[diametro]]</f>
        <v>6"</v>
      </c>
      <c r="F529" s="51" t="str">
        <f>Tabla1[[#This Row],[material]]</f>
        <v>PVC</v>
      </c>
      <c r="G52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529" s="52" t="str">
        <f>IF(Tabla1[[#This Row],[5]]="TPD",Tabla1[[#This Row],[6]],"")</f>
        <v/>
      </c>
      <c r="I529" s="52" t="str">
        <f>IF(OR(Tabla1[[#This Row],[5]]="TPD"),Tabla1[[#This Row],[7]],"")</f>
        <v/>
      </c>
      <c r="J529" s="52">
        <f>IF(Tabla15[[#This Row],[2]]="",0,VLOOKUP(TRAMOS!$H$2,Tabla5[#All],3,FALSE)*Tabla15[[#This Row],[3]])</f>
        <v>0</v>
      </c>
      <c r="K529" s="52" t="str">
        <f>IF(Tabla1[[#This Row],[5]]="TPL",Tabla1[[#This Row],[6]],"")</f>
        <v/>
      </c>
      <c r="L529" s="52" t="str">
        <f>IF(OR(Tabla1[[#This Row],[5]]="TPL"),Tabla1[[#This Row],[7]],"")</f>
        <v/>
      </c>
      <c r="M529" s="52">
        <f>IF(Tabla15[[#This Row],[5]]="",0,VLOOKUP(TRAMOS!$K$2,Tabla5[#All],3,FALSE)*Tabla15[[#This Row],[6]])</f>
        <v>0</v>
      </c>
      <c r="N52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2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29" s="52">
        <f>IF(Tabla15[[#This Row],[8]]="",0,VLOOKUP(TRAMOS!$H$2,Tabla5[#All],3,FALSE)*Tabla15[[#This Row],[9]])</f>
        <v>0</v>
      </c>
      <c r="Q52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2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29" s="52">
        <f>IF(Tabla15[[#This Row],[11]]="",0,VLOOKUP(TRAMOS!$Q$2,Tabla5[#All],3,FALSE)*Tabla15[[#This Row],[12]])</f>
        <v>0</v>
      </c>
      <c r="T52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2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2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2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2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2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2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2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29" s="52">
        <f>IF(Tabla15[[#This Row],[20]]="",0,VLOOKUP("VRP",Tabla5[#All],3,FALSE)*Tabla15[[#This Row],[21]])</f>
        <v>0</v>
      </c>
      <c r="AC52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6"</v>
      </c>
      <c r="AD529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529" s="52">
        <f>IF(Tabla15[[#This Row],[23]]="",0,VLOOKUP("VC",Tabla5[#All],3,FALSE)*Tabla15[[#This Row],[24]])</f>
        <v>0.25</v>
      </c>
      <c r="AF52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2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29" s="52">
        <f>IF(Tabla15[[#This Row],[26]]="",0,VLOOKUP(TRAMOS!$K$2,Tabla5[#All],3,FALSE)*Tabla15[[#This Row],[27]])</f>
        <v>0</v>
      </c>
      <c r="AI52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2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2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2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2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2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2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0.25</v>
      </c>
    </row>
    <row r="530" spans="2:41" x14ac:dyDescent="0.25">
      <c r="B530" s="58" t="str">
        <f>Tabla1[[#This Row],[nudo inicial]]</f>
        <v>N275</v>
      </c>
      <c r="C530" s="58" t="str">
        <f>Tabla1[[#This Row],[nudo final]]</f>
        <v>N276</v>
      </c>
      <c r="D530" s="51">
        <f>Tabla1[[#This Row],[longitud]]</f>
        <v>88.01</v>
      </c>
      <c r="E530" s="51" t="str">
        <f>Tabla1[[#This Row],[diametro]]</f>
        <v>6"</v>
      </c>
      <c r="F530" s="51" t="str">
        <f>Tabla1[[#This Row],[material]]</f>
        <v>PVC</v>
      </c>
      <c r="G53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530" s="52" t="str">
        <f>IF(Tabla1[[#This Row],[5]]="TPD",Tabla1[[#This Row],[6]],"")</f>
        <v/>
      </c>
      <c r="I530" s="52" t="str">
        <f>IF(OR(Tabla1[[#This Row],[5]]="TPD"),Tabla1[[#This Row],[7]],"")</f>
        <v/>
      </c>
      <c r="J530" s="52">
        <f>IF(Tabla15[[#This Row],[2]]="",0,VLOOKUP(TRAMOS!$H$2,Tabla5[#All],3,FALSE)*Tabla15[[#This Row],[3]])</f>
        <v>0</v>
      </c>
      <c r="K530" s="52" t="str">
        <f>IF(Tabla1[[#This Row],[5]]="TPL",Tabla1[[#This Row],[6]],"")</f>
        <v>6"</v>
      </c>
      <c r="L530" s="52">
        <f>IF(OR(Tabla1[[#This Row],[5]]="TPL"),Tabla1[[#This Row],[7]],"")</f>
        <v>1</v>
      </c>
      <c r="M530" s="52">
        <f>IF(Tabla15[[#This Row],[5]]="",0,VLOOKUP(TRAMOS!$K$2,Tabla5[#All],3,FALSE)*Tabla15[[#This Row],[6]])</f>
        <v>0.9</v>
      </c>
      <c r="N53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3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30" s="52">
        <f>IF(Tabla15[[#This Row],[8]]="",0,VLOOKUP(TRAMOS!$H$2,Tabla5[#All],3,FALSE)*Tabla15[[#This Row],[9]])</f>
        <v>0</v>
      </c>
      <c r="Q53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3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30" s="52">
        <f>IF(Tabla15[[#This Row],[11]]="",0,VLOOKUP(TRAMOS!$Q$2,Tabla5[#All],3,FALSE)*Tabla15[[#This Row],[12]])</f>
        <v>0</v>
      </c>
      <c r="T53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3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3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3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3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3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3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3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30" s="52">
        <f>IF(Tabla15[[#This Row],[20]]="",0,VLOOKUP("VRP",Tabla5[#All],3,FALSE)*Tabla15[[#This Row],[21]])</f>
        <v>0</v>
      </c>
      <c r="AC53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3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30" s="52">
        <f>IF(Tabla15[[#This Row],[23]]="",0,VLOOKUP("VC",Tabla5[#All],3,FALSE)*Tabla15[[#This Row],[24]])</f>
        <v>0</v>
      </c>
      <c r="AF53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3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30" s="52">
        <f>IF(Tabla15[[#This Row],[26]]="",0,VLOOKUP(TRAMOS!$K$2,Tabla5[#All],3,FALSE)*Tabla15[[#This Row],[27]])</f>
        <v>0</v>
      </c>
      <c r="AI53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3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3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3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3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3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3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531" spans="2:41" x14ac:dyDescent="0.25">
      <c r="B531" s="58" t="str">
        <f>Tabla1[[#This Row],[nudo inicial]]</f>
        <v>N276</v>
      </c>
      <c r="C531" s="58" t="str">
        <f>Tabla1[[#This Row],[nudo final]]</f>
        <v>TP193</v>
      </c>
      <c r="D531" s="51">
        <f>Tabla1[[#This Row],[longitud]]</f>
        <v>102.28</v>
      </c>
      <c r="E531" s="51" t="str">
        <f>Tabla1[[#This Row],[diametro]]</f>
        <v>3"</v>
      </c>
      <c r="F531" s="51" t="str">
        <f>Tabla1[[#This Row],[material]]</f>
        <v>PVC</v>
      </c>
      <c r="G53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531" s="52" t="str">
        <f>IF(Tabla1[[#This Row],[5]]="TPD",Tabla1[[#This Row],[6]],"")</f>
        <v/>
      </c>
      <c r="I531" s="52" t="str">
        <f>IF(OR(Tabla1[[#This Row],[5]]="TPD"),Tabla1[[#This Row],[7]],"")</f>
        <v/>
      </c>
      <c r="J531" s="52">
        <f>IF(Tabla15[[#This Row],[2]]="",0,VLOOKUP(TRAMOS!$H$2,Tabla5[#All],3,FALSE)*Tabla15[[#This Row],[3]])</f>
        <v>0</v>
      </c>
      <c r="K531" s="52" t="str">
        <f>IF(Tabla1[[#This Row],[5]]="TPL",Tabla1[[#This Row],[6]],"")</f>
        <v/>
      </c>
      <c r="L531" s="52" t="str">
        <f>IF(OR(Tabla1[[#This Row],[5]]="TPL"),Tabla1[[#This Row],[7]],"")</f>
        <v/>
      </c>
      <c r="M531" s="52">
        <f>IF(Tabla15[[#This Row],[5]]="",0,VLOOKUP(TRAMOS!$K$2,Tabla5[#All],3,FALSE)*Tabla15[[#This Row],[6]])</f>
        <v>0</v>
      </c>
      <c r="N53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3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31" s="52">
        <f>IF(Tabla15[[#This Row],[8]]="",0,VLOOKUP(TRAMOS!$H$2,Tabla5[#All],3,FALSE)*Tabla15[[#This Row],[9]])</f>
        <v>0</v>
      </c>
      <c r="Q53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3"</v>
      </c>
      <c r="R531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531" s="52">
        <f>IF(Tabla15[[#This Row],[11]]="",0,VLOOKUP(TRAMOS!$Q$2,Tabla5[#All],3,FALSE)*Tabla15[[#This Row],[12]])</f>
        <v>0.9</v>
      </c>
      <c r="T53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531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53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53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3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3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3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3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31" s="52">
        <f>IF(Tabla15[[#This Row],[20]]="",0,VLOOKUP("VRP",Tabla5[#All],3,FALSE)*Tabla15[[#This Row],[21]])</f>
        <v>0</v>
      </c>
      <c r="AC53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3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31" s="52">
        <f>IF(Tabla15[[#This Row],[23]]="",0,VLOOKUP("VC",Tabla5[#All],3,FALSE)*Tabla15[[#This Row],[24]])</f>
        <v>0</v>
      </c>
      <c r="AF53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3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31" s="52">
        <f>IF(Tabla15[[#This Row],[26]]="",0,VLOOKUP(TRAMOS!$K$2,Tabla5[#All],3,FALSE)*Tabla15[[#This Row],[27]])</f>
        <v>0</v>
      </c>
      <c r="AI53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3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3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3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3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531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53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1.27</v>
      </c>
    </row>
    <row r="532" spans="2:41" x14ac:dyDescent="0.25">
      <c r="B532" s="58" t="str">
        <f>Tabla1[[#This Row],[nudo inicial]]</f>
        <v>N275</v>
      </c>
      <c r="C532" s="58" t="str">
        <f>Tabla1[[#This Row],[nudo final]]</f>
        <v>N277</v>
      </c>
      <c r="D532" s="51">
        <f>Tabla1[[#This Row],[longitud]]</f>
        <v>160.09</v>
      </c>
      <c r="E532" s="51" t="str">
        <f>Tabla1[[#This Row],[diametro]]</f>
        <v>6"</v>
      </c>
      <c r="F532" s="51" t="str">
        <f>Tabla1[[#This Row],[material]]</f>
        <v>PVC</v>
      </c>
      <c r="G53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532" s="52" t="str">
        <f>IF(Tabla1[[#This Row],[5]]="TPD",Tabla1[[#This Row],[6]],"")</f>
        <v/>
      </c>
      <c r="I532" s="52" t="str">
        <f>IF(OR(Tabla1[[#This Row],[5]]="TPD"),Tabla1[[#This Row],[7]],"")</f>
        <v/>
      </c>
      <c r="J532" s="52">
        <f>IF(Tabla15[[#This Row],[2]]="",0,VLOOKUP(TRAMOS!$H$2,Tabla5[#All],3,FALSE)*Tabla15[[#This Row],[3]])</f>
        <v>0</v>
      </c>
      <c r="K532" s="52" t="str">
        <f>IF(Tabla1[[#This Row],[5]]="TPL",Tabla1[[#This Row],[6]],"")</f>
        <v>6"</v>
      </c>
      <c r="L532" s="52">
        <f>IF(OR(Tabla1[[#This Row],[5]]="TPL"),Tabla1[[#This Row],[7]],"")</f>
        <v>1</v>
      </c>
      <c r="M532" s="52">
        <f>IF(Tabla15[[#This Row],[5]]="",0,VLOOKUP(TRAMOS!$K$2,Tabla5[#All],3,FALSE)*Tabla15[[#This Row],[6]])</f>
        <v>0.9</v>
      </c>
      <c r="N53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3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32" s="52">
        <f>IF(Tabla15[[#This Row],[8]]="",0,VLOOKUP(TRAMOS!$H$2,Tabla5[#All],3,FALSE)*Tabla15[[#This Row],[9]])</f>
        <v>0</v>
      </c>
      <c r="Q53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3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32" s="52">
        <f>IF(Tabla15[[#This Row],[11]]="",0,VLOOKUP(TRAMOS!$Q$2,Tabla5[#All],3,FALSE)*Tabla15[[#This Row],[12]])</f>
        <v>0</v>
      </c>
      <c r="T53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3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3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3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3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3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3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3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32" s="52">
        <f>IF(Tabla15[[#This Row],[20]]="",0,VLOOKUP("VRP",Tabla5[#All],3,FALSE)*Tabla15[[#This Row],[21]])</f>
        <v>0</v>
      </c>
      <c r="AC53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3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32" s="52">
        <f>IF(Tabla15[[#This Row],[23]]="",0,VLOOKUP("VC",Tabla5[#All],3,FALSE)*Tabla15[[#This Row],[24]])</f>
        <v>0</v>
      </c>
      <c r="AF53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3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32" s="52">
        <f>IF(Tabla15[[#This Row],[26]]="",0,VLOOKUP(TRAMOS!$K$2,Tabla5[#All],3,FALSE)*Tabla15[[#This Row],[27]])</f>
        <v>0</v>
      </c>
      <c r="AI53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3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3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3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3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3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3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533" spans="2:41" x14ac:dyDescent="0.25">
      <c r="B533" s="58" t="str">
        <f>Tabla1[[#This Row],[nudo inicial]]</f>
        <v>N277</v>
      </c>
      <c r="C533" s="58" t="str">
        <f>Tabla1[[#This Row],[nudo final]]</f>
        <v>N278</v>
      </c>
      <c r="D533" s="51">
        <f>Tabla1[[#This Row],[longitud]]</f>
        <v>9.17</v>
      </c>
      <c r="E533" s="51" t="str">
        <f>Tabla1[[#This Row],[diametro]]</f>
        <v>6"</v>
      </c>
      <c r="F533" s="51" t="str">
        <f>Tabla1[[#This Row],[material]]</f>
        <v>PVC</v>
      </c>
      <c r="G53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533" s="52" t="str">
        <f>IF(Tabla1[[#This Row],[5]]="TPD",Tabla1[[#This Row],[6]],"")</f>
        <v/>
      </c>
      <c r="I533" s="52" t="str">
        <f>IF(OR(Tabla1[[#This Row],[5]]="TPD"),Tabla1[[#This Row],[7]],"")</f>
        <v/>
      </c>
      <c r="J533" s="52">
        <f>IF(Tabla15[[#This Row],[2]]="",0,VLOOKUP(TRAMOS!$H$2,Tabla5[#All],3,FALSE)*Tabla15[[#This Row],[3]])</f>
        <v>0</v>
      </c>
      <c r="K533" s="52" t="str">
        <f>IF(Tabla1[[#This Row],[5]]="TPL",Tabla1[[#This Row],[6]],"")</f>
        <v>6"</v>
      </c>
      <c r="L533" s="52">
        <f>IF(OR(Tabla1[[#This Row],[5]]="TPL"),Tabla1[[#This Row],[7]],"")</f>
        <v>1</v>
      </c>
      <c r="M533" s="52">
        <f>IF(Tabla15[[#This Row],[5]]="",0,VLOOKUP(TRAMOS!$K$2,Tabla5[#All],3,FALSE)*Tabla15[[#This Row],[6]])</f>
        <v>0.9</v>
      </c>
      <c r="N53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3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33" s="52">
        <f>IF(Tabla15[[#This Row],[8]]="",0,VLOOKUP(TRAMOS!$H$2,Tabla5[#All],3,FALSE)*Tabla15[[#This Row],[9]])</f>
        <v>0</v>
      </c>
      <c r="Q53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3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33" s="52">
        <f>IF(Tabla15[[#This Row],[11]]="",0,VLOOKUP(TRAMOS!$Q$2,Tabla5[#All],3,FALSE)*Tabla15[[#This Row],[12]])</f>
        <v>0</v>
      </c>
      <c r="T53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3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3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3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3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3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3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3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33" s="52">
        <f>IF(Tabla15[[#This Row],[20]]="",0,VLOOKUP("VRP",Tabla5[#All],3,FALSE)*Tabla15[[#This Row],[21]])</f>
        <v>0</v>
      </c>
      <c r="AC53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6"</v>
      </c>
      <c r="AD533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533" s="52">
        <f>IF(Tabla15[[#This Row],[23]]="",0,VLOOKUP("VC",Tabla5[#All],3,FALSE)*Tabla15[[#This Row],[24]])</f>
        <v>0.25</v>
      </c>
      <c r="AF53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3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33" s="52">
        <f>IF(Tabla15[[#This Row],[26]]="",0,VLOOKUP(TRAMOS!$K$2,Tabla5[#All],3,FALSE)*Tabla15[[#This Row],[27]])</f>
        <v>0</v>
      </c>
      <c r="AI53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3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3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3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3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3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3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1.1499999999999999</v>
      </c>
    </row>
    <row r="534" spans="2:41" x14ac:dyDescent="0.25">
      <c r="B534" s="58" t="str">
        <f>Tabla1[[#This Row],[nudo inicial]]</f>
        <v>N278</v>
      </c>
      <c r="C534" s="58" t="str">
        <f>Tabla1[[#This Row],[nudo final]]</f>
        <v>N279</v>
      </c>
      <c r="D534" s="51">
        <f>Tabla1[[#This Row],[longitud]]</f>
        <v>77.569999999999993</v>
      </c>
      <c r="E534" s="51" t="str">
        <f>Tabla1[[#This Row],[diametro]]</f>
        <v>3"</v>
      </c>
      <c r="F534" s="51" t="str">
        <f>Tabla1[[#This Row],[material]]</f>
        <v>HF</v>
      </c>
      <c r="G53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534" s="52" t="str">
        <f>IF(Tabla1[[#This Row],[5]]="TPD",Tabla1[[#This Row],[6]],"")</f>
        <v/>
      </c>
      <c r="I534" s="52" t="str">
        <f>IF(OR(Tabla1[[#This Row],[5]]="TPD"),Tabla1[[#This Row],[7]],"")</f>
        <v/>
      </c>
      <c r="J534" s="52">
        <f>IF(Tabla15[[#This Row],[2]]="",0,VLOOKUP(TRAMOS!$H$2,Tabla5[#All],3,FALSE)*Tabla15[[#This Row],[3]])</f>
        <v>0</v>
      </c>
      <c r="K534" s="52" t="str">
        <f>IF(Tabla1[[#This Row],[5]]="TPL",Tabla1[[#This Row],[6]],"")</f>
        <v/>
      </c>
      <c r="L534" s="52" t="str">
        <f>IF(OR(Tabla1[[#This Row],[5]]="TPL"),Tabla1[[#This Row],[7]],"")</f>
        <v/>
      </c>
      <c r="M534" s="52">
        <f>IF(Tabla15[[#This Row],[5]]="",0,VLOOKUP(TRAMOS!$K$2,Tabla5[#All],3,FALSE)*Tabla15[[#This Row],[6]])</f>
        <v>0</v>
      </c>
      <c r="N53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3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34" s="52">
        <f>IF(Tabla15[[#This Row],[8]]="",0,VLOOKUP(TRAMOS!$H$2,Tabla5[#All],3,FALSE)*Tabla15[[#This Row],[9]])</f>
        <v>0</v>
      </c>
      <c r="Q53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3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34" s="52">
        <f>IF(Tabla15[[#This Row],[11]]="",0,VLOOKUP(TRAMOS!$Q$2,Tabla5[#All],3,FALSE)*Tabla15[[#This Row],[12]])</f>
        <v>0</v>
      </c>
      <c r="T53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534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53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53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3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3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3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3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34" s="52">
        <f>IF(Tabla15[[#This Row],[20]]="",0,VLOOKUP("VRP",Tabla5[#All],3,FALSE)*Tabla15[[#This Row],[21]])</f>
        <v>0</v>
      </c>
      <c r="AC53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3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34" s="52">
        <f>IF(Tabla15[[#This Row],[23]]="",0,VLOOKUP("VC",Tabla5[#All],3,FALSE)*Tabla15[[#This Row],[24]])</f>
        <v>0</v>
      </c>
      <c r="AF53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3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34" s="52">
        <f>IF(Tabla15[[#This Row],[26]]="",0,VLOOKUP(TRAMOS!$K$2,Tabla5[#All],3,FALSE)*Tabla15[[#This Row],[27]])</f>
        <v>0</v>
      </c>
      <c r="AI53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3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3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3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3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3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3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0.37</v>
      </c>
    </row>
    <row r="535" spans="2:41" x14ac:dyDescent="0.25">
      <c r="B535" s="58" t="str">
        <f>Tabla1[[#This Row],[nudo inicial]]</f>
        <v>N279</v>
      </c>
      <c r="C535" s="58" t="str">
        <f>Tabla1[[#This Row],[nudo final]]</f>
        <v>N280</v>
      </c>
      <c r="D535" s="51">
        <f>Tabla1[[#This Row],[longitud]]</f>
        <v>52.2</v>
      </c>
      <c r="E535" s="51" t="str">
        <f>Tabla1[[#This Row],[diametro]]</f>
        <v>2"</v>
      </c>
      <c r="F535" s="51" t="str">
        <f>Tabla1[[#This Row],[material]]</f>
        <v>PVC</v>
      </c>
      <c r="G53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535" s="52" t="str">
        <f>IF(Tabla1[[#This Row],[5]]="TPD",Tabla1[[#This Row],[6]],"")</f>
        <v/>
      </c>
      <c r="I535" s="52" t="str">
        <f>IF(OR(Tabla1[[#This Row],[5]]="TPD"),Tabla1[[#This Row],[7]],"")</f>
        <v/>
      </c>
      <c r="J535" s="52">
        <f>IF(Tabla15[[#This Row],[2]]="",0,VLOOKUP(TRAMOS!$H$2,Tabla5[#All],3,FALSE)*Tabla15[[#This Row],[3]])</f>
        <v>0</v>
      </c>
      <c r="K535" s="52" t="str">
        <f>IF(Tabla1[[#This Row],[5]]="TPL",Tabla1[[#This Row],[6]],"")</f>
        <v>3"</v>
      </c>
      <c r="L535" s="52">
        <f>IF(OR(Tabla1[[#This Row],[5]]="TPL"),Tabla1[[#This Row],[7]],"")</f>
        <v>1</v>
      </c>
      <c r="M535" s="52">
        <f>IF(Tabla15[[#This Row],[5]]="",0,VLOOKUP(TRAMOS!$K$2,Tabla5[#All],3,FALSE)*Tabla15[[#This Row],[6]])</f>
        <v>0.9</v>
      </c>
      <c r="N53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3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35" s="52">
        <f>IF(Tabla15[[#This Row],[8]]="",0,VLOOKUP(TRAMOS!$H$2,Tabla5[#All],3,FALSE)*Tabla15[[#This Row],[9]])</f>
        <v>0</v>
      </c>
      <c r="Q53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3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35" s="52">
        <f>IF(Tabla15[[#This Row],[11]]="",0,VLOOKUP(TRAMOS!$Q$2,Tabla5[#All],3,FALSE)*Tabla15[[#This Row],[12]])</f>
        <v>0</v>
      </c>
      <c r="T53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535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53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53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3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3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3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3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35" s="52">
        <f>IF(Tabla15[[#This Row],[20]]="",0,VLOOKUP("VRP",Tabla5[#All],3,FALSE)*Tabla15[[#This Row],[21]])</f>
        <v>0</v>
      </c>
      <c r="AC53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535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535" s="52">
        <f>IF(Tabla15[[#This Row],[23]]="",0,VLOOKUP("VC",Tabla5[#All],3,FALSE)*Tabla15[[#This Row],[24]])</f>
        <v>0.25</v>
      </c>
      <c r="AF53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3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35" s="52">
        <f>IF(Tabla15[[#This Row],[26]]="",0,VLOOKUP(TRAMOS!$K$2,Tabla5[#All],3,FALSE)*Tabla15[[#This Row],[27]])</f>
        <v>0</v>
      </c>
      <c r="AI53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3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3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3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3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3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3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1.365</v>
      </c>
    </row>
    <row r="536" spans="2:41" x14ac:dyDescent="0.25">
      <c r="B536" s="58" t="str">
        <f>Tabla1[[#This Row],[nudo inicial]]</f>
        <v>N280</v>
      </c>
      <c r="C536" s="58" t="str">
        <f>Tabla1[[#This Row],[nudo final]]</f>
        <v>TP194</v>
      </c>
      <c r="D536" s="51">
        <f>Tabla1[[#This Row],[longitud]]</f>
        <v>34.03</v>
      </c>
      <c r="E536" s="51" t="str">
        <f>Tabla1[[#This Row],[diametro]]</f>
        <v>2"</v>
      </c>
      <c r="F536" s="51" t="str">
        <f>Tabla1[[#This Row],[material]]</f>
        <v>PVC</v>
      </c>
      <c r="G53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536" s="52" t="str">
        <f>IF(Tabla1[[#This Row],[5]]="TPD",Tabla1[[#This Row],[6]],"")</f>
        <v/>
      </c>
      <c r="I536" s="52" t="str">
        <f>IF(OR(Tabla1[[#This Row],[5]]="TPD"),Tabla1[[#This Row],[7]],"")</f>
        <v/>
      </c>
      <c r="J536" s="52">
        <f>IF(Tabla15[[#This Row],[2]]="",0,VLOOKUP(TRAMOS!$H$2,Tabla5[#All],3,FALSE)*Tabla15[[#This Row],[3]])</f>
        <v>0</v>
      </c>
      <c r="K536" s="52" t="str">
        <f>IF(Tabla1[[#This Row],[5]]="TPL",Tabla1[[#This Row],[6]],"")</f>
        <v>2"</v>
      </c>
      <c r="L536" s="52">
        <f>IF(OR(Tabla1[[#This Row],[5]]="TPL"),Tabla1[[#This Row],[7]],"")</f>
        <v>1</v>
      </c>
      <c r="M536" s="52">
        <f>IF(Tabla15[[#This Row],[5]]="",0,VLOOKUP(TRAMOS!$K$2,Tabla5[#All],3,FALSE)*Tabla15[[#This Row],[6]])</f>
        <v>0.9</v>
      </c>
      <c r="N53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3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36" s="52">
        <f>IF(Tabla15[[#This Row],[8]]="",0,VLOOKUP(TRAMOS!$H$2,Tabla5[#All],3,FALSE)*Tabla15[[#This Row],[9]])</f>
        <v>0</v>
      </c>
      <c r="Q53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3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36" s="52">
        <f>IF(Tabla15[[#This Row],[11]]="",0,VLOOKUP(TRAMOS!$Q$2,Tabla5[#All],3,FALSE)*Tabla15[[#This Row],[12]])</f>
        <v>0</v>
      </c>
      <c r="T53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3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3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3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3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3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3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3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36" s="52">
        <f>IF(Tabla15[[#This Row],[20]]="",0,VLOOKUP("VRP",Tabla5[#All],3,FALSE)*Tabla15[[#This Row],[21]])</f>
        <v>0</v>
      </c>
      <c r="AC53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3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36" s="52">
        <f>IF(Tabla15[[#This Row],[23]]="",0,VLOOKUP("VC",Tabla5[#All],3,FALSE)*Tabla15[[#This Row],[24]])</f>
        <v>0</v>
      </c>
      <c r="AF53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3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36" s="52">
        <f>IF(Tabla15[[#This Row],[26]]="",0,VLOOKUP(TRAMOS!$K$2,Tabla5[#All],3,FALSE)*Tabla15[[#This Row],[27]])</f>
        <v>0</v>
      </c>
      <c r="AI53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3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3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3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3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53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53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537" spans="2:41" x14ac:dyDescent="0.25">
      <c r="B537" s="58" t="str">
        <f>Tabla1[[#This Row],[nudo inicial]]</f>
        <v>N280</v>
      </c>
      <c r="C537" s="58" t="str">
        <f>Tabla1[[#This Row],[nudo final]]</f>
        <v>N281</v>
      </c>
      <c r="D537" s="51">
        <f>Tabla1[[#This Row],[longitud]]</f>
        <v>114.73</v>
      </c>
      <c r="E537" s="51" t="str">
        <f>Tabla1[[#This Row],[diametro]]</f>
        <v>2"</v>
      </c>
      <c r="F537" s="51" t="str">
        <f>Tabla1[[#This Row],[material]]</f>
        <v>PVC</v>
      </c>
      <c r="G53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537" s="52" t="str">
        <f>IF(Tabla1[[#This Row],[5]]="TPD",Tabla1[[#This Row],[6]],"")</f>
        <v>2"</v>
      </c>
      <c r="I537" s="52">
        <f>IF(OR(Tabla1[[#This Row],[5]]="TPD"),Tabla1[[#This Row],[7]],"")</f>
        <v>1</v>
      </c>
      <c r="J537" s="52">
        <f>IF(Tabla15[[#This Row],[2]]="",0,VLOOKUP(TRAMOS!$H$2,Tabla5[#All],3,FALSE)*Tabla15[[#This Row],[3]])</f>
        <v>0.15</v>
      </c>
      <c r="K537" s="52" t="str">
        <f>IF(Tabla1[[#This Row],[5]]="TPL",Tabla1[[#This Row],[6]],"")</f>
        <v/>
      </c>
      <c r="L537" s="52" t="str">
        <f>IF(OR(Tabla1[[#This Row],[5]]="TPL"),Tabla1[[#This Row],[7]],"")</f>
        <v/>
      </c>
      <c r="M537" s="52">
        <f>IF(Tabla15[[#This Row],[5]]="",0,VLOOKUP(TRAMOS!$K$2,Tabla5[#All],3,FALSE)*Tabla15[[#This Row],[6]])</f>
        <v>0</v>
      </c>
      <c r="N53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3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37" s="52">
        <f>IF(Tabla15[[#This Row],[8]]="",0,VLOOKUP(TRAMOS!$H$2,Tabla5[#All],3,FALSE)*Tabla15[[#This Row],[9]])</f>
        <v>0</v>
      </c>
      <c r="Q53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537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537" s="52">
        <f>IF(Tabla15[[#This Row],[11]]="",0,VLOOKUP(TRAMOS!$Q$2,Tabla5[#All],3,FALSE)*Tabla15[[#This Row],[12]])</f>
        <v>0.9</v>
      </c>
      <c r="T53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3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3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3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3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3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3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3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37" s="52">
        <f>IF(Tabla15[[#This Row],[20]]="",0,VLOOKUP("VRP",Tabla5[#All],3,FALSE)*Tabla15[[#This Row],[21]])</f>
        <v>0</v>
      </c>
      <c r="AC53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3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37" s="52">
        <f>IF(Tabla15[[#This Row],[23]]="",0,VLOOKUP("VC",Tabla5[#All],3,FALSE)*Tabla15[[#This Row],[24]])</f>
        <v>0</v>
      </c>
      <c r="AF53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3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37" s="52">
        <f>IF(Tabla15[[#This Row],[26]]="",0,VLOOKUP(TRAMOS!$K$2,Tabla5[#All],3,FALSE)*Tabla15[[#This Row],[27]])</f>
        <v>0</v>
      </c>
      <c r="AI53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3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3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3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3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3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3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538" spans="2:41" x14ac:dyDescent="0.25">
      <c r="B538" s="58" t="str">
        <f>Tabla1[[#This Row],[nudo inicial]]</f>
        <v>N281</v>
      </c>
      <c r="C538" s="58" t="str">
        <f>Tabla1[[#This Row],[nudo final]]</f>
        <v>TP195</v>
      </c>
      <c r="D538" s="51">
        <f>Tabla1[[#This Row],[longitud]]</f>
        <v>67.91</v>
      </c>
      <c r="E538" s="51" t="str">
        <f>Tabla1[[#This Row],[diametro]]</f>
        <v>2"</v>
      </c>
      <c r="F538" s="51" t="str">
        <f>Tabla1[[#This Row],[material]]</f>
        <v>PVC</v>
      </c>
      <c r="G53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538" s="52" t="str">
        <f>IF(Tabla1[[#This Row],[5]]="TPD",Tabla1[[#This Row],[6]],"")</f>
        <v/>
      </c>
      <c r="I538" s="52" t="str">
        <f>IF(OR(Tabla1[[#This Row],[5]]="TPD"),Tabla1[[#This Row],[7]],"")</f>
        <v/>
      </c>
      <c r="J538" s="52">
        <f>IF(Tabla15[[#This Row],[2]]="",0,VLOOKUP(TRAMOS!$H$2,Tabla5[#All],3,FALSE)*Tabla15[[#This Row],[3]])</f>
        <v>0</v>
      </c>
      <c r="K538" s="52" t="str">
        <f>IF(Tabla1[[#This Row],[5]]="TPL",Tabla1[[#This Row],[6]],"")</f>
        <v>2"</v>
      </c>
      <c r="L538" s="52">
        <f>IF(OR(Tabla1[[#This Row],[5]]="TPL"),Tabla1[[#This Row],[7]],"")</f>
        <v>1</v>
      </c>
      <c r="M538" s="52">
        <f>IF(Tabla15[[#This Row],[5]]="",0,VLOOKUP(TRAMOS!$K$2,Tabla5[#All],3,FALSE)*Tabla15[[#This Row],[6]])</f>
        <v>0.9</v>
      </c>
      <c r="N53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3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38" s="52">
        <f>IF(Tabla15[[#This Row],[8]]="",0,VLOOKUP(TRAMOS!$H$2,Tabla5[#All],3,FALSE)*Tabla15[[#This Row],[9]])</f>
        <v>0</v>
      </c>
      <c r="Q53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3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38" s="52">
        <f>IF(Tabla15[[#This Row],[11]]="",0,VLOOKUP(TRAMOS!$Q$2,Tabla5[#All],3,FALSE)*Tabla15[[#This Row],[12]])</f>
        <v>0</v>
      </c>
      <c r="T53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3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3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3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3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3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3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3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38" s="52">
        <f>IF(Tabla15[[#This Row],[20]]="",0,VLOOKUP("VRP",Tabla5[#All],3,FALSE)*Tabla15[[#This Row],[21]])</f>
        <v>0</v>
      </c>
      <c r="AC53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3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38" s="52">
        <f>IF(Tabla15[[#This Row],[23]]="",0,VLOOKUP("VC",Tabla5[#All],3,FALSE)*Tabla15[[#This Row],[24]])</f>
        <v>0</v>
      </c>
      <c r="AF53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3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38" s="52">
        <f>IF(Tabla15[[#This Row],[26]]="",0,VLOOKUP(TRAMOS!$K$2,Tabla5[#All],3,FALSE)*Tabla15[[#This Row],[27]])</f>
        <v>0</v>
      </c>
      <c r="AI53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3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3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3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3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538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53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539" spans="2:41" x14ac:dyDescent="0.25">
      <c r="B539" s="58" t="str">
        <f>Tabla1[[#This Row],[nudo inicial]]</f>
        <v>N281</v>
      </c>
      <c r="C539" s="58" t="str">
        <f>Tabla1[[#This Row],[nudo final]]</f>
        <v>TP196</v>
      </c>
      <c r="D539" s="51">
        <f>Tabla1[[#This Row],[longitud]]</f>
        <v>16.04</v>
      </c>
      <c r="E539" s="51" t="str">
        <f>Tabla1[[#This Row],[diametro]]</f>
        <v>2"</v>
      </c>
      <c r="F539" s="51" t="str">
        <f>Tabla1[[#This Row],[material]]</f>
        <v>PVC</v>
      </c>
      <c r="G53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539" s="52" t="str">
        <f>IF(Tabla1[[#This Row],[5]]="TPD",Tabla1[[#This Row],[6]],"")</f>
        <v>2"</v>
      </c>
      <c r="I539" s="52">
        <f>IF(OR(Tabla1[[#This Row],[5]]="TPD"),Tabla1[[#This Row],[7]],"")</f>
        <v>1</v>
      </c>
      <c r="J539" s="52">
        <f>IF(Tabla15[[#This Row],[2]]="",0,VLOOKUP(TRAMOS!$H$2,Tabla5[#All],3,FALSE)*Tabla15[[#This Row],[3]])</f>
        <v>0.15</v>
      </c>
      <c r="K539" s="52" t="str">
        <f>IF(Tabla1[[#This Row],[5]]="TPL",Tabla1[[#This Row],[6]],"")</f>
        <v/>
      </c>
      <c r="L539" s="52" t="str">
        <f>IF(OR(Tabla1[[#This Row],[5]]="TPL"),Tabla1[[#This Row],[7]],"")</f>
        <v/>
      </c>
      <c r="M539" s="52">
        <f>IF(Tabla15[[#This Row],[5]]="",0,VLOOKUP(TRAMOS!$K$2,Tabla5[#All],3,FALSE)*Tabla15[[#This Row],[6]])</f>
        <v>0</v>
      </c>
      <c r="N53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3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39" s="52">
        <f>IF(Tabla15[[#This Row],[8]]="",0,VLOOKUP(TRAMOS!$H$2,Tabla5[#All],3,FALSE)*Tabla15[[#This Row],[9]])</f>
        <v>0</v>
      </c>
      <c r="Q53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3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39" s="52">
        <f>IF(Tabla15[[#This Row],[11]]="",0,VLOOKUP(TRAMOS!$Q$2,Tabla5[#All],3,FALSE)*Tabla15[[#This Row],[12]])</f>
        <v>0</v>
      </c>
      <c r="T53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3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3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3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3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3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3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3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39" s="52">
        <f>IF(Tabla15[[#This Row],[20]]="",0,VLOOKUP("VRP",Tabla5[#All],3,FALSE)*Tabla15[[#This Row],[21]])</f>
        <v>0</v>
      </c>
      <c r="AC53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3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39" s="52">
        <f>IF(Tabla15[[#This Row],[23]]="",0,VLOOKUP("VC",Tabla5[#All],3,FALSE)*Tabla15[[#This Row],[24]])</f>
        <v>0</v>
      </c>
      <c r="AF53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3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39" s="52">
        <f>IF(Tabla15[[#This Row],[26]]="",0,VLOOKUP(TRAMOS!$K$2,Tabla5[#All],3,FALSE)*Tabla15[[#This Row],[27]])</f>
        <v>0</v>
      </c>
      <c r="AI53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3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3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3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3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539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53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540" spans="2:41" x14ac:dyDescent="0.25">
      <c r="B540" s="58" t="str">
        <f>Tabla1[[#This Row],[nudo inicial]]</f>
        <v>N279</v>
      </c>
      <c r="C540" s="58" t="str">
        <f>Tabla1[[#This Row],[nudo final]]</f>
        <v>N282</v>
      </c>
      <c r="D540" s="51">
        <f>Tabla1[[#This Row],[longitud]]</f>
        <v>57.23</v>
      </c>
      <c r="E540" s="51" t="str">
        <f>Tabla1[[#This Row],[diametro]]</f>
        <v>3"</v>
      </c>
      <c r="F540" s="51" t="str">
        <f>Tabla1[[#This Row],[material]]</f>
        <v>HF</v>
      </c>
      <c r="G54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540" s="52" t="str">
        <f>IF(Tabla1[[#This Row],[5]]="TPD",Tabla1[[#This Row],[6]],"")</f>
        <v>3"</v>
      </c>
      <c r="I540" s="52">
        <f>IF(OR(Tabla1[[#This Row],[5]]="TPD"),Tabla1[[#This Row],[7]],"")</f>
        <v>1</v>
      </c>
      <c r="J540" s="52">
        <f>IF(Tabla15[[#This Row],[2]]="",0,VLOOKUP(TRAMOS!$H$2,Tabla5[#All],3,FALSE)*Tabla15[[#This Row],[3]])</f>
        <v>0.15</v>
      </c>
      <c r="K540" s="52" t="str">
        <f>IF(Tabla1[[#This Row],[5]]="TPL",Tabla1[[#This Row],[6]],"")</f>
        <v/>
      </c>
      <c r="L540" s="52" t="str">
        <f>IF(OR(Tabla1[[#This Row],[5]]="TPL"),Tabla1[[#This Row],[7]],"")</f>
        <v/>
      </c>
      <c r="M540" s="52">
        <f>IF(Tabla15[[#This Row],[5]]="",0,VLOOKUP(TRAMOS!$K$2,Tabla5[#All],3,FALSE)*Tabla15[[#This Row],[6]])</f>
        <v>0</v>
      </c>
      <c r="N54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4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40" s="52">
        <f>IF(Tabla15[[#This Row],[8]]="",0,VLOOKUP(TRAMOS!$H$2,Tabla5[#All],3,FALSE)*Tabla15[[#This Row],[9]])</f>
        <v>0</v>
      </c>
      <c r="Q54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4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40" s="52">
        <f>IF(Tabla15[[#This Row],[11]]="",0,VLOOKUP(TRAMOS!$Q$2,Tabla5[#All],3,FALSE)*Tabla15[[#This Row],[12]])</f>
        <v>0</v>
      </c>
      <c r="T54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4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4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4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>8"</v>
      </c>
      <c r="X540" s="52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>1</v>
      </c>
      <c r="Y54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0.70339999999999991</v>
      </c>
      <c r="Z54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4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40" s="52">
        <f>IF(Tabla15[[#This Row],[20]]="",0,VLOOKUP("VRP",Tabla5[#All],3,FALSE)*Tabla15[[#This Row],[21]])</f>
        <v>0</v>
      </c>
      <c r="AC54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540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540" s="52">
        <f>IF(Tabla15[[#This Row],[23]]="",0,VLOOKUP("VC",Tabla5[#All],3,FALSE)*Tabla15[[#This Row],[24]])</f>
        <v>0.25</v>
      </c>
      <c r="AF54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4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40" s="52">
        <f>IF(Tabla15[[#This Row],[26]]="",0,VLOOKUP(TRAMOS!$K$2,Tabla5[#All],3,FALSE)*Tabla15[[#This Row],[27]])</f>
        <v>0</v>
      </c>
      <c r="AI54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4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4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4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4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4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4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1.1033999999999999</v>
      </c>
    </row>
    <row r="541" spans="2:41" x14ac:dyDescent="0.25">
      <c r="B541" s="58" t="str">
        <f>Tabla1[[#This Row],[nudo inicial]]</f>
        <v>N272</v>
      </c>
      <c r="C541" s="58" t="str">
        <f>Tabla1[[#This Row],[nudo final]]</f>
        <v>N645</v>
      </c>
      <c r="D541" s="51">
        <f>Tabla1[[#This Row],[longitud]]</f>
        <v>60.7</v>
      </c>
      <c r="E541" s="51" t="str">
        <f>Tabla1[[#This Row],[diametro]]</f>
        <v>8"</v>
      </c>
      <c r="F541" s="51" t="str">
        <f>Tabla1[[#This Row],[material]]</f>
        <v>HF</v>
      </c>
      <c r="G54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541" s="52" t="str">
        <f>IF(Tabla1[[#This Row],[5]]="TPD",Tabla1[[#This Row],[6]],"")</f>
        <v/>
      </c>
      <c r="I541" s="52" t="str">
        <f>IF(OR(Tabla1[[#This Row],[5]]="TPD"),Tabla1[[#This Row],[7]],"")</f>
        <v/>
      </c>
      <c r="J541" s="52">
        <f>IF(Tabla15[[#This Row],[2]]="",0,VLOOKUP(TRAMOS!$H$2,Tabla5[#All],3,FALSE)*Tabla15[[#This Row],[3]])</f>
        <v>0</v>
      </c>
      <c r="K541" s="52" t="str">
        <f>IF(Tabla1[[#This Row],[5]]="TPL",Tabla1[[#This Row],[6]],"")</f>
        <v/>
      </c>
      <c r="L541" s="52" t="str">
        <f>IF(OR(Tabla1[[#This Row],[5]]="TPL"),Tabla1[[#This Row],[7]],"")</f>
        <v/>
      </c>
      <c r="M541" s="52">
        <f>IF(Tabla15[[#This Row],[5]]="",0,VLOOKUP(TRAMOS!$K$2,Tabla5[#All],3,FALSE)*Tabla15[[#This Row],[6]])</f>
        <v>0</v>
      </c>
      <c r="N54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8"</v>
      </c>
      <c r="O541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541" s="52">
        <f>IF(Tabla15[[#This Row],[8]]="",0,VLOOKUP(TRAMOS!$H$2,Tabla5[#All],3,FALSE)*Tabla15[[#This Row],[9]])</f>
        <v>0.15</v>
      </c>
      <c r="Q54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4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41" s="52">
        <f>IF(Tabla15[[#This Row],[11]]="",0,VLOOKUP(TRAMOS!$Q$2,Tabla5[#All],3,FALSE)*Tabla15[[#This Row],[12]])</f>
        <v>0</v>
      </c>
      <c r="T54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4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4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4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4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4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4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4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41" s="52">
        <f>IF(Tabla15[[#This Row],[20]]="",0,VLOOKUP("VRP",Tabla5[#All],3,FALSE)*Tabla15[[#This Row],[21]])</f>
        <v>0</v>
      </c>
      <c r="AC54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8"</v>
      </c>
      <c r="AD541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541" s="52">
        <f>IF(Tabla15[[#This Row],[23]]="",0,VLOOKUP("VC",Tabla5[#All],3,FALSE)*Tabla15[[#This Row],[24]])</f>
        <v>0.25</v>
      </c>
      <c r="AF54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4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41" s="52">
        <f>IF(Tabla15[[#This Row],[26]]="",0,VLOOKUP(TRAMOS!$K$2,Tabla5[#All],3,FALSE)*Tabla15[[#This Row],[27]])</f>
        <v>0</v>
      </c>
      <c r="AI54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4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4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4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4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4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4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0.4</v>
      </c>
    </row>
    <row r="542" spans="2:41" x14ac:dyDescent="0.25">
      <c r="B542" s="58" t="str">
        <f>Tabla1[[#This Row],[nudo inicial]]</f>
        <v>N645</v>
      </c>
      <c r="C542" s="58" t="str">
        <f>Tabla1[[#This Row],[nudo final]]</f>
        <v>TP197</v>
      </c>
      <c r="D542" s="51">
        <f>Tabla1[[#This Row],[longitud]]</f>
        <v>104.64</v>
      </c>
      <c r="E542" s="51" t="str">
        <f>Tabla1[[#This Row],[diametro]]</f>
        <v>2"</v>
      </c>
      <c r="F542" s="51" t="str">
        <f>Tabla1[[#This Row],[material]]</f>
        <v>PVC</v>
      </c>
      <c r="G54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542" s="52" t="str">
        <f>IF(Tabla1[[#This Row],[5]]="TPD",Tabla1[[#This Row],[6]],"")</f>
        <v/>
      </c>
      <c r="I542" s="52" t="str">
        <f>IF(OR(Tabla1[[#This Row],[5]]="TPD"),Tabla1[[#This Row],[7]],"")</f>
        <v/>
      </c>
      <c r="J542" s="52">
        <f>IF(Tabla15[[#This Row],[2]]="",0,VLOOKUP(TRAMOS!$H$2,Tabla5[#All],3,FALSE)*Tabla15[[#This Row],[3]])</f>
        <v>0</v>
      </c>
      <c r="K542" s="52" t="str">
        <f>IF(Tabla1[[#This Row],[5]]="TPL",Tabla1[[#This Row],[6]],"")</f>
        <v/>
      </c>
      <c r="L542" s="52" t="str">
        <f>IF(OR(Tabla1[[#This Row],[5]]="TPL"),Tabla1[[#This Row],[7]],"")</f>
        <v/>
      </c>
      <c r="M542" s="52">
        <f>IF(Tabla15[[#This Row],[5]]="",0,VLOOKUP(TRAMOS!$K$2,Tabla5[#All],3,FALSE)*Tabla15[[#This Row],[6]])</f>
        <v>0</v>
      </c>
      <c r="N54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4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42" s="52">
        <f>IF(Tabla15[[#This Row],[8]]="",0,VLOOKUP(TRAMOS!$H$2,Tabla5[#All],3,FALSE)*Tabla15[[#This Row],[9]])</f>
        <v>0</v>
      </c>
      <c r="Q54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542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2</v>
      </c>
      <c r="S542" s="52">
        <f>IF(Tabla15[[#This Row],[11]]="",0,VLOOKUP(TRAMOS!$Q$2,Tabla5[#All],3,FALSE)*Tabla15[[#This Row],[12]])</f>
        <v>1.8</v>
      </c>
      <c r="T54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542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54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0.45</v>
      </c>
      <c r="W54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4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4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4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4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42" s="52">
        <f>IF(Tabla15[[#This Row],[20]]="",0,VLOOKUP("VRP",Tabla5[#All],3,FALSE)*Tabla15[[#This Row],[21]])</f>
        <v>0</v>
      </c>
      <c r="AC54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4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42" s="52">
        <f>IF(Tabla15[[#This Row],[23]]="",0,VLOOKUP("VC",Tabla5[#All],3,FALSE)*Tabla15[[#This Row],[24]])</f>
        <v>0</v>
      </c>
      <c r="AF54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>8"</v>
      </c>
      <c r="AG542" s="52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>1</v>
      </c>
      <c r="AH542" s="52">
        <f>IF(Tabla15[[#This Row],[26]]="",0,VLOOKUP(TRAMOS!$K$2,Tabla5[#All],3,FALSE)*Tabla15[[#This Row],[27]])</f>
        <v>0.9</v>
      </c>
      <c r="AI54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4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4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4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4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542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54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3.15</v>
      </c>
    </row>
    <row r="543" spans="2:41" x14ac:dyDescent="0.25">
      <c r="B543" s="58" t="str">
        <f>Tabla1[[#This Row],[nudo inicial]]</f>
        <v>N645</v>
      </c>
      <c r="C543" s="58" t="str">
        <f>Tabla1[[#This Row],[nudo final]]</f>
        <v>N282</v>
      </c>
      <c r="D543" s="51">
        <f>Tabla1[[#This Row],[longitud]]</f>
        <v>78.09</v>
      </c>
      <c r="E543" s="51" t="str">
        <f>Tabla1[[#This Row],[diametro]]</f>
        <v>8"</v>
      </c>
      <c r="F543" s="51" t="str">
        <f>Tabla1[[#This Row],[material]]</f>
        <v>HF</v>
      </c>
      <c r="G54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543" s="52" t="str">
        <f>IF(Tabla1[[#This Row],[5]]="TPD",Tabla1[[#This Row],[6]],"")</f>
        <v/>
      </c>
      <c r="I543" s="52" t="str">
        <f>IF(OR(Tabla1[[#This Row],[5]]="TPD"),Tabla1[[#This Row],[7]],"")</f>
        <v/>
      </c>
      <c r="J543" s="52">
        <f>IF(Tabla15[[#This Row],[2]]="",0,VLOOKUP(TRAMOS!$H$2,Tabla5[#All],3,FALSE)*Tabla15[[#This Row],[3]])</f>
        <v>0</v>
      </c>
      <c r="K543" s="52" t="str">
        <f>IF(Tabla1[[#This Row],[5]]="TPL",Tabla1[[#This Row],[6]],"")</f>
        <v/>
      </c>
      <c r="L543" s="52" t="str">
        <f>IF(OR(Tabla1[[#This Row],[5]]="TPL"),Tabla1[[#This Row],[7]],"")</f>
        <v/>
      </c>
      <c r="M543" s="52">
        <f>IF(Tabla15[[#This Row],[5]]="",0,VLOOKUP(TRAMOS!$K$2,Tabla5[#All],3,FALSE)*Tabla15[[#This Row],[6]])</f>
        <v>0</v>
      </c>
      <c r="N54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4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43" s="52">
        <f>IF(Tabla15[[#This Row],[8]]="",0,VLOOKUP(TRAMOS!$H$2,Tabla5[#All],3,FALSE)*Tabla15[[#This Row],[9]])</f>
        <v>0</v>
      </c>
      <c r="Q54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4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43" s="52">
        <f>IF(Tabla15[[#This Row],[11]]="",0,VLOOKUP(TRAMOS!$Q$2,Tabla5[#All],3,FALSE)*Tabla15[[#This Row],[12]])</f>
        <v>0</v>
      </c>
      <c r="T54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4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4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4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4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4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4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4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43" s="52">
        <f>IF(Tabla15[[#This Row],[20]]="",0,VLOOKUP("VRP",Tabla5[#All],3,FALSE)*Tabla15[[#This Row],[21]])</f>
        <v>0</v>
      </c>
      <c r="AC54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4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43" s="52">
        <f>IF(Tabla15[[#This Row],[23]]="",0,VLOOKUP("VC",Tabla5[#All],3,FALSE)*Tabla15[[#This Row],[24]])</f>
        <v>0</v>
      </c>
      <c r="AF54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4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43" s="52">
        <f>IF(Tabla15[[#This Row],[26]]="",0,VLOOKUP(TRAMOS!$K$2,Tabla5[#All],3,FALSE)*Tabla15[[#This Row],[27]])</f>
        <v>0</v>
      </c>
      <c r="AI54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4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4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4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4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4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4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</v>
      </c>
    </row>
    <row r="544" spans="2:41" x14ac:dyDescent="0.25">
      <c r="B544" s="58" t="str">
        <f>Tabla1[[#This Row],[nudo inicial]]</f>
        <v>N282</v>
      </c>
      <c r="C544" s="58" t="str">
        <f>Tabla1[[#This Row],[nudo final]]</f>
        <v>N284</v>
      </c>
      <c r="D544" s="51">
        <f>Tabla1[[#This Row],[longitud]]</f>
        <v>129</v>
      </c>
      <c r="E544" s="51" t="str">
        <f>Tabla1[[#This Row],[diametro]]</f>
        <v>3"</v>
      </c>
      <c r="F544" s="51" t="str">
        <f>Tabla1[[#This Row],[material]]</f>
        <v>HF</v>
      </c>
      <c r="G54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544" s="52" t="str">
        <f>IF(Tabla1[[#This Row],[5]]="TPD",Tabla1[[#This Row],[6]],"")</f>
        <v/>
      </c>
      <c r="I544" s="52" t="str">
        <f>IF(OR(Tabla1[[#This Row],[5]]="TPD"),Tabla1[[#This Row],[7]],"")</f>
        <v/>
      </c>
      <c r="J544" s="52">
        <f>IF(Tabla15[[#This Row],[2]]="",0,VLOOKUP(TRAMOS!$H$2,Tabla5[#All],3,FALSE)*Tabla15[[#This Row],[3]])</f>
        <v>0</v>
      </c>
      <c r="K544" s="52" t="str">
        <f>IF(Tabla1[[#This Row],[5]]="TPL",Tabla1[[#This Row],[6]],"")</f>
        <v/>
      </c>
      <c r="L544" s="52" t="str">
        <f>IF(OR(Tabla1[[#This Row],[5]]="TPL"),Tabla1[[#This Row],[7]],"")</f>
        <v/>
      </c>
      <c r="M544" s="52">
        <f>IF(Tabla15[[#This Row],[5]]="",0,VLOOKUP(TRAMOS!$K$2,Tabla5[#All],3,FALSE)*Tabla15[[#This Row],[6]])</f>
        <v>0</v>
      </c>
      <c r="N54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8"</v>
      </c>
      <c r="O544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544" s="52">
        <f>IF(Tabla15[[#This Row],[8]]="",0,VLOOKUP(TRAMOS!$H$2,Tabla5[#All],3,FALSE)*Tabla15[[#This Row],[9]])</f>
        <v>0.15</v>
      </c>
      <c r="Q54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4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44" s="52">
        <f>IF(Tabla15[[#This Row],[11]]="",0,VLOOKUP(TRAMOS!$Q$2,Tabla5[#All],3,FALSE)*Tabla15[[#This Row],[12]])</f>
        <v>0</v>
      </c>
      <c r="T54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544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54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0.41679999999999995</v>
      </c>
      <c r="W54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4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4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4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4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44" s="52">
        <f>IF(Tabla15[[#This Row],[20]]="",0,VLOOKUP("VRP",Tabla5[#All],3,FALSE)*Tabla15[[#This Row],[21]])</f>
        <v>0</v>
      </c>
      <c r="AC54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544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544" s="52">
        <f>IF(Tabla15[[#This Row],[23]]="",0,VLOOKUP("VC",Tabla5[#All],3,FALSE)*Tabla15[[#This Row],[24]])</f>
        <v>0.25</v>
      </c>
      <c r="AF54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4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44" s="52">
        <f>IF(Tabla15[[#This Row],[26]]="",0,VLOOKUP(TRAMOS!$K$2,Tabla5[#All],3,FALSE)*Tabla15[[#This Row],[27]])</f>
        <v>0</v>
      </c>
      <c r="AI54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4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4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4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4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4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4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0.81679999999999997</v>
      </c>
    </row>
    <row r="545" spans="2:41" x14ac:dyDescent="0.25">
      <c r="B545" s="58" t="str">
        <f>Tabla1[[#This Row],[nudo inicial]]</f>
        <v>N246</v>
      </c>
      <c r="C545" s="58" t="str">
        <f>Tabla1[[#This Row],[nudo final]]</f>
        <v>N284</v>
      </c>
      <c r="D545" s="51">
        <f>Tabla1[[#This Row],[longitud]]</f>
        <v>8.2200000000000006</v>
      </c>
      <c r="E545" s="51" t="str">
        <f>Tabla1[[#This Row],[diametro]]</f>
        <v>4"</v>
      </c>
      <c r="F545" s="51" t="str">
        <f>Tabla1[[#This Row],[material]]</f>
        <v>HF</v>
      </c>
      <c r="G54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545" s="52" t="str">
        <f>IF(Tabla1[[#This Row],[5]]="TPD",Tabla1[[#This Row],[6]],"")</f>
        <v/>
      </c>
      <c r="I545" s="52" t="str">
        <f>IF(OR(Tabla1[[#This Row],[5]]="TPD"),Tabla1[[#This Row],[7]],"")</f>
        <v/>
      </c>
      <c r="J545" s="52">
        <f>IF(Tabla15[[#This Row],[2]]="",0,VLOOKUP(TRAMOS!$H$2,Tabla5[#All],3,FALSE)*Tabla15[[#This Row],[3]])</f>
        <v>0</v>
      </c>
      <c r="K545" s="52" t="str">
        <f>IF(Tabla1[[#This Row],[5]]="TPL",Tabla1[[#This Row],[6]],"")</f>
        <v>8"</v>
      </c>
      <c r="L545" s="52">
        <f>IF(OR(Tabla1[[#This Row],[5]]="TPL"),Tabla1[[#This Row],[7]],"")</f>
        <v>1</v>
      </c>
      <c r="M545" s="52">
        <f>IF(Tabla15[[#This Row],[5]]="",0,VLOOKUP(TRAMOS!$K$2,Tabla5[#All],3,FALSE)*Tabla15[[#This Row],[6]])</f>
        <v>0.9</v>
      </c>
      <c r="N54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4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45" s="52">
        <f>IF(Tabla15[[#This Row],[8]]="",0,VLOOKUP(TRAMOS!$H$2,Tabla5[#All],3,FALSE)*Tabla15[[#This Row],[9]])</f>
        <v>0</v>
      </c>
      <c r="Q54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4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45" s="52">
        <f>IF(Tabla15[[#This Row],[11]]="",0,VLOOKUP(TRAMOS!$Q$2,Tabla5[#All],3,FALSE)*Tabla15[[#This Row],[12]])</f>
        <v>0</v>
      </c>
      <c r="T54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4"</v>
      </c>
      <c r="U545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2</v>
      </c>
      <c r="V54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0.74</v>
      </c>
      <c r="W54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4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4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4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4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45" s="52">
        <f>IF(Tabla15[[#This Row],[20]]="",0,VLOOKUP("VRP",Tabla5[#All],3,FALSE)*Tabla15[[#This Row],[21]])</f>
        <v>0</v>
      </c>
      <c r="AC54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4"</v>
      </c>
      <c r="AD545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545" s="52">
        <f>IF(Tabla15[[#This Row],[23]]="",0,VLOOKUP("VC",Tabla5[#All],3,FALSE)*Tabla15[[#This Row],[24]])</f>
        <v>0.25</v>
      </c>
      <c r="AF54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4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45" s="52">
        <f>IF(Tabla15[[#This Row],[26]]="",0,VLOOKUP(TRAMOS!$K$2,Tabla5[#All],3,FALSE)*Tabla15[[#This Row],[27]])</f>
        <v>0</v>
      </c>
      <c r="AI54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4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4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4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4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4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4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1.8900000000000001</v>
      </c>
    </row>
    <row r="546" spans="2:41" x14ac:dyDescent="0.25">
      <c r="B546" s="58" t="str">
        <f>Tabla1[[#This Row],[nudo inicial]]</f>
        <v>N248</v>
      </c>
      <c r="C546" s="58" t="str">
        <f>Tabla1[[#This Row],[nudo final]]</f>
        <v>N284</v>
      </c>
      <c r="D546" s="51">
        <f>Tabla1[[#This Row],[longitud]]</f>
        <v>3.08</v>
      </c>
      <c r="E546" s="51" t="str">
        <f>Tabla1[[#This Row],[diametro]]</f>
        <v>10"</v>
      </c>
      <c r="F546" s="51" t="str">
        <f>Tabla1[[#This Row],[material]]</f>
        <v>HF</v>
      </c>
      <c r="G54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10"</v>
      </c>
      <c r="H546" s="52" t="str">
        <f>IF(Tabla1[[#This Row],[5]]="TPD",Tabla1[[#This Row],[6]],"")</f>
        <v/>
      </c>
      <c r="I546" s="52" t="str">
        <f>IF(OR(Tabla1[[#This Row],[5]]="TPD"),Tabla1[[#This Row],[7]],"")</f>
        <v/>
      </c>
      <c r="J546" s="52">
        <f>IF(Tabla15[[#This Row],[2]]="",0,VLOOKUP(TRAMOS!$H$2,Tabla5[#All],3,FALSE)*Tabla15[[#This Row],[3]])</f>
        <v>0</v>
      </c>
      <c r="K546" s="52" t="str">
        <f>IF(Tabla1[[#This Row],[5]]="TPL",Tabla1[[#This Row],[6]],"")</f>
        <v>10"</v>
      </c>
      <c r="L546" s="52">
        <f>IF(OR(Tabla1[[#This Row],[5]]="TPL"),Tabla1[[#This Row],[7]],"")</f>
        <v>1</v>
      </c>
      <c r="M546" s="52">
        <f>IF(Tabla15[[#This Row],[5]]="",0,VLOOKUP(TRAMOS!$K$2,Tabla5[#All],3,FALSE)*Tabla15[[#This Row],[6]])</f>
        <v>0.9</v>
      </c>
      <c r="N54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4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46" s="52">
        <f>IF(Tabla15[[#This Row],[8]]="",0,VLOOKUP(TRAMOS!$H$2,Tabla5[#All],3,FALSE)*Tabla15[[#This Row],[9]])</f>
        <v>0</v>
      </c>
      <c r="Q54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4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46" s="52">
        <f>IF(Tabla15[[#This Row],[11]]="",0,VLOOKUP(TRAMOS!$Q$2,Tabla5[#All],3,FALSE)*Tabla15[[#This Row],[12]])</f>
        <v>0</v>
      </c>
      <c r="T54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4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4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4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4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4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4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4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46" s="52">
        <f>IF(Tabla15[[#This Row],[20]]="",0,VLOOKUP("VRP",Tabla5[#All],3,FALSE)*Tabla15[[#This Row],[21]])</f>
        <v>0</v>
      </c>
      <c r="AC54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4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46" s="52">
        <f>IF(Tabla15[[#This Row],[23]]="",0,VLOOKUP("VC",Tabla5[#All],3,FALSE)*Tabla15[[#This Row],[24]])</f>
        <v>0</v>
      </c>
      <c r="AF54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4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46" s="52">
        <f>IF(Tabla15[[#This Row],[26]]="",0,VLOOKUP(TRAMOS!$K$2,Tabla5[#All],3,FALSE)*Tabla15[[#This Row],[27]])</f>
        <v>0</v>
      </c>
      <c r="AI54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4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4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4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4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4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4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547" spans="2:41" x14ac:dyDescent="0.25">
      <c r="B547" s="58" t="str">
        <f>Tabla1[[#This Row],[nudo inicial]]</f>
        <v>N284</v>
      </c>
      <c r="C547" s="58" t="str">
        <f>Tabla1[[#This Row],[nudo final]]</f>
        <v>N283</v>
      </c>
      <c r="D547" s="51">
        <f>Tabla1[[#This Row],[longitud]]</f>
        <v>183.9</v>
      </c>
      <c r="E547" s="51" t="str">
        <f>Tabla1[[#This Row],[diametro]]</f>
        <v>3"</v>
      </c>
      <c r="F547" s="51" t="str">
        <f>Tabla1[[#This Row],[material]]</f>
        <v>HF</v>
      </c>
      <c r="G54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10"</v>
      </c>
      <c r="H547" s="52" t="str">
        <f>IF(Tabla1[[#This Row],[5]]="TPD",Tabla1[[#This Row],[6]],"")</f>
        <v/>
      </c>
      <c r="I547" s="52" t="str">
        <f>IF(OR(Tabla1[[#This Row],[5]]="TPD"),Tabla1[[#This Row],[7]],"")</f>
        <v/>
      </c>
      <c r="J547" s="52">
        <f>IF(Tabla15[[#This Row],[2]]="",0,VLOOKUP(TRAMOS!$H$2,Tabla5[#All],3,FALSE)*Tabla15[[#This Row],[3]])</f>
        <v>0</v>
      </c>
      <c r="K547" s="52" t="str">
        <f>IF(Tabla1[[#This Row],[5]]="TPL",Tabla1[[#This Row],[6]],"")</f>
        <v>10"</v>
      </c>
      <c r="L547" s="52">
        <f>IF(OR(Tabla1[[#This Row],[5]]="TPL"),Tabla1[[#This Row],[7]],"")</f>
        <v>1</v>
      </c>
      <c r="M547" s="52">
        <f>IF(Tabla15[[#This Row],[5]]="",0,VLOOKUP(TRAMOS!$K$2,Tabla5[#All],3,FALSE)*Tabla15[[#This Row],[6]])</f>
        <v>0.9</v>
      </c>
      <c r="N54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4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47" s="52">
        <f>IF(Tabla15[[#This Row],[8]]="",0,VLOOKUP(TRAMOS!$H$2,Tabla5[#All],3,FALSE)*Tabla15[[#This Row],[9]])</f>
        <v>0</v>
      </c>
      <c r="Q54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4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47" s="52">
        <f>IF(Tabla15[[#This Row],[11]]="",0,VLOOKUP(TRAMOS!$Q$2,Tabla5[#All],3,FALSE)*Tabla15[[#This Row],[12]])</f>
        <v>0</v>
      </c>
      <c r="T54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547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54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0.43659999999999999</v>
      </c>
      <c r="W54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4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4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4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4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47" s="52">
        <f>IF(Tabla15[[#This Row],[20]]="",0,VLOOKUP("VRP",Tabla5[#All],3,FALSE)*Tabla15[[#This Row],[21]])</f>
        <v>0</v>
      </c>
      <c r="AC54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547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547" s="52">
        <f>IF(Tabla15[[#This Row],[23]]="",0,VLOOKUP("VC",Tabla5[#All],3,FALSE)*Tabla15[[#This Row],[24]])</f>
        <v>0.25</v>
      </c>
      <c r="AF54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4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47" s="52">
        <f>IF(Tabla15[[#This Row],[26]]="",0,VLOOKUP(TRAMOS!$K$2,Tabla5[#All],3,FALSE)*Tabla15[[#This Row],[27]])</f>
        <v>0</v>
      </c>
      <c r="AI547" s="52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>0</v>
      </c>
      <c r="AJ547" s="52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>1</v>
      </c>
      <c r="AK54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4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4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4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4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1.5866</v>
      </c>
    </row>
    <row r="548" spans="2:41" x14ac:dyDescent="0.25">
      <c r="B548" s="58" t="str">
        <f>Tabla1[[#This Row],[nudo inicial]]</f>
        <v>N283</v>
      </c>
      <c r="C548" s="58" t="str">
        <f>Tabla1[[#This Row],[nudo final]]</f>
        <v>N290</v>
      </c>
      <c r="D548" s="51">
        <f>Tabla1[[#This Row],[longitud]]</f>
        <v>130.71</v>
      </c>
      <c r="E548" s="51" t="str">
        <f>Tabla1[[#This Row],[diametro]]</f>
        <v>3"</v>
      </c>
      <c r="F548" s="51" t="str">
        <f>Tabla1[[#This Row],[material]]</f>
        <v>HF</v>
      </c>
      <c r="G54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548" s="52" t="str">
        <f>IF(Tabla1[[#This Row],[5]]="TPD",Tabla1[[#This Row],[6]],"")</f>
        <v/>
      </c>
      <c r="I548" s="52" t="str">
        <f>IF(OR(Tabla1[[#This Row],[5]]="TPD"),Tabla1[[#This Row],[7]],"")</f>
        <v/>
      </c>
      <c r="J548" s="52">
        <f>IF(Tabla15[[#This Row],[2]]="",0,VLOOKUP(TRAMOS!$H$2,Tabla5[#All],3,FALSE)*Tabla15[[#This Row],[3]])</f>
        <v>0</v>
      </c>
      <c r="K548" s="52" t="str">
        <f>IF(Tabla1[[#This Row],[5]]="TPL",Tabla1[[#This Row],[6]],"")</f>
        <v/>
      </c>
      <c r="L548" s="52" t="str">
        <f>IF(OR(Tabla1[[#This Row],[5]]="TPL"),Tabla1[[#This Row],[7]],"")</f>
        <v/>
      </c>
      <c r="M548" s="52">
        <f>IF(Tabla15[[#This Row],[5]]="",0,VLOOKUP(TRAMOS!$K$2,Tabla5[#All],3,FALSE)*Tabla15[[#This Row],[6]])</f>
        <v>0</v>
      </c>
      <c r="N54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3"</v>
      </c>
      <c r="O548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548" s="52">
        <f>IF(Tabla15[[#This Row],[8]]="",0,VLOOKUP(TRAMOS!$H$2,Tabla5[#All],3,FALSE)*Tabla15[[#This Row],[9]])</f>
        <v>0.15</v>
      </c>
      <c r="Q54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4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48" s="52">
        <f>IF(Tabla15[[#This Row],[11]]="",0,VLOOKUP(TRAMOS!$Q$2,Tabla5[#All],3,FALSE)*Tabla15[[#This Row],[12]])</f>
        <v>0</v>
      </c>
      <c r="T54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4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4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4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4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4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4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4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48" s="52">
        <f>IF(Tabla15[[#This Row],[20]]="",0,VLOOKUP("VRP",Tabla5[#All],3,FALSE)*Tabla15[[#This Row],[21]])</f>
        <v>0</v>
      </c>
      <c r="AC54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4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48" s="52">
        <f>IF(Tabla15[[#This Row],[23]]="",0,VLOOKUP("VC",Tabla5[#All],3,FALSE)*Tabla15[[#This Row],[24]])</f>
        <v>0</v>
      </c>
      <c r="AF54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4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48" s="52">
        <f>IF(Tabla15[[#This Row],[26]]="",0,VLOOKUP(TRAMOS!$K$2,Tabla5[#All],3,FALSE)*Tabla15[[#This Row],[27]])</f>
        <v>0</v>
      </c>
      <c r="AI54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4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4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4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4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4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4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549" spans="2:41" x14ac:dyDescent="0.25">
      <c r="B549" s="58" t="str">
        <f>Tabla1[[#This Row],[nudo inicial]]</f>
        <v>N248</v>
      </c>
      <c r="C549" s="58" t="str">
        <f>Tabla1[[#This Row],[nudo final]]</f>
        <v>N285</v>
      </c>
      <c r="D549" s="51">
        <f>Tabla1[[#This Row],[longitud]]</f>
        <v>134.53</v>
      </c>
      <c r="E549" s="51" t="str">
        <f>Tabla1[[#This Row],[diametro]]</f>
        <v>10"</v>
      </c>
      <c r="F549" s="51" t="str">
        <f>Tabla1[[#This Row],[material]]</f>
        <v>HF</v>
      </c>
      <c r="G54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10"</v>
      </c>
      <c r="H549" s="52" t="str">
        <f>IF(Tabla1[[#This Row],[5]]="TPD",Tabla1[[#This Row],[6]],"")</f>
        <v/>
      </c>
      <c r="I549" s="52" t="str">
        <f>IF(OR(Tabla1[[#This Row],[5]]="TPD"),Tabla1[[#This Row],[7]],"")</f>
        <v/>
      </c>
      <c r="J549" s="52">
        <f>IF(Tabla15[[#This Row],[2]]="",0,VLOOKUP(TRAMOS!$H$2,Tabla5[#All],3,FALSE)*Tabla15[[#This Row],[3]])</f>
        <v>0</v>
      </c>
      <c r="K549" s="52" t="str">
        <f>IF(Tabla1[[#This Row],[5]]="TPL",Tabla1[[#This Row],[6]],"")</f>
        <v>10"</v>
      </c>
      <c r="L549" s="52">
        <f>IF(OR(Tabla1[[#This Row],[5]]="TPL"),Tabla1[[#This Row],[7]],"")</f>
        <v>1</v>
      </c>
      <c r="M549" s="52">
        <f>IF(Tabla15[[#This Row],[5]]="",0,VLOOKUP(TRAMOS!$K$2,Tabla5[#All],3,FALSE)*Tabla15[[#This Row],[6]])</f>
        <v>0.9</v>
      </c>
      <c r="N54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4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49" s="52">
        <f>IF(Tabla15[[#This Row],[8]]="",0,VLOOKUP(TRAMOS!$H$2,Tabla5[#All],3,FALSE)*Tabla15[[#This Row],[9]])</f>
        <v>0</v>
      </c>
      <c r="Q54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4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49" s="52">
        <f>IF(Tabla15[[#This Row],[11]]="",0,VLOOKUP(TRAMOS!$Q$2,Tabla5[#All],3,FALSE)*Tabla15[[#This Row],[12]])</f>
        <v>0</v>
      </c>
      <c r="T54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4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4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4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4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4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4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4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49" s="52">
        <f>IF(Tabla15[[#This Row],[20]]="",0,VLOOKUP("VRP",Tabla5[#All],3,FALSE)*Tabla15[[#This Row],[21]])</f>
        <v>0</v>
      </c>
      <c r="AC54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10"</v>
      </c>
      <c r="AD549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549" s="52">
        <f>IF(Tabla15[[#This Row],[23]]="",0,VLOOKUP("VC",Tabla5[#All],3,FALSE)*Tabla15[[#This Row],[24]])</f>
        <v>0.25</v>
      </c>
      <c r="AF54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4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49" s="52">
        <f>IF(Tabla15[[#This Row],[26]]="",0,VLOOKUP(TRAMOS!$K$2,Tabla5[#All],3,FALSE)*Tabla15[[#This Row],[27]])</f>
        <v>0</v>
      </c>
      <c r="AI54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4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4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4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4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4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4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1.1499999999999999</v>
      </c>
    </row>
    <row r="550" spans="2:41" x14ac:dyDescent="0.25">
      <c r="B550" s="58" t="str">
        <f>Tabla1[[#This Row],[nudo inicial]]</f>
        <v>N285</v>
      </c>
      <c r="C550" s="58" t="str">
        <f>Tabla1[[#This Row],[nudo final]]</f>
        <v>N290</v>
      </c>
      <c r="D550" s="51">
        <f>Tabla1[[#This Row],[longitud]]</f>
        <v>134.56</v>
      </c>
      <c r="E550" s="51" t="str">
        <f>Tabla1[[#This Row],[diametro]]</f>
        <v>3"</v>
      </c>
      <c r="F550" s="51" t="str">
        <f>Tabla1[[#This Row],[material]]</f>
        <v>PVC</v>
      </c>
      <c r="G55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10"</v>
      </c>
      <c r="H550" s="52" t="str">
        <f>IF(Tabla1[[#This Row],[5]]="TPD",Tabla1[[#This Row],[6]],"")</f>
        <v/>
      </c>
      <c r="I550" s="52" t="str">
        <f>IF(OR(Tabla1[[#This Row],[5]]="TPD"),Tabla1[[#This Row],[7]],"")</f>
        <v/>
      </c>
      <c r="J550" s="52">
        <f>IF(Tabla15[[#This Row],[2]]="",0,VLOOKUP(TRAMOS!$H$2,Tabla5[#All],3,FALSE)*Tabla15[[#This Row],[3]])</f>
        <v>0</v>
      </c>
      <c r="K550" s="52" t="str">
        <f>IF(Tabla1[[#This Row],[5]]="TPL",Tabla1[[#This Row],[6]],"")</f>
        <v/>
      </c>
      <c r="L550" s="52" t="str">
        <f>IF(OR(Tabla1[[#This Row],[5]]="TPL"),Tabla1[[#This Row],[7]],"")</f>
        <v/>
      </c>
      <c r="M550" s="52">
        <f>IF(Tabla15[[#This Row],[5]]="",0,VLOOKUP(TRAMOS!$K$2,Tabla5[#All],3,FALSE)*Tabla15[[#This Row],[6]])</f>
        <v>0</v>
      </c>
      <c r="N55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10"</v>
      </c>
      <c r="O550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550" s="52">
        <f>IF(Tabla15[[#This Row],[8]]="",0,VLOOKUP(TRAMOS!$H$2,Tabla5[#All],3,FALSE)*Tabla15[[#This Row],[9]])</f>
        <v>0.15</v>
      </c>
      <c r="Q55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5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50" s="52">
        <f>IF(Tabla15[[#This Row],[11]]="",0,VLOOKUP(TRAMOS!$Q$2,Tabla5[#All],3,FALSE)*Tabla15[[#This Row],[12]])</f>
        <v>0</v>
      </c>
      <c r="T55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550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55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0.43659999999999999</v>
      </c>
      <c r="W55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5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5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5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5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50" s="52">
        <f>IF(Tabla15[[#This Row],[20]]="",0,VLOOKUP("VRP",Tabla5[#All],3,FALSE)*Tabla15[[#This Row],[21]])</f>
        <v>0</v>
      </c>
      <c r="AC55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550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550" s="52">
        <f>IF(Tabla15[[#This Row],[23]]="",0,VLOOKUP("VC",Tabla5[#All],3,FALSE)*Tabla15[[#This Row],[24]])</f>
        <v>0.25</v>
      </c>
      <c r="AF55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5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50" s="52">
        <f>IF(Tabla15[[#This Row],[26]]="",0,VLOOKUP(TRAMOS!$K$2,Tabla5[#All],3,FALSE)*Tabla15[[#This Row],[27]])</f>
        <v>0</v>
      </c>
      <c r="AI55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5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5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5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5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5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5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0.83660000000000001</v>
      </c>
    </row>
    <row r="551" spans="2:41" x14ac:dyDescent="0.25">
      <c r="B551" s="58" t="str">
        <f>Tabla1[[#This Row],[nudo inicial]]</f>
        <v>N290</v>
      </c>
      <c r="C551" s="58" t="str">
        <f>Tabla1[[#This Row],[nudo final]]</f>
        <v>N291</v>
      </c>
      <c r="D551" s="51">
        <f>Tabla1[[#This Row],[longitud]]</f>
        <v>125.03</v>
      </c>
      <c r="E551" s="51" t="str">
        <f>Tabla1[[#This Row],[diametro]]</f>
        <v>3"</v>
      </c>
      <c r="F551" s="51" t="str">
        <f>Tabla1[[#This Row],[material]]</f>
        <v>HF</v>
      </c>
      <c r="G55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551" s="52" t="str">
        <f>IF(Tabla1[[#This Row],[5]]="TPD",Tabla1[[#This Row],[6]],"")</f>
        <v/>
      </c>
      <c r="I551" s="52" t="str">
        <f>IF(OR(Tabla1[[#This Row],[5]]="TPD"),Tabla1[[#This Row],[7]],"")</f>
        <v/>
      </c>
      <c r="J551" s="52">
        <f>IF(Tabla15[[#This Row],[2]]="",0,VLOOKUP(TRAMOS!$H$2,Tabla5[#All],3,FALSE)*Tabla15[[#This Row],[3]])</f>
        <v>0</v>
      </c>
      <c r="K551" s="52" t="str">
        <f>IF(Tabla1[[#This Row],[5]]="TPL",Tabla1[[#This Row],[6]],"")</f>
        <v/>
      </c>
      <c r="L551" s="52" t="str">
        <f>IF(OR(Tabla1[[#This Row],[5]]="TPL"),Tabla1[[#This Row],[7]],"")</f>
        <v/>
      </c>
      <c r="M551" s="52">
        <f>IF(Tabla15[[#This Row],[5]]="",0,VLOOKUP(TRAMOS!$K$2,Tabla5[#All],3,FALSE)*Tabla15[[#This Row],[6]])</f>
        <v>0</v>
      </c>
      <c r="N55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3"</v>
      </c>
      <c r="O551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551" s="52">
        <f>IF(Tabla15[[#This Row],[8]]="",0,VLOOKUP(TRAMOS!$H$2,Tabla5[#All],3,FALSE)*Tabla15[[#This Row],[9]])</f>
        <v>0.15</v>
      </c>
      <c r="Q55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5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51" s="52">
        <f>IF(Tabla15[[#This Row],[11]]="",0,VLOOKUP(TRAMOS!$Q$2,Tabla5[#All],3,FALSE)*Tabla15[[#This Row],[12]])</f>
        <v>0</v>
      </c>
      <c r="T55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5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5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5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5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5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5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5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51" s="52">
        <f>IF(Tabla15[[#This Row],[20]]="",0,VLOOKUP("VRP",Tabla5[#All],3,FALSE)*Tabla15[[#This Row],[21]])</f>
        <v>0</v>
      </c>
      <c r="AC55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5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51" s="52">
        <f>IF(Tabla15[[#This Row],[23]]="",0,VLOOKUP("VC",Tabla5[#All],3,FALSE)*Tabla15[[#This Row],[24]])</f>
        <v>0</v>
      </c>
      <c r="AF55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5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51" s="52">
        <f>IF(Tabla15[[#This Row],[26]]="",0,VLOOKUP(TRAMOS!$K$2,Tabla5[#All],3,FALSE)*Tabla15[[#This Row],[27]])</f>
        <v>0</v>
      </c>
      <c r="AI55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5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5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5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5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5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5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552" spans="2:41" x14ac:dyDescent="0.25">
      <c r="B552" s="58" t="str">
        <f>Tabla1[[#This Row],[nudo inicial]]</f>
        <v>N291</v>
      </c>
      <c r="C552" s="58" t="str">
        <f>Tabla1[[#This Row],[nudo final]]</f>
        <v>N292</v>
      </c>
      <c r="D552" s="51">
        <f>Tabla1[[#This Row],[longitud]]</f>
        <v>10.55</v>
      </c>
      <c r="E552" s="51" t="str">
        <f>Tabla1[[#This Row],[diametro]]</f>
        <v>3"</v>
      </c>
      <c r="F552" s="51" t="str">
        <f>Tabla1[[#This Row],[material]]</f>
        <v>PVC</v>
      </c>
      <c r="G55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552" s="52" t="str">
        <f>IF(Tabla1[[#This Row],[5]]="TPD",Tabla1[[#This Row],[6]],"")</f>
        <v/>
      </c>
      <c r="I552" s="52" t="str">
        <f>IF(OR(Tabla1[[#This Row],[5]]="TPD"),Tabla1[[#This Row],[7]],"")</f>
        <v/>
      </c>
      <c r="J552" s="52">
        <f>IF(Tabla15[[#This Row],[2]]="",0,VLOOKUP(TRAMOS!$H$2,Tabla5[#All],3,FALSE)*Tabla15[[#This Row],[3]])</f>
        <v>0</v>
      </c>
      <c r="K552" s="52" t="str">
        <f>IF(Tabla1[[#This Row],[5]]="TPL",Tabla1[[#This Row],[6]],"")</f>
        <v/>
      </c>
      <c r="L552" s="52" t="str">
        <f>IF(OR(Tabla1[[#This Row],[5]]="TPL"),Tabla1[[#This Row],[7]],"")</f>
        <v/>
      </c>
      <c r="M552" s="52">
        <f>IF(Tabla15[[#This Row],[5]]="",0,VLOOKUP(TRAMOS!$K$2,Tabla5[#All],3,FALSE)*Tabla15[[#This Row],[6]])</f>
        <v>0</v>
      </c>
      <c r="N55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5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52" s="52">
        <f>IF(Tabla15[[#This Row],[8]]="",0,VLOOKUP(TRAMOS!$H$2,Tabla5[#All],3,FALSE)*Tabla15[[#This Row],[9]])</f>
        <v>0</v>
      </c>
      <c r="Q55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5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52" s="52">
        <f>IF(Tabla15[[#This Row],[11]]="",0,VLOOKUP(TRAMOS!$Q$2,Tabla5[#All],3,FALSE)*Tabla15[[#This Row],[12]])</f>
        <v>0</v>
      </c>
      <c r="T55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5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5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5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5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5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5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5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52" s="52">
        <f>IF(Tabla15[[#This Row],[20]]="",0,VLOOKUP("VRP",Tabla5[#All],3,FALSE)*Tabla15[[#This Row],[21]])</f>
        <v>0</v>
      </c>
      <c r="AC55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552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552" s="52">
        <f>IF(Tabla15[[#This Row],[23]]="",0,VLOOKUP("VC",Tabla5[#All],3,FALSE)*Tabla15[[#This Row],[24]])</f>
        <v>0.25</v>
      </c>
      <c r="AF55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5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52" s="52">
        <f>IF(Tabla15[[#This Row],[26]]="",0,VLOOKUP(TRAMOS!$K$2,Tabla5[#All],3,FALSE)*Tabla15[[#This Row],[27]])</f>
        <v>0</v>
      </c>
      <c r="AI55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5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5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5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5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5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5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0.25</v>
      </c>
    </row>
    <row r="553" spans="2:41" x14ac:dyDescent="0.25">
      <c r="B553" s="58" t="str">
        <f>Tabla1[[#This Row],[nudo inicial]]</f>
        <v>N285</v>
      </c>
      <c r="C553" s="58" t="str">
        <f>Tabla1[[#This Row],[nudo final]]</f>
        <v>N289</v>
      </c>
      <c r="D553" s="51">
        <f>Tabla1[[#This Row],[longitud]]</f>
        <v>133.04</v>
      </c>
      <c r="E553" s="51" t="str">
        <f>Tabla1[[#This Row],[diametro]]</f>
        <v>10"</v>
      </c>
      <c r="F553" s="51" t="str">
        <f>Tabla1[[#This Row],[material]]</f>
        <v>HF</v>
      </c>
      <c r="G55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10"</v>
      </c>
      <c r="H553" s="52" t="str">
        <f>IF(Tabla1[[#This Row],[5]]="TPD",Tabla1[[#This Row],[6]],"")</f>
        <v/>
      </c>
      <c r="I553" s="52" t="str">
        <f>IF(OR(Tabla1[[#This Row],[5]]="TPD"),Tabla1[[#This Row],[7]],"")</f>
        <v/>
      </c>
      <c r="J553" s="52">
        <f>IF(Tabla15[[#This Row],[2]]="",0,VLOOKUP(TRAMOS!$H$2,Tabla5[#All],3,FALSE)*Tabla15[[#This Row],[3]])</f>
        <v>0</v>
      </c>
      <c r="K553" s="52" t="str">
        <f>IF(Tabla1[[#This Row],[5]]="TPL",Tabla1[[#This Row],[6]],"")</f>
        <v/>
      </c>
      <c r="L553" s="52" t="str">
        <f>IF(OR(Tabla1[[#This Row],[5]]="TPL"),Tabla1[[#This Row],[7]],"")</f>
        <v/>
      </c>
      <c r="M553" s="52">
        <f>IF(Tabla15[[#This Row],[5]]="",0,VLOOKUP(TRAMOS!$K$2,Tabla5[#All],3,FALSE)*Tabla15[[#This Row],[6]])</f>
        <v>0</v>
      </c>
      <c r="N55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10"</v>
      </c>
      <c r="O553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553" s="52">
        <f>IF(Tabla15[[#This Row],[8]]="",0,VLOOKUP(TRAMOS!$H$2,Tabla5[#All],3,FALSE)*Tabla15[[#This Row],[9]])</f>
        <v>0.15</v>
      </c>
      <c r="Q55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5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53" s="52">
        <f>IF(Tabla15[[#This Row],[11]]="",0,VLOOKUP(TRAMOS!$Q$2,Tabla5[#All],3,FALSE)*Tabla15[[#This Row],[12]])</f>
        <v>0</v>
      </c>
      <c r="T55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5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5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5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5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5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5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5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53" s="52">
        <f>IF(Tabla15[[#This Row],[20]]="",0,VLOOKUP("VRP",Tabla5[#All],3,FALSE)*Tabla15[[#This Row],[21]])</f>
        <v>0</v>
      </c>
      <c r="AC55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5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53" s="52">
        <f>IF(Tabla15[[#This Row],[23]]="",0,VLOOKUP("VC",Tabla5[#All],3,FALSE)*Tabla15[[#This Row],[24]])</f>
        <v>0</v>
      </c>
      <c r="AF55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5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53" s="52">
        <f>IF(Tabla15[[#This Row],[26]]="",0,VLOOKUP(TRAMOS!$K$2,Tabla5[#All],3,FALSE)*Tabla15[[#This Row],[27]])</f>
        <v>0</v>
      </c>
      <c r="AI553" s="52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>0</v>
      </c>
      <c r="AJ553" s="52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>1</v>
      </c>
      <c r="AK55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5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5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5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5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554" spans="2:41" x14ac:dyDescent="0.25">
      <c r="B554" s="58" t="str">
        <f>Tabla1[[#This Row],[nudo inicial]]</f>
        <v>N270</v>
      </c>
      <c r="C554" s="58" t="str">
        <f>Tabla1[[#This Row],[nudo final]]</f>
        <v>N292</v>
      </c>
      <c r="D554" s="51">
        <f>Tabla1[[#This Row],[longitud]]</f>
        <v>8.25</v>
      </c>
      <c r="E554" s="51" t="str">
        <f>Tabla1[[#This Row],[diametro]]</f>
        <v>8"</v>
      </c>
      <c r="F554" s="51" t="str">
        <f>Tabla1[[#This Row],[material]]</f>
        <v>PVC</v>
      </c>
      <c r="G55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10"</v>
      </c>
      <c r="H554" s="52" t="str">
        <f>IF(Tabla1[[#This Row],[5]]="TPD",Tabla1[[#This Row],[6]],"")</f>
        <v/>
      </c>
      <c r="I554" s="52" t="str">
        <f>IF(OR(Tabla1[[#This Row],[5]]="TPD"),Tabla1[[#This Row],[7]],"")</f>
        <v/>
      </c>
      <c r="J554" s="52">
        <f>IF(Tabla15[[#This Row],[2]]="",0,VLOOKUP(TRAMOS!$H$2,Tabla5[#All],3,FALSE)*Tabla15[[#This Row],[3]])</f>
        <v>0</v>
      </c>
      <c r="K554" s="52" t="str">
        <f>IF(Tabla1[[#This Row],[5]]="TPL",Tabla1[[#This Row],[6]],"")</f>
        <v/>
      </c>
      <c r="L554" s="52" t="str">
        <f>IF(OR(Tabla1[[#This Row],[5]]="TPL"),Tabla1[[#This Row],[7]],"")</f>
        <v/>
      </c>
      <c r="M554" s="52">
        <f>IF(Tabla15[[#This Row],[5]]="",0,VLOOKUP(TRAMOS!$K$2,Tabla5[#All],3,FALSE)*Tabla15[[#This Row],[6]])</f>
        <v>0</v>
      </c>
      <c r="N55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5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54" s="52">
        <f>IF(Tabla15[[#This Row],[8]]="",0,VLOOKUP(TRAMOS!$H$2,Tabla5[#All],3,FALSE)*Tabla15[[#This Row],[9]])</f>
        <v>0</v>
      </c>
      <c r="Q55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5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54" s="52">
        <f>IF(Tabla15[[#This Row],[11]]="",0,VLOOKUP(TRAMOS!$Q$2,Tabla5[#All],3,FALSE)*Tabla15[[#This Row],[12]])</f>
        <v>0</v>
      </c>
      <c r="T55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8"</v>
      </c>
      <c r="U554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55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0.10250000000000004</v>
      </c>
      <c r="W55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5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5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5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5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54" s="52">
        <f>IF(Tabla15[[#This Row],[20]]="",0,VLOOKUP("VRP",Tabla5[#All],3,FALSE)*Tabla15[[#This Row],[21]])</f>
        <v>0</v>
      </c>
      <c r="AC55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5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54" s="52">
        <f>IF(Tabla15[[#This Row],[23]]="",0,VLOOKUP("VC",Tabla5[#All],3,FALSE)*Tabla15[[#This Row],[24]])</f>
        <v>0</v>
      </c>
      <c r="AF55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5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54" s="52">
        <f>IF(Tabla15[[#This Row],[26]]="",0,VLOOKUP(TRAMOS!$K$2,Tabla5[#All],3,FALSE)*Tabla15[[#This Row],[27]])</f>
        <v>0</v>
      </c>
      <c r="AI55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5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5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5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5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5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5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0.10250000000000004</v>
      </c>
    </row>
    <row r="555" spans="2:41" x14ac:dyDescent="0.25">
      <c r="B555" s="58" t="str">
        <f>Tabla1[[#This Row],[nudo inicial]]</f>
        <v>N241</v>
      </c>
      <c r="C555" s="58" t="str">
        <f>Tabla1[[#This Row],[nudo final]]</f>
        <v>N293</v>
      </c>
      <c r="D555" s="51">
        <f>Tabla1[[#This Row],[longitud]]</f>
        <v>32.520000000000003</v>
      </c>
      <c r="E555" s="51" t="str">
        <f>Tabla1[[#This Row],[diametro]]</f>
        <v>2"</v>
      </c>
      <c r="F555" s="51" t="str">
        <f>Tabla1[[#This Row],[material]]</f>
        <v>HF</v>
      </c>
      <c r="G55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12"</v>
      </c>
      <c r="H555" s="52" t="str">
        <f>IF(Tabla1[[#This Row],[5]]="TPD",Tabla1[[#This Row],[6]],"")</f>
        <v/>
      </c>
      <c r="I555" s="52" t="str">
        <f>IF(OR(Tabla1[[#This Row],[5]]="TPD"),Tabla1[[#This Row],[7]],"")</f>
        <v/>
      </c>
      <c r="J555" s="52">
        <f>IF(Tabla15[[#This Row],[2]]="",0,VLOOKUP(TRAMOS!$H$2,Tabla5[#All],3,FALSE)*Tabla15[[#This Row],[3]])</f>
        <v>0</v>
      </c>
      <c r="K555" s="52" t="str">
        <f>IF(Tabla1[[#This Row],[5]]="TPL",Tabla1[[#This Row],[6]],"")</f>
        <v>12"</v>
      </c>
      <c r="L555" s="52">
        <f>IF(OR(Tabla1[[#This Row],[5]]="TPL"),Tabla1[[#This Row],[7]],"")</f>
        <v>1</v>
      </c>
      <c r="M555" s="52">
        <f>IF(Tabla15[[#This Row],[5]]="",0,VLOOKUP(TRAMOS!$K$2,Tabla5[#All],3,FALSE)*Tabla15[[#This Row],[6]])</f>
        <v>0.9</v>
      </c>
      <c r="N55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5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55" s="52">
        <f>IF(Tabla15[[#This Row],[8]]="",0,VLOOKUP(TRAMOS!$H$2,Tabla5[#All],3,FALSE)*Tabla15[[#This Row],[9]])</f>
        <v>0</v>
      </c>
      <c r="Q55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5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55" s="52">
        <f>IF(Tabla15[[#This Row],[11]]="",0,VLOOKUP(TRAMOS!$Q$2,Tabla5[#All],3,FALSE)*Tabla15[[#This Row],[12]])</f>
        <v>0</v>
      </c>
      <c r="T55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555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55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0.46</v>
      </c>
      <c r="W55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5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5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5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5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55" s="52">
        <f>IF(Tabla15[[#This Row],[20]]="",0,VLOOKUP("VRP",Tabla5[#All],3,FALSE)*Tabla15[[#This Row],[21]])</f>
        <v>0</v>
      </c>
      <c r="AC55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555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555" s="52">
        <f>IF(Tabla15[[#This Row],[23]]="",0,VLOOKUP("VC",Tabla5[#All],3,FALSE)*Tabla15[[#This Row],[24]])</f>
        <v>0.25</v>
      </c>
      <c r="AF55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5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55" s="52">
        <f>IF(Tabla15[[#This Row],[26]]="",0,VLOOKUP(TRAMOS!$K$2,Tabla5[#All],3,FALSE)*Tabla15[[#This Row],[27]])</f>
        <v>0</v>
      </c>
      <c r="AI55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5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5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5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5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5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5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1.61</v>
      </c>
    </row>
    <row r="556" spans="2:41" x14ac:dyDescent="0.25">
      <c r="B556" s="58" t="str">
        <f>Tabla1[[#This Row],[nudo inicial]]</f>
        <v>N293</v>
      </c>
      <c r="C556" s="58" t="str">
        <f>Tabla1[[#This Row],[nudo final]]</f>
        <v>N294</v>
      </c>
      <c r="D556" s="51">
        <f>Tabla1[[#This Row],[longitud]]</f>
        <v>31.4</v>
      </c>
      <c r="E556" s="51" t="str">
        <f>Tabla1[[#This Row],[diametro]]</f>
        <v>4"</v>
      </c>
      <c r="F556" s="51" t="str">
        <f>Tabla1[[#This Row],[material]]</f>
        <v>HF</v>
      </c>
      <c r="G55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556" s="52" t="str">
        <f>IF(Tabla1[[#This Row],[5]]="TPD",Tabla1[[#This Row],[6]],"")</f>
        <v/>
      </c>
      <c r="I556" s="52" t="str">
        <f>IF(OR(Tabla1[[#This Row],[5]]="TPD"),Tabla1[[#This Row],[7]],"")</f>
        <v/>
      </c>
      <c r="J556" s="52">
        <f>IF(Tabla15[[#This Row],[2]]="",0,VLOOKUP(TRAMOS!$H$2,Tabla5[#All],3,FALSE)*Tabla15[[#This Row],[3]])</f>
        <v>0</v>
      </c>
      <c r="K556" s="52" t="str">
        <f>IF(Tabla1[[#This Row],[5]]="TPL",Tabla1[[#This Row],[6]],"")</f>
        <v/>
      </c>
      <c r="L556" s="52" t="str">
        <f>IF(OR(Tabla1[[#This Row],[5]]="TPL"),Tabla1[[#This Row],[7]],"")</f>
        <v/>
      </c>
      <c r="M556" s="52">
        <f>IF(Tabla15[[#This Row],[5]]="",0,VLOOKUP(TRAMOS!$K$2,Tabla5[#All],3,FALSE)*Tabla15[[#This Row],[6]])</f>
        <v>0</v>
      </c>
      <c r="N55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5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56" s="52">
        <f>IF(Tabla15[[#This Row],[8]]="",0,VLOOKUP(TRAMOS!$H$2,Tabla5[#All],3,FALSE)*Tabla15[[#This Row],[9]])</f>
        <v>0</v>
      </c>
      <c r="Q55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5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56" s="52">
        <f>IF(Tabla15[[#This Row],[11]]="",0,VLOOKUP(TRAMOS!$Q$2,Tabla5[#All],3,FALSE)*Tabla15[[#This Row],[12]])</f>
        <v>0</v>
      </c>
      <c r="T55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5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5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5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>4"</v>
      </c>
      <c r="X556" s="52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>1</v>
      </c>
      <c r="Y55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0.68</v>
      </c>
      <c r="Z55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5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56" s="52">
        <f>IF(Tabla15[[#This Row],[20]]="",0,VLOOKUP("VRP",Tabla5[#All],3,FALSE)*Tabla15[[#This Row],[21]])</f>
        <v>0</v>
      </c>
      <c r="AC55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5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56" s="52">
        <f>IF(Tabla15[[#This Row],[23]]="",0,VLOOKUP("VC",Tabla5[#All],3,FALSE)*Tabla15[[#This Row],[24]])</f>
        <v>0</v>
      </c>
      <c r="AF55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5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56" s="52">
        <f>IF(Tabla15[[#This Row],[26]]="",0,VLOOKUP(TRAMOS!$K$2,Tabla5[#All],3,FALSE)*Tabla15[[#This Row],[27]])</f>
        <v>0</v>
      </c>
      <c r="AI55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5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5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5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5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5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5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0.68</v>
      </c>
    </row>
    <row r="557" spans="2:41" x14ac:dyDescent="0.25">
      <c r="B557" s="58" t="str">
        <f>Tabla1[[#This Row],[nudo inicial]]</f>
        <v>N294</v>
      </c>
      <c r="C557" s="58" t="str">
        <f>Tabla1[[#This Row],[nudo final]]</f>
        <v>N295</v>
      </c>
      <c r="D557" s="51">
        <f>Tabla1[[#This Row],[longitud]]</f>
        <v>16.55</v>
      </c>
      <c r="E557" s="51" t="str">
        <f>Tabla1[[#This Row],[diametro]]</f>
        <v>2"</v>
      </c>
      <c r="F557" s="51" t="str">
        <f>Tabla1[[#This Row],[material]]</f>
        <v>PVC</v>
      </c>
      <c r="G55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557" s="52" t="str">
        <f>IF(Tabla1[[#This Row],[5]]="TPD",Tabla1[[#This Row],[6]],"")</f>
        <v/>
      </c>
      <c r="I557" s="52" t="str">
        <f>IF(OR(Tabla1[[#This Row],[5]]="TPD"),Tabla1[[#This Row],[7]],"")</f>
        <v/>
      </c>
      <c r="J557" s="52">
        <f>IF(Tabla15[[#This Row],[2]]="",0,VLOOKUP(TRAMOS!$H$2,Tabla5[#All],3,FALSE)*Tabla15[[#This Row],[3]])</f>
        <v>0</v>
      </c>
      <c r="K557" s="52" t="str">
        <f>IF(Tabla1[[#This Row],[5]]="TPL",Tabla1[[#This Row],[6]],"")</f>
        <v>4"</v>
      </c>
      <c r="L557" s="52">
        <f>IF(OR(Tabla1[[#This Row],[5]]="TPL"),Tabla1[[#This Row],[7]],"")</f>
        <v>1</v>
      </c>
      <c r="M557" s="52">
        <f>IF(Tabla15[[#This Row],[5]]="",0,VLOOKUP(TRAMOS!$K$2,Tabla5[#All],3,FALSE)*Tabla15[[#This Row],[6]])</f>
        <v>0.9</v>
      </c>
      <c r="N55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5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57" s="52">
        <f>IF(Tabla15[[#This Row],[8]]="",0,VLOOKUP(TRAMOS!$H$2,Tabla5[#All],3,FALSE)*Tabla15[[#This Row],[9]])</f>
        <v>0</v>
      </c>
      <c r="Q55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5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57" s="52">
        <f>IF(Tabla15[[#This Row],[11]]="",0,VLOOKUP(TRAMOS!$Q$2,Tabla5[#All],3,FALSE)*Tabla15[[#This Row],[12]])</f>
        <v>0</v>
      </c>
      <c r="T55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557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55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55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5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5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5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5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57" s="52">
        <f>IF(Tabla15[[#This Row],[20]]="",0,VLOOKUP("VRP",Tabla5[#All],3,FALSE)*Tabla15[[#This Row],[21]])</f>
        <v>0</v>
      </c>
      <c r="AC55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557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557" s="52">
        <f>IF(Tabla15[[#This Row],[23]]="",0,VLOOKUP("VC",Tabla5[#All],3,FALSE)*Tabla15[[#This Row],[24]])</f>
        <v>0.25</v>
      </c>
      <c r="AF55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5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57" s="52">
        <f>IF(Tabla15[[#This Row],[26]]="",0,VLOOKUP(TRAMOS!$K$2,Tabla5[#All],3,FALSE)*Tabla15[[#This Row],[27]])</f>
        <v>0</v>
      </c>
      <c r="AI55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5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5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5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5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5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5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1.52</v>
      </c>
    </row>
    <row r="558" spans="2:41" x14ac:dyDescent="0.25">
      <c r="B558" s="58" t="str">
        <f>Tabla1[[#This Row],[nudo inicial]]</f>
        <v>N294</v>
      </c>
      <c r="C558" s="58" t="str">
        <f>Tabla1[[#This Row],[nudo final]]</f>
        <v>N296</v>
      </c>
      <c r="D558" s="51">
        <f>Tabla1[[#This Row],[longitud]]</f>
        <v>36.78</v>
      </c>
      <c r="E558" s="51" t="str">
        <f>Tabla1[[#This Row],[diametro]]</f>
        <v>4"</v>
      </c>
      <c r="F558" s="51" t="str">
        <f>Tabla1[[#This Row],[material]]</f>
        <v>HF</v>
      </c>
      <c r="G55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558" s="52" t="str">
        <f>IF(Tabla1[[#This Row],[5]]="TPD",Tabla1[[#This Row],[6]],"")</f>
        <v>4"</v>
      </c>
      <c r="I558" s="52">
        <f>IF(OR(Tabla1[[#This Row],[5]]="TPD"),Tabla1[[#This Row],[7]],"")</f>
        <v>1</v>
      </c>
      <c r="J558" s="52">
        <f>IF(Tabla15[[#This Row],[2]]="",0,VLOOKUP(TRAMOS!$H$2,Tabla5[#All],3,FALSE)*Tabla15[[#This Row],[3]])</f>
        <v>0.15</v>
      </c>
      <c r="K558" s="52" t="str">
        <f>IF(Tabla1[[#This Row],[5]]="TPL",Tabla1[[#This Row],[6]],"")</f>
        <v/>
      </c>
      <c r="L558" s="52" t="str">
        <f>IF(OR(Tabla1[[#This Row],[5]]="TPL"),Tabla1[[#This Row],[7]],"")</f>
        <v/>
      </c>
      <c r="M558" s="52">
        <f>IF(Tabla15[[#This Row],[5]]="",0,VLOOKUP(TRAMOS!$K$2,Tabla5[#All],3,FALSE)*Tabla15[[#This Row],[6]])</f>
        <v>0</v>
      </c>
      <c r="N55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5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58" s="52">
        <f>IF(Tabla15[[#This Row],[8]]="",0,VLOOKUP(TRAMOS!$H$2,Tabla5[#All],3,FALSE)*Tabla15[[#This Row],[9]])</f>
        <v>0</v>
      </c>
      <c r="Q55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5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58" s="52">
        <f>IF(Tabla15[[#This Row],[11]]="",0,VLOOKUP(TRAMOS!$Q$2,Tabla5[#All],3,FALSE)*Tabla15[[#This Row],[12]])</f>
        <v>0</v>
      </c>
      <c r="T55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5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5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5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5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5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5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5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58" s="52">
        <f>IF(Tabla15[[#This Row],[20]]="",0,VLOOKUP("VRP",Tabla5[#All],3,FALSE)*Tabla15[[#This Row],[21]])</f>
        <v>0</v>
      </c>
      <c r="AC55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5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58" s="52">
        <f>IF(Tabla15[[#This Row],[23]]="",0,VLOOKUP("VC",Tabla5[#All],3,FALSE)*Tabla15[[#This Row],[24]])</f>
        <v>0</v>
      </c>
      <c r="AF55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5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58" s="52">
        <f>IF(Tabla15[[#This Row],[26]]="",0,VLOOKUP(TRAMOS!$K$2,Tabla5[#All],3,FALSE)*Tabla15[[#This Row],[27]])</f>
        <v>0</v>
      </c>
      <c r="AI55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5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5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5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5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5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5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559" spans="2:41" x14ac:dyDescent="0.25">
      <c r="B559" s="58" t="str">
        <f>Tabla1[[#This Row],[nudo inicial]]</f>
        <v>N230</v>
      </c>
      <c r="C559" s="58" t="str">
        <f>Tabla1[[#This Row],[nudo final]]</f>
        <v>N296</v>
      </c>
      <c r="D559" s="51">
        <f>Tabla1[[#This Row],[longitud]]</f>
        <v>13</v>
      </c>
      <c r="E559" s="51" t="str">
        <f>Tabla1[[#This Row],[diametro]]</f>
        <v>3"</v>
      </c>
      <c r="F559" s="51" t="str">
        <f>Tabla1[[#This Row],[material]]</f>
        <v>PVC</v>
      </c>
      <c r="G55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559" s="52" t="str">
        <f>IF(Tabla1[[#This Row],[5]]="TPD",Tabla1[[#This Row],[6]],"")</f>
        <v/>
      </c>
      <c r="I559" s="52" t="str">
        <f>IF(OR(Tabla1[[#This Row],[5]]="TPD"),Tabla1[[#This Row],[7]],"")</f>
        <v/>
      </c>
      <c r="J559" s="52">
        <f>IF(Tabla15[[#This Row],[2]]="",0,VLOOKUP(TRAMOS!$H$2,Tabla5[#All],3,FALSE)*Tabla15[[#This Row],[3]])</f>
        <v>0</v>
      </c>
      <c r="K559" s="52" t="str">
        <f>IF(Tabla1[[#This Row],[5]]="TPL",Tabla1[[#This Row],[6]],"")</f>
        <v/>
      </c>
      <c r="L559" s="52" t="str">
        <f>IF(OR(Tabla1[[#This Row],[5]]="TPL"),Tabla1[[#This Row],[7]],"")</f>
        <v/>
      </c>
      <c r="M559" s="52">
        <f>IF(Tabla15[[#This Row],[5]]="",0,VLOOKUP(TRAMOS!$K$2,Tabla5[#All],3,FALSE)*Tabla15[[#This Row],[6]])</f>
        <v>0</v>
      </c>
      <c r="N55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5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59" s="52">
        <f>IF(Tabla15[[#This Row],[8]]="",0,VLOOKUP(TRAMOS!$H$2,Tabla5[#All],3,FALSE)*Tabla15[[#This Row],[9]])</f>
        <v>0</v>
      </c>
      <c r="Q55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5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59" s="52">
        <f>IF(Tabla15[[#This Row],[11]]="",0,VLOOKUP(TRAMOS!$Q$2,Tabla5[#All],3,FALSE)*Tabla15[[#This Row],[12]])</f>
        <v>0</v>
      </c>
      <c r="T55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559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2</v>
      </c>
      <c r="V55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0.27700000000000014</v>
      </c>
      <c r="W55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5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5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5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5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59" s="52">
        <f>IF(Tabla15[[#This Row],[20]]="",0,VLOOKUP("VRP",Tabla5[#All],3,FALSE)*Tabla15[[#This Row],[21]])</f>
        <v>0</v>
      </c>
      <c r="AC55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559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559" s="52">
        <f>IF(Tabla15[[#This Row],[23]]="",0,VLOOKUP("VC",Tabla5[#All],3,FALSE)*Tabla15[[#This Row],[24]])</f>
        <v>0.25</v>
      </c>
      <c r="AF55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5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59" s="52">
        <f>IF(Tabla15[[#This Row],[26]]="",0,VLOOKUP(TRAMOS!$K$2,Tabla5[#All],3,FALSE)*Tabla15[[#This Row],[27]])</f>
        <v>0</v>
      </c>
      <c r="AI55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5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5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5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5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5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5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0.52700000000000014</v>
      </c>
    </row>
    <row r="560" spans="2:41" x14ac:dyDescent="0.25">
      <c r="B560" s="58" t="str">
        <f>Tabla1[[#This Row],[nudo inicial]]</f>
        <v>N296</v>
      </c>
      <c r="C560" s="58" t="str">
        <f>Tabla1[[#This Row],[nudo final]]</f>
        <v>N297</v>
      </c>
      <c r="D560" s="51">
        <f>Tabla1[[#This Row],[longitud]]</f>
        <v>87.15</v>
      </c>
      <c r="E560" s="51" t="str">
        <f>Tabla1[[#This Row],[diametro]]</f>
        <v>3"</v>
      </c>
      <c r="F560" s="51" t="str">
        <f>Tabla1[[#This Row],[material]]</f>
        <v>PVC</v>
      </c>
      <c r="G56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560" s="52" t="str">
        <f>IF(Tabla1[[#This Row],[5]]="TPD",Tabla1[[#This Row],[6]],"")</f>
        <v/>
      </c>
      <c r="I560" s="52" t="str">
        <f>IF(OR(Tabla1[[#This Row],[5]]="TPD"),Tabla1[[#This Row],[7]],"")</f>
        <v/>
      </c>
      <c r="J560" s="52">
        <f>IF(Tabla15[[#This Row],[2]]="",0,VLOOKUP(TRAMOS!$H$2,Tabla5[#All],3,FALSE)*Tabla15[[#This Row],[3]])</f>
        <v>0</v>
      </c>
      <c r="K560" s="52" t="str">
        <f>IF(Tabla1[[#This Row],[5]]="TPL",Tabla1[[#This Row],[6]],"")</f>
        <v>4"</v>
      </c>
      <c r="L560" s="52">
        <f>IF(OR(Tabla1[[#This Row],[5]]="TPL"),Tabla1[[#This Row],[7]],"")</f>
        <v>1</v>
      </c>
      <c r="M560" s="52">
        <f>IF(Tabla15[[#This Row],[5]]="",0,VLOOKUP(TRAMOS!$K$2,Tabla5[#All],3,FALSE)*Tabla15[[#This Row],[6]])</f>
        <v>0.9</v>
      </c>
      <c r="N56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6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60" s="52">
        <f>IF(Tabla15[[#This Row],[8]]="",0,VLOOKUP(TRAMOS!$H$2,Tabla5[#All],3,FALSE)*Tabla15[[#This Row],[9]])</f>
        <v>0</v>
      </c>
      <c r="Q56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6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60" s="52">
        <f>IF(Tabla15[[#This Row],[11]]="",0,VLOOKUP(TRAMOS!$Q$2,Tabla5[#All],3,FALSE)*Tabla15[[#This Row],[12]])</f>
        <v>0</v>
      </c>
      <c r="T56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560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56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0.13850000000000007</v>
      </c>
      <c r="W56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6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6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6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6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60" s="52">
        <f>IF(Tabla15[[#This Row],[20]]="",0,VLOOKUP("VRP",Tabla5[#All],3,FALSE)*Tabla15[[#This Row],[21]])</f>
        <v>0</v>
      </c>
      <c r="AC56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6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60" s="52">
        <f>IF(Tabla15[[#This Row],[23]]="",0,VLOOKUP("VC",Tabla5[#All],3,FALSE)*Tabla15[[#This Row],[24]])</f>
        <v>0</v>
      </c>
      <c r="AF56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6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60" s="52">
        <f>IF(Tabla15[[#This Row],[26]]="",0,VLOOKUP(TRAMOS!$K$2,Tabla5[#All],3,FALSE)*Tabla15[[#This Row],[27]])</f>
        <v>0</v>
      </c>
      <c r="AI56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6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60" s="52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>0</v>
      </c>
      <c r="AL560" s="52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>1</v>
      </c>
      <c r="AM56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6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6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1.0385</v>
      </c>
    </row>
    <row r="561" spans="2:41" x14ac:dyDescent="0.25">
      <c r="B561" s="58" t="str">
        <f>Tabla1[[#This Row],[nudo inicial]]</f>
        <v>N297</v>
      </c>
      <c r="C561" s="58" t="str">
        <f>Tabla1[[#This Row],[nudo final]]</f>
        <v>TP199</v>
      </c>
      <c r="D561" s="51">
        <f>Tabla1[[#This Row],[longitud]]</f>
        <v>130.76</v>
      </c>
      <c r="E561" s="51" t="str">
        <f>Tabla1[[#This Row],[diametro]]</f>
        <v>3"</v>
      </c>
      <c r="F561" s="51" t="str">
        <f>Tabla1[[#This Row],[material]]</f>
        <v>HF</v>
      </c>
      <c r="G56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561" s="52" t="str">
        <f>IF(Tabla1[[#This Row],[5]]="TPD",Tabla1[[#This Row],[6]],"")</f>
        <v/>
      </c>
      <c r="I561" s="52" t="str">
        <f>IF(OR(Tabla1[[#This Row],[5]]="TPD"),Tabla1[[#This Row],[7]],"")</f>
        <v/>
      </c>
      <c r="J561" s="52">
        <f>IF(Tabla15[[#This Row],[2]]="",0,VLOOKUP(TRAMOS!$H$2,Tabla5[#All],3,FALSE)*Tabla15[[#This Row],[3]])</f>
        <v>0</v>
      </c>
      <c r="K561" s="52" t="str">
        <f>IF(Tabla1[[#This Row],[5]]="TPL",Tabla1[[#This Row],[6]],"")</f>
        <v>3"</v>
      </c>
      <c r="L561" s="52">
        <f>IF(OR(Tabla1[[#This Row],[5]]="TPL"),Tabla1[[#This Row],[7]],"")</f>
        <v>1</v>
      </c>
      <c r="M561" s="52">
        <f>IF(Tabla15[[#This Row],[5]]="",0,VLOOKUP(TRAMOS!$K$2,Tabla5[#All],3,FALSE)*Tabla15[[#This Row],[6]])</f>
        <v>0.9</v>
      </c>
      <c r="N56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6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61" s="52">
        <f>IF(Tabla15[[#This Row],[8]]="",0,VLOOKUP(TRAMOS!$H$2,Tabla5[#All],3,FALSE)*Tabla15[[#This Row],[9]])</f>
        <v>0</v>
      </c>
      <c r="Q56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6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61" s="52">
        <f>IF(Tabla15[[#This Row],[11]]="",0,VLOOKUP(TRAMOS!$Q$2,Tabla5[#All],3,FALSE)*Tabla15[[#This Row],[12]])</f>
        <v>0</v>
      </c>
      <c r="T56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6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6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6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6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6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6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6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61" s="52">
        <f>IF(Tabla15[[#This Row],[20]]="",0,VLOOKUP("VRP",Tabla5[#All],3,FALSE)*Tabla15[[#This Row],[21]])</f>
        <v>0</v>
      </c>
      <c r="AC56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6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61" s="52">
        <f>IF(Tabla15[[#This Row],[23]]="",0,VLOOKUP("VC",Tabla5[#All],3,FALSE)*Tabla15[[#This Row],[24]])</f>
        <v>0</v>
      </c>
      <c r="AF56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6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61" s="52">
        <f>IF(Tabla15[[#This Row],[26]]="",0,VLOOKUP(TRAMOS!$K$2,Tabla5[#All],3,FALSE)*Tabla15[[#This Row],[27]])</f>
        <v>0</v>
      </c>
      <c r="AI56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6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6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6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6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561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56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562" spans="2:41" x14ac:dyDescent="0.25">
      <c r="B562" s="58" t="str">
        <f>Tabla1[[#This Row],[nudo inicial]]</f>
        <v>N297</v>
      </c>
      <c r="C562" s="58" t="str">
        <f>Tabla1[[#This Row],[nudo final]]</f>
        <v>N298</v>
      </c>
      <c r="D562" s="51">
        <f>Tabla1[[#This Row],[longitud]]</f>
        <v>44</v>
      </c>
      <c r="E562" s="51" t="str">
        <f>Tabla1[[#This Row],[diametro]]</f>
        <v>3"</v>
      </c>
      <c r="F562" s="51" t="str">
        <f>Tabla1[[#This Row],[material]]</f>
        <v>PVC</v>
      </c>
      <c r="G56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562" s="52" t="str">
        <f>IF(Tabla1[[#This Row],[5]]="TPD",Tabla1[[#This Row],[6]],"")</f>
        <v>3"</v>
      </c>
      <c r="I562" s="52">
        <f>IF(OR(Tabla1[[#This Row],[5]]="TPD"),Tabla1[[#This Row],[7]],"")</f>
        <v>1</v>
      </c>
      <c r="J562" s="52">
        <f>IF(Tabla15[[#This Row],[2]]="",0,VLOOKUP(TRAMOS!$H$2,Tabla5[#All],3,FALSE)*Tabla15[[#This Row],[3]])</f>
        <v>0.15</v>
      </c>
      <c r="K562" s="52" t="str">
        <f>IF(Tabla1[[#This Row],[5]]="TPL",Tabla1[[#This Row],[6]],"")</f>
        <v/>
      </c>
      <c r="L562" s="52" t="str">
        <f>IF(OR(Tabla1[[#This Row],[5]]="TPL"),Tabla1[[#This Row],[7]],"")</f>
        <v/>
      </c>
      <c r="M562" s="52">
        <f>IF(Tabla15[[#This Row],[5]]="",0,VLOOKUP(TRAMOS!$K$2,Tabla5[#All],3,FALSE)*Tabla15[[#This Row],[6]])</f>
        <v>0</v>
      </c>
      <c r="N56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6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62" s="52">
        <f>IF(Tabla15[[#This Row],[8]]="",0,VLOOKUP(TRAMOS!$H$2,Tabla5[#All],3,FALSE)*Tabla15[[#This Row],[9]])</f>
        <v>0</v>
      </c>
      <c r="Q56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6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62" s="52">
        <f>IF(Tabla15[[#This Row],[11]]="",0,VLOOKUP(TRAMOS!$Q$2,Tabla5[#All],3,FALSE)*Tabla15[[#This Row],[12]])</f>
        <v>0</v>
      </c>
      <c r="T56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6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6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6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6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6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6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6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62" s="52">
        <f>IF(Tabla15[[#This Row],[20]]="",0,VLOOKUP("VRP",Tabla5[#All],3,FALSE)*Tabla15[[#This Row],[21]])</f>
        <v>0</v>
      </c>
      <c r="AC56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6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62" s="52">
        <f>IF(Tabla15[[#This Row],[23]]="",0,VLOOKUP("VC",Tabla5[#All],3,FALSE)*Tabla15[[#This Row],[24]])</f>
        <v>0</v>
      </c>
      <c r="AF56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6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62" s="52">
        <f>IF(Tabla15[[#This Row],[26]]="",0,VLOOKUP(TRAMOS!$K$2,Tabla5[#All],3,FALSE)*Tabla15[[#This Row],[27]])</f>
        <v>0</v>
      </c>
      <c r="AI56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6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6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6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6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6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6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563" spans="2:41" x14ac:dyDescent="0.25">
      <c r="B563" s="58" t="str">
        <f>Tabla1[[#This Row],[nudo inicial]]</f>
        <v>N288</v>
      </c>
      <c r="C563" s="58" t="str">
        <f>Tabla1[[#This Row],[nudo final]]</f>
        <v>N298</v>
      </c>
      <c r="D563" s="51">
        <f>Tabla1[[#This Row],[longitud]]</f>
        <v>139.22</v>
      </c>
      <c r="E563" s="51" t="str">
        <f>Tabla1[[#This Row],[diametro]]</f>
        <v>4"</v>
      </c>
      <c r="F563" s="51" t="str">
        <f>Tabla1[[#This Row],[material]]</f>
        <v>HF</v>
      </c>
      <c r="G56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10"</v>
      </c>
      <c r="H563" s="52" t="str">
        <f>IF(Tabla1[[#This Row],[5]]="TPD",Tabla1[[#This Row],[6]],"")</f>
        <v/>
      </c>
      <c r="I563" s="52" t="str">
        <f>IF(OR(Tabla1[[#This Row],[5]]="TPD"),Tabla1[[#This Row],[7]],"")</f>
        <v/>
      </c>
      <c r="J563" s="52">
        <f>IF(Tabla15[[#This Row],[2]]="",0,VLOOKUP(TRAMOS!$H$2,Tabla5[#All],3,FALSE)*Tabla15[[#This Row],[3]])</f>
        <v>0</v>
      </c>
      <c r="K563" s="52" t="str">
        <f>IF(Tabla1[[#This Row],[5]]="TPL",Tabla1[[#This Row],[6]],"")</f>
        <v/>
      </c>
      <c r="L563" s="52" t="str">
        <f>IF(OR(Tabla1[[#This Row],[5]]="TPL"),Tabla1[[#This Row],[7]],"")</f>
        <v/>
      </c>
      <c r="M563" s="52">
        <f>IF(Tabla15[[#This Row],[5]]="",0,VLOOKUP(TRAMOS!$K$2,Tabla5[#All],3,FALSE)*Tabla15[[#This Row],[6]])</f>
        <v>0</v>
      </c>
      <c r="N56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10"</v>
      </c>
      <c r="O563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563" s="52">
        <f>IF(Tabla15[[#This Row],[8]]="",0,VLOOKUP(TRAMOS!$H$2,Tabla5[#All],3,FALSE)*Tabla15[[#This Row],[9]])</f>
        <v>0.15</v>
      </c>
      <c r="Q56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6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63" s="52">
        <f>IF(Tabla15[[#This Row],[11]]="",0,VLOOKUP(TRAMOS!$Q$2,Tabla5[#All],3,FALSE)*Tabla15[[#This Row],[12]])</f>
        <v>0</v>
      </c>
      <c r="T56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4"</v>
      </c>
      <c r="U563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56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0.41</v>
      </c>
      <c r="W56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6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6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6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6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63" s="52">
        <f>IF(Tabla15[[#This Row],[20]]="",0,VLOOKUP("VRP",Tabla5[#All],3,FALSE)*Tabla15[[#This Row],[21]])</f>
        <v>0</v>
      </c>
      <c r="AC56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4"</v>
      </c>
      <c r="AD563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563" s="52">
        <f>IF(Tabla15[[#This Row],[23]]="",0,VLOOKUP("VC",Tabla5[#All],3,FALSE)*Tabla15[[#This Row],[24]])</f>
        <v>0.25</v>
      </c>
      <c r="AF56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6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63" s="52">
        <f>IF(Tabla15[[#This Row],[26]]="",0,VLOOKUP(TRAMOS!$K$2,Tabla5[#All],3,FALSE)*Tabla15[[#This Row],[27]])</f>
        <v>0</v>
      </c>
      <c r="AI56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6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6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6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6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6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6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0.80999999999999994</v>
      </c>
    </row>
    <row r="564" spans="2:41" x14ac:dyDescent="0.25">
      <c r="B564" s="58" t="str">
        <f>Tabla1[[#This Row],[nudo inicial]]</f>
        <v>N298</v>
      </c>
      <c r="C564" s="58" t="str">
        <f>Tabla1[[#This Row],[nudo final]]</f>
        <v>N299</v>
      </c>
      <c r="D564" s="51">
        <f>Tabla1[[#This Row],[longitud]]</f>
        <v>139.46</v>
      </c>
      <c r="E564" s="51" t="str">
        <f>Tabla1[[#This Row],[diametro]]</f>
        <v>3"</v>
      </c>
      <c r="F564" s="51" t="str">
        <f>Tabla1[[#This Row],[material]]</f>
        <v>PVC</v>
      </c>
      <c r="G56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564" s="52" t="str">
        <f>IF(Tabla1[[#This Row],[5]]="TPD",Tabla1[[#This Row],[6]],"")</f>
        <v/>
      </c>
      <c r="I564" s="52" t="str">
        <f>IF(OR(Tabla1[[#This Row],[5]]="TPD"),Tabla1[[#This Row],[7]],"")</f>
        <v/>
      </c>
      <c r="J564" s="52">
        <f>IF(Tabla15[[#This Row],[2]]="",0,VLOOKUP(TRAMOS!$H$2,Tabla5[#All],3,FALSE)*Tabla15[[#This Row],[3]])</f>
        <v>0</v>
      </c>
      <c r="K564" s="52" t="str">
        <f>IF(Tabla1[[#This Row],[5]]="TPL",Tabla1[[#This Row],[6]],"")</f>
        <v/>
      </c>
      <c r="L564" s="52" t="str">
        <f>IF(OR(Tabla1[[#This Row],[5]]="TPL"),Tabla1[[#This Row],[7]],"")</f>
        <v/>
      </c>
      <c r="M564" s="52">
        <f>IF(Tabla15[[#This Row],[5]]="",0,VLOOKUP(TRAMOS!$K$2,Tabla5[#All],3,FALSE)*Tabla15[[#This Row],[6]])</f>
        <v>0</v>
      </c>
      <c r="N56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4"</v>
      </c>
      <c r="O564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564" s="52">
        <f>IF(Tabla15[[#This Row],[8]]="",0,VLOOKUP(TRAMOS!$H$2,Tabla5[#All],3,FALSE)*Tabla15[[#This Row],[9]])</f>
        <v>0.15</v>
      </c>
      <c r="Q56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6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64" s="52">
        <f>IF(Tabla15[[#This Row],[11]]="",0,VLOOKUP(TRAMOS!$Q$2,Tabla5[#All],3,FALSE)*Tabla15[[#This Row],[12]])</f>
        <v>0</v>
      </c>
      <c r="T56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564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2</v>
      </c>
      <c r="V56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0.27700000000000014</v>
      </c>
      <c r="W56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6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6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6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6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64" s="52">
        <f>IF(Tabla15[[#This Row],[20]]="",0,VLOOKUP("VRP",Tabla5[#All],3,FALSE)*Tabla15[[#This Row],[21]])</f>
        <v>0</v>
      </c>
      <c r="AC56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6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64" s="52">
        <f>IF(Tabla15[[#This Row],[23]]="",0,VLOOKUP("VC",Tabla5[#All],3,FALSE)*Tabla15[[#This Row],[24]])</f>
        <v>0</v>
      </c>
      <c r="AF56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6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64" s="52">
        <f>IF(Tabla15[[#This Row],[26]]="",0,VLOOKUP(TRAMOS!$K$2,Tabla5[#All],3,FALSE)*Tabla15[[#This Row],[27]])</f>
        <v>0</v>
      </c>
      <c r="AI56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6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6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6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6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6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6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0.42700000000000016</v>
      </c>
    </row>
    <row r="565" spans="2:41" x14ac:dyDescent="0.25">
      <c r="B565" s="58" t="str">
        <f>Tabla1[[#This Row],[nudo inicial]]</f>
        <v>N289</v>
      </c>
      <c r="C565" s="58" t="str">
        <f>Tabla1[[#This Row],[nudo final]]</f>
        <v>N299</v>
      </c>
      <c r="D565" s="51">
        <f>Tabla1[[#This Row],[longitud]]</f>
        <v>139.31</v>
      </c>
      <c r="E565" s="51" t="str">
        <f>Tabla1[[#This Row],[diametro]]</f>
        <v>10"</v>
      </c>
      <c r="F565" s="51" t="str">
        <f>Tabla1[[#This Row],[material]]</f>
        <v>HF</v>
      </c>
      <c r="G56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10"</v>
      </c>
      <c r="H565" s="52" t="str">
        <f>IF(Tabla1[[#This Row],[5]]="TPD",Tabla1[[#This Row],[6]],"")</f>
        <v/>
      </c>
      <c r="I565" s="52" t="str">
        <f>IF(OR(Tabla1[[#This Row],[5]]="TPD"),Tabla1[[#This Row],[7]],"")</f>
        <v/>
      </c>
      <c r="J565" s="52">
        <f>IF(Tabla15[[#This Row],[2]]="",0,VLOOKUP(TRAMOS!$H$2,Tabla5[#All],3,FALSE)*Tabla15[[#This Row],[3]])</f>
        <v>0</v>
      </c>
      <c r="K565" s="52" t="str">
        <f>IF(Tabla1[[#This Row],[5]]="TPL",Tabla1[[#This Row],[6]],"")</f>
        <v/>
      </c>
      <c r="L565" s="52" t="str">
        <f>IF(OR(Tabla1[[#This Row],[5]]="TPL"),Tabla1[[#This Row],[7]],"")</f>
        <v/>
      </c>
      <c r="M565" s="52">
        <f>IF(Tabla15[[#This Row],[5]]="",0,VLOOKUP(TRAMOS!$K$2,Tabla5[#All],3,FALSE)*Tabla15[[#This Row],[6]])</f>
        <v>0</v>
      </c>
      <c r="N56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10"</v>
      </c>
      <c r="O565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565" s="52">
        <f>IF(Tabla15[[#This Row],[8]]="",0,VLOOKUP(TRAMOS!$H$2,Tabla5[#All],3,FALSE)*Tabla15[[#This Row],[9]])</f>
        <v>0.15</v>
      </c>
      <c r="Q56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6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65" s="52">
        <f>IF(Tabla15[[#This Row],[11]]="",0,VLOOKUP(TRAMOS!$Q$2,Tabla5[#All],3,FALSE)*Tabla15[[#This Row],[12]])</f>
        <v>0</v>
      </c>
      <c r="T56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6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6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6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6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6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6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6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65" s="52">
        <f>IF(Tabla15[[#This Row],[20]]="",0,VLOOKUP("VRP",Tabla5[#All],3,FALSE)*Tabla15[[#This Row],[21]])</f>
        <v>0</v>
      </c>
      <c r="AC56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10"</v>
      </c>
      <c r="AD565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565" s="52">
        <f>IF(Tabla15[[#This Row],[23]]="",0,VLOOKUP("VC",Tabla5[#All],3,FALSE)*Tabla15[[#This Row],[24]])</f>
        <v>0.25</v>
      </c>
      <c r="AF56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6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65" s="52">
        <f>IF(Tabla15[[#This Row],[26]]="",0,VLOOKUP(TRAMOS!$K$2,Tabla5[#All],3,FALSE)*Tabla15[[#This Row],[27]])</f>
        <v>0</v>
      </c>
      <c r="AI56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6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6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6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6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6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6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0.4</v>
      </c>
    </row>
    <row r="566" spans="2:41" x14ac:dyDescent="0.25">
      <c r="B566" s="58" t="str">
        <f>Tabla1[[#This Row],[nudo inicial]]</f>
        <v>N299</v>
      </c>
      <c r="C566" s="58" t="str">
        <f>Tabla1[[#This Row],[nudo final]]</f>
        <v>N300</v>
      </c>
      <c r="D566" s="51">
        <f>Tabla1[[#This Row],[longitud]]</f>
        <v>62.61</v>
      </c>
      <c r="E566" s="51" t="str">
        <f>Tabla1[[#This Row],[diametro]]</f>
        <v>3"</v>
      </c>
      <c r="F566" s="51" t="str">
        <f>Tabla1[[#This Row],[material]]</f>
        <v>PVC</v>
      </c>
      <c r="G56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10"</v>
      </c>
      <c r="H566" s="52" t="str">
        <f>IF(Tabla1[[#This Row],[5]]="TPD",Tabla1[[#This Row],[6]],"")</f>
        <v/>
      </c>
      <c r="I566" s="52" t="str">
        <f>IF(OR(Tabla1[[#This Row],[5]]="TPD"),Tabla1[[#This Row],[7]],"")</f>
        <v/>
      </c>
      <c r="J566" s="52">
        <f>IF(Tabla15[[#This Row],[2]]="",0,VLOOKUP(TRAMOS!$H$2,Tabla5[#All],3,FALSE)*Tabla15[[#This Row],[3]])</f>
        <v>0</v>
      </c>
      <c r="K566" s="52" t="str">
        <f>IF(Tabla1[[#This Row],[5]]="TPL",Tabla1[[#This Row],[6]],"")</f>
        <v/>
      </c>
      <c r="L566" s="52" t="str">
        <f>IF(OR(Tabla1[[#This Row],[5]]="TPL"),Tabla1[[#This Row],[7]],"")</f>
        <v/>
      </c>
      <c r="M566" s="52">
        <f>IF(Tabla15[[#This Row],[5]]="",0,VLOOKUP(TRAMOS!$K$2,Tabla5[#All],3,FALSE)*Tabla15[[#This Row],[6]])</f>
        <v>0</v>
      </c>
      <c r="N56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10"</v>
      </c>
      <c r="O566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566" s="52">
        <f>IF(Tabla15[[#This Row],[8]]="",0,VLOOKUP(TRAMOS!$H$2,Tabla5[#All],3,FALSE)*Tabla15[[#This Row],[9]])</f>
        <v>0.15</v>
      </c>
      <c r="Q56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6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66" s="52">
        <f>IF(Tabla15[[#This Row],[11]]="",0,VLOOKUP(TRAMOS!$Q$2,Tabla5[#All],3,FALSE)*Tabla15[[#This Row],[12]])</f>
        <v>0</v>
      </c>
      <c r="T56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566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56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0.43659999999999999</v>
      </c>
      <c r="W56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6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6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6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6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66" s="52">
        <f>IF(Tabla15[[#This Row],[20]]="",0,VLOOKUP("VRP",Tabla5[#All],3,FALSE)*Tabla15[[#This Row],[21]])</f>
        <v>0</v>
      </c>
      <c r="AC56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6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66" s="52">
        <f>IF(Tabla15[[#This Row],[23]]="",0,VLOOKUP("VC",Tabla5[#All],3,FALSE)*Tabla15[[#This Row],[24]])</f>
        <v>0</v>
      </c>
      <c r="AF56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6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66" s="52">
        <f>IF(Tabla15[[#This Row],[26]]="",0,VLOOKUP(TRAMOS!$K$2,Tabla5[#All],3,FALSE)*Tabla15[[#This Row],[27]])</f>
        <v>0</v>
      </c>
      <c r="AI56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6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6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6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6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6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6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0.58660000000000001</v>
      </c>
    </row>
    <row r="567" spans="2:41" x14ac:dyDescent="0.25">
      <c r="B567" s="58" t="str">
        <f>Tabla1[[#This Row],[nudo inicial]]</f>
        <v>N300</v>
      </c>
      <c r="C567" s="58" t="str">
        <f>Tabla1[[#This Row],[nudo final]]</f>
        <v>TP200</v>
      </c>
      <c r="D567" s="51">
        <f>Tabla1[[#This Row],[longitud]]</f>
        <v>63.71</v>
      </c>
      <c r="E567" s="51" t="str">
        <f>Tabla1[[#This Row],[diametro]]</f>
        <v>2"</v>
      </c>
      <c r="F567" s="51" t="str">
        <f>Tabla1[[#This Row],[material]]</f>
        <v>PVC</v>
      </c>
      <c r="G56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567" s="52" t="str">
        <f>IF(Tabla1[[#This Row],[5]]="TPD",Tabla1[[#This Row],[6]],"")</f>
        <v/>
      </c>
      <c r="I567" s="52" t="str">
        <f>IF(OR(Tabla1[[#This Row],[5]]="TPD"),Tabla1[[#This Row],[7]],"")</f>
        <v/>
      </c>
      <c r="J567" s="52">
        <f>IF(Tabla15[[#This Row],[2]]="",0,VLOOKUP(TRAMOS!$H$2,Tabla5[#All],3,FALSE)*Tabla15[[#This Row],[3]])</f>
        <v>0</v>
      </c>
      <c r="K567" s="52" t="str">
        <f>IF(Tabla1[[#This Row],[5]]="TPL",Tabla1[[#This Row],[6]],"")</f>
        <v>3"</v>
      </c>
      <c r="L567" s="52">
        <f>IF(OR(Tabla1[[#This Row],[5]]="TPL"),Tabla1[[#This Row],[7]],"")</f>
        <v>1</v>
      </c>
      <c r="M567" s="52">
        <f>IF(Tabla15[[#This Row],[5]]="",0,VLOOKUP(TRAMOS!$K$2,Tabla5[#All],3,FALSE)*Tabla15[[#This Row],[6]])</f>
        <v>0.9</v>
      </c>
      <c r="N56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6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67" s="52">
        <f>IF(Tabla15[[#This Row],[8]]="",0,VLOOKUP(TRAMOS!$H$2,Tabla5[#All],3,FALSE)*Tabla15[[#This Row],[9]])</f>
        <v>0</v>
      </c>
      <c r="Q56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6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67" s="52">
        <f>IF(Tabla15[[#This Row],[11]]="",0,VLOOKUP(TRAMOS!$Q$2,Tabla5[#All],3,FALSE)*Tabla15[[#This Row],[12]])</f>
        <v>0</v>
      </c>
      <c r="T56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567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56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56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6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6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6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6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67" s="52">
        <f>IF(Tabla15[[#This Row],[20]]="",0,VLOOKUP("VRP",Tabla5[#All],3,FALSE)*Tabla15[[#This Row],[21]])</f>
        <v>0</v>
      </c>
      <c r="AC56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6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67" s="52">
        <f>IF(Tabla15[[#This Row],[23]]="",0,VLOOKUP("VC",Tabla5[#All],3,FALSE)*Tabla15[[#This Row],[24]])</f>
        <v>0</v>
      </c>
      <c r="AF56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6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67" s="52">
        <f>IF(Tabla15[[#This Row],[26]]="",0,VLOOKUP(TRAMOS!$K$2,Tabla5[#All],3,FALSE)*Tabla15[[#This Row],[27]])</f>
        <v>0</v>
      </c>
      <c r="AI56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6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6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6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6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567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56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568" spans="2:41" x14ac:dyDescent="0.25">
      <c r="B568" s="58" t="str">
        <f>Tabla1[[#This Row],[nudo inicial]]</f>
        <v>N300</v>
      </c>
      <c r="C568" s="58" t="str">
        <f>Tabla1[[#This Row],[nudo final]]</f>
        <v>N301</v>
      </c>
      <c r="D568" s="51">
        <f>Tabla1[[#This Row],[longitud]]</f>
        <v>55.32</v>
      </c>
      <c r="E568" s="51" t="str">
        <f>Tabla1[[#This Row],[diametro]]</f>
        <v>3"</v>
      </c>
      <c r="F568" s="51" t="str">
        <f>Tabla1[[#This Row],[material]]</f>
        <v>PVC</v>
      </c>
      <c r="G56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568" s="52" t="str">
        <f>IF(Tabla1[[#This Row],[5]]="TPD",Tabla1[[#This Row],[6]],"")</f>
        <v>3"</v>
      </c>
      <c r="I568" s="52">
        <f>IF(OR(Tabla1[[#This Row],[5]]="TPD"),Tabla1[[#This Row],[7]],"")</f>
        <v>1</v>
      </c>
      <c r="J568" s="52">
        <f>IF(Tabla15[[#This Row],[2]]="",0,VLOOKUP(TRAMOS!$H$2,Tabla5[#All],3,FALSE)*Tabla15[[#This Row],[3]])</f>
        <v>0.15</v>
      </c>
      <c r="K568" s="52" t="str">
        <f>IF(Tabla1[[#This Row],[5]]="TPL",Tabla1[[#This Row],[6]],"")</f>
        <v/>
      </c>
      <c r="L568" s="52" t="str">
        <f>IF(OR(Tabla1[[#This Row],[5]]="TPL"),Tabla1[[#This Row],[7]],"")</f>
        <v/>
      </c>
      <c r="M568" s="52">
        <f>IF(Tabla15[[#This Row],[5]]="",0,VLOOKUP(TRAMOS!$K$2,Tabla5[#All],3,FALSE)*Tabla15[[#This Row],[6]])</f>
        <v>0</v>
      </c>
      <c r="N56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6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68" s="52">
        <f>IF(Tabla15[[#This Row],[8]]="",0,VLOOKUP(TRAMOS!$H$2,Tabla5[#All],3,FALSE)*Tabla15[[#This Row],[9]])</f>
        <v>0</v>
      </c>
      <c r="Q56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6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68" s="52">
        <f>IF(Tabla15[[#This Row],[11]]="",0,VLOOKUP(TRAMOS!$Q$2,Tabla5[#All],3,FALSE)*Tabla15[[#This Row],[12]])</f>
        <v>0</v>
      </c>
      <c r="T56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6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6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6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>4"</v>
      </c>
      <c r="X568" s="52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>1</v>
      </c>
      <c r="Y56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0.4740000000000002</v>
      </c>
      <c r="Z56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6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68" s="52">
        <f>IF(Tabla15[[#This Row],[20]]="",0,VLOOKUP("VRP",Tabla5[#All],3,FALSE)*Tabla15[[#This Row],[21]])</f>
        <v>0</v>
      </c>
      <c r="AC56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6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68" s="52">
        <f>IF(Tabla15[[#This Row],[23]]="",0,VLOOKUP("VC",Tabla5[#All],3,FALSE)*Tabla15[[#This Row],[24]])</f>
        <v>0</v>
      </c>
      <c r="AF56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6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68" s="52">
        <f>IF(Tabla15[[#This Row],[26]]="",0,VLOOKUP(TRAMOS!$K$2,Tabla5[#All],3,FALSE)*Tabla15[[#This Row],[27]])</f>
        <v>0</v>
      </c>
      <c r="AI56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6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6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6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6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6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6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0.62400000000000022</v>
      </c>
    </row>
    <row r="569" spans="2:41" x14ac:dyDescent="0.25">
      <c r="B569" s="58" t="str">
        <f>Tabla1[[#This Row],[nudo inicial]]</f>
        <v>N301</v>
      </c>
      <c r="C569" s="58" t="str">
        <f>Tabla1[[#This Row],[nudo final]]</f>
        <v>N302</v>
      </c>
      <c r="D569" s="51">
        <f>Tabla1[[#This Row],[longitud]]</f>
        <v>20.53</v>
      </c>
      <c r="E569" s="51" t="str">
        <f>Tabla1[[#This Row],[diametro]]</f>
        <v>4"</v>
      </c>
      <c r="F569" s="51" t="str">
        <f>Tabla1[[#This Row],[material]]</f>
        <v>HF</v>
      </c>
      <c r="G56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569" s="52" t="str">
        <f>IF(Tabla1[[#This Row],[5]]="TPD",Tabla1[[#This Row],[6]],"")</f>
        <v/>
      </c>
      <c r="I569" s="52" t="str">
        <f>IF(OR(Tabla1[[#This Row],[5]]="TPD"),Tabla1[[#This Row],[7]],"")</f>
        <v/>
      </c>
      <c r="J569" s="52">
        <f>IF(Tabla15[[#This Row],[2]]="",0,VLOOKUP(TRAMOS!$H$2,Tabla5[#All],3,FALSE)*Tabla15[[#This Row],[3]])</f>
        <v>0</v>
      </c>
      <c r="K569" s="52" t="str">
        <f>IF(Tabla1[[#This Row],[5]]="TPL",Tabla1[[#This Row],[6]],"")</f>
        <v/>
      </c>
      <c r="L569" s="52" t="str">
        <f>IF(OR(Tabla1[[#This Row],[5]]="TPL"),Tabla1[[#This Row],[7]],"")</f>
        <v/>
      </c>
      <c r="M569" s="52">
        <f>IF(Tabla15[[#This Row],[5]]="",0,VLOOKUP(TRAMOS!$K$2,Tabla5[#All],3,FALSE)*Tabla15[[#This Row],[6]])</f>
        <v>0</v>
      </c>
      <c r="N56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6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69" s="52">
        <f>IF(Tabla15[[#This Row],[8]]="",0,VLOOKUP(TRAMOS!$H$2,Tabla5[#All],3,FALSE)*Tabla15[[#This Row],[9]])</f>
        <v>0</v>
      </c>
      <c r="Q56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6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69" s="52">
        <f>IF(Tabla15[[#This Row],[11]]="",0,VLOOKUP(TRAMOS!$Q$2,Tabla5[#All],3,FALSE)*Tabla15[[#This Row],[12]])</f>
        <v>0</v>
      </c>
      <c r="T56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6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6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6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6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6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6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6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69" s="52">
        <f>IF(Tabla15[[#This Row],[20]]="",0,VLOOKUP("VRP",Tabla5[#All],3,FALSE)*Tabla15[[#This Row],[21]])</f>
        <v>0</v>
      </c>
      <c r="AC56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4"</v>
      </c>
      <c r="AD569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569" s="52">
        <f>IF(Tabla15[[#This Row],[23]]="",0,VLOOKUP("VC",Tabla5[#All],3,FALSE)*Tabla15[[#This Row],[24]])</f>
        <v>0.25</v>
      </c>
      <c r="AF56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6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69" s="52">
        <f>IF(Tabla15[[#This Row],[26]]="",0,VLOOKUP(TRAMOS!$K$2,Tabla5[#All],3,FALSE)*Tabla15[[#This Row],[27]])</f>
        <v>0</v>
      </c>
      <c r="AI56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6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6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6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6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6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6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0.25</v>
      </c>
    </row>
    <row r="570" spans="2:41" x14ac:dyDescent="0.25">
      <c r="B570" s="58" t="str">
        <f>Tabla1[[#This Row],[nudo inicial]]</f>
        <v>N292</v>
      </c>
      <c r="C570" s="58" t="str">
        <f>Tabla1[[#This Row],[nudo final]]</f>
        <v>N303</v>
      </c>
      <c r="D570" s="51">
        <f>Tabla1[[#This Row],[longitud]]</f>
        <v>128.66999999999999</v>
      </c>
      <c r="E570" s="51" t="str">
        <f>Tabla1[[#This Row],[diametro]]</f>
        <v>3"</v>
      </c>
      <c r="F570" s="51" t="str">
        <f>Tabla1[[#This Row],[material]]</f>
        <v>PVC</v>
      </c>
      <c r="G57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570" s="52" t="str">
        <f>IF(Tabla1[[#This Row],[5]]="TPD",Tabla1[[#This Row],[6]],"")</f>
        <v/>
      </c>
      <c r="I570" s="52" t="str">
        <f>IF(OR(Tabla1[[#This Row],[5]]="TPD"),Tabla1[[#This Row],[7]],"")</f>
        <v/>
      </c>
      <c r="J570" s="52">
        <f>IF(Tabla15[[#This Row],[2]]="",0,VLOOKUP(TRAMOS!$H$2,Tabla5[#All],3,FALSE)*Tabla15[[#This Row],[3]])</f>
        <v>0</v>
      </c>
      <c r="K570" s="52" t="str">
        <f>IF(Tabla1[[#This Row],[5]]="TPL",Tabla1[[#This Row],[6]],"")</f>
        <v/>
      </c>
      <c r="L570" s="52" t="str">
        <f>IF(OR(Tabla1[[#This Row],[5]]="TPL"),Tabla1[[#This Row],[7]],"")</f>
        <v/>
      </c>
      <c r="M570" s="52">
        <f>IF(Tabla15[[#This Row],[5]]="",0,VLOOKUP(TRAMOS!$K$2,Tabla5[#All],3,FALSE)*Tabla15[[#This Row],[6]])</f>
        <v>0</v>
      </c>
      <c r="N57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8"</v>
      </c>
      <c r="O570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570" s="52">
        <f>IF(Tabla15[[#This Row],[8]]="",0,VLOOKUP(TRAMOS!$H$2,Tabla5[#All],3,FALSE)*Tabla15[[#This Row],[9]])</f>
        <v>0.15</v>
      </c>
      <c r="Q57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7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70" s="52">
        <f>IF(Tabla15[[#This Row],[11]]="",0,VLOOKUP(TRAMOS!$Q$2,Tabla5[#All],3,FALSE)*Tabla15[[#This Row],[12]])</f>
        <v>0</v>
      </c>
      <c r="T57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570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57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0.41679999999999995</v>
      </c>
      <c r="W57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7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7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7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7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70" s="52">
        <f>IF(Tabla15[[#This Row],[20]]="",0,VLOOKUP("VRP",Tabla5[#All],3,FALSE)*Tabla15[[#This Row],[21]])</f>
        <v>0</v>
      </c>
      <c r="AC57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570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570" s="52">
        <f>IF(Tabla15[[#This Row],[23]]="",0,VLOOKUP("VC",Tabla5[#All],3,FALSE)*Tabla15[[#This Row],[24]])</f>
        <v>0.25</v>
      </c>
      <c r="AF57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7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70" s="52">
        <f>IF(Tabla15[[#This Row],[26]]="",0,VLOOKUP(TRAMOS!$K$2,Tabla5[#All],3,FALSE)*Tabla15[[#This Row],[27]])</f>
        <v>0</v>
      </c>
      <c r="AI57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7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7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7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7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7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7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0.81679999999999997</v>
      </c>
    </row>
    <row r="571" spans="2:41" x14ac:dyDescent="0.25">
      <c r="B571" s="58" t="str">
        <f>Tabla1[[#This Row],[nudo inicial]]</f>
        <v>N303</v>
      </c>
      <c r="C571" s="58" t="str">
        <f>Tabla1[[#This Row],[nudo final]]</f>
        <v>N302</v>
      </c>
      <c r="D571" s="51">
        <f>Tabla1[[#This Row],[longitud]]</f>
        <v>11.5</v>
      </c>
      <c r="E571" s="51" t="str">
        <f>Tabla1[[#This Row],[diametro]]</f>
        <v>3"</v>
      </c>
      <c r="F571" s="51" t="str">
        <f>Tabla1[[#This Row],[material]]</f>
        <v>HF</v>
      </c>
      <c r="G57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571" s="52" t="str">
        <f>IF(Tabla1[[#This Row],[5]]="TPD",Tabla1[[#This Row],[6]],"")</f>
        <v/>
      </c>
      <c r="I571" s="52" t="str">
        <f>IF(OR(Tabla1[[#This Row],[5]]="TPD"),Tabla1[[#This Row],[7]],"")</f>
        <v/>
      </c>
      <c r="J571" s="52">
        <f>IF(Tabla15[[#This Row],[2]]="",0,VLOOKUP(TRAMOS!$H$2,Tabla5[#All],3,FALSE)*Tabla15[[#This Row],[3]])</f>
        <v>0</v>
      </c>
      <c r="K571" s="52" t="str">
        <f>IF(Tabla1[[#This Row],[5]]="TPL",Tabla1[[#This Row],[6]],"")</f>
        <v/>
      </c>
      <c r="L571" s="52" t="str">
        <f>IF(OR(Tabla1[[#This Row],[5]]="TPL"),Tabla1[[#This Row],[7]],"")</f>
        <v/>
      </c>
      <c r="M571" s="52">
        <f>IF(Tabla15[[#This Row],[5]]="",0,VLOOKUP(TRAMOS!$K$2,Tabla5[#All],3,FALSE)*Tabla15[[#This Row],[6]])</f>
        <v>0</v>
      </c>
      <c r="N57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7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71" s="52">
        <f>IF(Tabla15[[#This Row],[8]]="",0,VLOOKUP(TRAMOS!$H$2,Tabla5[#All],3,FALSE)*Tabla15[[#This Row],[9]])</f>
        <v>0</v>
      </c>
      <c r="Q57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7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71" s="52">
        <f>IF(Tabla15[[#This Row],[11]]="",0,VLOOKUP(TRAMOS!$Q$2,Tabla5[#All],3,FALSE)*Tabla15[[#This Row],[12]])</f>
        <v>0</v>
      </c>
      <c r="T57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7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7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7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>4"</v>
      </c>
      <c r="X571" s="52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>1</v>
      </c>
      <c r="Y57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0.4740000000000002</v>
      </c>
      <c r="Z57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7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71" s="52">
        <f>IF(Tabla15[[#This Row],[20]]="",0,VLOOKUP("VRP",Tabla5[#All],3,FALSE)*Tabla15[[#This Row],[21]])</f>
        <v>0</v>
      </c>
      <c r="AC57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7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71" s="52">
        <f>IF(Tabla15[[#This Row],[23]]="",0,VLOOKUP("VC",Tabla5[#All],3,FALSE)*Tabla15[[#This Row],[24]])</f>
        <v>0</v>
      </c>
      <c r="AF57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7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71" s="52">
        <f>IF(Tabla15[[#This Row],[26]]="",0,VLOOKUP(TRAMOS!$K$2,Tabla5[#All],3,FALSE)*Tabla15[[#This Row],[27]])</f>
        <v>0</v>
      </c>
      <c r="AI57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7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7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7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7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7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7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0.4740000000000002</v>
      </c>
    </row>
    <row r="572" spans="2:41" x14ac:dyDescent="0.25">
      <c r="B572" s="58" t="str">
        <f>Tabla1[[#This Row],[nudo inicial]]</f>
        <v>N298</v>
      </c>
      <c r="C572" s="58" t="str">
        <f>Tabla1[[#This Row],[nudo final]]</f>
        <v>N304</v>
      </c>
      <c r="D572" s="51">
        <f>Tabla1[[#This Row],[longitud]]</f>
        <v>94.4</v>
      </c>
      <c r="E572" s="51" t="str">
        <f>Tabla1[[#This Row],[diametro]]</f>
        <v>4"</v>
      </c>
      <c r="F572" s="51" t="str">
        <f>Tabla1[[#This Row],[material]]</f>
        <v>HF</v>
      </c>
      <c r="G57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572" s="52" t="str">
        <f>IF(Tabla1[[#This Row],[5]]="TPD",Tabla1[[#This Row],[6]],"")</f>
        <v/>
      </c>
      <c r="I572" s="52" t="str">
        <f>IF(OR(Tabla1[[#This Row],[5]]="TPD"),Tabla1[[#This Row],[7]],"")</f>
        <v/>
      </c>
      <c r="J572" s="52">
        <f>IF(Tabla15[[#This Row],[2]]="",0,VLOOKUP(TRAMOS!$H$2,Tabla5[#All],3,FALSE)*Tabla15[[#This Row],[3]])</f>
        <v>0</v>
      </c>
      <c r="K572" s="52" t="str">
        <f>IF(Tabla1[[#This Row],[5]]="TPL",Tabla1[[#This Row],[6]],"")</f>
        <v/>
      </c>
      <c r="L572" s="52" t="str">
        <f>IF(OR(Tabla1[[#This Row],[5]]="TPL"),Tabla1[[#This Row],[7]],"")</f>
        <v/>
      </c>
      <c r="M572" s="52">
        <f>IF(Tabla15[[#This Row],[5]]="",0,VLOOKUP(TRAMOS!$K$2,Tabla5[#All],3,FALSE)*Tabla15[[#This Row],[6]])</f>
        <v>0</v>
      </c>
      <c r="N57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4"</v>
      </c>
      <c r="O572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572" s="52">
        <f>IF(Tabla15[[#This Row],[8]]="",0,VLOOKUP(TRAMOS!$H$2,Tabla5[#All],3,FALSE)*Tabla15[[#This Row],[9]])</f>
        <v>0.15</v>
      </c>
      <c r="Q57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7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72" s="52">
        <f>IF(Tabla15[[#This Row],[11]]="",0,VLOOKUP(TRAMOS!$Q$2,Tabla5[#All],3,FALSE)*Tabla15[[#This Row],[12]])</f>
        <v>0</v>
      </c>
      <c r="T57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7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7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7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7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7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7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7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72" s="52">
        <f>IF(Tabla15[[#This Row],[20]]="",0,VLOOKUP("VRP",Tabla5[#All],3,FALSE)*Tabla15[[#This Row],[21]])</f>
        <v>0</v>
      </c>
      <c r="AC57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7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72" s="52">
        <f>IF(Tabla15[[#This Row],[23]]="",0,VLOOKUP("VC",Tabla5[#All],3,FALSE)*Tabla15[[#This Row],[24]])</f>
        <v>0</v>
      </c>
      <c r="AF57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7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72" s="52">
        <f>IF(Tabla15[[#This Row],[26]]="",0,VLOOKUP(TRAMOS!$K$2,Tabla5[#All],3,FALSE)*Tabla15[[#This Row],[27]])</f>
        <v>0</v>
      </c>
      <c r="AI57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7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7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7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7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7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7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573" spans="2:41" x14ac:dyDescent="0.25">
      <c r="B573" s="58" t="str">
        <f>Tabla1[[#This Row],[nudo inicial]]</f>
        <v>N304</v>
      </c>
      <c r="C573" s="58" t="str">
        <f>Tabla1[[#This Row],[nudo final]]</f>
        <v>N305</v>
      </c>
      <c r="D573" s="51">
        <f>Tabla1[[#This Row],[longitud]]</f>
        <v>10.54</v>
      </c>
      <c r="E573" s="51" t="str">
        <f>Tabla1[[#This Row],[diametro]]</f>
        <v>3"</v>
      </c>
      <c r="F573" s="51" t="str">
        <f>Tabla1[[#This Row],[material]]</f>
        <v>HF</v>
      </c>
      <c r="G57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573" s="52" t="str">
        <f>IF(Tabla1[[#This Row],[5]]="TPD",Tabla1[[#This Row],[6]],"")</f>
        <v/>
      </c>
      <c r="I573" s="52" t="str">
        <f>IF(OR(Tabla1[[#This Row],[5]]="TPD"),Tabla1[[#This Row],[7]],"")</f>
        <v/>
      </c>
      <c r="J573" s="52">
        <f>IF(Tabla15[[#This Row],[2]]="",0,VLOOKUP(TRAMOS!$H$2,Tabla5[#All],3,FALSE)*Tabla15[[#This Row],[3]])</f>
        <v>0</v>
      </c>
      <c r="K573" s="52" t="str">
        <f>IF(Tabla1[[#This Row],[5]]="TPL",Tabla1[[#This Row],[6]],"")</f>
        <v/>
      </c>
      <c r="L573" s="52" t="str">
        <f>IF(OR(Tabla1[[#This Row],[5]]="TPL"),Tabla1[[#This Row],[7]],"")</f>
        <v/>
      </c>
      <c r="M573" s="52">
        <f>IF(Tabla15[[#This Row],[5]]="",0,VLOOKUP(TRAMOS!$K$2,Tabla5[#All],3,FALSE)*Tabla15[[#This Row],[6]])</f>
        <v>0</v>
      </c>
      <c r="N57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7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73" s="52">
        <f>IF(Tabla15[[#This Row],[8]]="",0,VLOOKUP(TRAMOS!$H$2,Tabla5[#All],3,FALSE)*Tabla15[[#This Row],[9]])</f>
        <v>0</v>
      </c>
      <c r="Q57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7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73" s="52">
        <f>IF(Tabla15[[#This Row],[11]]="",0,VLOOKUP(TRAMOS!$Q$2,Tabla5[#All],3,FALSE)*Tabla15[[#This Row],[12]])</f>
        <v>0</v>
      </c>
      <c r="T57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573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57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0.13850000000000007</v>
      </c>
      <c r="W57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7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7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7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7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73" s="52">
        <f>IF(Tabla15[[#This Row],[20]]="",0,VLOOKUP("VRP",Tabla5[#All],3,FALSE)*Tabla15[[#This Row],[21]])</f>
        <v>0</v>
      </c>
      <c r="AC57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573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573" s="52">
        <f>IF(Tabla15[[#This Row],[23]]="",0,VLOOKUP("VC",Tabla5[#All],3,FALSE)*Tabla15[[#This Row],[24]])</f>
        <v>0.25</v>
      </c>
      <c r="AF57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7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73" s="52">
        <f>IF(Tabla15[[#This Row],[26]]="",0,VLOOKUP(TRAMOS!$K$2,Tabla5[#All],3,FALSE)*Tabla15[[#This Row],[27]])</f>
        <v>0</v>
      </c>
      <c r="AI57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7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7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7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7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7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7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0.38850000000000007</v>
      </c>
    </row>
    <row r="574" spans="2:41" x14ac:dyDescent="0.25">
      <c r="B574" s="58" t="str">
        <f>Tabla1[[#This Row],[nudo inicial]]</f>
        <v>N305</v>
      </c>
      <c r="C574" s="58" t="str">
        <f>Tabla1[[#This Row],[nudo final]]</f>
        <v>TP201</v>
      </c>
      <c r="D574" s="51">
        <f>Tabla1[[#This Row],[longitud]]</f>
        <v>7.8</v>
      </c>
      <c r="E574" s="51" t="str">
        <f>Tabla1[[#This Row],[diametro]]</f>
        <v>3"</v>
      </c>
      <c r="F574" s="51" t="str">
        <f>Tabla1[[#This Row],[material]]</f>
        <v>HF</v>
      </c>
      <c r="G57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574" s="52" t="str">
        <f>IF(Tabla1[[#This Row],[5]]="TPD",Tabla1[[#This Row],[6]],"")</f>
        <v>3"</v>
      </c>
      <c r="I574" s="52">
        <f>IF(OR(Tabla1[[#This Row],[5]]="TPD"),Tabla1[[#This Row],[7]],"")</f>
        <v>1</v>
      </c>
      <c r="J574" s="52">
        <f>IF(Tabla15[[#This Row],[2]]="",0,VLOOKUP(TRAMOS!$H$2,Tabla5[#All],3,FALSE)*Tabla15[[#This Row],[3]])</f>
        <v>0.15</v>
      </c>
      <c r="K574" s="52" t="str">
        <f>IF(Tabla1[[#This Row],[5]]="TPL",Tabla1[[#This Row],[6]],"")</f>
        <v/>
      </c>
      <c r="L574" s="52" t="str">
        <f>IF(OR(Tabla1[[#This Row],[5]]="TPL"),Tabla1[[#This Row],[7]],"")</f>
        <v/>
      </c>
      <c r="M574" s="52">
        <f>IF(Tabla15[[#This Row],[5]]="",0,VLOOKUP(TRAMOS!$K$2,Tabla5[#All],3,FALSE)*Tabla15[[#This Row],[6]])</f>
        <v>0</v>
      </c>
      <c r="N57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7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74" s="52">
        <f>IF(Tabla15[[#This Row],[8]]="",0,VLOOKUP(TRAMOS!$H$2,Tabla5[#All],3,FALSE)*Tabla15[[#This Row],[9]])</f>
        <v>0</v>
      </c>
      <c r="Q57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7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74" s="52">
        <f>IF(Tabla15[[#This Row],[11]]="",0,VLOOKUP(TRAMOS!$Q$2,Tabla5[#All],3,FALSE)*Tabla15[[#This Row],[12]])</f>
        <v>0</v>
      </c>
      <c r="T57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7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7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7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7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7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7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7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74" s="52">
        <f>IF(Tabla15[[#This Row],[20]]="",0,VLOOKUP("VRP",Tabla5[#All],3,FALSE)*Tabla15[[#This Row],[21]])</f>
        <v>0</v>
      </c>
      <c r="AC57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7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74" s="52">
        <f>IF(Tabla15[[#This Row],[23]]="",0,VLOOKUP("VC",Tabla5[#All],3,FALSE)*Tabla15[[#This Row],[24]])</f>
        <v>0</v>
      </c>
      <c r="AF57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7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74" s="52">
        <f>IF(Tabla15[[#This Row],[26]]="",0,VLOOKUP(TRAMOS!$K$2,Tabla5[#All],3,FALSE)*Tabla15[[#This Row],[27]])</f>
        <v>0</v>
      </c>
      <c r="AI57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7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7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7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7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574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57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575" spans="2:41" x14ac:dyDescent="0.25">
      <c r="B575" s="58" t="str">
        <f>Tabla1[[#This Row],[nudo inicial]]</f>
        <v>N305</v>
      </c>
      <c r="C575" s="58" t="str">
        <f>Tabla1[[#This Row],[nudo final]]</f>
        <v>N306</v>
      </c>
      <c r="D575" s="51">
        <f>Tabla1[[#This Row],[longitud]]</f>
        <v>148.37</v>
      </c>
      <c r="E575" s="51" t="str">
        <f>Tabla1[[#This Row],[diametro]]</f>
        <v>3"</v>
      </c>
      <c r="F575" s="51" t="str">
        <f>Tabla1[[#This Row],[material]]</f>
        <v>HF</v>
      </c>
      <c r="G57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575" s="52" t="str">
        <f>IF(Tabla1[[#This Row],[5]]="TPD",Tabla1[[#This Row],[6]],"")</f>
        <v/>
      </c>
      <c r="I575" s="52" t="str">
        <f>IF(OR(Tabla1[[#This Row],[5]]="TPD"),Tabla1[[#This Row],[7]],"")</f>
        <v/>
      </c>
      <c r="J575" s="52">
        <f>IF(Tabla15[[#This Row],[2]]="",0,VLOOKUP(TRAMOS!$H$2,Tabla5[#All],3,FALSE)*Tabla15[[#This Row],[3]])</f>
        <v>0</v>
      </c>
      <c r="K575" s="52" t="str">
        <f>IF(Tabla1[[#This Row],[5]]="TPL",Tabla1[[#This Row],[6]],"")</f>
        <v>3"</v>
      </c>
      <c r="L575" s="52">
        <f>IF(OR(Tabla1[[#This Row],[5]]="TPL"),Tabla1[[#This Row],[7]],"")</f>
        <v>1</v>
      </c>
      <c r="M575" s="52">
        <f>IF(Tabla15[[#This Row],[5]]="",0,VLOOKUP(TRAMOS!$K$2,Tabla5[#All],3,FALSE)*Tabla15[[#This Row],[6]])</f>
        <v>0.9</v>
      </c>
      <c r="N57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7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75" s="52">
        <f>IF(Tabla15[[#This Row],[8]]="",0,VLOOKUP(TRAMOS!$H$2,Tabla5[#All],3,FALSE)*Tabla15[[#This Row],[9]])</f>
        <v>0</v>
      </c>
      <c r="Q57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7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75" s="52">
        <f>IF(Tabla15[[#This Row],[11]]="",0,VLOOKUP(TRAMOS!$Q$2,Tabla5[#All],3,FALSE)*Tabla15[[#This Row],[12]])</f>
        <v>0</v>
      </c>
      <c r="T57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7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7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7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7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7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7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7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75" s="52">
        <f>IF(Tabla15[[#This Row],[20]]="",0,VLOOKUP("VRP",Tabla5[#All],3,FALSE)*Tabla15[[#This Row],[21]])</f>
        <v>0</v>
      </c>
      <c r="AC57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7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75" s="52">
        <f>IF(Tabla15[[#This Row],[23]]="",0,VLOOKUP("VC",Tabla5[#All],3,FALSE)*Tabla15[[#This Row],[24]])</f>
        <v>0</v>
      </c>
      <c r="AF57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7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75" s="52">
        <f>IF(Tabla15[[#This Row],[26]]="",0,VLOOKUP(TRAMOS!$K$2,Tabla5[#All],3,FALSE)*Tabla15[[#This Row],[27]])</f>
        <v>0</v>
      </c>
      <c r="AI575" s="52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>0</v>
      </c>
      <c r="AJ575" s="52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>1</v>
      </c>
      <c r="AK57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7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7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7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7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576" spans="2:41" x14ac:dyDescent="0.25">
      <c r="B576" s="58" t="str">
        <f>Tabla1[[#This Row],[nudo inicial]]</f>
        <v>N299</v>
      </c>
      <c r="C576" s="58" t="str">
        <f>Tabla1[[#This Row],[nudo final]]</f>
        <v>N307</v>
      </c>
      <c r="D576" s="51">
        <f>Tabla1[[#This Row],[longitud]]</f>
        <v>62.1</v>
      </c>
      <c r="E576" s="51" t="str">
        <f>Tabla1[[#This Row],[diametro]]</f>
        <v>6"</v>
      </c>
      <c r="F576" s="51" t="str">
        <f>Tabla1[[#This Row],[material]]</f>
        <v>HF</v>
      </c>
      <c r="G57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10"</v>
      </c>
      <c r="H576" s="52" t="str">
        <f>IF(Tabla1[[#This Row],[5]]="TPD",Tabla1[[#This Row],[6]],"")</f>
        <v/>
      </c>
      <c r="I576" s="52" t="str">
        <f>IF(OR(Tabla1[[#This Row],[5]]="TPD"),Tabla1[[#This Row],[7]],"")</f>
        <v/>
      </c>
      <c r="J576" s="52">
        <f>IF(Tabla15[[#This Row],[2]]="",0,VLOOKUP(TRAMOS!$H$2,Tabla5[#All],3,FALSE)*Tabla15[[#This Row],[3]])</f>
        <v>0</v>
      </c>
      <c r="K576" s="52" t="str">
        <f>IF(Tabla1[[#This Row],[5]]="TPL",Tabla1[[#This Row],[6]],"")</f>
        <v/>
      </c>
      <c r="L576" s="52" t="str">
        <f>IF(OR(Tabla1[[#This Row],[5]]="TPL"),Tabla1[[#This Row],[7]],"")</f>
        <v/>
      </c>
      <c r="M576" s="52">
        <f>IF(Tabla15[[#This Row],[5]]="",0,VLOOKUP(TRAMOS!$K$2,Tabla5[#All],3,FALSE)*Tabla15[[#This Row],[6]])</f>
        <v>0</v>
      </c>
      <c r="N57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10"</v>
      </c>
      <c r="O576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576" s="52">
        <f>IF(Tabla15[[#This Row],[8]]="",0,VLOOKUP(TRAMOS!$H$2,Tabla5[#All],3,FALSE)*Tabla15[[#This Row],[9]])</f>
        <v>0.15</v>
      </c>
      <c r="Q57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7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76" s="52">
        <f>IF(Tabla15[[#This Row],[11]]="",0,VLOOKUP(TRAMOS!$Q$2,Tabla5[#All],3,FALSE)*Tabla15[[#This Row],[12]])</f>
        <v>0</v>
      </c>
      <c r="T57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6"</v>
      </c>
      <c r="U576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57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0.28799999999999992</v>
      </c>
      <c r="W57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7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7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7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7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76" s="52">
        <f>IF(Tabla15[[#This Row],[20]]="",0,VLOOKUP("VRP",Tabla5[#All],3,FALSE)*Tabla15[[#This Row],[21]])</f>
        <v>0</v>
      </c>
      <c r="AC57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7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76" s="52">
        <f>IF(Tabla15[[#This Row],[23]]="",0,VLOOKUP("VC",Tabla5[#All],3,FALSE)*Tabla15[[#This Row],[24]])</f>
        <v>0</v>
      </c>
      <c r="AF57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7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76" s="52">
        <f>IF(Tabla15[[#This Row],[26]]="",0,VLOOKUP(TRAMOS!$K$2,Tabla5[#All],3,FALSE)*Tabla15[[#This Row],[27]])</f>
        <v>0</v>
      </c>
      <c r="AI57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7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76" s="52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>0</v>
      </c>
      <c r="AL576" s="52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>1</v>
      </c>
      <c r="AM57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7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7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0.43799999999999994</v>
      </c>
    </row>
    <row r="577" spans="2:41" x14ac:dyDescent="0.25">
      <c r="B577" s="58" t="str">
        <f>Tabla1[[#This Row],[nudo inicial]]</f>
        <v>N307</v>
      </c>
      <c r="C577" s="58" t="str">
        <f>Tabla1[[#This Row],[nudo final]]</f>
        <v>TP202</v>
      </c>
      <c r="D577" s="51">
        <f>Tabla1[[#This Row],[longitud]]</f>
        <v>44.99</v>
      </c>
      <c r="E577" s="51" t="str">
        <f>Tabla1[[#This Row],[diametro]]</f>
        <v>2"</v>
      </c>
      <c r="F577" s="51" t="str">
        <f>Tabla1[[#This Row],[material]]</f>
        <v>PVC</v>
      </c>
      <c r="G57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577" s="52" t="str">
        <f>IF(Tabla1[[#This Row],[5]]="TPD",Tabla1[[#This Row],[6]],"")</f>
        <v/>
      </c>
      <c r="I577" s="52" t="str">
        <f>IF(OR(Tabla1[[#This Row],[5]]="TPD"),Tabla1[[#This Row],[7]],"")</f>
        <v/>
      </c>
      <c r="J577" s="52">
        <f>IF(Tabla15[[#This Row],[2]]="",0,VLOOKUP(TRAMOS!$H$2,Tabla5[#All],3,FALSE)*Tabla15[[#This Row],[3]])</f>
        <v>0</v>
      </c>
      <c r="K577" s="52" t="str">
        <f>IF(Tabla1[[#This Row],[5]]="TPL",Tabla1[[#This Row],[6]],"")</f>
        <v>6"</v>
      </c>
      <c r="L577" s="52">
        <f>IF(OR(Tabla1[[#This Row],[5]]="TPL"),Tabla1[[#This Row],[7]],"")</f>
        <v>1</v>
      </c>
      <c r="M577" s="52">
        <f>IF(Tabla15[[#This Row],[5]]="",0,VLOOKUP(TRAMOS!$K$2,Tabla5[#All],3,FALSE)*Tabla15[[#This Row],[6]])</f>
        <v>0.9</v>
      </c>
      <c r="N57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7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77" s="52">
        <f>IF(Tabla15[[#This Row],[8]]="",0,VLOOKUP(TRAMOS!$H$2,Tabla5[#All],3,FALSE)*Tabla15[[#This Row],[9]])</f>
        <v>0</v>
      </c>
      <c r="Q57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7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77" s="52">
        <f>IF(Tabla15[[#This Row],[11]]="",0,VLOOKUP(TRAMOS!$Q$2,Tabla5[#All],3,FALSE)*Tabla15[[#This Row],[12]])</f>
        <v>0</v>
      </c>
      <c r="T57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577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57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0.43</v>
      </c>
      <c r="W57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7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7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7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7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77" s="52">
        <f>IF(Tabla15[[#This Row],[20]]="",0,VLOOKUP("VRP",Tabla5[#All],3,FALSE)*Tabla15[[#This Row],[21]])</f>
        <v>0</v>
      </c>
      <c r="AC57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7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77" s="52">
        <f>IF(Tabla15[[#This Row],[23]]="",0,VLOOKUP("VC",Tabla5[#All],3,FALSE)*Tabla15[[#This Row],[24]])</f>
        <v>0</v>
      </c>
      <c r="AF57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7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77" s="52">
        <f>IF(Tabla15[[#This Row],[26]]="",0,VLOOKUP(TRAMOS!$K$2,Tabla5[#All],3,FALSE)*Tabla15[[#This Row],[27]])</f>
        <v>0</v>
      </c>
      <c r="AI57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7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7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7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7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577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57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1.33</v>
      </c>
    </row>
    <row r="578" spans="2:41" x14ac:dyDescent="0.25">
      <c r="B578" s="58" t="str">
        <f>Tabla1[[#This Row],[nudo inicial]]</f>
        <v>N307</v>
      </c>
      <c r="C578" s="58" t="str">
        <f>Tabla1[[#This Row],[nudo final]]</f>
        <v>N306</v>
      </c>
      <c r="D578" s="51">
        <f>Tabla1[[#This Row],[longitud]]</f>
        <v>83.74</v>
      </c>
      <c r="E578" s="51" t="str">
        <f>Tabla1[[#This Row],[diametro]]</f>
        <v>6"</v>
      </c>
      <c r="F578" s="51" t="str">
        <f>Tabla1[[#This Row],[material]]</f>
        <v>HF</v>
      </c>
      <c r="G57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578" s="52" t="str">
        <f>IF(Tabla1[[#This Row],[5]]="TPD",Tabla1[[#This Row],[6]],"")</f>
        <v>6"</v>
      </c>
      <c r="I578" s="52">
        <f>IF(OR(Tabla1[[#This Row],[5]]="TPD"),Tabla1[[#This Row],[7]],"")</f>
        <v>1</v>
      </c>
      <c r="J578" s="52">
        <f>IF(Tabla15[[#This Row],[2]]="",0,VLOOKUP(TRAMOS!$H$2,Tabla5[#All],3,FALSE)*Tabla15[[#This Row],[3]])</f>
        <v>0.15</v>
      </c>
      <c r="K578" s="52" t="str">
        <f>IF(Tabla1[[#This Row],[5]]="TPL",Tabla1[[#This Row],[6]],"")</f>
        <v/>
      </c>
      <c r="L578" s="52" t="str">
        <f>IF(OR(Tabla1[[#This Row],[5]]="TPL"),Tabla1[[#This Row],[7]],"")</f>
        <v/>
      </c>
      <c r="M578" s="52">
        <f>IF(Tabla15[[#This Row],[5]]="",0,VLOOKUP(TRAMOS!$K$2,Tabla5[#All],3,FALSE)*Tabla15[[#This Row],[6]])</f>
        <v>0</v>
      </c>
      <c r="N57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7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78" s="52">
        <f>IF(Tabla15[[#This Row],[8]]="",0,VLOOKUP(TRAMOS!$H$2,Tabla5[#All],3,FALSE)*Tabla15[[#This Row],[9]])</f>
        <v>0</v>
      </c>
      <c r="Q57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7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78" s="52">
        <f>IF(Tabla15[[#This Row],[11]]="",0,VLOOKUP(TRAMOS!$Q$2,Tabla5[#All],3,FALSE)*Tabla15[[#This Row],[12]])</f>
        <v>0</v>
      </c>
      <c r="T57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7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7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7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7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7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7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7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78" s="52">
        <f>IF(Tabla15[[#This Row],[20]]="",0,VLOOKUP("VRP",Tabla5[#All],3,FALSE)*Tabla15[[#This Row],[21]])</f>
        <v>0</v>
      </c>
      <c r="AC57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6"</v>
      </c>
      <c r="AD578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578" s="52">
        <f>IF(Tabla15[[#This Row],[23]]="",0,VLOOKUP("VC",Tabla5[#All],3,FALSE)*Tabla15[[#This Row],[24]])</f>
        <v>0.25</v>
      </c>
      <c r="AF57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7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78" s="52">
        <f>IF(Tabla15[[#This Row],[26]]="",0,VLOOKUP(TRAMOS!$K$2,Tabla5[#All],3,FALSE)*Tabla15[[#This Row],[27]])</f>
        <v>0</v>
      </c>
      <c r="AI57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7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7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7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7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7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7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0.4</v>
      </c>
    </row>
    <row r="579" spans="2:41" x14ac:dyDescent="0.25">
      <c r="B579" s="58" t="str">
        <f>Tabla1[[#This Row],[nudo inicial]]</f>
        <v>N306</v>
      </c>
      <c r="C579" s="58" t="str">
        <f>Tabla1[[#This Row],[nudo final]]</f>
        <v>N308</v>
      </c>
      <c r="D579" s="51">
        <f>Tabla1[[#This Row],[longitud]]</f>
        <v>50.45</v>
      </c>
      <c r="E579" s="51" t="str">
        <f>Tabla1[[#This Row],[diametro]]</f>
        <v>3"</v>
      </c>
      <c r="F579" s="51" t="str">
        <f>Tabla1[[#This Row],[material]]</f>
        <v>HF</v>
      </c>
      <c r="G57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579" s="52" t="str">
        <f>IF(Tabla1[[#This Row],[5]]="TPD",Tabla1[[#This Row],[6]],"")</f>
        <v/>
      </c>
      <c r="I579" s="52" t="str">
        <f>IF(OR(Tabla1[[#This Row],[5]]="TPD"),Tabla1[[#This Row],[7]],"")</f>
        <v/>
      </c>
      <c r="J579" s="52">
        <f>IF(Tabla15[[#This Row],[2]]="",0,VLOOKUP(TRAMOS!$H$2,Tabla5[#All],3,FALSE)*Tabla15[[#This Row],[3]])</f>
        <v>0</v>
      </c>
      <c r="K579" s="52" t="str">
        <f>IF(Tabla1[[#This Row],[5]]="TPL",Tabla1[[#This Row],[6]],"")</f>
        <v/>
      </c>
      <c r="L579" s="52" t="str">
        <f>IF(OR(Tabla1[[#This Row],[5]]="TPL"),Tabla1[[#This Row],[7]],"")</f>
        <v/>
      </c>
      <c r="M579" s="52">
        <f>IF(Tabla15[[#This Row],[5]]="",0,VLOOKUP(TRAMOS!$K$2,Tabla5[#All],3,FALSE)*Tabla15[[#This Row],[6]])</f>
        <v>0</v>
      </c>
      <c r="N57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6"</v>
      </c>
      <c r="O579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579" s="52">
        <f>IF(Tabla15[[#This Row],[8]]="",0,VLOOKUP(TRAMOS!$H$2,Tabla5[#All],3,FALSE)*Tabla15[[#This Row],[9]])</f>
        <v>0.15</v>
      </c>
      <c r="Q57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7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79" s="52">
        <f>IF(Tabla15[[#This Row],[11]]="",0,VLOOKUP(TRAMOS!$Q$2,Tabla5[#All],3,FALSE)*Tabla15[[#This Row],[12]])</f>
        <v>0</v>
      </c>
      <c r="T57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579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57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57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7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7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7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7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79" s="52">
        <f>IF(Tabla15[[#This Row],[20]]="",0,VLOOKUP("VRP",Tabla5[#All],3,FALSE)*Tabla15[[#This Row],[21]])</f>
        <v>0</v>
      </c>
      <c r="AC57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7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79" s="52">
        <f>IF(Tabla15[[#This Row],[23]]="",0,VLOOKUP("VC",Tabla5[#All],3,FALSE)*Tabla15[[#This Row],[24]])</f>
        <v>0</v>
      </c>
      <c r="AF57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7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79" s="52">
        <f>IF(Tabla15[[#This Row],[26]]="",0,VLOOKUP(TRAMOS!$K$2,Tabla5[#All],3,FALSE)*Tabla15[[#This Row],[27]])</f>
        <v>0</v>
      </c>
      <c r="AI57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7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7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7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7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7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7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0.52</v>
      </c>
    </row>
    <row r="580" spans="2:41" x14ac:dyDescent="0.25">
      <c r="B580" s="58" t="str">
        <f>Tabla1[[#This Row],[nudo inicial]]</f>
        <v>N308</v>
      </c>
      <c r="C580" s="58" t="str">
        <f>Tabla1[[#This Row],[nudo final]]</f>
        <v>TP203</v>
      </c>
      <c r="D580" s="51">
        <f>Tabla1[[#This Row],[longitud]]</f>
        <v>99.84</v>
      </c>
      <c r="E580" s="51" t="str">
        <f>Tabla1[[#This Row],[diametro]]</f>
        <v>2"</v>
      </c>
      <c r="F580" s="51" t="str">
        <f>Tabla1[[#This Row],[material]]</f>
        <v>PVC</v>
      </c>
      <c r="G58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580" s="52" t="str">
        <f>IF(Tabla1[[#This Row],[5]]="TPD",Tabla1[[#This Row],[6]],"")</f>
        <v/>
      </c>
      <c r="I580" s="52" t="str">
        <f>IF(OR(Tabla1[[#This Row],[5]]="TPD"),Tabla1[[#This Row],[7]],"")</f>
        <v/>
      </c>
      <c r="J580" s="52">
        <f>IF(Tabla15[[#This Row],[2]]="",0,VLOOKUP(TRAMOS!$H$2,Tabla5[#All],3,FALSE)*Tabla15[[#This Row],[3]])</f>
        <v>0</v>
      </c>
      <c r="K580" s="52" t="str">
        <f>IF(Tabla1[[#This Row],[5]]="TPL",Tabla1[[#This Row],[6]],"")</f>
        <v>3"</v>
      </c>
      <c r="L580" s="52">
        <f>IF(OR(Tabla1[[#This Row],[5]]="TPL"),Tabla1[[#This Row],[7]],"")</f>
        <v>1</v>
      </c>
      <c r="M580" s="52">
        <f>IF(Tabla15[[#This Row],[5]]="",0,VLOOKUP(TRAMOS!$K$2,Tabla5[#All],3,FALSE)*Tabla15[[#This Row],[6]])</f>
        <v>0.9</v>
      </c>
      <c r="N58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8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80" s="52">
        <f>IF(Tabla15[[#This Row],[8]]="",0,VLOOKUP(TRAMOS!$H$2,Tabla5[#All],3,FALSE)*Tabla15[[#This Row],[9]])</f>
        <v>0</v>
      </c>
      <c r="Q58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580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580" s="52">
        <f>IF(Tabla15[[#This Row],[11]]="",0,VLOOKUP(TRAMOS!$Q$2,Tabla5[#All],3,FALSE)*Tabla15[[#This Row],[12]])</f>
        <v>0.9</v>
      </c>
      <c r="T58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580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58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58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8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8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8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8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80" s="52">
        <f>IF(Tabla15[[#This Row],[20]]="",0,VLOOKUP("VRP",Tabla5[#All],3,FALSE)*Tabla15[[#This Row],[21]])</f>
        <v>0</v>
      </c>
      <c r="AC58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580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580" s="52">
        <f>IF(Tabla15[[#This Row],[23]]="",0,VLOOKUP("VC",Tabla5[#All],3,FALSE)*Tabla15[[#This Row],[24]])</f>
        <v>0.25</v>
      </c>
      <c r="AF58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8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80" s="52">
        <f>IF(Tabla15[[#This Row],[26]]="",0,VLOOKUP(TRAMOS!$K$2,Tabla5[#All],3,FALSE)*Tabla15[[#This Row],[27]])</f>
        <v>0</v>
      </c>
      <c r="AI58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8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8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8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8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580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58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2.2650000000000001</v>
      </c>
    </row>
    <row r="581" spans="2:41" x14ac:dyDescent="0.25">
      <c r="B581" s="58" t="str">
        <f>Tabla1[[#This Row],[nudo inicial]]</f>
        <v>N308</v>
      </c>
      <c r="C581" s="58" t="str">
        <f>Tabla1[[#This Row],[nudo final]]</f>
        <v>N309</v>
      </c>
      <c r="D581" s="51">
        <f>Tabla1[[#This Row],[longitud]]</f>
        <v>89.23</v>
      </c>
      <c r="E581" s="51" t="str">
        <f>Tabla1[[#This Row],[diametro]]</f>
        <v>3"</v>
      </c>
      <c r="F581" s="51" t="str">
        <f>Tabla1[[#This Row],[material]]</f>
        <v>HF</v>
      </c>
      <c r="G58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581" s="52" t="str">
        <f>IF(Tabla1[[#This Row],[5]]="TPD",Tabla1[[#This Row],[6]],"")</f>
        <v>3"</v>
      </c>
      <c r="I581" s="52">
        <f>IF(OR(Tabla1[[#This Row],[5]]="TPD"),Tabla1[[#This Row],[7]],"")</f>
        <v>1</v>
      </c>
      <c r="J581" s="52">
        <f>IF(Tabla15[[#This Row],[2]]="",0,VLOOKUP(TRAMOS!$H$2,Tabla5[#All],3,FALSE)*Tabla15[[#This Row],[3]])</f>
        <v>0.15</v>
      </c>
      <c r="K581" s="52" t="str">
        <f>IF(Tabla1[[#This Row],[5]]="TPL",Tabla1[[#This Row],[6]],"")</f>
        <v/>
      </c>
      <c r="L581" s="52" t="str">
        <f>IF(OR(Tabla1[[#This Row],[5]]="TPL"),Tabla1[[#This Row],[7]],"")</f>
        <v/>
      </c>
      <c r="M581" s="52">
        <f>IF(Tabla15[[#This Row],[5]]="",0,VLOOKUP(TRAMOS!$K$2,Tabla5[#All],3,FALSE)*Tabla15[[#This Row],[6]])</f>
        <v>0</v>
      </c>
      <c r="N58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8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81" s="52">
        <f>IF(Tabla15[[#This Row],[8]]="",0,VLOOKUP(TRAMOS!$H$2,Tabla5[#All],3,FALSE)*Tabla15[[#This Row],[9]])</f>
        <v>0</v>
      </c>
      <c r="Q58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8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81" s="52">
        <f>IF(Tabla15[[#This Row],[11]]="",0,VLOOKUP(TRAMOS!$Q$2,Tabla5[#All],3,FALSE)*Tabla15[[#This Row],[12]])</f>
        <v>0</v>
      </c>
      <c r="T58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8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8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8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>6"</v>
      </c>
      <c r="X581" s="52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>1</v>
      </c>
      <c r="Y58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0.68</v>
      </c>
      <c r="Z58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8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81" s="52">
        <f>IF(Tabla15[[#This Row],[20]]="",0,VLOOKUP("VRP",Tabla5[#All],3,FALSE)*Tabla15[[#This Row],[21]])</f>
        <v>0</v>
      </c>
      <c r="AC58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8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81" s="52">
        <f>IF(Tabla15[[#This Row],[23]]="",0,VLOOKUP("VC",Tabla5[#All],3,FALSE)*Tabla15[[#This Row],[24]])</f>
        <v>0</v>
      </c>
      <c r="AF58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8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81" s="52">
        <f>IF(Tabla15[[#This Row],[26]]="",0,VLOOKUP(TRAMOS!$K$2,Tabla5[#All],3,FALSE)*Tabla15[[#This Row],[27]])</f>
        <v>0</v>
      </c>
      <c r="AI58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8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81" s="52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>0</v>
      </c>
      <c r="AL581" s="52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>1</v>
      </c>
      <c r="AM58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8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8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0.83000000000000007</v>
      </c>
    </row>
    <row r="582" spans="2:41" x14ac:dyDescent="0.25">
      <c r="B582" s="58" t="str">
        <f>Tabla1[[#This Row],[nudo inicial]]</f>
        <v>N302</v>
      </c>
      <c r="C582" s="58" t="str">
        <f>Tabla1[[#This Row],[nudo final]]</f>
        <v>N309</v>
      </c>
      <c r="D582" s="51">
        <f>Tabla1[[#This Row],[longitud]]</f>
        <v>145.32</v>
      </c>
      <c r="E582" s="51" t="str">
        <f>Tabla1[[#This Row],[diametro]]</f>
        <v>3"</v>
      </c>
      <c r="F582" s="51" t="str">
        <f>Tabla1[[#This Row],[material]]</f>
        <v>HF</v>
      </c>
      <c r="G58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582" s="52" t="str">
        <f>IF(Tabla1[[#This Row],[5]]="TPD",Tabla1[[#This Row],[6]],"")</f>
        <v/>
      </c>
      <c r="I582" s="52" t="str">
        <f>IF(OR(Tabla1[[#This Row],[5]]="TPD"),Tabla1[[#This Row],[7]],"")</f>
        <v/>
      </c>
      <c r="J582" s="52">
        <f>IF(Tabla15[[#This Row],[2]]="",0,VLOOKUP(TRAMOS!$H$2,Tabla5[#All],3,FALSE)*Tabla15[[#This Row],[3]])</f>
        <v>0</v>
      </c>
      <c r="K582" s="52" t="str">
        <f>IF(Tabla1[[#This Row],[5]]="TPL",Tabla1[[#This Row],[6]],"")</f>
        <v/>
      </c>
      <c r="L582" s="52" t="str">
        <f>IF(OR(Tabla1[[#This Row],[5]]="TPL"),Tabla1[[#This Row],[7]],"")</f>
        <v/>
      </c>
      <c r="M582" s="52">
        <f>IF(Tabla15[[#This Row],[5]]="",0,VLOOKUP(TRAMOS!$K$2,Tabla5[#All],3,FALSE)*Tabla15[[#This Row],[6]])</f>
        <v>0</v>
      </c>
      <c r="N58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4"</v>
      </c>
      <c r="O582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582" s="52">
        <f>IF(Tabla15[[#This Row],[8]]="",0,VLOOKUP(TRAMOS!$H$2,Tabla5[#All],3,FALSE)*Tabla15[[#This Row],[9]])</f>
        <v>0.15</v>
      </c>
      <c r="Q58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8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82" s="52">
        <f>IF(Tabla15[[#This Row],[11]]="",0,VLOOKUP(TRAMOS!$Q$2,Tabla5[#All],3,FALSE)*Tabla15[[#This Row],[12]])</f>
        <v>0</v>
      </c>
      <c r="T58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582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2</v>
      </c>
      <c r="V58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0.27700000000000014</v>
      </c>
      <c r="W58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8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8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8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8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82" s="52">
        <f>IF(Tabla15[[#This Row],[20]]="",0,VLOOKUP("VRP",Tabla5[#All],3,FALSE)*Tabla15[[#This Row],[21]])</f>
        <v>0</v>
      </c>
      <c r="AC58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582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0</v>
      </c>
      <c r="AE582" s="52">
        <f>IF(Tabla15[[#This Row],[23]]="",0,VLOOKUP("VC",Tabla5[#All],3,FALSE)*Tabla15[[#This Row],[24]])</f>
        <v>0</v>
      </c>
      <c r="AF58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8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82" s="52">
        <f>IF(Tabla15[[#This Row],[26]]="",0,VLOOKUP(TRAMOS!$K$2,Tabla5[#All],3,FALSE)*Tabla15[[#This Row],[27]])</f>
        <v>0</v>
      </c>
      <c r="AI58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8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8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8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8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8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8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0.42700000000000016</v>
      </c>
    </row>
    <row r="583" spans="2:41" x14ac:dyDescent="0.25">
      <c r="B583" s="58" t="str">
        <f>Tabla1[[#This Row],[nudo inicial]]</f>
        <v>N306</v>
      </c>
      <c r="C583" s="58" t="str">
        <f>Tabla1[[#This Row],[nudo final]]</f>
        <v>N237</v>
      </c>
      <c r="D583" s="51">
        <f>Tabla1[[#This Row],[longitud]]</f>
        <v>139.82</v>
      </c>
      <c r="E583" s="51" t="str">
        <f>Tabla1[[#This Row],[diametro]]</f>
        <v>6"</v>
      </c>
      <c r="F583" s="51" t="str">
        <f>Tabla1[[#This Row],[material]]</f>
        <v>HF</v>
      </c>
      <c r="G58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583" s="52" t="str">
        <f>IF(Tabla1[[#This Row],[5]]="TPD",Tabla1[[#This Row],[6]],"")</f>
        <v/>
      </c>
      <c r="I583" s="52" t="str">
        <f>IF(OR(Tabla1[[#This Row],[5]]="TPD"),Tabla1[[#This Row],[7]],"")</f>
        <v/>
      </c>
      <c r="J583" s="52">
        <f>IF(Tabla15[[#This Row],[2]]="",0,VLOOKUP(TRAMOS!$H$2,Tabla5[#All],3,FALSE)*Tabla15[[#This Row],[3]])</f>
        <v>0</v>
      </c>
      <c r="K583" s="52" t="str">
        <f>IF(Tabla1[[#This Row],[5]]="TPL",Tabla1[[#This Row],[6]],"")</f>
        <v/>
      </c>
      <c r="L583" s="52" t="str">
        <f>IF(OR(Tabla1[[#This Row],[5]]="TPL"),Tabla1[[#This Row],[7]],"")</f>
        <v/>
      </c>
      <c r="M583" s="52">
        <f>IF(Tabla15[[#This Row],[5]]="",0,VLOOKUP(TRAMOS!$K$2,Tabla5[#All],3,FALSE)*Tabla15[[#This Row],[6]])</f>
        <v>0</v>
      </c>
      <c r="N58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6"</v>
      </c>
      <c r="O583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583" s="52">
        <f>IF(Tabla15[[#This Row],[8]]="",0,VLOOKUP(TRAMOS!$H$2,Tabla5[#All],3,FALSE)*Tabla15[[#This Row],[9]])</f>
        <v>0.15</v>
      </c>
      <c r="Q58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8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83" s="52">
        <f>IF(Tabla15[[#This Row],[11]]="",0,VLOOKUP(TRAMOS!$Q$2,Tabla5[#All],3,FALSE)*Tabla15[[#This Row],[12]])</f>
        <v>0</v>
      </c>
      <c r="T58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8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8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8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8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8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8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8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83" s="52">
        <f>IF(Tabla15[[#This Row],[20]]="",0,VLOOKUP("VRP",Tabla5[#All],3,FALSE)*Tabla15[[#This Row],[21]])</f>
        <v>0</v>
      </c>
      <c r="AC58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6"</v>
      </c>
      <c r="AD583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583" s="52">
        <f>IF(Tabla15[[#This Row],[23]]="",0,VLOOKUP("VC",Tabla5[#All],3,FALSE)*Tabla15[[#This Row],[24]])</f>
        <v>0.25</v>
      </c>
      <c r="AF58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8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83" s="52">
        <f>IF(Tabla15[[#This Row],[26]]="",0,VLOOKUP(TRAMOS!$K$2,Tabla5[#All],3,FALSE)*Tabla15[[#This Row],[27]])</f>
        <v>0</v>
      </c>
      <c r="AI58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8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8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8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8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8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8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0.4</v>
      </c>
    </row>
    <row r="584" spans="2:41" x14ac:dyDescent="0.25">
      <c r="B584" s="58" t="str">
        <f>Tabla1[[#This Row],[nudo inicial]]</f>
        <v>N237</v>
      </c>
      <c r="C584" s="58" t="str">
        <f>Tabla1[[#This Row],[nudo final]]</f>
        <v>N310</v>
      </c>
      <c r="D584" s="51">
        <f>Tabla1[[#This Row],[longitud]]</f>
        <v>122.96</v>
      </c>
      <c r="E584" s="51" t="str">
        <f>Tabla1[[#This Row],[diametro]]</f>
        <v>6"</v>
      </c>
      <c r="F584" s="51" t="str">
        <f>Tabla1[[#This Row],[material]]</f>
        <v>HF</v>
      </c>
      <c r="G58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584" s="52" t="str">
        <f>IF(Tabla1[[#This Row],[5]]="TPD",Tabla1[[#This Row],[6]],"")</f>
        <v/>
      </c>
      <c r="I584" s="52" t="str">
        <f>IF(OR(Tabla1[[#This Row],[5]]="TPD"),Tabla1[[#This Row],[7]],"")</f>
        <v/>
      </c>
      <c r="J584" s="52">
        <f>IF(Tabla15[[#This Row],[2]]="",0,VLOOKUP(TRAMOS!$H$2,Tabla5[#All],3,FALSE)*Tabla15[[#This Row],[3]])</f>
        <v>0</v>
      </c>
      <c r="K584" s="52" t="str">
        <f>IF(Tabla1[[#This Row],[5]]="TPL",Tabla1[[#This Row],[6]],"")</f>
        <v>6"</v>
      </c>
      <c r="L584" s="52">
        <f>IF(OR(Tabla1[[#This Row],[5]]="TPL"),Tabla1[[#This Row],[7]],"")</f>
        <v>1</v>
      </c>
      <c r="M584" s="52">
        <f>IF(Tabla15[[#This Row],[5]]="",0,VLOOKUP(TRAMOS!$K$2,Tabla5[#All],3,FALSE)*Tabla15[[#This Row],[6]])</f>
        <v>0.9</v>
      </c>
      <c r="N58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8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84" s="52">
        <f>IF(Tabla15[[#This Row],[8]]="",0,VLOOKUP(TRAMOS!$H$2,Tabla5[#All],3,FALSE)*Tabla15[[#This Row],[9]])</f>
        <v>0</v>
      </c>
      <c r="Q58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8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84" s="52">
        <f>IF(Tabla15[[#This Row],[11]]="",0,VLOOKUP(TRAMOS!$Q$2,Tabla5[#All],3,FALSE)*Tabla15[[#This Row],[12]])</f>
        <v>0</v>
      </c>
      <c r="T58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8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8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8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8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8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8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8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84" s="52">
        <f>IF(Tabla15[[#This Row],[20]]="",0,VLOOKUP("VRP",Tabla5[#All],3,FALSE)*Tabla15[[#This Row],[21]])</f>
        <v>0</v>
      </c>
      <c r="AC58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8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84" s="52">
        <f>IF(Tabla15[[#This Row],[23]]="",0,VLOOKUP("VC",Tabla5[#All],3,FALSE)*Tabla15[[#This Row],[24]])</f>
        <v>0</v>
      </c>
      <c r="AF58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8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84" s="52">
        <f>IF(Tabla15[[#This Row],[26]]="",0,VLOOKUP(TRAMOS!$K$2,Tabla5[#All],3,FALSE)*Tabla15[[#This Row],[27]])</f>
        <v>0</v>
      </c>
      <c r="AI58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8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8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8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8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8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8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585" spans="2:41" x14ac:dyDescent="0.25">
      <c r="B585" s="58" t="str">
        <f>Tabla1[[#This Row],[nudo inicial]]</f>
        <v>N309</v>
      </c>
      <c r="C585" s="58" t="str">
        <f>Tabla1[[#This Row],[nudo final]]</f>
        <v>N310</v>
      </c>
      <c r="D585" s="51">
        <f>Tabla1[[#This Row],[longitud]]</f>
        <v>136.38</v>
      </c>
      <c r="E585" s="51" t="str">
        <f>Tabla1[[#This Row],[diametro]]</f>
        <v>6"</v>
      </c>
      <c r="F585" s="51" t="str">
        <f>Tabla1[[#This Row],[material]]</f>
        <v>HF</v>
      </c>
      <c r="G58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585" s="52" t="str">
        <f>IF(Tabla1[[#This Row],[5]]="TPD",Tabla1[[#This Row],[6]],"")</f>
        <v/>
      </c>
      <c r="I585" s="52" t="str">
        <f>IF(OR(Tabla1[[#This Row],[5]]="TPD"),Tabla1[[#This Row],[7]],"")</f>
        <v/>
      </c>
      <c r="J585" s="52">
        <f>IF(Tabla15[[#This Row],[2]]="",0,VLOOKUP(TRAMOS!$H$2,Tabla5[#All],3,FALSE)*Tabla15[[#This Row],[3]])</f>
        <v>0</v>
      </c>
      <c r="K585" s="52" t="str">
        <f>IF(Tabla1[[#This Row],[5]]="TPL",Tabla1[[#This Row],[6]],"")</f>
        <v/>
      </c>
      <c r="L585" s="52" t="str">
        <f>IF(OR(Tabla1[[#This Row],[5]]="TPL"),Tabla1[[#This Row],[7]],"")</f>
        <v/>
      </c>
      <c r="M585" s="52">
        <f>IF(Tabla15[[#This Row],[5]]="",0,VLOOKUP(TRAMOS!$K$2,Tabla5[#All],3,FALSE)*Tabla15[[#This Row],[6]])</f>
        <v>0</v>
      </c>
      <c r="N58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6"</v>
      </c>
      <c r="O585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585" s="52">
        <f>IF(Tabla15[[#This Row],[8]]="",0,VLOOKUP(TRAMOS!$H$2,Tabla5[#All],3,FALSE)*Tabla15[[#This Row],[9]])</f>
        <v>0.15</v>
      </c>
      <c r="Q58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8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85" s="52">
        <f>IF(Tabla15[[#This Row],[11]]="",0,VLOOKUP(TRAMOS!$Q$2,Tabla5[#All],3,FALSE)*Tabla15[[#This Row],[12]])</f>
        <v>0</v>
      </c>
      <c r="T58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8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8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8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8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8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8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8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85" s="52">
        <f>IF(Tabla15[[#This Row],[20]]="",0,VLOOKUP("VRP",Tabla5[#All],3,FALSE)*Tabla15[[#This Row],[21]])</f>
        <v>0</v>
      </c>
      <c r="AC58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6"</v>
      </c>
      <c r="AD585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585" s="52">
        <f>IF(Tabla15[[#This Row],[23]]="",0,VLOOKUP("VC",Tabla5[#All],3,FALSE)*Tabla15[[#This Row],[24]])</f>
        <v>0.25</v>
      </c>
      <c r="AF58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8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85" s="52">
        <f>IF(Tabla15[[#This Row],[26]]="",0,VLOOKUP(TRAMOS!$K$2,Tabla5[#All],3,FALSE)*Tabla15[[#This Row],[27]])</f>
        <v>0</v>
      </c>
      <c r="AI58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8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8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8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8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8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8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0.4</v>
      </c>
    </row>
    <row r="586" spans="2:41" x14ac:dyDescent="0.25">
      <c r="B586" s="58" t="str">
        <f>Tabla1[[#This Row],[nudo inicial]]</f>
        <v>N310</v>
      </c>
      <c r="C586" s="58" t="str">
        <f>Tabla1[[#This Row],[nudo final]]</f>
        <v>N311</v>
      </c>
      <c r="D586" s="51">
        <f>Tabla1[[#This Row],[longitud]]</f>
        <v>60.3</v>
      </c>
      <c r="E586" s="51" t="str">
        <f>Tabla1[[#This Row],[diametro]]</f>
        <v>6"</v>
      </c>
      <c r="F586" s="51" t="str">
        <f>Tabla1[[#This Row],[material]]</f>
        <v>HF</v>
      </c>
      <c r="G58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586" s="52" t="str">
        <f>IF(Tabla1[[#This Row],[5]]="TPD",Tabla1[[#This Row],[6]],"")</f>
        <v/>
      </c>
      <c r="I586" s="52" t="str">
        <f>IF(OR(Tabla1[[#This Row],[5]]="TPD"),Tabla1[[#This Row],[7]],"")</f>
        <v/>
      </c>
      <c r="J586" s="52">
        <f>IF(Tabla15[[#This Row],[2]]="",0,VLOOKUP(TRAMOS!$H$2,Tabla5[#All],3,FALSE)*Tabla15[[#This Row],[3]])</f>
        <v>0</v>
      </c>
      <c r="K586" s="52" t="str">
        <f>IF(Tabla1[[#This Row],[5]]="TPL",Tabla1[[#This Row],[6]],"")</f>
        <v/>
      </c>
      <c r="L586" s="52" t="str">
        <f>IF(OR(Tabla1[[#This Row],[5]]="TPL"),Tabla1[[#This Row],[7]],"")</f>
        <v/>
      </c>
      <c r="M586" s="52">
        <f>IF(Tabla15[[#This Row],[5]]="",0,VLOOKUP(TRAMOS!$K$2,Tabla5[#All],3,FALSE)*Tabla15[[#This Row],[6]])</f>
        <v>0</v>
      </c>
      <c r="N58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6"</v>
      </c>
      <c r="O586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586" s="52">
        <f>IF(Tabla15[[#This Row],[8]]="",0,VLOOKUP(TRAMOS!$H$2,Tabla5[#All],3,FALSE)*Tabla15[[#This Row],[9]])</f>
        <v>0.15</v>
      </c>
      <c r="Q58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8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86" s="52">
        <f>IF(Tabla15[[#This Row],[11]]="",0,VLOOKUP(TRAMOS!$Q$2,Tabla5[#All],3,FALSE)*Tabla15[[#This Row],[12]])</f>
        <v>0</v>
      </c>
      <c r="T58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8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8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8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8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8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8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8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86" s="52">
        <f>IF(Tabla15[[#This Row],[20]]="",0,VLOOKUP("VRP",Tabla5[#All],3,FALSE)*Tabla15[[#This Row],[21]])</f>
        <v>0</v>
      </c>
      <c r="AC58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8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86" s="52">
        <f>IF(Tabla15[[#This Row],[23]]="",0,VLOOKUP("VC",Tabla5[#All],3,FALSE)*Tabla15[[#This Row],[24]])</f>
        <v>0</v>
      </c>
      <c r="AF58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8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86" s="52">
        <f>IF(Tabla15[[#This Row],[26]]="",0,VLOOKUP(TRAMOS!$K$2,Tabla5[#All],3,FALSE)*Tabla15[[#This Row],[27]])</f>
        <v>0</v>
      </c>
      <c r="AI58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8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8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8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8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8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8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587" spans="2:41" x14ac:dyDescent="0.25">
      <c r="B587" s="58" t="str">
        <f>Tabla1[[#This Row],[nudo inicial]]</f>
        <v>N311</v>
      </c>
      <c r="C587" s="58" t="str">
        <f>Tabla1[[#This Row],[nudo final]]</f>
        <v>N312</v>
      </c>
      <c r="D587" s="51">
        <f>Tabla1[[#This Row],[longitud]]</f>
        <v>18</v>
      </c>
      <c r="E587" s="51" t="str">
        <f>Tabla1[[#This Row],[diametro]]</f>
        <v>3"</v>
      </c>
      <c r="F587" s="51" t="str">
        <f>Tabla1[[#This Row],[material]]</f>
        <v>HF</v>
      </c>
      <c r="G58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587" s="52" t="str">
        <f>IF(Tabla1[[#This Row],[5]]="TPD",Tabla1[[#This Row],[6]],"")</f>
        <v/>
      </c>
      <c r="I587" s="52" t="str">
        <f>IF(OR(Tabla1[[#This Row],[5]]="TPD"),Tabla1[[#This Row],[7]],"")</f>
        <v/>
      </c>
      <c r="J587" s="52">
        <f>IF(Tabla15[[#This Row],[2]]="",0,VLOOKUP(TRAMOS!$H$2,Tabla5[#All],3,FALSE)*Tabla15[[#This Row],[3]])</f>
        <v>0</v>
      </c>
      <c r="K587" s="52" t="str">
        <f>IF(Tabla1[[#This Row],[5]]="TPL",Tabla1[[#This Row],[6]],"")</f>
        <v/>
      </c>
      <c r="L587" s="52" t="str">
        <f>IF(OR(Tabla1[[#This Row],[5]]="TPL"),Tabla1[[#This Row],[7]],"")</f>
        <v/>
      </c>
      <c r="M587" s="52">
        <f>IF(Tabla15[[#This Row],[5]]="",0,VLOOKUP(TRAMOS!$K$2,Tabla5[#All],3,FALSE)*Tabla15[[#This Row],[6]])</f>
        <v>0</v>
      </c>
      <c r="N58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8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87" s="52">
        <f>IF(Tabla15[[#This Row],[8]]="",0,VLOOKUP(TRAMOS!$H$2,Tabla5[#All],3,FALSE)*Tabla15[[#This Row],[9]])</f>
        <v>0</v>
      </c>
      <c r="Q58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8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87" s="52">
        <f>IF(Tabla15[[#This Row],[11]]="",0,VLOOKUP(TRAMOS!$Q$2,Tabla5[#All],3,FALSE)*Tabla15[[#This Row],[12]])</f>
        <v>0</v>
      </c>
      <c r="T58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587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58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58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8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8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8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8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87" s="52">
        <f>IF(Tabla15[[#This Row],[20]]="",0,VLOOKUP("VRP",Tabla5[#All],3,FALSE)*Tabla15[[#This Row],[21]])</f>
        <v>0</v>
      </c>
      <c r="AC58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587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587" s="52">
        <f>IF(Tabla15[[#This Row],[23]]="",0,VLOOKUP("VC",Tabla5[#All],3,FALSE)*Tabla15[[#This Row],[24]])</f>
        <v>0.25</v>
      </c>
      <c r="AF58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8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87" s="52">
        <f>IF(Tabla15[[#This Row],[26]]="",0,VLOOKUP(TRAMOS!$K$2,Tabla5[#All],3,FALSE)*Tabla15[[#This Row],[27]])</f>
        <v>0</v>
      </c>
      <c r="AI58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8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8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8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8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8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8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0.62</v>
      </c>
    </row>
    <row r="588" spans="2:41" x14ac:dyDescent="0.25">
      <c r="B588" s="58" t="str">
        <f>Tabla1[[#This Row],[nudo inicial]]</f>
        <v>N312</v>
      </c>
      <c r="C588" s="58" t="str">
        <f>Tabla1[[#This Row],[nudo final]]</f>
        <v>N313</v>
      </c>
      <c r="D588" s="51">
        <f>Tabla1[[#This Row],[longitud]]</f>
        <v>50.77</v>
      </c>
      <c r="E588" s="51" t="str">
        <f>Tabla1[[#This Row],[diametro]]</f>
        <v>3"</v>
      </c>
      <c r="F588" s="51" t="str">
        <f>Tabla1[[#This Row],[material]]</f>
        <v>HF</v>
      </c>
      <c r="G58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588" s="52" t="str">
        <f>IF(Tabla1[[#This Row],[5]]="TPD",Tabla1[[#This Row],[6]],"")</f>
        <v>3"</v>
      </c>
      <c r="I588" s="52">
        <f>IF(OR(Tabla1[[#This Row],[5]]="TPD"),Tabla1[[#This Row],[7]],"")</f>
        <v>1</v>
      </c>
      <c r="J588" s="52">
        <f>IF(Tabla15[[#This Row],[2]]="",0,VLOOKUP(TRAMOS!$H$2,Tabla5[#All],3,FALSE)*Tabla15[[#This Row],[3]])</f>
        <v>0.15</v>
      </c>
      <c r="K588" s="52" t="str">
        <f>IF(Tabla1[[#This Row],[5]]="TPL",Tabla1[[#This Row],[6]],"")</f>
        <v/>
      </c>
      <c r="L588" s="52" t="str">
        <f>IF(OR(Tabla1[[#This Row],[5]]="TPL"),Tabla1[[#This Row],[7]],"")</f>
        <v/>
      </c>
      <c r="M588" s="52">
        <f>IF(Tabla15[[#This Row],[5]]="",0,VLOOKUP(TRAMOS!$K$2,Tabla5[#All],3,FALSE)*Tabla15[[#This Row],[6]])</f>
        <v>0</v>
      </c>
      <c r="N58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8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88" s="52">
        <f>IF(Tabla15[[#This Row],[8]]="",0,VLOOKUP(TRAMOS!$H$2,Tabla5[#All],3,FALSE)*Tabla15[[#This Row],[9]])</f>
        <v>0</v>
      </c>
      <c r="Q58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8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88" s="52">
        <f>IF(Tabla15[[#This Row],[11]]="",0,VLOOKUP(TRAMOS!$Q$2,Tabla5[#All],3,FALSE)*Tabla15[[#This Row],[12]])</f>
        <v>0</v>
      </c>
      <c r="T58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8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8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8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8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8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8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8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88" s="52">
        <f>IF(Tabla15[[#This Row],[20]]="",0,VLOOKUP("VRP",Tabla5[#All],3,FALSE)*Tabla15[[#This Row],[21]])</f>
        <v>0</v>
      </c>
      <c r="AC58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8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88" s="52">
        <f>IF(Tabla15[[#This Row],[23]]="",0,VLOOKUP("VC",Tabla5[#All],3,FALSE)*Tabla15[[#This Row],[24]])</f>
        <v>0</v>
      </c>
      <c r="AF58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8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88" s="52">
        <f>IF(Tabla15[[#This Row],[26]]="",0,VLOOKUP(TRAMOS!$K$2,Tabla5[#All],3,FALSE)*Tabla15[[#This Row],[27]])</f>
        <v>0</v>
      </c>
      <c r="AI58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8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88" s="52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>0</v>
      </c>
      <c r="AL588" s="52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>1</v>
      </c>
      <c r="AM58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8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8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589" spans="2:41" x14ac:dyDescent="0.25">
      <c r="B589" s="58" t="str">
        <f>Tabla1[[#This Row],[nudo inicial]]</f>
        <v>N313</v>
      </c>
      <c r="C589" s="58" t="str">
        <f>Tabla1[[#This Row],[nudo final]]</f>
        <v>TP204</v>
      </c>
      <c r="D589" s="51">
        <f>Tabla1[[#This Row],[longitud]]</f>
        <v>55.38</v>
      </c>
      <c r="E589" s="51" t="str">
        <f>Tabla1[[#This Row],[diametro]]</f>
        <v>2"</v>
      </c>
      <c r="F589" s="51" t="str">
        <f>Tabla1[[#This Row],[material]]</f>
        <v>PVC</v>
      </c>
      <c r="G58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589" s="52" t="str">
        <f>IF(Tabla1[[#This Row],[5]]="TPD",Tabla1[[#This Row],[6]],"")</f>
        <v/>
      </c>
      <c r="I589" s="52" t="str">
        <f>IF(OR(Tabla1[[#This Row],[5]]="TPD"),Tabla1[[#This Row],[7]],"")</f>
        <v/>
      </c>
      <c r="J589" s="52">
        <f>IF(Tabla15[[#This Row],[2]]="",0,VLOOKUP(TRAMOS!$H$2,Tabla5[#All],3,FALSE)*Tabla15[[#This Row],[3]])</f>
        <v>0</v>
      </c>
      <c r="K589" s="52" t="str">
        <f>IF(Tabla1[[#This Row],[5]]="TPL",Tabla1[[#This Row],[6]],"")</f>
        <v>3"</v>
      </c>
      <c r="L589" s="52">
        <f>IF(OR(Tabla1[[#This Row],[5]]="TPL"),Tabla1[[#This Row],[7]],"")</f>
        <v>1</v>
      </c>
      <c r="M589" s="52">
        <f>IF(Tabla15[[#This Row],[5]]="",0,VLOOKUP(TRAMOS!$K$2,Tabla5[#All],3,FALSE)*Tabla15[[#This Row],[6]])</f>
        <v>0.9</v>
      </c>
      <c r="N58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8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89" s="52">
        <f>IF(Tabla15[[#This Row],[8]]="",0,VLOOKUP(TRAMOS!$H$2,Tabla5[#All],3,FALSE)*Tabla15[[#This Row],[9]])</f>
        <v>0</v>
      </c>
      <c r="Q58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8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89" s="52">
        <f>IF(Tabla15[[#This Row],[11]]="",0,VLOOKUP(TRAMOS!$Q$2,Tabla5[#All],3,FALSE)*Tabla15[[#This Row],[12]])</f>
        <v>0</v>
      </c>
      <c r="T58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589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58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58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8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8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8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8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89" s="52">
        <f>IF(Tabla15[[#This Row],[20]]="",0,VLOOKUP("VRP",Tabla5[#All],3,FALSE)*Tabla15[[#This Row],[21]])</f>
        <v>0</v>
      </c>
      <c r="AC58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8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89" s="52">
        <f>IF(Tabla15[[#This Row],[23]]="",0,VLOOKUP("VC",Tabla5[#All],3,FALSE)*Tabla15[[#This Row],[24]])</f>
        <v>0</v>
      </c>
      <c r="AF58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8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89" s="52">
        <f>IF(Tabla15[[#This Row],[26]]="",0,VLOOKUP(TRAMOS!$K$2,Tabla5[#All],3,FALSE)*Tabla15[[#This Row],[27]])</f>
        <v>0</v>
      </c>
      <c r="AI58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8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8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8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8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589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58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590" spans="2:41" x14ac:dyDescent="0.25">
      <c r="B590" s="58" t="str">
        <f>Tabla1[[#This Row],[nudo inicial]]</f>
        <v>N313</v>
      </c>
      <c r="C590" s="58" t="str">
        <f>Tabla1[[#This Row],[nudo final]]</f>
        <v>TP205</v>
      </c>
      <c r="D590" s="51">
        <f>Tabla1[[#This Row],[longitud]]</f>
        <v>156.28</v>
      </c>
      <c r="E590" s="51" t="str">
        <f>Tabla1[[#This Row],[diametro]]</f>
        <v>2"</v>
      </c>
      <c r="F590" s="51" t="str">
        <f>Tabla1[[#This Row],[material]]</f>
        <v>PVC</v>
      </c>
      <c r="G59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590" s="52" t="str">
        <f>IF(Tabla1[[#This Row],[5]]="TPD",Tabla1[[#This Row],[6]],"")</f>
        <v/>
      </c>
      <c r="I590" s="52" t="str">
        <f>IF(OR(Tabla1[[#This Row],[5]]="TPD"),Tabla1[[#This Row],[7]],"")</f>
        <v/>
      </c>
      <c r="J590" s="52">
        <f>IF(Tabla15[[#This Row],[2]]="",0,VLOOKUP(TRAMOS!$H$2,Tabla5[#All],3,FALSE)*Tabla15[[#This Row],[3]])</f>
        <v>0</v>
      </c>
      <c r="K590" s="52" t="str">
        <f>IF(Tabla1[[#This Row],[5]]="TPL",Tabla1[[#This Row],[6]],"")</f>
        <v>3"</v>
      </c>
      <c r="L590" s="52">
        <f>IF(OR(Tabla1[[#This Row],[5]]="TPL"),Tabla1[[#This Row],[7]],"")</f>
        <v>1</v>
      </c>
      <c r="M590" s="52">
        <f>IF(Tabla15[[#This Row],[5]]="",0,VLOOKUP(TRAMOS!$K$2,Tabla5[#All],3,FALSE)*Tabla15[[#This Row],[6]])</f>
        <v>0.9</v>
      </c>
      <c r="N59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9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90" s="52">
        <f>IF(Tabla15[[#This Row],[8]]="",0,VLOOKUP(TRAMOS!$H$2,Tabla5[#All],3,FALSE)*Tabla15[[#This Row],[9]])</f>
        <v>0</v>
      </c>
      <c r="Q59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9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90" s="52">
        <f>IF(Tabla15[[#This Row],[11]]="",0,VLOOKUP(TRAMOS!$Q$2,Tabla5[#All],3,FALSE)*Tabla15[[#This Row],[12]])</f>
        <v>0</v>
      </c>
      <c r="T59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590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59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59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9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9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9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9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90" s="52">
        <f>IF(Tabla15[[#This Row],[20]]="",0,VLOOKUP("VRP",Tabla5[#All],3,FALSE)*Tabla15[[#This Row],[21]])</f>
        <v>0</v>
      </c>
      <c r="AC59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9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90" s="52">
        <f>IF(Tabla15[[#This Row],[23]]="",0,VLOOKUP("VC",Tabla5[#All],3,FALSE)*Tabla15[[#This Row],[24]])</f>
        <v>0</v>
      </c>
      <c r="AF59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9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90" s="52">
        <f>IF(Tabla15[[#This Row],[26]]="",0,VLOOKUP(TRAMOS!$K$2,Tabla5[#All],3,FALSE)*Tabla15[[#This Row],[27]])</f>
        <v>0</v>
      </c>
      <c r="AI59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9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9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9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9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590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59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591" spans="2:41" x14ac:dyDescent="0.25">
      <c r="B591" s="58" t="str">
        <f>Tabla1[[#This Row],[nudo inicial]]</f>
        <v>N312</v>
      </c>
      <c r="C591" s="58" t="str">
        <f>Tabla1[[#This Row],[nudo final]]</f>
        <v>N314</v>
      </c>
      <c r="D591" s="51">
        <f>Tabla1[[#This Row],[longitud]]</f>
        <v>160.62</v>
      </c>
      <c r="E591" s="51" t="str">
        <f>Tabla1[[#This Row],[diametro]]</f>
        <v>3"</v>
      </c>
      <c r="F591" s="51" t="str">
        <f>Tabla1[[#This Row],[material]]</f>
        <v>HF</v>
      </c>
      <c r="G59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591" s="52" t="str">
        <f>IF(Tabla1[[#This Row],[5]]="TPD",Tabla1[[#This Row],[6]],"")</f>
        <v/>
      </c>
      <c r="I591" s="52" t="str">
        <f>IF(OR(Tabla1[[#This Row],[5]]="TPD"),Tabla1[[#This Row],[7]],"")</f>
        <v/>
      </c>
      <c r="J591" s="52">
        <f>IF(Tabla15[[#This Row],[2]]="",0,VLOOKUP(TRAMOS!$H$2,Tabla5[#All],3,FALSE)*Tabla15[[#This Row],[3]])</f>
        <v>0</v>
      </c>
      <c r="K591" s="52" t="str">
        <f>IF(Tabla1[[#This Row],[5]]="TPL",Tabla1[[#This Row],[6]],"")</f>
        <v>3"</v>
      </c>
      <c r="L591" s="52">
        <f>IF(OR(Tabla1[[#This Row],[5]]="TPL"),Tabla1[[#This Row],[7]],"")</f>
        <v>1</v>
      </c>
      <c r="M591" s="52">
        <f>IF(Tabla15[[#This Row],[5]]="",0,VLOOKUP(TRAMOS!$K$2,Tabla5[#All],3,FALSE)*Tabla15[[#This Row],[6]])</f>
        <v>0.9</v>
      </c>
      <c r="N59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9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91" s="52">
        <f>IF(Tabla15[[#This Row],[8]]="",0,VLOOKUP(TRAMOS!$H$2,Tabla5[#All],3,FALSE)*Tabla15[[#This Row],[9]])</f>
        <v>0</v>
      </c>
      <c r="Q59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9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91" s="52">
        <f>IF(Tabla15[[#This Row],[11]]="",0,VLOOKUP(TRAMOS!$Q$2,Tabla5[#All],3,FALSE)*Tabla15[[#This Row],[12]])</f>
        <v>0</v>
      </c>
      <c r="T59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9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9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9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9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9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9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9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91" s="52">
        <f>IF(Tabla15[[#This Row],[20]]="",0,VLOOKUP("VRP",Tabla5[#All],3,FALSE)*Tabla15[[#This Row],[21]])</f>
        <v>0</v>
      </c>
      <c r="AC59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591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591" s="52">
        <f>IF(Tabla15[[#This Row],[23]]="",0,VLOOKUP("VC",Tabla5[#All],3,FALSE)*Tabla15[[#This Row],[24]])</f>
        <v>0.25</v>
      </c>
      <c r="AF59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9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91" s="52">
        <f>IF(Tabla15[[#This Row],[26]]="",0,VLOOKUP(TRAMOS!$K$2,Tabla5[#All],3,FALSE)*Tabla15[[#This Row],[27]])</f>
        <v>0</v>
      </c>
      <c r="AI59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9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9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9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9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9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9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1.1499999999999999</v>
      </c>
    </row>
    <row r="592" spans="2:41" x14ac:dyDescent="0.25">
      <c r="B592" s="58" t="str">
        <f>Tabla1[[#This Row],[nudo inicial]]</f>
        <v>N314</v>
      </c>
      <c r="C592" s="58" t="str">
        <f>Tabla1[[#This Row],[nudo final]]</f>
        <v>N315</v>
      </c>
      <c r="D592" s="51">
        <f>Tabla1[[#This Row],[longitud]]</f>
        <v>9.08</v>
      </c>
      <c r="E592" s="51" t="str">
        <f>Tabla1[[#This Row],[diametro]]</f>
        <v>3"</v>
      </c>
      <c r="F592" s="51" t="str">
        <f>Tabla1[[#This Row],[material]]</f>
        <v>HF</v>
      </c>
      <c r="G59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592" s="52" t="str">
        <f>IF(Tabla1[[#This Row],[5]]="TPD",Tabla1[[#This Row],[6]],"")</f>
        <v/>
      </c>
      <c r="I592" s="52" t="str">
        <f>IF(OR(Tabla1[[#This Row],[5]]="TPD"),Tabla1[[#This Row],[7]],"")</f>
        <v/>
      </c>
      <c r="J592" s="52">
        <f>IF(Tabla15[[#This Row],[2]]="",0,VLOOKUP(TRAMOS!$H$2,Tabla5[#All],3,FALSE)*Tabla15[[#This Row],[3]])</f>
        <v>0</v>
      </c>
      <c r="K592" s="52" t="str">
        <f>IF(Tabla1[[#This Row],[5]]="TPL",Tabla1[[#This Row],[6]],"")</f>
        <v>3"</v>
      </c>
      <c r="L592" s="52">
        <f>IF(OR(Tabla1[[#This Row],[5]]="TPL"),Tabla1[[#This Row],[7]],"")</f>
        <v>1</v>
      </c>
      <c r="M592" s="52">
        <f>IF(Tabla15[[#This Row],[5]]="",0,VLOOKUP(TRAMOS!$K$2,Tabla5[#All],3,FALSE)*Tabla15[[#This Row],[6]])</f>
        <v>0.9</v>
      </c>
      <c r="N59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9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92" s="52">
        <f>IF(Tabla15[[#This Row],[8]]="",0,VLOOKUP(TRAMOS!$H$2,Tabla5[#All],3,FALSE)*Tabla15[[#This Row],[9]])</f>
        <v>0</v>
      </c>
      <c r="Q59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9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92" s="52">
        <f>IF(Tabla15[[#This Row],[11]]="",0,VLOOKUP(TRAMOS!$Q$2,Tabla5[#All],3,FALSE)*Tabla15[[#This Row],[12]])</f>
        <v>0</v>
      </c>
      <c r="T59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9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9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9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9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9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9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9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92" s="52">
        <f>IF(Tabla15[[#This Row],[20]]="",0,VLOOKUP("VRP",Tabla5[#All],3,FALSE)*Tabla15[[#This Row],[21]])</f>
        <v>0</v>
      </c>
      <c r="AC59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9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92" s="52">
        <f>IF(Tabla15[[#This Row],[23]]="",0,VLOOKUP("VC",Tabla5[#All],3,FALSE)*Tabla15[[#This Row],[24]])</f>
        <v>0</v>
      </c>
      <c r="AF59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9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92" s="52">
        <f>IF(Tabla15[[#This Row],[26]]="",0,VLOOKUP(TRAMOS!$K$2,Tabla5[#All],3,FALSE)*Tabla15[[#This Row],[27]])</f>
        <v>0</v>
      </c>
      <c r="AI59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9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9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9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9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9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9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593" spans="2:41" x14ac:dyDescent="0.25">
      <c r="B593" s="58" t="str">
        <f>Tabla1[[#This Row],[nudo inicial]]</f>
        <v>N315</v>
      </c>
      <c r="C593" s="58" t="str">
        <f>Tabla1[[#This Row],[nudo final]]</f>
        <v>TP206</v>
      </c>
      <c r="D593" s="51">
        <f>Tabla1[[#This Row],[longitud]]</f>
        <v>35.58</v>
      </c>
      <c r="E593" s="51" t="str">
        <f>Tabla1[[#This Row],[diametro]]</f>
        <v>3"</v>
      </c>
      <c r="F593" s="51" t="str">
        <f>Tabla1[[#This Row],[material]]</f>
        <v>HG</v>
      </c>
      <c r="G59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593" s="52" t="str">
        <f>IF(Tabla1[[#This Row],[5]]="TPD",Tabla1[[#This Row],[6]],"")</f>
        <v>3"</v>
      </c>
      <c r="I593" s="52">
        <f>IF(OR(Tabla1[[#This Row],[5]]="TPD"),Tabla1[[#This Row],[7]],"")</f>
        <v>1</v>
      </c>
      <c r="J593" s="52">
        <f>IF(Tabla15[[#This Row],[2]]="",0,VLOOKUP(TRAMOS!$H$2,Tabla5[#All],3,FALSE)*Tabla15[[#This Row],[3]])</f>
        <v>0.15</v>
      </c>
      <c r="K593" s="52" t="str">
        <f>IF(Tabla1[[#This Row],[5]]="TPL",Tabla1[[#This Row],[6]],"")</f>
        <v/>
      </c>
      <c r="L593" s="52" t="str">
        <f>IF(OR(Tabla1[[#This Row],[5]]="TPL"),Tabla1[[#This Row],[7]],"")</f>
        <v/>
      </c>
      <c r="M593" s="52">
        <f>IF(Tabla15[[#This Row],[5]]="",0,VLOOKUP(TRAMOS!$K$2,Tabla5[#All],3,FALSE)*Tabla15[[#This Row],[6]])</f>
        <v>0</v>
      </c>
      <c r="N59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9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93" s="52">
        <f>IF(Tabla15[[#This Row],[8]]="",0,VLOOKUP(TRAMOS!$H$2,Tabla5[#All],3,FALSE)*Tabla15[[#This Row],[9]])</f>
        <v>0</v>
      </c>
      <c r="Q59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9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93" s="52">
        <f>IF(Tabla15[[#This Row],[11]]="",0,VLOOKUP(TRAMOS!$Q$2,Tabla5[#All],3,FALSE)*Tabla15[[#This Row],[12]])</f>
        <v>0</v>
      </c>
      <c r="T59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593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59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59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9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9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9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9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93" s="52">
        <f>IF(Tabla15[[#This Row],[20]]="",0,VLOOKUP("VRP",Tabla5[#All],3,FALSE)*Tabla15[[#This Row],[21]])</f>
        <v>0</v>
      </c>
      <c r="AC59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9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93" s="52">
        <f>IF(Tabla15[[#This Row],[23]]="",0,VLOOKUP("VC",Tabla5[#All],3,FALSE)*Tabla15[[#This Row],[24]])</f>
        <v>0</v>
      </c>
      <c r="AF59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9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93" s="52">
        <f>IF(Tabla15[[#This Row],[26]]="",0,VLOOKUP(TRAMOS!$K$2,Tabla5[#All],3,FALSE)*Tabla15[[#This Row],[27]])</f>
        <v>0</v>
      </c>
      <c r="AI59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9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9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9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9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593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59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0.36499999999999999</v>
      </c>
    </row>
    <row r="594" spans="2:41" x14ac:dyDescent="0.25">
      <c r="B594" s="58" t="str">
        <f>Tabla1[[#This Row],[nudo inicial]]</f>
        <v>N314</v>
      </c>
      <c r="C594" s="58" t="str">
        <f>Tabla1[[#This Row],[nudo final]]</f>
        <v>N316</v>
      </c>
      <c r="D594" s="51">
        <f>Tabla1[[#This Row],[longitud]]</f>
        <v>166.52</v>
      </c>
      <c r="E594" s="51" t="str">
        <f>Tabla1[[#This Row],[diametro]]</f>
        <v>3"</v>
      </c>
      <c r="F594" s="51" t="str">
        <f>Tabla1[[#This Row],[material]]</f>
        <v>HF</v>
      </c>
      <c r="G59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594" s="52" t="str">
        <f>IF(Tabla1[[#This Row],[5]]="TPD",Tabla1[[#This Row],[6]],"")</f>
        <v/>
      </c>
      <c r="I594" s="52" t="str">
        <f>IF(OR(Tabla1[[#This Row],[5]]="TPD"),Tabla1[[#This Row],[7]],"")</f>
        <v/>
      </c>
      <c r="J594" s="52">
        <f>IF(Tabla15[[#This Row],[2]]="",0,VLOOKUP(TRAMOS!$H$2,Tabla5[#All],3,FALSE)*Tabla15[[#This Row],[3]])</f>
        <v>0</v>
      </c>
      <c r="K594" s="52" t="str">
        <f>IF(Tabla1[[#This Row],[5]]="TPL",Tabla1[[#This Row],[6]],"")</f>
        <v>3"</v>
      </c>
      <c r="L594" s="52">
        <f>IF(OR(Tabla1[[#This Row],[5]]="TPL"),Tabla1[[#This Row],[7]],"")</f>
        <v>1</v>
      </c>
      <c r="M594" s="52">
        <f>IF(Tabla15[[#This Row],[5]]="",0,VLOOKUP(TRAMOS!$K$2,Tabla5[#All],3,FALSE)*Tabla15[[#This Row],[6]])</f>
        <v>0.9</v>
      </c>
      <c r="N59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9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94" s="52">
        <f>IF(Tabla15[[#This Row],[8]]="",0,VLOOKUP(TRAMOS!$H$2,Tabla5[#All],3,FALSE)*Tabla15[[#This Row],[9]])</f>
        <v>0</v>
      </c>
      <c r="Q59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9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94" s="52">
        <f>IF(Tabla15[[#This Row],[11]]="",0,VLOOKUP(TRAMOS!$Q$2,Tabla5[#All],3,FALSE)*Tabla15[[#This Row],[12]])</f>
        <v>0</v>
      </c>
      <c r="T59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9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9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9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>6"</v>
      </c>
      <c r="X594" s="52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>1</v>
      </c>
      <c r="Y59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0.68</v>
      </c>
      <c r="Z59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9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94" s="52">
        <f>IF(Tabla15[[#This Row],[20]]="",0,VLOOKUP("VRP",Tabla5[#All],3,FALSE)*Tabla15[[#This Row],[21]])</f>
        <v>0</v>
      </c>
      <c r="AC59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9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94" s="52">
        <f>IF(Tabla15[[#This Row],[23]]="",0,VLOOKUP("VC",Tabla5[#All],3,FALSE)*Tabla15[[#This Row],[24]])</f>
        <v>0</v>
      </c>
      <c r="AF59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9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94" s="52">
        <f>IF(Tabla15[[#This Row],[26]]="",0,VLOOKUP(TRAMOS!$K$2,Tabla5[#All],3,FALSE)*Tabla15[[#This Row],[27]])</f>
        <v>0</v>
      </c>
      <c r="AI59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9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9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9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9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9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9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1.58</v>
      </c>
    </row>
    <row r="595" spans="2:41" x14ac:dyDescent="0.25">
      <c r="B595" s="58" t="str">
        <f>Tabla1[[#This Row],[nudo inicial]]</f>
        <v>N310</v>
      </c>
      <c r="C595" s="58" t="str">
        <f>Tabla1[[#This Row],[nudo final]]</f>
        <v>N316</v>
      </c>
      <c r="D595" s="51">
        <f>Tabla1[[#This Row],[longitud]]</f>
        <v>134.69999999999999</v>
      </c>
      <c r="E595" s="51" t="str">
        <f>Tabla1[[#This Row],[diametro]]</f>
        <v>6"</v>
      </c>
      <c r="F595" s="51" t="str">
        <f>Tabla1[[#This Row],[material]]</f>
        <v>HF</v>
      </c>
      <c r="G59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595" s="52" t="str">
        <f>IF(Tabla1[[#This Row],[5]]="TPD",Tabla1[[#This Row],[6]],"")</f>
        <v/>
      </c>
      <c r="I595" s="52" t="str">
        <f>IF(OR(Tabla1[[#This Row],[5]]="TPD"),Tabla1[[#This Row],[7]],"")</f>
        <v/>
      </c>
      <c r="J595" s="52">
        <f>IF(Tabla15[[#This Row],[2]]="",0,VLOOKUP(TRAMOS!$H$2,Tabla5[#All],3,FALSE)*Tabla15[[#This Row],[3]])</f>
        <v>0</v>
      </c>
      <c r="K595" s="52" t="str">
        <f>IF(Tabla1[[#This Row],[5]]="TPL",Tabla1[[#This Row],[6]],"")</f>
        <v/>
      </c>
      <c r="L595" s="52" t="str">
        <f>IF(OR(Tabla1[[#This Row],[5]]="TPL"),Tabla1[[#This Row],[7]],"")</f>
        <v/>
      </c>
      <c r="M595" s="52">
        <f>IF(Tabla15[[#This Row],[5]]="",0,VLOOKUP(TRAMOS!$K$2,Tabla5[#All],3,FALSE)*Tabla15[[#This Row],[6]])</f>
        <v>0</v>
      </c>
      <c r="N59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6"</v>
      </c>
      <c r="O595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595" s="52">
        <f>IF(Tabla15[[#This Row],[8]]="",0,VLOOKUP(TRAMOS!$H$2,Tabla5[#All],3,FALSE)*Tabla15[[#This Row],[9]])</f>
        <v>0.15</v>
      </c>
      <c r="Q59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9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95" s="52">
        <f>IF(Tabla15[[#This Row],[11]]="",0,VLOOKUP(TRAMOS!$Q$2,Tabla5[#All],3,FALSE)*Tabla15[[#This Row],[12]])</f>
        <v>0</v>
      </c>
      <c r="T59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9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9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9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9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9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9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9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95" s="52">
        <f>IF(Tabla15[[#This Row],[20]]="",0,VLOOKUP("VRP",Tabla5[#All],3,FALSE)*Tabla15[[#This Row],[21]])</f>
        <v>0</v>
      </c>
      <c r="AC59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6"</v>
      </c>
      <c r="AD595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595" s="52">
        <f>IF(Tabla15[[#This Row],[23]]="",0,VLOOKUP("VC",Tabla5[#All],3,FALSE)*Tabla15[[#This Row],[24]])</f>
        <v>0.25</v>
      </c>
      <c r="AF59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9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95" s="52">
        <f>IF(Tabla15[[#This Row],[26]]="",0,VLOOKUP(TRAMOS!$K$2,Tabla5[#All],3,FALSE)*Tabla15[[#This Row],[27]])</f>
        <v>0</v>
      </c>
      <c r="AI59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9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9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9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9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9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9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0.4</v>
      </c>
    </row>
    <row r="596" spans="2:41" x14ac:dyDescent="0.25">
      <c r="B596" s="58" t="str">
        <f>Tabla1[[#This Row],[nudo inicial]]</f>
        <v>N316</v>
      </c>
      <c r="C596" s="58" t="str">
        <f>Tabla1[[#This Row],[nudo final]]</f>
        <v>N317</v>
      </c>
      <c r="D596" s="51">
        <f>Tabla1[[#This Row],[longitud]]</f>
        <v>137.05000000000001</v>
      </c>
      <c r="E596" s="51" t="str">
        <f>Tabla1[[#This Row],[diametro]]</f>
        <v>3"</v>
      </c>
      <c r="F596" s="51" t="str">
        <f>Tabla1[[#This Row],[material]]</f>
        <v>HF</v>
      </c>
      <c r="G59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596" s="52" t="str">
        <f>IF(Tabla1[[#This Row],[5]]="TPD",Tabla1[[#This Row],[6]],"")</f>
        <v/>
      </c>
      <c r="I596" s="52" t="str">
        <f>IF(OR(Tabla1[[#This Row],[5]]="TPD"),Tabla1[[#This Row],[7]],"")</f>
        <v/>
      </c>
      <c r="J596" s="52">
        <f>IF(Tabla15[[#This Row],[2]]="",0,VLOOKUP(TRAMOS!$H$2,Tabla5[#All],3,FALSE)*Tabla15[[#This Row],[3]])</f>
        <v>0</v>
      </c>
      <c r="K596" s="52" t="str">
        <f>IF(Tabla1[[#This Row],[5]]="TPL",Tabla1[[#This Row],[6]],"")</f>
        <v/>
      </c>
      <c r="L596" s="52" t="str">
        <f>IF(OR(Tabla1[[#This Row],[5]]="TPL"),Tabla1[[#This Row],[7]],"")</f>
        <v/>
      </c>
      <c r="M596" s="52">
        <f>IF(Tabla15[[#This Row],[5]]="",0,VLOOKUP(TRAMOS!$K$2,Tabla5[#All],3,FALSE)*Tabla15[[#This Row],[6]])</f>
        <v>0</v>
      </c>
      <c r="N59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6"</v>
      </c>
      <c r="O596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596" s="52">
        <f>IF(Tabla15[[#This Row],[8]]="",0,VLOOKUP(TRAMOS!$H$2,Tabla5[#All],3,FALSE)*Tabla15[[#This Row],[9]])</f>
        <v>0.15</v>
      </c>
      <c r="Q59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9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96" s="52">
        <f>IF(Tabla15[[#This Row],[11]]="",0,VLOOKUP(TRAMOS!$Q$2,Tabla5[#All],3,FALSE)*Tabla15[[#This Row],[12]])</f>
        <v>0</v>
      </c>
      <c r="T59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596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59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59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9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9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9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9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96" s="52">
        <f>IF(Tabla15[[#This Row],[20]]="",0,VLOOKUP("VRP",Tabla5[#All],3,FALSE)*Tabla15[[#This Row],[21]])</f>
        <v>0</v>
      </c>
      <c r="AC59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596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596" s="52">
        <f>IF(Tabla15[[#This Row],[23]]="",0,VLOOKUP("VC",Tabla5[#All],3,FALSE)*Tabla15[[#This Row],[24]])</f>
        <v>0.25</v>
      </c>
      <c r="AF59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9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96" s="52">
        <f>IF(Tabla15[[#This Row],[26]]="",0,VLOOKUP(TRAMOS!$K$2,Tabla5[#All],3,FALSE)*Tabla15[[#This Row],[27]])</f>
        <v>0</v>
      </c>
      <c r="AI59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9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9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9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9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9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9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0.77</v>
      </c>
    </row>
    <row r="597" spans="2:41" x14ac:dyDescent="0.25">
      <c r="B597" s="58" t="str">
        <f>Tabla1[[#This Row],[nudo inicial]]</f>
        <v>N309</v>
      </c>
      <c r="C597" s="58" t="str">
        <f>Tabla1[[#This Row],[nudo final]]</f>
        <v>N317</v>
      </c>
      <c r="D597" s="51">
        <f>Tabla1[[#This Row],[longitud]]</f>
        <v>135.47</v>
      </c>
      <c r="E597" s="51" t="str">
        <f>Tabla1[[#This Row],[diametro]]</f>
        <v>3"</v>
      </c>
      <c r="F597" s="51" t="str">
        <f>Tabla1[[#This Row],[material]]</f>
        <v>PVC</v>
      </c>
      <c r="G59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597" s="52" t="str">
        <f>IF(Tabla1[[#This Row],[5]]="TPD",Tabla1[[#This Row],[6]],"")</f>
        <v/>
      </c>
      <c r="I597" s="52" t="str">
        <f>IF(OR(Tabla1[[#This Row],[5]]="TPD"),Tabla1[[#This Row],[7]],"")</f>
        <v/>
      </c>
      <c r="J597" s="52">
        <f>IF(Tabla15[[#This Row],[2]]="",0,VLOOKUP(TRAMOS!$H$2,Tabla5[#All],3,FALSE)*Tabla15[[#This Row],[3]])</f>
        <v>0</v>
      </c>
      <c r="K597" s="52" t="str">
        <f>IF(Tabla1[[#This Row],[5]]="TPL",Tabla1[[#This Row],[6]],"")</f>
        <v/>
      </c>
      <c r="L597" s="52" t="str">
        <f>IF(OR(Tabla1[[#This Row],[5]]="TPL"),Tabla1[[#This Row],[7]],"")</f>
        <v/>
      </c>
      <c r="M597" s="52">
        <f>IF(Tabla15[[#This Row],[5]]="",0,VLOOKUP(TRAMOS!$K$2,Tabla5[#All],3,FALSE)*Tabla15[[#This Row],[6]])</f>
        <v>0</v>
      </c>
      <c r="N59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6"</v>
      </c>
      <c r="O597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597" s="52">
        <f>IF(Tabla15[[#This Row],[8]]="",0,VLOOKUP(TRAMOS!$H$2,Tabla5[#All],3,FALSE)*Tabla15[[#This Row],[9]])</f>
        <v>0.15</v>
      </c>
      <c r="Q59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9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97" s="52">
        <f>IF(Tabla15[[#This Row],[11]]="",0,VLOOKUP(TRAMOS!$Q$2,Tabla5[#All],3,FALSE)*Tabla15[[#This Row],[12]])</f>
        <v>0</v>
      </c>
      <c r="T59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597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59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59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9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9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9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9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97" s="52">
        <f>IF(Tabla15[[#This Row],[20]]="",0,VLOOKUP("VRP",Tabla5[#All],3,FALSE)*Tabla15[[#This Row],[21]])</f>
        <v>0</v>
      </c>
      <c r="AC59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597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597" s="52">
        <f>IF(Tabla15[[#This Row],[23]]="",0,VLOOKUP("VC",Tabla5[#All],3,FALSE)*Tabla15[[#This Row],[24]])</f>
        <v>0.25</v>
      </c>
      <c r="AF59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9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97" s="52">
        <f>IF(Tabla15[[#This Row],[26]]="",0,VLOOKUP(TRAMOS!$K$2,Tabla5[#All],3,FALSE)*Tabla15[[#This Row],[27]])</f>
        <v>0</v>
      </c>
      <c r="AI59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9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9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9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9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9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9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0.77</v>
      </c>
    </row>
    <row r="598" spans="2:41" x14ac:dyDescent="0.25">
      <c r="B598" s="58" t="str">
        <f>Tabla1[[#This Row],[nudo inicial]]</f>
        <v>N317</v>
      </c>
      <c r="C598" s="58" t="str">
        <f>Tabla1[[#This Row],[nudo final]]</f>
        <v>N318</v>
      </c>
      <c r="D598" s="51">
        <f>Tabla1[[#This Row],[longitud]]</f>
        <v>95.07</v>
      </c>
      <c r="E598" s="51" t="str">
        <f>Tabla1[[#This Row],[diametro]]</f>
        <v>3"</v>
      </c>
      <c r="F598" s="51" t="str">
        <f>Tabla1[[#This Row],[material]]</f>
        <v>HF</v>
      </c>
      <c r="G59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598" s="52" t="str">
        <f>IF(Tabla1[[#This Row],[5]]="TPD",Tabla1[[#This Row],[6]],"")</f>
        <v/>
      </c>
      <c r="I598" s="52" t="str">
        <f>IF(OR(Tabla1[[#This Row],[5]]="TPD"),Tabla1[[#This Row],[7]],"")</f>
        <v/>
      </c>
      <c r="J598" s="52">
        <f>IF(Tabla15[[#This Row],[2]]="",0,VLOOKUP(TRAMOS!$H$2,Tabla5[#All],3,FALSE)*Tabla15[[#This Row],[3]])</f>
        <v>0</v>
      </c>
      <c r="K598" s="52" t="str">
        <f>IF(Tabla1[[#This Row],[5]]="TPL",Tabla1[[#This Row],[6]],"")</f>
        <v/>
      </c>
      <c r="L598" s="52" t="str">
        <f>IF(OR(Tabla1[[#This Row],[5]]="TPL"),Tabla1[[#This Row],[7]],"")</f>
        <v/>
      </c>
      <c r="M598" s="52">
        <f>IF(Tabla15[[#This Row],[5]]="",0,VLOOKUP(TRAMOS!$K$2,Tabla5[#All],3,FALSE)*Tabla15[[#This Row],[6]])</f>
        <v>0</v>
      </c>
      <c r="N59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3"</v>
      </c>
      <c r="O598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598" s="52">
        <f>IF(Tabla15[[#This Row],[8]]="",0,VLOOKUP(TRAMOS!$H$2,Tabla5[#All],3,FALSE)*Tabla15[[#This Row],[9]])</f>
        <v>0.15</v>
      </c>
      <c r="Q59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9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98" s="52">
        <f>IF(Tabla15[[#This Row],[11]]="",0,VLOOKUP(TRAMOS!$Q$2,Tabla5[#All],3,FALSE)*Tabla15[[#This Row],[12]])</f>
        <v>0</v>
      </c>
      <c r="T59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9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9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9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59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59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59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9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98" s="52">
        <f>IF(Tabla15[[#This Row],[20]]="",0,VLOOKUP("VRP",Tabla5[#All],3,FALSE)*Tabla15[[#This Row],[21]])</f>
        <v>0</v>
      </c>
      <c r="AC59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598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598" s="52">
        <f>IF(Tabla15[[#This Row],[23]]="",0,VLOOKUP("VC",Tabla5[#All],3,FALSE)*Tabla15[[#This Row],[24]])</f>
        <v>0.25</v>
      </c>
      <c r="AF59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9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98" s="52">
        <f>IF(Tabla15[[#This Row],[26]]="",0,VLOOKUP(TRAMOS!$K$2,Tabla5[#All],3,FALSE)*Tabla15[[#This Row],[27]])</f>
        <v>0</v>
      </c>
      <c r="AI59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9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9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9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9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59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59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0.4</v>
      </c>
    </row>
    <row r="599" spans="2:41" x14ac:dyDescent="0.25">
      <c r="B599" s="58" t="str">
        <f>Tabla1[[#This Row],[nudo inicial]]</f>
        <v>N318</v>
      </c>
      <c r="C599" s="58" t="str">
        <f>Tabla1[[#This Row],[nudo final]]</f>
        <v>TP 207</v>
      </c>
      <c r="D599" s="51">
        <f>Tabla1[[#This Row],[longitud]]</f>
        <v>71.959999999999994</v>
      </c>
      <c r="E599" s="51" t="str">
        <f>Tabla1[[#This Row],[diametro]]</f>
        <v>4"</v>
      </c>
      <c r="F599" s="51" t="str">
        <f>Tabla1[[#This Row],[material]]</f>
        <v>HF</v>
      </c>
      <c r="G59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599" s="52" t="str">
        <f>IF(Tabla1[[#This Row],[5]]="TPD",Tabla1[[#This Row],[6]],"")</f>
        <v/>
      </c>
      <c r="I599" s="52" t="str">
        <f>IF(OR(Tabla1[[#This Row],[5]]="TPD"),Tabla1[[#This Row],[7]],"")</f>
        <v/>
      </c>
      <c r="J599" s="52">
        <f>IF(Tabla15[[#This Row],[2]]="",0,VLOOKUP(TRAMOS!$H$2,Tabla5[#All],3,FALSE)*Tabla15[[#This Row],[3]])</f>
        <v>0</v>
      </c>
      <c r="K599" s="52" t="str">
        <f>IF(Tabla1[[#This Row],[5]]="TPL",Tabla1[[#This Row],[6]],"")</f>
        <v>3"</v>
      </c>
      <c r="L599" s="52">
        <f>IF(OR(Tabla1[[#This Row],[5]]="TPL"),Tabla1[[#This Row],[7]],"")</f>
        <v>1</v>
      </c>
      <c r="M599" s="52">
        <f>IF(Tabla15[[#This Row],[5]]="",0,VLOOKUP(TRAMOS!$K$2,Tabla5[#All],3,FALSE)*Tabla15[[#This Row],[6]])</f>
        <v>0.9</v>
      </c>
      <c r="N59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59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599" s="52">
        <f>IF(Tabla15[[#This Row],[8]]="",0,VLOOKUP(TRAMOS!$H$2,Tabla5[#All],3,FALSE)*Tabla15[[#This Row],[9]])</f>
        <v>0</v>
      </c>
      <c r="Q59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59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599" s="52">
        <f>IF(Tabla15[[#This Row],[11]]="",0,VLOOKUP(TRAMOS!$Q$2,Tabla5[#All],3,FALSE)*Tabla15[[#This Row],[12]])</f>
        <v>0</v>
      </c>
      <c r="T59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59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59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59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>4"</v>
      </c>
      <c r="X599" s="52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>1</v>
      </c>
      <c r="Y59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0.4740000000000002</v>
      </c>
      <c r="Z59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59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599" s="52">
        <f>IF(Tabla15[[#This Row],[20]]="",0,VLOOKUP("VRP",Tabla5[#All],3,FALSE)*Tabla15[[#This Row],[21]])</f>
        <v>0</v>
      </c>
      <c r="AC59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59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599" s="52">
        <f>IF(Tabla15[[#This Row],[23]]="",0,VLOOKUP("VC",Tabla5[#All],3,FALSE)*Tabla15[[#This Row],[24]])</f>
        <v>0</v>
      </c>
      <c r="AF59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59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599" s="52">
        <f>IF(Tabla15[[#This Row],[26]]="",0,VLOOKUP(TRAMOS!$K$2,Tabla5[#All],3,FALSE)*Tabla15[[#This Row],[27]])</f>
        <v>0</v>
      </c>
      <c r="AI59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59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59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59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59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4"</v>
      </c>
      <c r="AN599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59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1.3740000000000001</v>
      </c>
    </row>
    <row r="600" spans="2:41" x14ac:dyDescent="0.25">
      <c r="B600" s="58" t="str">
        <f>Tabla1[[#This Row],[nudo inicial]]</f>
        <v>N318</v>
      </c>
      <c r="C600" s="58" t="str">
        <f>Tabla1[[#This Row],[nudo final]]</f>
        <v>N319</v>
      </c>
      <c r="D600" s="51">
        <f>Tabla1[[#This Row],[longitud]]</f>
        <v>45.91</v>
      </c>
      <c r="E600" s="51" t="str">
        <f>Tabla1[[#This Row],[diametro]]</f>
        <v>3"</v>
      </c>
      <c r="F600" s="51" t="str">
        <f>Tabla1[[#This Row],[material]]</f>
        <v>HF</v>
      </c>
      <c r="G60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00" s="52" t="str">
        <f>IF(Tabla1[[#This Row],[5]]="TPD",Tabla1[[#This Row],[6]],"")</f>
        <v>3"</v>
      </c>
      <c r="I600" s="52">
        <f>IF(OR(Tabla1[[#This Row],[5]]="TPD"),Tabla1[[#This Row],[7]],"")</f>
        <v>1</v>
      </c>
      <c r="J600" s="52">
        <f>IF(Tabla15[[#This Row],[2]]="",0,VLOOKUP(TRAMOS!$H$2,Tabla5[#All],3,FALSE)*Tabla15[[#This Row],[3]])</f>
        <v>0.15</v>
      </c>
      <c r="K600" s="52" t="str">
        <f>IF(Tabla1[[#This Row],[5]]="TPL",Tabla1[[#This Row],[6]],"")</f>
        <v/>
      </c>
      <c r="L600" s="52" t="str">
        <f>IF(OR(Tabla1[[#This Row],[5]]="TPL"),Tabla1[[#This Row],[7]],"")</f>
        <v/>
      </c>
      <c r="M600" s="52">
        <f>IF(Tabla15[[#This Row],[5]]="",0,VLOOKUP(TRAMOS!$K$2,Tabla5[#All],3,FALSE)*Tabla15[[#This Row],[6]])</f>
        <v>0</v>
      </c>
      <c r="N60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0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00" s="52">
        <f>IF(Tabla15[[#This Row],[8]]="",0,VLOOKUP(TRAMOS!$H$2,Tabla5[#All],3,FALSE)*Tabla15[[#This Row],[9]])</f>
        <v>0</v>
      </c>
      <c r="Q60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0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00" s="52">
        <f>IF(Tabla15[[#This Row],[11]]="",0,VLOOKUP(TRAMOS!$Q$2,Tabla5[#All],3,FALSE)*Tabla15[[#This Row],[12]])</f>
        <v>0</v>
      </c>
      <c r="T60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0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0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0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>4"</v>
      </c>
      <c r="X600" s="52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>1</v>
      </c>
      <c r="Y60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0.4740000000000002</v>
      </c>
      <c r="Z60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0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00" s="52">
        <f>IF(Tabla15[[#This Row],[20]]="",0,VLOOKUP("VRP",Tabla5[#All],3,FALSE)*Tabla15[[#This Row],[21]])</f>
        <v>0</v>
      </c>
      <c r="AC60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0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00" s="52">
        <f>IF(Tabla15[[#This Row],[23]]="",0,VLOOKUP("VC",Tabla5[#All],3,FALSE)*Tabla15[[#This Row],[24]])</f>
        <v>0</v>
      </c>
      <c r="AF60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0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00" s="52">
        <f>IF(Tabla15[[#This Row],[26]]="",0,VLOOKUP(TRAMOS!$K$2,Tabla5[#All],3,FALSE)*Tabla15[[#This Row],[27]])</f>
        <v>0</v>
      </c>
      <c r="AI60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0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00" s="52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>0</v>
      </c>
      <c r="AL600" s="52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>1</v>
      </c>
      <c r="AM60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0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0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0.62400000000000022</v>
      </c>
    </row>
    <row r="601" spans="2:41" x14ac:dyDescent="0.25">
      <c r="B601" s="58" t="str">
        <f>Tabla1[[#This Row],[nudo inicial]]</f>
        <v>N302</v>
      </c>
      <c r="C601" s="58" t="str">
        <f>Tabla1[[#This Row],[nudo final]]</f>
        <v>N319</v>
      </c>
      <c r="D601" s="51">
        <f>Tabla1[[#This Row],[longitud]]</f>
        <v>133.57</v>
      </c>
      <c r="E601" s="51" t="str">
        <f>Tabla1[[#This Row],[diametro]]</f>
        <v>4"</v>
      </c>
      <c r="F601" s="51" t="str">
        <f>Tabla1[[#This Row],[material]]</f>
        <v>HF</v>
      </c>
      <c r="G60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601" s="52" t="str">
        <f>IF(Tabla1[[#This Row],[5]]="TPD",Tabla1[[#This Row],[6]],"")</f>
        <v/>
      </c>
      <c r="I601" s="52" t="str">
        <f>IF(OR(Tabla1[[#This Row],[5]]="TPD"),Tabla1[[#This Row],[7]],"")</f>
        <v/>
      </c>
      <c r="J601" s="52">
        <f>IF(Tabla15[[#This Row],[2]]="",0,VLOOKUP(TRAMOS!$H$2,Tabla5[#All],3,FALSE)*Tabla15[[#This Row],[3]])</f>
        <v>0</v>
      </c>
      <c r="K601" s="52" t="str">
        <f>IF(Tabla1[[#This Row],[5]]="TPL",Tabla1[[#This Row],[6]],"")</f>
        <v/>
      </c>
      <c r="L601" s="52" t="str">
        <f>IF(OR(Tabla1[[#This Row],[5]]="TPL"),Tabla1[[#This Row],[7]],"")</f>
        <v/>
      </c>
      <c r="M601" s="52">
        <f>IF(Tabla15[[#This Row],[5]]="",0,VLOOKUP(TRAMOS!$K$2,Tabla5[#All],3,FALSE)*Tabla15[[#This Row],[6]])</f>
        <v>0</v>
      </c>
      <c r="N60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4"</v>
      </c>
      <c r="O601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601" s="52">
        <f>IF(Tabla15[[#This Row],[8]]="",0,VLOOKUP(TRAMOS!$H$2,Tabla5[#All],3,FALSE)*Tabla15[[#This Row],[9]])</f>
        <v>0.15</v>
      </c>
      <c r="Q60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0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01" s="52">
        <f>IF(Tabla15[[#This Row],[11]]="",0,VLOOKUP(TRAMOS!$Q$2,Tabla5[#All],3,FALSE)*Tabla15[[#This Row],[12]])</f>
        <v>0</v>
      </c>
      <c r="T60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0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0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0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0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0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0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0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01" s="52">
        <f>IF(Tabla15[[#This Row],[20]]="",0,VLOOKUP("VRP",Tabla5[#All],3,FALSE)*Tabla15[[#This Row],[21]])</f>
        <v>0</v>
      </c>
      <c r="AC60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4"</v>
      </c>
      <c r="AD601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601" s="52">
        <f>IF(Tabla15[[#This Row],[23]]="",0,VLOOKUP("VC",Tabla5[#All],3,FALSE)*Tabla15[[#This Row],[24]])</f>
        <v>0.25</v>
      </c>
      <c r="AF60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0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01" s="52">
        <f>IF(Tabla15[[#This Row],[26]]="",0,VLOOKUP(TRAMOS!$K$2,Tabla5[#All],3,FALSE)*Tabla15[[#This Row],[27]])</f>
        <v>0</v>
      </c>
      <c r="AI60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0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0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0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0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0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0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0.4</v>
      </c>
    </row>
    <row r="602" spans="2:41" x14ac:dyDescent="0.25">
      <c r="B602" s="58" t="str">
        <f>Tabla1[[#This Row],[nudo inicial]]</f>
        <v>N319</v>
      </c>
      <c r="C602" s="58" t="str">
        <f>Tabla1[[#This Row],[nudo final]]</f>
        <v>N320</v>
      </c>
      <c r="D602" s="51">
        <f>Tabla1[[#This Row],[longitud]]</f>
        <v>9.73</v>
      </c>
      <c r="E602" s="51" t="str">
        <f>Tabla1[[#This Row],[diametro]]</f>
        <v>3"</v>
      </c>
      <c r="F602" s="51" t="str">
        <f>Tabla1[[#This Row],[material]]</f>
        <v>HF</v>
      </c>
      <c r="G60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602" s="52" t="str">
        <f>IF(Tabla1[[#This Row],[5]]="TPD",Tabla1[[#This Row],[6]],"")</f>
        <v/>
      </c>
      <c r="I602" s="52" t="str">
        <f>IF(OR(Tabla1[[#This Row],[5]]="TPD"),Tabla1[[#This Row],[7]],"")</f>
        <v/>
      </c>
      <c r="J602" s="52">
        <f>IF(Tabla15[[#This Row],[2]]="",0,VLOOKUP(TRAMOS!$H$2,Tabla5[#All],3,FALSE)*Tabla15[[#This Row],[3]])</f>
        <v>0</v>
      </c>
      <c r="K602" s="52" t="str">
        <f>IF(Tabla1[[#This Row],[5]]="TPL",Tabla1[[#This Row],[6]],"")</f>
        <v/>
      </c>
      <c r="L602" s="52" t="str">
        <f>IF(OR(Tabla1[[#This Row],[5]]="TPL"),Tabla1[[#This Row],[7]],"")</f>
        <v/>
      </c>
      <c r="M602" s="52">
        <f>IF(Tabla15[[#This Row],[5]]="",0,VLOOKUP(TRAMOS!$K$2,Tabla5[#All],3,FALSE)*Tabla15[[#This Row],[6]])</f>
        <v>0</v>
      </c>
      <c r="N60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4"</v>
      </c>
      <c r="O602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602" s="52">
        <f>IF(Tabla15[[#This Row],[8]]="",0,VLOOKUP(TRAMOS!$H$2,Tabla5[#All],3,FALSE)*Tabla15[[#This Row],[9]])</f>
        <v>0.15</v>
      </c>
      <c r="Q60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0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02" s="52">
        <f>IF(Tabla15[[#This Row],[11]]="",0,VLOOKUP(TRAMOS!$Q$2,Tabla5[#All],3,FALSE)*Tabla15[[#This Row],[12]])</f>
        <v>0</v>
      </c>
      <c r="T60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602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60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0.13850000000000007</v>
      </c>
      <c r="W60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0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0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0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0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02" s="52">
        <f>IF(Tabla15[[#This Row],[20]]="",0,VLOOKUP("VRP",Tabla5[#All],3,FALSE)*Tabla15[[#This Row],[21]])</f>
        <v>0</v>
      </c>
      <c r="AC60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0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02" s="52">
        <f>IF(Tabla15[[#This Row],[23]]="",0,VLOOKUP("VC",Tabla5[#All],3,FALSE)*Tabla15[[#This Row],[24]])</f>
        <v>0</v>
      </c>
      <c r="AF60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0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02" s="52">
        <f>IF(Tabla15[[#This Row],[26]]="",0,VLOOKUP(TRAMOS!$K$2,Tabla5[#All],3,FALSE)*Tabla15[[#This Row],[27]])</f>
        <v>0</v>
      </c>
      <c r="AI60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0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0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0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0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0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0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0.28850000000000009</v>
      </c>
    </row>
    <row r="603" spans="2:41" x14ac:dyDescent="0.25">
      <c r="B603" s="58" t="str">
        <f>Tabla1[[#This Row],[nudo inicial]]</f>
        <v>N320</v>
      </c>
      <c r="C603" s="58" t="str">
        <f>Tabla1[[#This Row],[nudo final]]</f>
        <v>N321</v>
      </c>
      <c r="D603" s="51">
        <f>Tabla1[[#This Row],[longitud]]</f>
        <v>134.91999999999999</v>
      </c>
      <c r="E603" s="51" t="str">
        <f>Tabla1[[#This Row],[diametro]]</f>
        <v>3"</v>
      </c>
      <c r="F603" s="51" t="str">
        <f>Tabla1[[#This Row],[material]]</f>
        <v>PVC</v>
      </c>
      <c r="G60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03" s="52" t="str">
        <f>IF(Tabla1[[#This Row],[5]]="TPD",Tabla1[[#This Row],[6]],"")</f>
        <v/>
      </c>
      <c r="I603" s="52" t="str">
        <f>IF(OR(Tabla1[[#This Row],[5]]="TPD"),Tabla1[[#This Row],[7]],"")</f>
        <v/>
      </c>
      <c r="J603" s="52">
        <f>IF(Tabla15[[#This Row],[2]]="",0,VLOOKUP(TRAMOS!$H$2,Tabla5[#All],3,FALSE)*Tabla15[[#This Row],[3]])</f>
        <v>0</v>
      </c>
      <c r="K603" s="52" t="str">
        <f>IF(Tabla1[[#This Row],[5]]="TPL",Tabla1[[#This Row],[6]],"")</f>
        <v/>
      </c>
      <c r="L603" s="52" t="str">
        <f>IF(OR(Tabla1[[#This Row],[5]]="TPL"),Tabla1[[#This Row],[7]],"")</f>
        <v/>
      </c>
      <c r="M603" s="52">
        <f>IF(Tabla15[[#This Row],[5]]="",0,VLOOKUP(TRAMOS!$K$2,Tabla5[#All],3,FALSE)*Tabla15[[#This Row],[6]])</f>
        <v>0</v>
      </c>
      <c r="N60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0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03" s="52">
        <f>IF(Tabla15[[#This Row],[8]]="",0,VLOOKUP(TRAMOS!$H$2,Tabla5[#All],3,FALSE)*Tabla15[[#This Row],[9]])</f>
        <v>0</v>
      </c>
      <c r="Q60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0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03" s="52">
        <f>IF(Tabla15[[#This Row],[11]]="",0,VLOOKUP(TRAMOS!$Q$2,Tabla5[#All],3,FALSE)*Tabla15[[#This Row],[12]])</f>
        <v>0</v>
      </c>
      <c r="T60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0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0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0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>8"</v>
      </c>
      <c r="X603" s="52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>1</v>
      </c>
      <c r="Y60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0.70339999999999991</v>
      </c>
      <c r="Z60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0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03" s="52">
        <f>IF(Tabla15[[#This Row],[20]]="",0,VLOOKUP("VRP",Tabla5[#All],3,FALSE)*Tabla15[[#This Row],[21]])</f>
        <v>0</v>
      </c>
      <c r="AC60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603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603" s="52">
        <f>IF(Tabla15[[#This Row],[23]]="",0,VLOOKUP("VC",Tabla5[#All],3,FALSE)*Tabla15[[#This Row],[24]])</f>
        <v>0.25</v>
      </c>
      <c r="AF60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0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03" s="52">
        <f>IF(Tabla15[[#This Row],[26]]="",0,VLOOKUP(TRAMOS!$K$2,Tabla5[#All],3,FALSE)*Tabla15[[#This Row],[27]])</f>
        <v>0</v>
      </c>
      <c r="AI60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0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0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0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0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0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0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0.95339999999999991</v>
      </c>
    </row>
    <row r="604" spans="2:41" x14ac:dyDescent="0.25">
      <c r="B604" s="58" t="str">
        <f>Tabla1[[#This Row],[nudo inicial]]</f>
        <v>N292</v>
      </c>
      <c r="C604" s="58" t="str">
        <f>Tabla1[[#This Row],[nudo final]]</f>
        <v>N321</v>
      </c>
      <c r="D604" s="51">
        <f>Tabla1[[#This Row],[longitud]]</f>
        <v>135.16</v>
      </c>
      <c r="E604" s="51" t="str">
        <f>Tabla1[[#This Row],[diametro]]</f>
        <v>8"</v>
      </c>
      <c r="F604" s="51" t="str">
        <f>Tabla1[[#This Row],[material]]</f>
        <v>PVC</v>
      </c>
      <c r="G60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604" s="52" t="str">
        <f>IF(Tabla1[[#This Row],[5]]="TPD",Tabla1[[#This Row],[6]],"")</f>
        <v/>
      </c>
      <c r="I604" s="52" t="str">
        <f>IF(OR(Tabla1[[#This Row],[5]]="TPD"),Tabla1[[#This Row],[7]],"")</f>
        <v/>
      </c>
      <c r="J604" s="52">
        <f>IF(Tabla15[[#This Row],[2]]="",0,VLOOKUP(TRAMOS!$H$2,Tabla5[#All],3,FALSE)*Tabla15[[#This Row],[3]])</f>
        <v>0</v>
      </c>
      <c r="K604" s="52" t="str">
        <f>IF(Tabla1[[#This Row],[5]]="TPL",Tabla1[[#This Row],[6]],"")</f>
        <v/>
      </c>
      <c r="L604" s="52" t="str">
        <f>IF(OR(Tabla1[[#This Row],[5]]="TPL"),Tabla1[[#This Row],[7]],"")</f>
        <v/>
      </c>
      <c r="M604" s="52">
        <f>IF(Tabla15[[#This Row],[5]]="",0,VLOOKUP(TRAMOS!$K$2,Tabla5[#All],3,FALSE)*Tabla15[[#This Row],[6]])</f>
        <v>0</v>
      </c>
      <c r="N60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8"</v>
      </c>
      <c r="O604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604" s="52">
        <f>IF(Tabla15[[#This Row],[8]]="",0,VLOOKUP(TRAMOS!$H$2,Tabla5[#All],3,FALSE)*Tabla15[[#This Row],[9]])</f>
        <v>0.15</v>
      </c>
      <c r="Q60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0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04" s="52">
        <f>IF(Tabla15[[#This Row],[11]]="",0,VLOOKUP(TRAMOS!$Q$2,Tabla5[#All],3,FALSE)*Tabla15[[#This Row],[12]])</f>
        <v>0</v>
      </c>
      <c r="T60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0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0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0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0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0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0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0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04" s="52">
        <f>IF(Tabla15[[#This Row],[20]]="",0,VLOOKUP("VRP",Tabla5[#All],3,FALSE)*Tabla15[[#This Row],[21]])</f>
        <v>0</v>
      </c>
      <c r="AC60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0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04" s="52">
        <f>IF(Tabla15[[#This Row],[23]]="",0,VLOOKUP("VC",Tabla5[#All],3,FALSE)*Tabla15[[#This Row],[24]])</f>
        <v>0</v>
      </c>
      <c r="AF60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0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04" s="52">
        <f>IF(Tabla15[[#This Row],[26]]="",0,VLOOKUP(TRAMOS!$K$2,Tabla5[#All],3,FALSE)*Tabla15[[#This Row],[27]])</f>
        <v>0</v>
      </c>
      <c r="AI60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0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0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0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0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0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0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605" spans="2:41" x14ac:dyDescent="0.25">
      <c r="B605" s="58" t="str">
        <f>Tabla1[[#This Row],[nudo inicial]]</f>
        <v>N321</v>
      </c>
      <c r="C605" s="58" t="str">
        <f>Tabla1[[#This Row],[nudo final]]</f>
        <v>N322</v>
      </c>
      <c r="D605" s="51">
        <f>Tabla1[[#This Row],[longitud]]</f>
        <v>72.75</v>
      </c>
      <c r="E605" s="51" t="str">
        <f>Tabla1[[#This Row],[diametro]]</f>
        <v>3"</v>
      </c>
      <c r="F605" s="51" t="str">
        <f>Tabla1[[#This Row],[material]]</f>
        <v>HF</v>
      </c>
      <c r="G60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605" s="52" t="str">
        <f>IF(Tabla1[[#This Row],[5]]="TPD",Tabla1[[#This Row],[6]],"")</f>
        <v/>
      </c>
      <c r="I605" s="52" t="str">
        <f>IF(OR(Tabla1[[#This Row],[5]]="TPD"),Tabla1[[#This Row],[7]],"")</f>
        <v/>
      </c>
      <c r="J605" s="52">
        <f>IF(Tabla15[[#This Row],[2]]="",0,VLOOKUP(TRAMOS!$H$2,Tabla5[#All],3,FALSE)*Tabla15[[#This Row],[3]])</f>
        <v>0</v>
      </c>
      <c r="K605" s="52" t="str">
        <f>IF(Tabla1[[#This Row],[5]]="TPL",Tabla1[[#This Row],[6]],"")</f>
        <v/>
      </c>
      <c r="L605" s="52" t="str">
        <f>IF(OR(Tabla1[[#This Row],[5]]="TPL"),Tabla1[[#This Row],[7]],"")</f>
        <v/>
      </c>
      <c r="M605" s="52">
        <f>IF(Tabla15[[#This Row],[5]]="",0,VLOOKUP(TRAMOS!$K$2,Tabla5[#All],3,FALSE)*Tabla15[[#This Row],[6]])</f>
        <v>0</v>
      </c>
      <c r="N60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8"</v>
      </c>
      <c r="O605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605" s="52">
        <f>IF(Tabla15[[#This Row],[8]]="",0,VLOOKUP(TRAMOS!$H$2,Tabla5[#All],3,FALSE)*Tabla15[[#This Row],[9]])</f>
        <v>0.15</v>
      </c>
      <c r="Q60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0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05" s="52">
        <f>IF(Tabla15[[#This Row],[11]]="",0,VLOOKUP(TRAMOS!$Q$2,Tabla5[#All],3,FALSE)*Tabla15[[#This Row],[12]])</f>
        <v>0</v>
      </c>
      <c r="T60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605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60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0.41679999999999995</v>
      </c>
      <c r="W60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0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0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0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0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05" s="52">
        <f>IF(Tabla15[[#This Row],[20]]="",0,VLOOKUP("VRP",Tabla5[#All],3,FALSE)*Tabla15[[#This Row],[21]])</f>
        <v>0</v>
      </c>
      <c r="AC60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605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605" s="52">
        <f>IF(Tabla15[[#This Row],[23]]="",0,VLOOKUP("VC",Tabla5[#All],3,FALSE)*Tabla15[[#This Row],[24]])</f>
        <v>0.25</v>
      </c>
      <c r="AF60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0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05" s="52">
        <f>IF(Tabla15[[#This Row],[26]]="",0,VLOOKUP(TRAMOS!$K$2,Tabla5[#All],3,FALSE)*Tabla15[[#This Row],[27]])</f>
        <v>0</v>
      </c>
      <c r="AI60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0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0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0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0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0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0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0.81679999999999997</v>
      </c>
    </row>
    <row r="606" spans="2:41" x14ac:dyDescent="0.25">
      <c r="B606" s="58" t="str">
        <f>Tabla1[[#This Row],[nudo inicial]]</f>
        <v>N322</v>
      </c>
      <c r="C606" s="58" t="str">
        <f>Tabla1[[#This Row],[nudo final]]</f>
        <v>TP208</v>
      </c>
      <c r="D606" s="51">
        <f>Tabla1[[#This Row],[longitud]]</f>
        <v>38.049999999999997</v>
      </c>
      <c r="E606" s="51" t="str">
        <f>Tabla1[[#This Row],[diametro]]</f>
        <v>2"</v>
      </c>
      <c r="F606" s="51" t="str">
        <f>Tabla1[[#This Row],[material]]</f>
        <v>PVC</v>
      </c>
      <c r="G60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06" s="52" t="str">
        <f>IF(Tabla1[[#This Row],[5]]="TPD",Tabla1[[#This Row],[6]],"")</f>
        <v/>
      </c>
      <c r="I606" s="52" t="str">
        <f>IF(OR(Tabla1[[#This Row],[5]]="TPD"),Tabla1[[#This Row],[7]],"")</f>
        <v/>
      </c>
      <c r="J606" s="52">
        <f>IF(Tabla15[[#This Row],[2]]="",0,VLOOKUP(TRAMOS!$H$2,Tabla5[#All],3,FALSE)*Tabla15[[#This Row],[3]])</f>
        <v>0</v>
      </c>
      <c r="K606" s="52" t="str">
        <f>IF(Tabla1[[#This Row],[5]]="TPL",Tabla1[[#This Row],[6]],"")</f>
        <v>3"</v>
      </c>
      <c r="L606" s="52">
        <f>IF(OR(Tabla1[[#This Row],[5]]="TPL"),Tabla1[[#This Row],[7]],"")</f>
        <v>1</v>
      </c>
      <c r="M606" s="52">
        <f>IF(Tabla15[[#This Row],[5]]="",0,VLOOKUP(TRAMOS!$K$2,Tabla5[#All],3,FALSE)*Tabla15[[#This Row],[6]])</f>
        <v>0.9</v>
      </c>
      <c r="N60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0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06" s="52">
        <f>IF(Tabla15[[#This Row],[8]]="",0,VLOOKUP(TRAMOS!$H$2,Tabla5[#All],3,FALSE)*Tabla15[[#This Row],[9]])</f>
        <v>0</v>
      </c>
      <c r="Q60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0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06" s="52">
        <f>IF(Tabla15[[#This Row],[11]]="",0,VLOOKUP(TRAMOS!$Q$2,Tabla5[#All],3,FALSE)*Tabla15[[#This Row],[12]])</f>
        <v>0</v>
      </c>
      <c r="T60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606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60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60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0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0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0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0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06" s="52">
        <f>IF(Tabla15[[#This Row],[20]]="",0,VLOOKUP("VRP",Tabla5[#All],3,FALSE)*Tabla15[[#This Row],[21]])</f>
        <v>0</v>
      </c>
      <c r="AC60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0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06" s="52">
        <f>IF(Tabla15[[#This Row],[23]]="",0,VLOOKUP("VC",Tabla5[#All],3,FALSE)*Tabla15[[#This Row],[24]])</f>
        <v>0</v>
      </c>
      <c r="AF60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0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06" s="52">
        <f>IF(Tabla15[[#This Row],[26]]="",0,VLOOKUP(TRAMOS!$K$2,Tabla5[#All],3,FALSE)*Tabla15[[#This Row],[27]])</f>
        <v>0</v>
      </c>
      <c r="AI60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0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0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0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0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60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60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607" spans="2:41" x14ac:dyDescent="0.25">
      <c r="B607" s="58" t="str">
        <f>Tabla1[[#This Row],[nudo inicial]]</f>
        <v>N322</v>
      </c>
      <c r="C607" s="58" t="str">
        <f>Tabla1[[#This Row],[nudo final]]</f>
        <v>N323</v>
      </c>
      <c r="D607" s="51">
        <f>Tabla1[[#This Row],[longitud]]</f>
        <v>78.930000000000007</v>
      </c>
      <c r="E607" s="51" t="str">
        <f>Tabla1[[#This Row],[diametro]]</f>
        <v>3"</v>
      </c>
      <c r="F607" s="51" t="str">
        <f>Tabla1[[#This Row],[material]]</f>
        <v>HF</v>
      </c>
      <c r="G60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07" s="52" t="str">
        <f>IF(Tabla1[[#This Row],[5]]="TPD",Tabla1[[#This Row],[6]],"")</f>
        <v>3"</v>
      </c>
      <c r="I607" s="52">
        <f>IF(OR(Tabla1[[#This Row],[5]]="TPD"),Tabla1[[#This Row],[7]],"")</f>
        <v>1</v>
      </c>
      <c r="J607" s="52">
        <f>IF(Tabla15[[#This Row],[2]]="",0,VLOOKUP(TRAMOS!$H$2,Tabla5[#All],3,FALSE)*Tabla15[[#This Row],[3]])</f>
        <v>0.15</v>
      </c>
      <c r="K607" s="52" t="str">
        <f>IF(Tabla1[[#This Row],[5]]="TPL",Tabla1[[#This Row],[6]],"")</f>
        <v/>
      </c>
      <c r="L607" s="52" t="str">
        <f>IF(OR(Tabla1[[#This Row],[5]]="TPL"),Tabla1[[#This Row],[7]],"")</f>
        <v/>
      </c>
      <c r="M607" s="52">
        <f>IF(Tabla15[[#This Row],[5]]="",0,VLOOKUP(TRAMOS!$K$2,Tabla5[#All],3,FALSE)*Tabla15[[#This Row],[6]])</f>
        <v>0</v>
      </c>
      <c r="N60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0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07" s="52">
        <f>IF(Tabla15[[#This Row],[8]]="",0,VLOOKUP(TRAMOS!$H$2,Tabla5[#All],3,FALSE)*Tabla15[[#This Row],[9]])</f>
        <v>0</v>
      </c>
      <c r="Q60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0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07" s="52">
        <f>IF(Tabla15[[#This Row],[11]]="",0,VLOOKUP(TRAMOS!$Q$2,Tabla5[#All],3,FALSE)*Tabla15[[#This Row],[12]])</f>
        <v>0</v>
      </c>
      <c r="T60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0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0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0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0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0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0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0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07" s="52">
        <f>IF(Tabla15[[#This Row],[20]]="",0,VLOOKUP("VRP",Tabla5[#All],3,FALSE)*Tabla15[[#This Row],[21]])</f>
        <v>0</v>
      </c>
      <c r="AC60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0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07" s="52">
        <f>IF(Tabla15[[#This Row],[23]]="",0,VLOOKUP("VC",Tabla5[#All],3,FALSE)*Tabla15[[#This Row],[24]])</f>
        <v>0</v>
      </c>
      <c r="AF60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0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07" s="52">
        <f>IF(Tabla15[[#This Row],[26]]="",0,VLOOKUP(TRAMOS!$K$2,Tabla5[#All],3,FALSE)*Tabla15[[#This Row],[27]])</f>
        <v>0</v>
      </c>
      <c r="AI607" s="52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>0</v>
      </c>
      <c r="AJ607" s="52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>1</v>
      </c>
      <c r="AK60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0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0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0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0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608" spans="2:41" x14ac:dyDescent="0.25">
      <c r="B608" s="58" t="str">
        <f>Tabla1[[#This Row],[nudo inicial]]</f>
        <v>N290</v>
      </c>
      <c r="C608" s="58" t="str">
        <f>Tabla1[[#This Row],[nudo final]]</f>
        <v>N323</v>
      </c>
      <c r="D608" s="51">
        <f>Tabla1[[#This Row],[longitud]]</f>
        <v>138.30000000000001</v>
      </c>
      <c r="E608" s="51" t="str">
        <f>Tabla1[[#This Row],[diametro]]</f>
        <v>3"</v>
      </c>
      <c r="F608" s="51" t="str">
        <f>Tabla1[[#This Row],[material]]</f>
        <v>PVC</v>
      </c>
      <c r="G60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08" s="52" t="str">
        <f>IF(Tabla1[[#This Row],[5]]="TPD",Tabla1[[#This Row],[6]],"")</f>
        <v/>
      </c>
      <c r="I608" s="52" t="str">
        <f>IF(OR(Tabla1[[#This Row],[5]]="TPD"),Tabla1[[#This Row],[7]],"")</f>
        <v/>
      </c>
      <c r="J608" s="52">
        <f>IF(Tabla15[[#This Row],[2]]="",0,VLOOKUP(TRAMOS!$H$2,Tabla5[#All],3,FALSE)*Tabla15[[#This Row],[3]])</f>
        <v>0</v>
      </c>
      <c r="K608" s="52" t="str">
        <f>IF(Tabla1[[#This Row],[5]]="TPL",Tabla1[[#This Row],[6]],"")</f>
        <v/>
      </c>
      <c r="L608" s="52" t="str">
        <f>IF(OR(Tabla1[[#This Row],[5]]="TPL"),Tabla1[[#This Row],[7]],"")</f>
        <v/>
      </c>
      <c r="M608" s="52">
        <f>IF(Tabla15[[#This Row],[5]]="",0,VLOOKUP(TRAMOS!$K$2,Tabla5[#All],3,FALSE)*Tabla15[[#This Row],[6]])</f>
        <v>0</v>
      </c>
      <c r="N60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3"</v>
      </c>
      <c r="O608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608" s="52">
        <f>IF(Tabla15[[#This Row],[8]]="",0,VLOOKUP(TRAMOS!$H$2,Tabla5[#All],3,FALSE)*Tabla15[[#This Row],[9]])</f>
        <v>0.15</v>
      </c>
      <c r="Q60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0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08" s="52">
        <f>IF(Tabla15[[#This Row],[11]]="",0,VLOOKUP(TRAMOS!$Q$2,Tabla5[#All],3,FALSE)*Tabla15[[#This Row],[12]])</f>
        <v>0</v>
      </c>
      <c r="T60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0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0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0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0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0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0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0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08" s="52">
        <f>IF(Tabla15[[#This Row],[20]]="",0,VLOOKUP("VRP",Tabla5[#All],3,FALSE)*Tabla15[[#This Row],[21]])</f>
        <v>0</v>
      </c>
      <c r="AC60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608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608" s="52">
        <f>IF(Tabla15[[#This Row],[23]]="",0,VLOOKUP("VC",Tabla5[#All],3,FALSE)*Tabla15[[#This Row],[24]])</f>
        <v>0.25</v>
      </c>
      <c r="AF60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0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08" s="52">
        <f>IF(Tabla15[[#This Row],[26]]="",0,VLOOKUP(TRAMOS!$K$2,Tabla5[#All],3,FALSE)*Tabla15[[#This Row],[27]])</f>
        <v>0</v>
      </c>
      <c r="AI60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0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0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0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0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0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0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0.4</v>
      </c>
    </row>
    <row r="609" spans="2:41" x14ac:dyDescent="0.25">
      <c r="B609" s="58" t="str">
        <f>Tabla1[[#This Row],[nudo inicial]]</f>
        <v>N323</v>
      </c>
      <c r="C609" s="58" t="str">
        <f>Tabla1[[#This Row],[nudo final]]</f>
        <v>N324</v>
      </c>
      <c r="D609" s="51">
        <f>Tabla1[[#This Row],[longitud]]</f>
        <v>67.86</v>
      </c>
      <c r="E609" s="51" t="str">
        <f>Tabla1[[#This Row],[diametro]]</f>
        <v>3"</v>
      </c>
      <c r="F609" s="51" t="str">
        <f>Tabla1[[#This Row],[material]]</f>
        <v>HF</v>
      </c>
      <c r="G60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09" s="52" t="str">
        <f>IF(Tabla1[[#This Row],[5]]="TPD",Tabla1[[#This Row],[6]],"")</f>
        <v/>
      </c>
      <c r="I609" s="52" t="str">
        <f>IF(OR(Tabla1[[#This Row],[5]]="TPD"),Tabla1[[#This Row],[7]],"")</f>
        <v/>
      </c>
      <c r="J609" s="52">
        <f>IF(Tabla15[[#This Row],[2]]="",0,VLOOKUP(TRAMOS!$H$2,Tabla5[#All],3,FALSE)*Tabla15[[#This Row],[3]])</f>
        <v>0</v>
      </c>
      <c r="K609" s="52" t="str">
        <f>IF(Tabla1[[#This Row],[5]]="TPL",Tabla1[[#This Row],[6]],"")</f>
        <v/>
      </c>
      <c r="L609" s="52" t="str">
        <f>IF(OR(Tabla1[[#This Row],[5]]="TPL"),Tabla1[[#This Row],[7]],"")</f>
        <v/>
      </c>
      <c r="M609" s="52">
        <f>IF(Tabla15[[#This Row],[5]]="",0,VLOOKUP(TRAMOS!$K$2,Tabla5[#All],3,FALSE)*Tabla15[[#This Row],[6]])</f>
        <v>0</v>
      </c>
      <c r="N60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3"</v>
      </c>
      <c r="O609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609" s="52">
        <f>IF(Tabla15[[#This Row],[8]]="",0,VLOOKUP(TRAMOS!$H$2,Tabla5[#All],3,FALSE)*Tabla15[[#This Row],[9]])</f>
        <v>0.15</v>
      </c>
      <c r="Q60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0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09" s="52">
        <f>IF(Tabla15[[#This Row],[11]]="",0,VLOOKUP(TRAMOS!$Q$2,Tabla5[#All],3,FALSE)*Tabla15[[#This Row],[12]])</f>
        <v>0</v>
      </c>
      <c r="T60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0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0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0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0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0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0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0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09" s="52">
        <f>IF(Tabla15[[#This Row],[20]]="",0,VLOOKUP("VRP",Tabla5[#All],3,FALSE)*Tabla15[[#This Row],[21]])</f>
        <v>0</v>
      </c>
      <c r="AC60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609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609" s="52">
        <f>IF(Tabla15[[#This Row],[23]]="",0,VLOOKUP("VC",Tabla5[#All],3,FALSE)*Tabla15[[#This Row],[24]])</f>
        <v>0.25</v>
      </c>
      <c r="AF60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0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09" s="52">
        <f>IF(Tabla15[[#This Row],[26]]="",0,VLOOKUP(TRAMOS!$K$2,Tabla5[#All],3,FALSE)*Tabla15[[#This Row],[27]])</f>
        <v>0</v>
      </c>
      <c r="AI60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0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0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0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0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0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0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0.4</v>
      </c>
    </row>
    <row r="610" spans="2:41" x14ac:dyDescent="0.25">
      <c r="B610" s="58" t="str">
        <f>Tabla1[[#This Row],[nudo inicial]]</f>
        <v>N324</v>
      </c>
      <c r="C610" s="58" t="str">
        <f>Tabla1[[#This Row],[nudo final]]</f>
        <v>TP209</v>
      </c>
      <c r="D610" s="51">
        <f>Tabla1[[#This Row],[longitud]]</f>
        <v>37.19</v>
      </c>
      <c r="E610" s="51" t="str">
        <f>Tabla1[[#This Row],[diametro]]</f>
        <v>3"</v>
      </c>
      <c r="F610" s="51" t="str">
        <f>Tabla1[[#This Row],[material]]</f>
        <v>PVC</v>
      </c>
      <c r="G61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10" s="52" t="str">
        <f>IF(Tabla1[[#This Row],[5]]="TPD",Tabla1[[#This Row],[6]],"")</f>
        <v/>
      </c>
      <c r="I610" s="52" t="str">
        <f>IF(OR(Tabla1[[#This Row],[5]]="TPD"),Tabla1[[#This Row],[7]],"")</f>
        <v/>
      </c>
      <c r="J610" s="52">
        <f>IF(Tabla15[[#This Row],[2]]="",0,VLOOKUP(TRAMOS!$H$2,Tabla5[#All],3,FALSE)*Tabla15[[#This Row],[3]])</f>
        <v>0</v>
      </c>
      <c r="K610" s="52" t="str">
        <f>IF(Tabla1[[#This Row],[5]]="TPL",Tabla1[[#This Row],[6]],"")</f>
        <v>3"</v>
      </c>
      <c r="L610" s="52">
        <f>IF(OR(Tabla1[[#This Row],[5]]="TPL"),Tabla1[[#This Row],[7]],"")</f>
        <v>1</v>
      </c>
      <c r="M610" s="52">
        <f>IF(Tabla15[[#This Row],[5]]="",0,VLOOKUP(TRAMOS!$K$2,Tabla5[#All],3,FALSE)*Tabla15[[#This Row],[6]])</f>
        <v>0.9</v>
      </c>
      <c r="N61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1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10" s="52">
        <f>IF(Tabla15[[#This Row],[8]]="",0,VLOOKUP(TRAMOS!$H$2,Tabla5[#All],3,FALSE)*Tabla15[[#This Row],[9]])</f>
        <v>0</v>
      </c>
      <c r="Q61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1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10" s="52">
        <f>IF(Tabla15[[#This Row],[11]]="",0,VLOOKUP(TRAMOS!$Q$2,Tabla5[#All],3,FALSE)*Tabla15[[#This Row],[12]])</f>
        <v>0</v>
      </c>
      <c r="T61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1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1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1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1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1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1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1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10" s="52">
        <f>IF(Tabla15[[#This Row],[20]]="",0,VLOOKUP("VRP",Tabla5[#All],3,FALSE)*Tabla15[[#This Row],[21]])</f>
        <v>0</v>
      </c>
      <c r="AC61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610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610" s="52">
        <f>IF(Tabla15[[#This Row],[23]]="",0,VLOOKUP("VC",Tabla5[#All],3,FALSE)*Tabla15[[#This Row],[24]])</f>
        <v>0.25</v>
      </c>
      <c r="AF61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1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10" s="52">
        <f>IF(Tabla15[[#This Row],[26]]="",0,VLOOKUP(TRAMOS!$K$2,Tabla5[#All],3,FALSE)*Tabla15[[#This Row],[27]])</f>
        <v>0</v>
      </c>
      <c r="AI61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1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1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1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1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610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61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1.1499999999999999</v>
      </c>
    </row>
    <row r="611" spans="2:41" x14ac:dyDescent="0.25">
      <c r="B611" s="58" t="str">
        <f>Tabla1[[#This Row],[nudo inicial]]</f>
        <v>N324</v>
      </c>
      <c r="C611" s="58" t="str">
        <f>Tabla1[[#This Row],[nudo final]]</f>
        <v>N325</v>
      </c>
      <c r="D611" s="51">
        <f>Tabla1[[#This Row],[longitud]]</f>
        <v>66.37</v>
      </c>
      <c r="E611" s="51" t="str">
        <f>Tabla1[[#This Row],[diametro]]</f>
        <v>3"</v>
      </c>
      <c r="F611" s="51" t="str">
        <f>Tabla1[[#This Row],[material]]</f>
        <v>HF</v>
      </c>
      <c r="G61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11" s="52" t="str">
        <f>IF(Tabla1[[#This Row],[5]]="TPD",Tabla1[[#This Row],[6]],"")</f>
        <v>3"</v>
      </c>
      <c r="I611" s="52">
        <f>IF(OR(Tabla1[[#This Row],[5]]="TPD"),Tabla1[[#This Row],[7]],"")</f>
        <v>1</v>
      </c>
      <c r="J611" s="52">
        <f>IF(Tabla15[[#This Row],[2]]="",0,VLOOKUP(TRAMOS!$H$2,Tabla5[#All],3,FALSE)*Tabla15[[#This Row],[3]])</f>
        <v>0.15</v>
      </c>
      <c r="K611" s="52" t="str">
        <f>IF(Tabla1[[#This Row],[5]]="TPL",Tabla1[[#This Row],[6]],"")</f>
        <v/>
      </c>
      <c r="L611" s="52" t="str">
        <f>IF(OR(Tabla1[[#This Row],[5]]="TPL"),Tabla1[[#This Row],[7]],"")</f>
        <v/>
      </c>
      <c r="M611" s="52">
        <f>IF(Tabla15[[#This Row],[5]]="",0,VLOOKUP(TRAMOS!$K$2,Tabla5[#All],3,FALSE)*Tabla15[[#This Row],[6]])</f>
        <v>0</v>
      </c>
      <c r="N61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1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11" s="52">
        <f>IF(Tabla15[[#This Row],[8]]="",0,VLOOKUP(TRAMOS!$H$2,Tabla5[#All],3,FALSE)*Tabla15[[#This Row],[9]])</f>
        <v>0</v>
      </c>
      <c r="Q61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1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11" s="52">
        <f>IF(Tabla15[[#This Row],[11]]="",0,VLOOKUP(TRAMOS!$Q$2,Tabla5[#All],3,FALSE)*Tabla15[[#This Row],[12]])</f>
        <v>0</v>
      </c>
      <c r="T61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1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1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1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1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1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1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1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11" s="52">
        <f>IF(Tabla15[[#This Row],[20]]="",0,VLOOKUP("VRP",Tabla5[#All],3,FALSE)*Tabla15[[#This Row],[21]])</f>
        <v>0</v>
      </c>
      <c r="AC61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1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11" s="52">
        <f>IF(Tabla15[[#This Row],[23]]="",0,VLOOKUP("VC",Tabla5[#All],3,FALSE)*Tabla15[[#This Row],[24]])</f>
        <v>0</v>
      </c>
      <c r="AF61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1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11" s="52">
        <f>IF(Tabla15[[#This Row],[26]]="",0,VLOOKUP(TRAMOS!$K$2,Tabla5[#All],3,FALSE)*Tabla15[[#This Row],[27]])</f>
        <v>0</v>
      </c>
      <c r="AI61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1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1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1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1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1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1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612" spans="2:41" x14ac:dyDescent="0.25">
      <c r="B612" s="58" t="str">
        <f>Tabla1[[#This Row],[nudo inicial]]</f>
        <v>N283</v>
      </c>
      <c r="C612" s="58" t="str">
        <f>Tabla1[[#This Row],[nudo final]]</f>
        <v>N325</v>
      </c>
      <c r="D612" s="51">
        <f>Tabla1[[#This Row],[longitud]]</f>
        <v>139.46</v>
      </c>
      <c r="E612" s="51" t="str">
        <f>Tabla1[[#This Row],[diametro]]</f>
        <v>3"</v>
      </c>
      <c r="F612" s="51" t="str">
        <f>Tabla1[[#This Row],[material]]</f>
        <v>HF</v>
      </c>
      <c r="G61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12" s="52" t="str">
        <f>IF(Tabla1[[#This Row],[5]]="TPD",Tabla1[[#This Row],[6]],"")</f>
        <v/>
      </c>
      <c r="I612" s="52" t="str">
        <f>IF(OR(Tabla1[[#This Row],[5]]="TPD"),Tabla1[[#This Row],[7]],"")</f>
        <v/>
      </c>
      <c r="J612" s="52">
        <f>IF(Tabla15[[#This Row],[2]]="",0,VLOOKUP(TRAMOS!$H$2,Tabla5[#All],3,FALSE)*Tabla15[[#This Row],[3]])</f>
        <v>0</v>
      </c>
      <c r="K612" s="52" t="str">
        <f>IF(Tabla1[[#This Row],[5]]="TPL",Tabla1[[#This Row],[6]],"")</f>
        <v/>
      </c>
      <c r="L612" s="52" t="str">
        <f>IF(OR(Tabla1[[#This Row],[5]]="TPL"),Tabla1[[#This Row],[7]],"")</f>
        <v/>
      </c>
      <c r="M612" s="52">
        <f>IF(Tabla15[[#This Row],[5]]="",0,VLOOKUP(TRAMOS!$K$2,Tabla5[#All],3,FALSE)*Tabla15[[#This Row],[6]])</f>
        <v>0</v>
      </c>
      <c r="N61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3"</v>
      </c>
      <c r="O612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612" s="52">
        <f>IF(Tabla15[[#This Row],[8]]="",0,VLOOKUP(TRAMOS!$H$2,Tabla5[#All],3,FALSE)*Tabla15[[#This Row],[9]])</f>
        <v>0.15</v>
      </c>
      <c r="Q61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1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12" s="52">
        <f>IF(Tabla15[[#This Row],[11]]="",0,VLOOKUP(TRAMOS!$Q$2,Tabla5[#All],3,FALSE)*Tabla15[[#This Row],[12]])</f>
        <v>0</v>
      </c>
      <c r="T61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1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1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1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1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1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1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1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12" s="52">
        <f>IF(Tabla15[[#This Row],[20]]="",0,VLOOKUP("VRP",Tabla5[#All],3,FALSE)*Tabla15[[#This Row],[21]])</f>
        <v>0</v>
      </c>
      <c r="AC61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612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612" s="52">
        <f>IF(Tabla15[[#This Row],[23]]="",0,VLOOKUP("VC",Tabla5[#All],3,FALSE)*Tabla15[[#This Row],[24]])</f>
        <v>0.25</v>
      </c>
      <c r="AF61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1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12" s="52">
        <f>IF(Tabla15[[#This Row],[26]]="",0,VLOOKUP(TRAMOS!$K$2,Tabla5[#All],3,FALSE)*Tabla15[[#This Row],[27]])</f>
        <v>0</v>
      </c>
      <c r="AI61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1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1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1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1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1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1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0.4</v>
      </c>
    </row>
    <row r="613" spans="2:41" x14ac:dyDescent="0.25">
      <c r="B613" s="58" t="str">
        <f>Tabla1[[#This Row],[nudo inicial]]</f>
        <v>N325</v>
      </c>
      <c r="C613" s="58" t="str">
        <f>Tabla1[[#This Row],[nudo final]]</f>
        <v>N326</v>
      </c>
      <c r="D613" s="51">
        <f>Tabla1[[#This Row],[longitud]]</f>
        <v>127.05</v>
      </c>
      <c r="E613" s="51" t="str">
        <f>Tabla1[[#This Row],[diametro]]</f>
        <v>4"</v>
      </c>
      <c r="F613" s="51" t="str">
        <f>Tabla1[[#This Row],[material]]</f>
        <v>HF</v>
      </c>
      <c r="G61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13" s="52" t="str">
        <f>IF(Tabla1[[#This Row],[5]]="TPD",Tabla1[[#This Row],[6]],"")</f>
        <v/>
      </c>
      <c r="I613" s="52" t="str">
        <f>IF(OR(Tabla1[[#This Row],[5]]="TPD"),Tabla1[[#This Row],[7]],"")</f>
        <v/>
      </c>
      <c r="J613" s="52">
        <f>IF(Tabla15[[#This Row],[2]]="",0,VLOOKUP(TRAMOS!$H$2,Tabla5[#All],3,FALSE)*Tabla15[[#This Row],[3]])</f>
        <v>0</v>
      </c>
      <c r="K613" s="52" t="str">
        <f>IF(Tabla1[[#This Row],[5]]="TPL",Tabla1[[#This Row],[6]],"")</f>
        <v/>
      </c>
      <c r="L613" s="52" t="str">
        <f>IF(OR(Tabla1[[#This Row],[5]]="TPL"),Tabla1[[#This Row],[7]],"")</f>
        <v/>
      </c>
      <c r="M613" s="52">
        <f>IF(Tabla15[[#This Row],[5]]="",0,VLOOKUP(TRAMOS!$K$2,Tabla5[#All],3,FALSE)*Tabla15[[#This Row],[6]])</f>
        <v>0</v>
      </c>
      <c r="N61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3"</v>
      </c>
      <c r="O613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613" s="52">
        <f>IF(Tabla15[[#This Row],[8]]="",0,VLOOKUP(TRAMOS!$H$2,Tabla5[#All],3,FALSE)*Tabla15[[#This Row],[9]])</f>
        <v>0.15</v>
      </c>
      <c r="Q61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1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13" s="52">
        <f>IF(Tabla15[[#This Row],[11]]="",0,VLOOKUP(TRAMOS!$Q$2,Tabla5[#All],3,FALSE)*Tabla15[[#This Row],[12]])</f>
        <v>0</v>
      </c>
      <c r="T61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1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1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1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>4"</v>
      </c>
      <c r="X613" s="52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>2.4834999999999998</v>
      </c>
      <c r="Y61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1.1771790000000004</v>
      </c>
      <c r="Z61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1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13" s="52">
        <f>IF(Tabla15[[#This Row],[20]]="",0,VLOOKUP("VRP",Tabla5[#All],3,FALSE)*Tabla15[[#This Row],[21]])</f>
        <v>0</v>
      </c>
      <c r="AC61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4"</v>
      </c>
      <c r="AD613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613" s="52">
        <f>IF(Tabla15[[#This Row],[23]]="",0,VLOOKUP("VC",Tabla5[#All],3,FALSE)*Tabla15[[#This Row],[24]])</f>
        <v>0.25</v>
      </c>
      <c r="AF61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1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13" s="52">
        <f>IF(Tabla15[[#This Row],[26]]="",0,VLOOKUP(TRAMOS!$K$2,Tabla5[#All],3,FALSE)*Tabla15[[#This Row],[27]])</f>
        <v>0</v>
      </c>
      <c r="AI613" s="52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>0</v>
      </c>
      <c r="AJ613" s="52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>1</v>
      </c>
      <c r="AK61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1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1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1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1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1.5771790000000003</v>
      </c>
    </row>
    <row r="614" spans="2:41" x14ac:dyDescent="0.25">
      <c r="B614" s="58" t="str">
        <f>Tabla1[[#This Row],[nudo inicial]]</f>
        <v>N282</v>
      </c>
      <c r="C614" s="58" t="str">
        <f>Tabla1[[#This Row],[nudo final]]</f>
        <v>N326</v>
      </c>
      <c r="D614" s="51">
        <f>Tabla1[[#This Row],[longitud]]</f>
        <v>139.16999999999999</v>
      </c>
      <c r="E614" s="51" t="str">
        <f>Tabla1[[#This Row],[diametro]]</f>
        <v>8"</v>
      </c>
      <c r="F614" s="51" t="str">
        <f>Tabla1[[#This Row],[material]]</f>
        <v>HF</v>
      </c>
      <c r="G61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614" s="52" t="str">
        <f>IF(Tabla1[[#This Row],[5]]="TPD",Tabla1[[#This Row],[6]],"")</f>
        <v/>
      </c>
      <c r="I614" s="52" t="str">
        <f>IF(OR(Tabla1[[#This Row],[5]]="TPD"),Tabla1[[#This Row],[7]],"")</f>
        <v/>
      </c>
      <c r="J614" s="52">
        <f>IF(Tabla15[[#This Row],[2]]="",0,VLOOKUP(TRAMOS!$H$2,Tabla5[#All],3,FALSE)*Tabla15[[#This Row],[3]])</f>
        <v>0</v>
      </c>
      <c r="K614" s="52" t="str">
        <f>IF(Tabla1[[#This Row],[5]]="TPL",Tabla1[[#This Row],[6]],"")</f>
        <v/>
      </c>
      <c r="L614" s="52" t="str">
        <f>IF(OR(Tabla1[[#This Row],[5]]="TPL"),Tabla1[[#This Row],[7]],"")</f>
        <v/>
      </c>
      <c r="M614" s="52">
        <f>IF(Tabla15[[#This Row],[5]]="",0,VLOOKUP(TRAMOS!$K$2,Tabla5[#All],3,FALSE)*Tabla15[[#This Row],[6]])</f>
        <v>0</v>
      </c>
      <c r="N61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8"</v>
      </c>
      <c r="O614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614" s="52">
        <f>IF(Tabla15[[#This Row],[8]]="",0,VLOOKUP(TRAMOS!$H$2,Tabla5[#All],3,FALSE)*Tabla15[[#This Row],[9]])</f>
        <v>0.15</v>
      </c>
      <c r="Q61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1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14" s="52">
        <f>IF(Tabla15[[#This Row],[11]]="",0,VLOOKUP(TRAMOS!$Q$2,Tabla5[#All],3,FALSE)*Tabla15[[#This Row],[12]])</f>
        <v>0</v>
      </c>
      <c r="T61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1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1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1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1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1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1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1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14" s="52">
        <f>IF(Tabla15[[#This Row],[20]]="",0,VLOOKUP("VRP",Tabla5[#All],3,FALSE)*Tabla15[[#This Row],[21]])</f>
        <v>0</v>
      </c>
      <c r="AC61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8"</v>
      </c>
      <c r="AD614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614" s="52">
        <f>IF(Tabla15[[#This Row],[23]]="",0,VLOOKUP("VC",Tabla5[#All],3,FALSE)*Tabla15[[#This Row],[24]])</f>
        <v>0.25</v>
      </c>
      <c r="AF61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1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14" s="52">
        <f>IF(Tabla15[[#This Row],[26]]="",0,VLOOKUP(TRAMOS!$K$2,Tabla5[#All],3,FALSE)*Tabla15[[#This Row],[27]])</f>
        <v>0</v>
      </c>
      <c r="AI61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1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1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1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1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1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1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0.4</v>
      </c>
    </row>
    <row r="615" spans="2:41" x14ac:dyDescent="0.25">
      <c r="B615" s="58" t="str">
        <f>Tabla1[[#This Row],[nudo inicial]]</f>
        <v>N326</v>
      </c>
      <c r="C615" s="58" t="str">
        <f>Tabla1[[#This Row],[nudo final]]</f>
        <v>N327</v>
      </c>
      <c r="D615" s="51">
        <f>Tabla1[[#This Row],[longitud]]</f>
        <v>70.12</v>
      </c>
      <c r="E615" s="51" t="str">
        <f>Tabla1[[#This Row],[diametro]]</f>
        <v>4"</v>
      </c>
      <c r="F615" s="51" t="str">
        <f>Tabla1[[#This Row],[material]]</f>
        <v>HF</v>
      </c>
      <c r="G61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615" s="52" t="str">
        <f>IF(Tabla1[[#This Row],[5]]="TPD",Tabla1[[#This Row],[6]],"")</f>
        <v/>
      </c>
      <c r="I615" s="52" t="str">
        <f>IF(OR(Tabla1[[#This Row],[5]]="TPD"),Tabla1[[#This Row],[7]],"")</f>
        <v/>
      </c>
      <c r="J615" s="52">
        <f>IF(Tabla15[[#This Row],[2]]="",0,VLOOKUP(TRAMOS!$H$2,Tabla5[#All],3,FALSE)*Tabla15[[#This Row],[3]])</f>
        <v>0</v>
      </c>
      <c r="K615" s="52" t="str">
        <f>IF(Tabla1[[#This Row],[5]]="TPL",Tabla1[[#This Row],[6]],"")</f>
        <v/>
      </c>
      <c r="L615" s="52" t="str">
        <f>IF(OR(Tabla1[[#This Row],[5]]="TPL"),Tabla1[[#This Row],[7]],"")</f>
        <v/>
      </c>
      <c r="M615" s="52">
        <f>IF(Tabla15[[#This Row],[5]]="",0,VLOOKUP(TRAMOS!$K$2,Tabla5[#All],3,FALSE)*Tabla15[[#This Row],[6]])</f>
        <v>0</v>
      </c>
      <c r="N61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8"</v>
      </c>
      <c r="O615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615" s="52">
        <f>IF(Tabla15[[#This Row],[8]]="",0,VLOOKUP(TRAMOS!$H$2,Tabla5[#All],3,FALSE)*Tabla15[[#This Row],[9]])</f>
        <v>0.15</v>
      </c>
      <c r="Q61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1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15" s="52">
        <f>IF(Tabla15[[#This Row],[11]]="",0,VLOOKUP(TRAMOS!$Q$2,Tabla5[#All],3,FALSE)*Tabla15[[#This Row],[12]])</f>
        <v>0</v>
      </c>
      <c r="T61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4"</v>
      </c>
      <c r="U615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61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61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1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1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1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1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15" s="52">
        <f>IF(Tabla15[[#This Row],[20]]="",0,VLOOKUP("VRP",Tabla5[#All],3,FALSE)*Tabla15[[#This Row],[21]])</f>
        <v>0</v>
      </c>
      <c r="AC61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4"</v>
      </c>
      <c r="AD615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615" s="52">
        <f>IF(Tabla15[[#This Row],[23]]="",0,VLOOKUP("VC",Tabla5[#All],3,FALSE)*Tabla15[[#This Row],[24]])</f>
        <v>0.25</v>
      </c>
      <c r="AF61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1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15" s="52">
        <f>IF(Tabla15[[#This Row],[26]]="",0,VLOOKUP(TRAMOS!$K$2,Tabla5[#All],3,FALSE)*Tabla15[[#This Row],[27]])</f>
        <v>0</v>
      </c>
      <c r="AI61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1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1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1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1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1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1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0.77</v>
      </c>
    </row>
    <row r="616" spans="2:41" x14ac:dyDescent="0.25">
      <c r="B616" s="58" t="str">
        <f>Tabla1[[#This Row],[nudo inicial]]</f>
        <v>N327</v>
      </c>
      <c r="C616" s="58" t="str">
        <f>Tabla1[[#This Row],[nudo final]]</f>
        <v>TP210</v>
      </c>
      <c r="D616" s="51">
        <f>Tabla1[[#This Row],[longitud]]</f>
        <v>71.87</v>
      </c>
      <c r="E616" s="51" t="str">
        <f>Tabla1[[#This Row],[diametro]]</f>
        <v>4"</v>
      </c>
      <c r="F616" s="51" t="str">
        <f>Tabla1[[#This Row],[material]]</f>
        <v>PVC</v>
      </c>
      <c r="G61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616" s="52" t="str">
        <f>IF(Tabla1[[#This Row],[5]]="TPD",Tabla1[[#This Row],[6]],"")</f>
        <v/>
      </c>
      <c r="I616" s="52" t="str">
        <f>IF(OR(Tabla1[[#This Row],[5]]="TPD"),Tabla1[[#This Row],[7]],"")</f>
        <v/>
      </c>
      <c r="J616" s="52">
        <f>IF(Tabla15[[#This Row],[2]]="",0,VLOOKUP(TRAMOS!$H$2,Tabla5[#All],3,FALSE)*Tabla15[[#This Row],[3]])</f>
        <v>0</v>
      </c>
      <c r="K616" s="52" t="str">
        <f>IF(Tabla1[[#This Row],[5]]="TPL",Tabla1[[#This Row],[6]],"")</f>
        <v>4"</v>
      </c>
      <c r="L616" s="52">
        <f>IF(OR(Tabla1[[#This Row],[5]]="TPL"),Tabla1[[#This Row],[7]],"")</f>
        <v>1</v>
      </c>
      <c r="M616" s="52">
        <f>IF(Tabla15[[#This Row],[5]]="",0,VLOOKUP(TRAMOS!$K$2,Tabla5[#All],3,FALSE)*Tabla15[[#This Row],[6]])</f>
        <v>0.9</v>
      </c>
      <c r="N61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1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16" s="52">
        <f>IF(Tabla15[[#This Row],[8]]="",0,VLOOKUP(TRAMOS!$H$2,Tabla5[#All],3,FALSE)*Tabla15[[#This Row],[9]])</f>
        <v>0</v>
      </c>
      <c r="Q61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1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16" s="52">
        <f>IF(Tabla15[[#This Row],[11]]="",0,VLOOKUP(TRAMOS!$Q$2,Tabla5[#All],3,FALSE)*Tabla15[[#This Row],[12]])</f>
        <v>0</v>
      </c>
      <c r="T61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1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1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1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1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1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1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1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16" s="52">
        <f>IF(Tabla15[[#This Row],[20]]="",0,VLOOKUP("VRP",Tabla5[#All],3,FALSE)*Tabla15[[#This Row],[21]])</f>
        <v>0</v>
      </c>
      <c r="AC61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1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16" s="52">
        <f>IF(Tabla15[[#This Row],[23]]="",0,VLOOKUP("VC",Tabla5[#All],3,FALSE)*Tabla15[[#This Row],[24]])</f>
        <v>0</v>
      </c>
      <c r="AF61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1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16" s="52">
        <f>IF(Tabla15[[#This Row],[26]]="",0,VLOOKUP(TRAMOS!$K$2,Tabla5[#All],3,FALSE)*Tabla15[[#This Row],[27]])</f>
        <v>0</v>
      </c>
      <c r="AI61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1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1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1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1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4"</v>
      </c>
      <c r="AN61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61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617" spans="2:41" x14ac:dyDescent="0.25">
      <c r="B617" s="58" t="str">
        <f>Tabla1[[#This Row],[nudo inicial]]</f>
        <v>N327</v>
      </c>
      <c r="C617" s="58" t="str">
        <f>Tabla1[[#This Row],[nudo final]]</f>
        <v>N328</v>
      </c>
      <c r="D617" s="51">
        <f>Tabla1[[#This Row],[longitud]]</f>
        <v>31.03</v>
      </c>
      <c r="E617" s="51" t="str">
        <f>Tabla1[[#This Row],[diametro]]</f>
        <v>4"</v>
      </c>
      <c r="F617" s="51" t="str">
        <f>Tabla1[[#This Row],[material]]</f>
        <v>HF</v>
      </c>
      <c r="G61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617" s="52" t="str">
        <f>IF(Tabla1[[#This Row],[5]]="TPD",Tabla1[[#This Row],[6]],"")</f>
        <v>4"</v>
      </c>
      <c r="I617" s="52">
        <f>IF(OR(Tabla1[[#This Row],[5]]="TPD"),Tabla1[[#This Row],[7]],"")</f>
        <v>1</v>
      </c>
      <c r="J617" s="52">
        <f>IF(Tabla15[[#This Row],[2]]="",0,VLOOKUP(TRAMOS!$H$2,Tabla5[#All],3,FALSE)*Tabla15[[#This Row],[3]])</f>
        <v>0.15</v>
      </c>
      <c r="K617" s="52" t="str">
        <f>IF(Tabla1[[#This Row],[5]]="TPL",Tabla1[[#This Row],[6]],"")</f>
        <v/>
      </c>
      <c r="L617" s="52" t="str">
        <f>IF(OR(Tabla1[[#This Row],[5]]="TPL"),Tabla1[[#This Row],[7]],"")</f>
        <v/>
      </c>
      <c r="M617" s="52">
        <f>IF(Tabla15[[#This Row],[5]]="",0,VLOOKUP(TRAMOS!$K$2,Tabla5[#All],3,FALSE)*Tabla15[[#This Row],[6]])</f>
        <v>0</v>
      </c>
      <c r="N61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1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17" s="52">
        <f>IF(Tabla15[[#This Row],[8]]="",0,VLOOKUP(TRAMOS!$H$2,Tabla5[#All],3,FALSE)*Tabla15[[#This Row],[9]])</f>
        <v>0</v>
      </c>
      <c r="Q61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1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17" s="52">
        <f>IF(Tabla15[[#This Row],[11]]="",0,VLOOKUP(TRAMOS!$Q$2,Tabla5[#All],3,FALSE)*Tabla15[[#This Row],[12]])</f>
        <v>0</v>
      </c>
      <c r="T61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1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1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1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1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1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1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1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17" s="52">
        <f>IF(Tabla15[[#This Row],[20]]="",0,VLOOKUP("VRP",Tabla5[#All],3,FALSE)*Tabla15[[#This Row],[21]])</f>
        <v>0</v>
      </c>
      <c r="AC61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1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17" s="52">
        <f>IF(Tabla15[[#This Row],[23]]="",0,VLOOKUP("VC",Tabla5[#All],3,FALSE)*Tabla15[[#This Row],[24]])</f>
        <v>0</v>
      </c>
      <c r="AF61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1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17" s="52">
        <f>IF(Tabla15[[#This Row],[26]]="",0,VLOOKUP(TRAMOS!$K$2,Tabla5[#All],3,FALSE)*Tabla15[[#This Row],[27]])</f>
        <v>0</v>
      </c>
      <c r="AI61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1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1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1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1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1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1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618" spans="2:41" x14ac:dyDescent="0.25">
      <c r="B618" s="58" t="str">
        <f>Tabla1[[#This Row],[nudo inicial]]</f>
        <v>N328</v>
      </c>
      <c r="C618" s="58" t="str">
        <f>Tabla1[[#This Row],[nudo final]]</f>
        <v>TP211</v>
      </c>
      <c r="D618" s="51">
        <f>Tabla1[[#This Row],[longitud]]</f>
        <v>16.5</v>
      </c>
      <c r="E618" s="51" t="str">
        <f>Tabla1[[#This Row],[diametro]]</f>
        <v>1 1/2"</v>
      </c>
      <c r="F618" s="51" t="str">
        <f>Tabla1[[#This Row],[material]]</f>
        <v>PVC</v>
      </c>
      <c r="G61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618" s="52" t="str">
        <f>IF(Tabla1[[#This Row],[5]]="TPD",Tabla1[[#This Row],[6]],"")</f>
        <v/>
      </c>
      <c r="I618" s="52" t="str">
        <f>IF(OR(Tabla1[[#This Row],[5]]="TPD"),Tabla1[[#This Row],[7]],"")</f>
        <v/>
      </c>
      <c r="J618" s="52">
        <f>IF(Tabla15[[#This Row],[2]]="",0,VLOOKUP(TRAMOS!$H$2,Tabla5[#All],3,FALSE)*Tabla15[[#This Row],[3]])</f>
        <v>0</v>
      </c>
      <c r="K618" s="52" t="str">
        <f>IF(Tabla1[[#This Row],[5]]="TPL",Tabla1[[#This Row],[6]],"")</f>
        <v>4"</v>
      </c>
      <c r="L618" s="52">
        <f>IF(OR(Tabla1[[#This Row],[5]]="TPL"),Tabla1[[#This Row],[7]],"")</f>
        <v>1</v>
      </c>
      <c r="M618" s="52">
        <f>IF(Tabla15[[#This Row],[5]]="",0,VLOOKUP(TRAMOS!$K$2,Tabla5[#All],3,FALSE)*Tabla15[[#This Row],[6]])</f>
        <v>0.9</v>
      </c>
      <c r="N61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1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18" s="52">
        <f>IF(Tabla15[[#This Row],[8]]="",0,VLOOKUP(TRAMOS!$H$2,Tabla5[#All],3,FALSE)*Tabla15[[#This Row],[9]])</f>
        <v>0</v>
      </c>
      <c r="Q61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1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18" s="52">
        <f>IF(Tabla15[[#This Row],[11]]="",0,VLOOKUP(TRAMOS!$Q$2,Tabla5[#All],3,FALSE)*Tabla15[[#This Row],[12]])</f>
        <v>0</v>
      </c>
      <c r="T61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 1/2"</v>
      </c>
      <c r="U618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61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0.41679999999999995</v>
      </c>
      <c r="W61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1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1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1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1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18" s="52">
        <f>IF(Tabla15[[#This Row],[20]]="",0,VLOOKUP("VRP",Tabla5[#All],3,FALSE)*Tabla15[[#This Row],[21]])</f>
        <v>0</v>
      </c>
      <c r="AC61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1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18" s="52">
        <f>IF(Tabla15[[#This Row],[23]]="",0,VLOOKUP("VC",Tabla5[#All],3,FALSE)*Tabla15[[#This Row],[24]])</f>
        <v>0</v>
      </c>
      <c r="AF61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1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18" s="52">
        <f>IF(Tabla15[[#This Row],[26]]="",0,VLOOKUP(TRAMOS!$K$2,Tabla5[#All],3,FALSE)*Tabla15[[#This Row],[27]])</f>
        <v>0</v>
      </c>
      <c r="AI61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1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1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1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1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 1/2"</v>
      </c>
      <c r="AN618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61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1.3168</v>
      </c>
    </row>
    <row r="619" spans="2:41" x14ac:dyDescent="0.25">
      <c r="B619" s="58" t="str">
        <f>Tabla1[[#This Row],[nudo inicial]]</f>
        <v>N328</v>
      </c>
      <c r="C619" s="58" t="str">
        <f>Tabla1[[#This Row],[nudo final]]</f>
        <v>N329</v>
      </c>
      <c r="D619" s="51">
        <f>Tabla1[[#This Row],[longitud]]</f>
        <v>12.28</v>
      </c>
      <c r="E619" s="51" t="str">
        <f>Tabla1[[#This Row],[diametro]]</f>
        <v>4"</v>
      </c>
      <c r="F619" s="51" t="str">
        <f>Tabla1[[#This Row],[material]]</f>
        <v>HF</v>
      </c>
      <c r="G61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619" s="52" t="str">
        <f>IF(Tabla1[[#This Row],[5]]="TPD",Tabla1[[#This Row],[6]],"")</f>
        <v>4"</v>
      </c>
      <c r="I619" s="52">
        <f>IF(OR(Tabla1[[#This Row],[5]]="TPD"),Tabla1[[#This Row],[7]],"")</f>
        <v>1</v>
      </c>
      <c r="J619" s="52">
        <f>IF(Tabla15[[#This Row],[2]]="",0,VLOOKUP(TRAMOS!$H$2,Tabla5[#All],3,FALSE)*Tabla15[[#This Row],[3]])</f>
        <v>0.15</v>
      </c>
      <c r="K619" s="52" t="str">
        <f>IF(Tabla1[[#This Row],[5]]="TPL",Tabla1[[#This Row],[6]],"")</f>
        <v/>
      </c>
      <c r="L619" s="52" t="str">
        <f>IF(OR(Tabla1[[#This Row],[5]]="TPL"),Tabla1[[#This Row],[7]],"")</f>
        <v/>
      </c>
      <c r="M619" s="52">
        <f>IF(Tabla15[[#This Row],[5]]="",0,VLOOKUP(TRAMOS!$K$2,Tabla5[#All],3,FALSE)*Tabla15[[#This Row],[6]])</f>
        <v>0</v>
      </c>
      <c r="N61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1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19" s="52">
        <f>IF(Tabla15[[#This Row],[8]]="",0,VLOOKUP(TRAMOS!$H$2,Tabla5[#All],3,FALSE)*Tabla15[[#This Row],[9]])</f>
        <v>0</v>
      </c>
      <c r="Q61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1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19" s="52">
        <f>IF(Tabla15[[#This Row],[11]]="",0,VLOOKUP(TRAMOS!$Q$2,Tabla5[#All],3,FALSE)*Tabla15[[#This Row],[12]])</f>
        <v>0</v>
      </c>
      <c r="T61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1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1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1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1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1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1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1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19" s="52">
        <f>IF(Tabla15[[#This Row],[20]]="",0,VLOOKUP("VRP",Tabla5[#All],3,FALSE)*Tabla15[[#This Row],[21]])</f>
        <v>0</v>
      </c>
      <c r="AC61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1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19" s="52">
        <f>IF(Tabla15[[#This Row],[23]]="",0,VLOOKUP("VC",Tabla5[#All],3,FALSE)*Tabla15[[#This Row],[24]])</f>
        <v>0</v>
      </c>
      <c r="AF61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1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19" s="52">
        <f>IF(Tabla15[[#This Row],[26]]="",0,VLOOKUP(TRAMOS!$K$2,Tabla5[#All],3,FALSE)*Tabla15[[#This Row],[27]])</f>
        <v>0</v>
      </c>
      <c r="AI61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1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1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1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1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1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1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620" spans="2:41" x14ac:dyDescent="0.25">
      <c r="B620" s="58" t="str">
        <f>Tabla1[[#This Row],[nudo inicial]]</f>
        <v>N277</v>
      </c>
      <c r="C620" s="58" t="str">
        <f>Tabla1[[#This Row],[nudo final]]</f>
        <v>N330</v>
      </c>
      <c r="D620" s="51">
        <f>Tabla1[[#This Row],[longitud]]</f>
        <v>8.2200000000000006</v>
      </c>
      <c r="E620" s="51" t="str">
        <f>Tabla1[[#This Row],[diametro]]</f>
        <v>6"</v>
      </c>
      <c r="F620" s="51" t="str">
        <f>Tabla1[[#This Row],[material]]</f>
        <v>PVC</v>
      </c>
      <c r="G62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620" s="52" t="str">
        <f>IF(Tabla1[[#This Row],[5]]="TPD",Tabla1[[#This Row],[6]],"")</f>
        <v>6"</v>
      </c>
      <c r="I620" s="52">
        <f>IF(OR(Tabla1[[#This Row],[5]]="TPD"),Tabla1[[#This Row],[7]],"")</f>
        <v>1</v>
      </c>
      <c r="J620" s="52">
        <f>IF(Tabla15[[#This Row],[2]]="",0,VLOOKUP(TRAMOS!$H$2,Tabla5[#All],3,FALSE)*Tabla15[[#This Row],[3]])</f>
        <v>0.15</v>
      </c>
      <c r="K620" s="52" t="str">
        <f>IF(Tabla1[[#This Row],[5]]="TPL",Tabla1[[#This Row],[6]],"")</f>
        <v/>
      </c>
      <c r="L620" s="52" t="str">
        <f>IF(OR(Tabla1[[#This Row],[5]]="TPL"),Tabla1[[#This Row],[7]],"")</f>
        <v/>
      </c>
      <c r="M620" s="52">
        <f>IF(Tabla15[[#This Row],[5]]="",0,VLOOKUP(TRAMOS!$K$2,Tabla5[#All],3,FALSE)*Tabla15[[#This Row],[6]])</f>
        <v>0</v>
      </c>
      <c r="N62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2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20" s="52">
        <f>IF(Tabla15[[#This Row],[8]]="",0,VLOOKUP(TRAMOS!$H$2,Tabla5[#All],3,FALSE)*Tabla15[[#This Row],[9]])</f>
        <v>0</v>
      </c>
      <c r="Q62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2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20" s="52">
        <f>IF(Tabla15[[#This Row],[11]]="",0,VLOOKUP(TRAMOS!$Q$2,Tabla5[#All],3,FALSE)*Tabla15[[#This Row],[12]])</f>
        <v>0</v>
      </c>
      <c r="T62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2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2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2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2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2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2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2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20" s="52">
        <f>IF(Tabla15[[#This Row],[20]]="",0,VLOOKUP("VRP",Tabla5[#All],3,FALSE)*Tabla15[[#This Row],[21]])</f>
        <v>0</v>
      </c>
      <c r="AC62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2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20" s="52">
        <f>IF(Tabla15[[#This Row],[23]]="",0,VLOOKUP("VC",Tabla5[#All],3,FALSE)*Tabla15[[#This Row],[24]])</f>
        <v>0</v>
      </c>
      <c r="AF62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2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20" s="52">
        <f>IF(Tabla15[[#This Row],[26]]="",0,VLOOKUP(TRAMOS!$K$2,Tabla5[#All],3,FALSE)*Tabla15[[#This Row],[27]])</f>
        <v>0</v>
      </c>
      <c r="AI62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2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2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2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2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2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2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621" spans="2:41" x14ac:dyDescent="0.25">
      <c r="B621" s="58" t="str">
        <f>Tabla1[[#This Row],[nudo inicial]]</f>
        <v>N330</v>
      </c>
      <c r="C621" s="58" t="str">
        <f>Tabla1[[#This Row],[nudo final]]</f>
        <v>N331</v>
      </c>
      <c r="D621" s="51">
        <f>Tabla1[[#This Row],[longitud]]</f>
        <v>83.79</v>
      </c>
      <c r="E621" s="51" t="str">
        <f>Tabla1[[#This Row],[diametro]]</f>
        <v>3"</v>
      </c>
      <c r="F621" s="51" t="str">
        <f>Tabla1[[#This Row],[material]]</f>
        <v>HF</v>
      </c>
      <c r="G62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621" s="52" t="str">
        <f>IF(Tabla1[[#This Row],[5]]="TPD",Tabla1[[#This Row],[6]],"")</f>
        <v/>
      </c>
      <c r="I621" s="52" t="str">
        <f>IF(OR(Tabla1[[#This Row],[5]]="TPD"),Tabla1[[#This Row],[7]],"")</f>
        <v/>
      </c>
      <c r="J621" s="52">
        <f>IF(Tabla15[[#This Row],[2]]="",0,VLOOKUP(TRAMOS!$H$2,Tabla5[#All],3,FALSE)*Tabla15[[#This Row],[3]])</f>
        <v>0</v>
      </c>
      <c r="K621" s="52" t="str">
        <f>IF(Tabla1[[#This Row],[5]]="TPL",Tabla1[[#This Row],[6]],"")</f>
        <v/>
      </c>
      <c r="L621" s="52" t="str">
        <f>IF(OR(Tabla1[[#This Row],[5]]="TPL"),Tabla1[[#This Row],[7]],"")</f>
        <v/>
      </c>
      <c r="M621" s="52">
        <f>IF(Tabla15[[#This Row],[5]]="",0,VLOOKUP(TRAMOS!$K$2,Tabla5[#All],3,FALSE)*Tabla15[[#This Row],[6]])</f>
        <v>0</v>
      </c>
      <c r="N62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2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21" s="52">
        <f>IF(Tabla15[[#This Row],[8]]="",0,VLOOKUP(TRAMOS!$H$2,Tabla5[#All],3,FALSE)*Tabla15[[#This Row],[9]])</f>
        <v>0</v>
      </c>
      <c r="Q62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3"</v>
      </c>
      <c r="R621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621" s="52">
        <f>IF(Tabla15[[#This Row],[11]]="",0,VLOOKUP(TRAMOS!$Q$2,Tabla5[#All],3,FALSE)*Tabla15[[#This Row],[12]])</f>
        <v>0.9</v>
      </c>
      <c r="T62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621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62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62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2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2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2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2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21" s="52">
        <f>IF(Tabla15[[#This Row],[20]]="",0,VLOOKUP("VRP",Tabla5[#All],3,FALSE)*Tabla15[[#This Row],[21]])</f>
        <v>0</v>
      </c>
      <c r="AC62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2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21" s="52">
        <f>IF(Tabla15[[#This Row],[23]]="",0,VLOOKUP("VC",Tabla5[#All],3,FALSE)*Tabla15[[#This Row],[24]])</f>
        <v>0</v>
      </c>
      <c r="AF62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2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21" s="52">
        <f>IF(Tabla15[[#This Row],[26]]="",0,VLOOKUP(TRAMOS!$K$2,Tabla5[#All],3,FALSE)*Tabla15[[#This Row],[27]])</f>
        <v>0</v>
      </c>
      <c r="AI62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2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2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2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2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2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2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1.27</v>
      </c>
    </row>
    <row r="622" spans="2:41" x14ac:dyDescent="0.25">
      <c r="B622" s="58" t="str">
        <f>Tabla1[[#This Row],[nudo inicial]]</f>
        <v>N331</v>
      </c>
      <c r="C622" s="58" t="str">
        <f>Tabla1[[#This Row],[nudo final]]</f>
        <v>N329</v>
      </c>
      <c r="D622" s="51">
        <f>Tabla1[[#This Row],[longitud]]</f>
        <v>33.5</v>
      </c>
      <c r="E622" s="51" t="str">
        <f>Tabla1[[#This Row],[diametro]]</f>
        <v>4"</v>
      </c>
      <c r="F622" s="51" t="str">
        <f>Tabla1[[#This Row],[material]]</f>
        <v>HF</v>
      </c>
      <c r="G62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622" s="52" t="str">
        <f>IF(Tabla1[[#This Row],[5]]="TPD",Tabla1[[#This Row],[6]],"")</f>
        <v>4"</v>
      </c>
      <c r="I622" s="52">
        <f>IF(OR(Tabla1[[#This Row],[5]]="TPD"),Tabla1[[#This Row],[7]],"")</f>
        <v>1</v>
      </c>
      <c r="J622" s="52">
        <f>IF(Tabla15[[#This Row],[2]]="",0,VLOOKUP(TRAMOS!$H$2,Tabla5[#All],3,FALSE)*Tabla15[[#This Row],[3]])</f>
        <v>0.15</v>
      </c>
      <c r="K622" s="52" t="str">
        <f>IF(Tabla1[[#This Row],[5]]="TPL",Tabla1[[#This Row],[6]],"")</f>
        <v/>
      </c>
      <c r="L622" s="52" t="str">
        <f>IF(OR(Tabla1[[#This Row],[5]]="TPL"),Tabla1[[#This Row],[7]],"")</f>
        <v/>
      </c>
      <c r="M622" s="52">
        <f>IF(Tabla15[[#This Row],[5]]="",0,VLOOKUP(TRAMOS!$K$2,Tabla5[#All],3,FALSE)*Tabla15[[#This Row],[6]])</f>
        <v>0</v>
      </c>
      <c r="N62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2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22" s="52">
        <f>IF(Tabla15[[#This Row],[8]]="",0,VLOOKUP(TRAMOS!$H$2,Tabla5[#All],3,FALSE)*Tabla15[[#This Row],[9]])</f>
        <v>0</v>
      </c>
      <c r="Q62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2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22" s="52">
        <f>IF(Tabla15[[#This Row],[11]]="",0,VLOOKUP(TRAMOS!$Q$2,Tabla5[#All],3,FALSE)*Tabla15[[#This Row],[12]])</f>
        <v>0</v>
      </c>
      <c r="T62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2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2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2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2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2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2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2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22" s="52">
        <f>IF(Tabla15[[#This Row],[20]]="",0,VLOOKUP("VRP",Tabla5[#All],3,FALSE)*Tabla15[[#This Row],[21]])</f>
        <v>0</v>
      </c>
      <c r="AC62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2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22" s="52">
        <f>IF(Tabla15[[#This Row],[23]]="",0,VLOOKUP("VC",Tabla5[#All],3,FALSE)*Tabla15[[#This Row],[24]])</f>
        <v>0</v>
      </c>
      <c r="AF62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2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22" s="52">
        <f>IF(Tabla15[[#This Row],[26]]="",0,VLOOKUP(TRAMOS!$K$2,Tabla5[#All],3,FALSE)*Tabla15[[#This Row],[27]])</f>
        <v>0</v>
      </c>
      <c r="AI62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2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2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2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2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2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2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623" spans="2:41" x14ac:dyDescent="0.25">
      <c r="B623" s="58" t="str">
        <f>Tabla1[[#This Row],[nudo inicial]]</f>
        <v>N329</v>
      </c>
      <c r="C623" s="58" t="str">
        <f>Tabla1[[#This Row],[nudo final]]</f>
        <v>TP212</v>
      </c>
      <c r="D623" s="51">
        <f>Tabla1[[#This Row],[longitud]]</f>
        <v>56</v>
      </c>
      <c r="E623" s="51" t="str">
        <f>Tabla1[[#This Row],[diametro]]</f>
        <v>1"</v>
      </c>
      <c r="F623" s="51" t="str">
        <f>Tabla1[[#This Row],[material]]</f>
        <v>HG</v>
      </c>
      <c r="G62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623" s="52" t="str">
        <f>IF(Tabla1[[#This Row],[5]]="TPD",Tabla1[[#This Row],[6]],"")</f>
        <v/>
      </c>
      <c r="I623" s="52" t="str">
        <f>IF(OR(Tabla1[[#This Row],[5]]="TPD"),Tabla1[[#This Row],[7]],"")</f>
        <v/>
      </c>
      <c r="J623" s="52">
        <f>IF(Tabla15[[#This Row],[2]]="",0,VLOOKUP(TRAMOS!$H$2,Tabla5[#All],3,FALSE)*Tabla15[[#This Row],[3]])</f>
        <v>0</v>
      </c>
      <c r="K623" s="52" t="str">
        <f>IF(Tabla1[[#This Row],[5]]="TPL",Tabla1[[#This Row],[6]],"")</f>
        <v/>
      </c>
      <c r="L623" s="52" t="str">
        <f>IF(OR(Tabla1[[#This Row],[5]]="TPL"),Tabla1[[#This Row],[7]],"")</f>
        <v/>
      </c>
      <c r="M623" s="52">
        <f>IF(Tabla15[[#This Row],[5]]="",0,VLOOKUP(TRAMOS!$K$2,Tabla5[#All],3,FALSE)*Tabla15[[#This Row],[6]])</f>
        <v>0</v>
      </c>
      <c r="N62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2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23" s="52">
        <f>IF(Tabla15[[#This Row],[8]]="",0,VLOOKUP(TRAMOS!$H$2,Tabla5[#All],3,FALSE)*Tabla15[[#This Row],[9]])</f>
        <v>0</v>
      </c>
      <c r="Q62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2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23" s="52">
        <f>IF(Tabla15[[#This Row],[11]]="",0,VLOOKUP(TRAMOS!$Q$2,Tabla5[#All],3,FALSE)*Tabla15[[#This Row],[12]])</f>
        <v>0</v>
      </c>
      <c r="T62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1"</v>
      </c>
      <c r="U623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62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0.45</v>
      </c>
      <c r="W62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2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2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2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2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23" s="52">
        <f>IF(Tabla15[[#This Row],[20]]="",0,VLOOKUP("VRP",Tabla5[#All],3,FALSE)*Tabla15[[#This Row],[21]])</f>
        <v>0</v>
      </c>
      <c r="AC62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2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23" s="52">
        <f>IF(Tabla15[[#This Row],[23]]="",0,VLOOKUP("VC",Tabla5[#All],3,FALSE)*Tabla15[[#This Row],[24]])</f>
        <v>0</v>
      </c>
      <c r="AF62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>4"</v>
      </c>
      <c r="AG623" s="52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>1</v>
      </c>
      <c r="AH623" s="52">
        <f>IF(Tabla15[[#This Row],[26]]="",0,VLOOKUP(TRAMOS!$K$2,Tabla5[#All],3,FALSE)*Tabla15[[#This Row],[27]])</f>
        <v>0.9</v>
      </c>
      <c r="AI62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2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2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2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2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1"</v>
      </c>
      <c r="AN623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62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1.35</v>
      </c>
    </row>
    <row r="624" spans="2:41" x14ac:dyDescent="0.25">
      <c r="B624" s="58" t="str">
        <f>Tabla1[[#This Row],[nudo inicial]]</f>
        <v>N331</v>
      </c>
      <c r="C624" s="58" t="str">
        <f>Tabla1[[#This Row],[nudo final]]</f>
        <v>N332</v>
      </c>
      <c r="D624" s="51">
        <f>Tabla1[[#This Row],[longitud]]</f>
        <v>59</v>
      </c>
      <c r="E624" s="51" t="str">
        <f>Tabla1[[#This Row],[diametro]]</f>
        <v>3"</v>
      </c>
      <c r="F624" s="51" t="str">
        <f>Tabla1[[#This Row],[material]]</f>
        <v>AC</v>
      </c>
      <c r="G62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624" s="52" t="str">
        <f>IF(Tabla1[[#This Row],[5]]="TPD",Tabla1[[#This Row],[6]],"")</f>
        <v/>
      </c>
      <c r="I624" s="52" t="str">
        <f>IF(OR(Tabla1[[#This Row],[5]]="TPD"),Tabla1[[#This Row],[7]],"")</f>
        <v/>
      </c>
      <c r="J624" s="52">
        <f>IF(Tabla15[[#This Row],[2]]="",0,VLOOKUP(TRAMOS!$H$2,Tabla5[#All],3,FALSE)*Tabla15[[#This Row],[3]])</f>
        <v>0</v>
      </c>
      <c r="K624" s="52" t="str">
        <f>IF(Tabla1[[#This Row],[5]]="TPL",Tabla1[[#This Row],[6]],"")</f>
        <v>4"</v>
      </c>
      <c r="L624" s="52">
        <f>IF(OR(Tabla1[[#This Row],[5]]="TPL"),Tabla1[[#This Row],[7]],"")</f>
        <v>1</v>
      </c>
      <c r="M624" s="52">
        <f>IF(Tabla15[[#This Row],[5]]="",0,VLOOKUP(TRAMOS!$K$2,Tabla5[#All],3,FALSE)*Tabla15[[#This Row],[6]])</f>
        <v>0.9</v>
      </c>
      <c r="N62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2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24" s="52">
        <f>IF(Tabla15[[#This Row],[8]]="",0,VLOOKUP(TRAMOS!$H$2,Tabla5[#All],3,FALSE)*Tabla15[[#This Row],[9]])</f>
        <v>0</v>
      </c>
      <c r="Q62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2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24" s="52">
        <f>IF(Tabla15[[#This Row],[11]]="",0,VLOOKUP(TRAMOS!$Q$2,Tabla5[#All],3,FALSE)*Tabla15[[#This Row],[12]])</f>
        <v>0</v>
      </c>
      <c r="T62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624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62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0.13850000000000007</v>
      </c>
      <c r="W62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2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2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2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2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24" s="52">
        <f>IF(Tabla15[[#This Row],[20]]="",0,VLOOKUP("VRP",Tabla5[#All],3,FALSE)*Tabla15[[#This Row],[21]])</f>
        <v>0</v>
      </c>
      <c r="AC62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624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624" s="52">
        <f>IF(Tabla15[[#This Row],[23]]="",0,VLOOKUP("VC",Tabla5[#All],3,FALSE)*Tabla15[[#This Row],[24]])</f>
        <v>0.25</v>
      </c>
      <c r="AF62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2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24" s="52">
        <f>IF(Tabla15[[#This Row],[26]]="",0,VLOOKUP(TRAMOS!$K$2,Tabla5[#All],3,FALSE)*Tabla15[[#This Row],[27]])</f>
        <v>0</v>
      </c>
      <c r="AI62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2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2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2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2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2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2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1.2885</v>
      </c>
    </row>
    <row r="625" spans="2:41" x14ac:dyDescent="0.25">
      <c r="B625" s="58" t="str">
        <f>Tabla1[[#This Row],[nudo inicial]]</f>
        <v>N332</v>
      </c>
      <c r="C625" s="58" t="str">
        <f>Tabla1[[#This Row],[nudo final]]</f>
        <v>N333</v>
      </c>
      <c r="D625" s="51">
        <f>Tabla1[[#This Row],[longitud]]</f>
        <v>55.97</v>
      </c>
      <c r="E625" s="51" t="str">
        <f>Tabla1[[#This Row],[diametro]]</f>
        <v>3"</v>
      </c>
      <c r="F625" s="51" t="str">
        <f>Tabla1[[#This Row],[material]]</f>
        <v>AC</v>
      </c>
      <c r="G62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25" s="52" t="str">
        <f>IF(Tabla1[[#This Row],[5]]="TPD",Tabla1[[#This Row],[6]],"")</f>
        <v/>
      </c>
      <c r="I625" s="52" t="str">
        <f>IF(OR(Tabla1[[#This Row],[5]]="TPD"),Tabla1[[#This Row],[7]],"")</f>
        <v/>
      </c>
      <c r="J625" s="52">
        <f>IF(Tabla15[[#This Row],[2]]="",0,VLOOKUP(TRAMOS!$H$2,Tabla5[#All],3,FALSE)*Tabla15[[#This Row],[3]])</f>
        <v>0</v>
      </c>
      <c r="K625" s="52" t="str">
        <f>IF(Tabla1[[#This Row],[5]]="TPL",Tabla1[[#This Row],[6]],"")</f>
        <v>3"</v>
      </c>
      <c r="L625" s="52">
        <f>IF(OR(Tabla1[[#This Row],[5]]="TPL"),Tabla1[[#This Row],[7]],"")</f>
        <v>1</v>
      </c>
      <c r="M625" s="52">
        <f>IF(Tabla15[[#This Row],[5]]="",0,VLOOKUP(TRAMOS!$K$2,Tabla5[#All],3,FALSE)*Tabla15[[#This Row],[6]])</f>
        <v>0.9</v>
      </c>
      <c r="N62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2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25" s="52">
        <f>IF(Tabla15[[#This Row],[8]]="",0,VLOOKUP(TRAMOS!$H$2,Tabla5[#All],3,FALSE)*Tabla15[[#This Row],[9]])</f>
        <v>0</v>
      </c>
      <c r="Q62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2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25" s="52">
        <f>IF(Tabla15[[#This Row],[11]]="",0,VLOOKUP(TRAMOS!$Q$2,Tabla5[#All],3,FALSE)*Tabla15[[#This Row],[12]])</f>
        <v>0</v>
      </c>
      <c r="T62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2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2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2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2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2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2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2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25" s="52">
        <f>IF(Tabla15[[#This Row],[20]]="",0,VLOOKUP("VRP",Tabla5[#All],3,FALSE)*Tabla15[[#This Row],[21]])</f>
        <v>0</v>
      </c>
      <c r="AC62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2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25" s="52">
        <f>IF(Tabla15[[#This Row],[23]]="",0,VLOOKUP("VC",Tabla5[#All],3,FALSE)*Tabla15[[#This Row],[24]])</f>
        <v>0</v>
      </c>
      <c r="AF62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2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25" s="52">
        <f>IF(Tabla15[[#This Row],[26]]="",0,VLOOKUP(TRAMOS!$K$2,Tabla5[#All],3,FALSE)*Tabla15[[#This Row],[27]])</f>
        <v>0</v>
      </c>
      <c r="AI62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2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2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2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2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2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2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626" spans="2:41" x14ac:dyDescent="0.25">
      <c r="B626" s="58" t="str">
        <f>Tabla1[[#This Row],[nudo inicial]]</f>
        <v>N333</v>
      </c>
      <c r="C626" s="58" t="str">
        <f>Tabla1[[#This Row],[nudo final]]</f>
        <v>N334</v>
      </c>
      <c r="D626" s="51">
        <f>Tabla1[[#This Row],[longitud]]</f>
        <v>54.6</v>
      </c>
      <c r="E626" s="51" t="str">
        <f>Tabla1[[#This Row],[diametro]]</f>
        <v>3"</v>
      </c>
      <c r="F626" s="51" t="str">
        <f>Tabla1[[#This Row],[material]]</f>
        <v>PVC</v>
      </c>
      <c r="G62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26" s="52" t="str">
        <f>IF(Tabla1[[#This Row],[5]]="TPD",Tabla1[[#This Row],[6]],"")</f>
        <v/>
      </c>
      <c r="I626" s="52" t="str">
        <f>IF(OR(Tabla1[[#This Row],[5]]="TPD"),Tabla1[[#This Row],[7]],"")</f>
        <v/>
      </c>
      <c r="J626" s="52">
        <f>IF(Tabla15[[#This Row],[2]]="",0,VLOOKUP(TRAMOS!$H$2,Tabla5[#All],3,FALSE)*Tabla15[[#This Row],[3]])</f>
        <v>0</v>
      </c>
      <c r="K626" s="52" t="str">
        <f>IF(Tabla1[[#This Row],[5]]="TPL",Tabla1[[#This Row],[6]],"")</f>
        <v/>
      </c>
      <c r="L626" s="52" t="str">
        <f>IF(OR(Tabla1[[#This Row],[5]]="TPL"),Tabla1[[#This Row],[7]],"")</f>
        <v/>
      </c>
      <c r="M626" s="52">
        <f>IF(Tabla15[[#This Row],[5]]="",0,VLOOKUP(TRAMOS!$K$2,Tabla5[#All],3,FALSE)*Tabla15[[#This Row],[6]])</f>
        <v>0</v>
      </c>
      <c r="N62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2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26" s="52">
        <f>IF(Tabla15[[#This Row],[8]]="",0,VLOOKUP(TRAMOS!$H$2,Tabla5[#All],3,FALSE)*Tabla15[[#This Row],[9]])</f>
        <v>0</v>
      </c>
      <c r="Q62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2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26" s="52">
        <f>IF(Tabla15[[#This Row],[11]]="",0,VLOOKUP(TRAMOS!$Q$2,Tabla5[#All],3,FALSE)*Tabla15[[#This Row],[12]])</f>
        <v>0</v>
      </c>
      <c r="T62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2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2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2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2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2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2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2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26" s="52">
        <f>IF(Tabla15[[#This Row],[20]]="",0,VLOOKUP("VRP",Tabla5[#All],3,FALSE)*Tabla15[[#This Row],[21]])</f>
        <v>0</v>
      </c>
      <c r="AC62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2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26" s="52">
        <f>IF(Tabla15[[#This Row],[23]]="",0,VLOOKUP("VC",Tabla5[#All],3,FALSE)*Tabla15[[#This Row],[24]])</f>
        <v>0</v>
      </c>
      <c r="AF62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2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26" s="52">
        <f>IF(Tabla15[[#This Row],[26]]="",0,VLOOKUP(TRAMOS!$K$2,Tabla5[#All],3,FALSE)*Tabla15[[#This Row],[27]])</f>
        <v>0</v>
      </c>
      <c r="AI62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2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2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2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2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2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2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</v>
      </c>
    </row>
    <row r="627" spans="2:41" x14ac:dyDescent="0.25">
      <c r="B627" s="58" t="str">
        <f>Tabla1[[#This Row],[nudo inicial]]</f>
        <v>N334</v>
      </c>
      <c r="C627" s="58" t="str">
        <f>Tabla1[[#This Row],[nudo final]]</f>
        <v>N213</v>
      </c>
      <c r="D627" s="51">
        <f>Tabla1[[#This Row],[longitud]]</f>
        <v>45.13</v>
      </c>
      <c r="E627" s="51" t="str">
        <f>Tabla1[[#This Row],[diametro]]</f>
        <v>1"</v>
      </c>
      <c r="F627" s="51" t="str">
        <f>Tabla1[[#This Row],[material]]</f>
        <v>PVC</v>
      </c>
      <c r="G62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27" s="52" t="str">
        <f>IF(Tabla1[[#This Row],[5]]="TPD",Tabla1[[#This Row],[6]],"")</f>
        <v/>
      </c>
      <c r="I627" s="52" t="str">
        <f>IF(OR(Tabla1[[#This Row],[5]]="TPD"),Tabla1[[#This Row],[7]],"")</f>
        <v/>
      </c>
      <c r="J627" s="52">
        <f>IF(Tabla15[[#This Row],[2]]="",0,VLOOKUP(TRAMOS!$H$2,Tabla5[#All],3,FALSE)*Tabla15[[#This Row],[3]])</f>
        <v>0</v>
      </c>
      <c r="K627" s="52" t="str">
        <f>IF(Tabla1[[#This Row],[5]]="TPL",Tabla1[[#This Row],[6]],"")</f>
        <v>3"</v>
      </c>
      <c r="L627" s="52">
        <f>IF(OR(Tabla1[[#This Row],[5]]="TPL"),Tabla1[[#This Row],[7]],"")</f>
        <v>1</v>
      </c>
      <c r="M627" s="52">
        <f>IF(Tabla15[[#This Row],[5]]="",0,VLOOKUP(TRAMOS!$K$2,Tabla5[#All],3,FALSE)*Tabla15[[#This Row],[6]])</f>
        <v>0.9</v>
      </c>
      <c r="N62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2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27" s="52">
        <f>IF(Tabla15[[#This Row],[8]]="",0,VLOOKUP(TRAMOS!$H$2,Tabla5[#All],3,FALSE)*Tabla15[[#This Row],[9]])</f>
        <v>0</v>
      </c>
      <c r="Q62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2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27" s="52">
        <f>IF(Tabla15[[#This Row],[11]]="",0,VLOOKUP(TRAMOS!$Q$2,Tabla5[#All],3,FALSE)*Tabla15[[#This Row],[12]])</f>
        <v>0</v>
      </c>
      <c r="T62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1"</v>
      </c>
      <c r="U627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62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0.43</v>
      </c>
      <c r="W62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2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2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2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2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27" s="52">
        <f>IF(Tabla15[[#This Row],[20]]="",0,VLOOKUP("VRP",Tabla5[#All],3,FALSE)*Tabla15[[#This Row],[21]])</f>
        <v>0</v>
      </c>
      <c r="AC62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2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27" s="52">
        <f>IF(Tabla15[[#This Row],[23]]="",0,VLOOKUP("VC",Tabla5[#All],3,FALSE)*Tabla15[[#This Row],[24]])</f>
        <v>0</v>
      </c>
      <c r="AF62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2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27" s="52">
        <f>IF(Tabla15[[#This Row],[26]]="",0,VLOOKUP(TRAMOS!$K$2,Tabla5[#All],3,FALSE)*Tabla15[[#This Row],[27]])</f>
        <v>0</v>
      </c>
      <c r="AI62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2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2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2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2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1"</v>
      </c>
      <c r="AN627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62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1.33</v>
      </c>
    </row>
    <row r="628" spans="2:41" x14ac:dyDescent="0.25">
      <c r="B628" s="58" t="str">
        <f>Tabla1[[#This Row],[nudo inicial]]</f>
        <v>N334</v>
      </c>
      <c r="C628" s="58" t="str">
        <f>Tabla1[[#This Row],[nudo final]]</f>
        <v>N335</v>
      </c>
      <c r="D628" s="51">
        <f>Tabla1[[#This Row],[longitud]]</f>
        <v>60.19</v>
      </c>
      <c r="E628" s="51" t="str">
        <f>Tabla1[[#This Row],[diametro]]</f>
        <v>2"</v>
      </c>
      <c r="F628" s="51" t="str">
        <f>Tabla1[[#This Row],[material]]</f>
        <v>PVC</v>
      </c>
      <c r="G62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28" s="52" t="str">
        <f>IF(Tabla1[[#This Row],[5]]="TPD",Tabla1[[#This Row],[6]],"")</f>
        <v>3"</v>
      </c>
      <c r="I628" s="52">
        <f>IF(OR(Tabla1[[#This Row],[5]]="TPD"),Tabla1[[#This Row],[7]],"")</f>
        <v>1</v>
      </c>
      <c r="J628" s="52">
        <f>IF(Tabla15[[#This Row],[2]]="",0,VLOOKUP(TRAMOS!$H$2,Tabla5[#All],3,FALSE)*Tabla15[[#This Row],[3]])</f>
        <v>0.15</v>
      </c>
      <c r="K628" s="52" t="str">
        <f>IF(Tabla1[[#This Row],[5]]="TPL",Tabla1[[#This Row],[6]],"")</f>
        <v/>
      </c>
      <c r="L628" s="52" t="str">
        <f>IF(OR(Tabla1[[#This Row],[5]]="TPL"),Tabla1[[#This Row],[7]],"")</f>
        <v/>
      </c>
      <c r="M628" s="52">
        <f>IF(Tabla15[[#This Row],[5]]="",0,VLOOKUP(TRAMOS!$K$2,Tabla5[#All],3,FALSE)*Tabla15[[#This Row],[6]])</f>
        <v>0</v>
      </c>
      <c r="N62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2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28" s="52">
        <f>IF(Tabla15[[#This Row],[8]]="",0,VLOOKUP(TRAMOS!$H$2,Tabla5[#All],3,FALSE)*Tabla15[[#This Row],[9]])</f>
        <v>0</v>
      </c>
      <c r="Q62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2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28" s="52">
        <f>IF(Tabla15[[#This Row],[11]]="",0,VLOOKUP(TRAMOS!$Q$2,Tabla5[#All],3,FALSE)*Tabla15[[#This Row],[12]])</f>
        <v>0</v>
      </c>
      <c r="T62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628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62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62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2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2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2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2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28" s="52">
        <f>IF(Tabla15[[#This Row],[20]]="",0,VLOOKUP("VRP",Tabla5[#All],3,FALSE)*Tabla15[[#This Row],[21]])</f>
        <v>0</v>
      </c>
      <c r="AC62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2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28" s="52">
        <f>IF(Tabla15[[#This Row],[23]]="",0,VLOOKUP("VC",Tabla5[#All],3,FALSE)*Tabla15[[#This Row],[24]])</f>
        <v>0</v>
      </c>
      <c r="AF62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2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28" s="52">
        <f>IF(Tabla15[[#This Row],[26]]="",0,VLOOKUP(TRAMOS!$K$2,Tabla5[#All],3,FALSE)*Tabla15[[#This Row],[27]])</f>
        <v>0</v>
      </c>
      <c r="AI62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2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2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2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2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2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2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0.36499999999999999</v>
      </c>
    </row>
    <row r="629" spans="2:41" x14ac:dyDescent="0.25">
      <c r="B629" s="58" t="str">
        <f>Tabla1[[#This Row],[nudo inicial]]</f>
        <v>N335</v>
      </c>
      <c r="C629" s="58" t="str">
        <f>Tabla1[[#This Row],[nudo final]]</f>
        <v>TP214</v>
      </c>
      <c r="D629" s="51">
        <f>Tabla1[[#This Row],[longitud]]</f>
        <v>41.29</v>
      </c>
      <c r="E629" s="51" t="str">
        <f>Tabla1[[#This Row],[diametro]]</f>
        <v>2"</v>
      </c>
      <c r="F629" s="51" t="str">
        <f>Tabla1[[#This Row],[material]]</f>
        <v>PVC</v>
      </c>
      <c r="G62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629" s="52" t="str">
        <f>IF(Tabla1[[#This Row],[5]]="TPD",Tabla1[[#This Row],[6]],"")</f>
        <v/>
      </c>
      <c r="I629" s="52" t="str">
        <f>IF(OR(Tabla1[[#This Row],[5]]="TPD"),Tabla1[[#This Row],[7]],"")</f>
        <v/>
      </c>
      <c r="J629" s="52">
        <f>IF(Tabla15[[#This Row],[2]]="",0,VLOOKUP(TRAMOS!$H$2,Tabla5[#All],3,FALSE)*Tabla15[[#This Row],[3]])</f>
        <v>0</v>
      </c>
      <c r="K629" s="52" t="str">
        <f>IF(Tabla1[[#This Row],[5]]="TPL",Tabla1[[#This Row],[6]],"")</f>
        <v>2"</v>
      </c>
      <c r="L629" s="52">
        <f>IF(OR(Tabla1[[#This Row],[5]]="TPL"),Tabla1[[#This Row],[7]],"")</f>
        <v>1</v>
      </c>
      <c r="M629" s="52">
        <f>IF(Tabla15[[#This Row],[5]]="",0,VLOOKUP(TRAMOS!$K$2,Tabla5[#All],3,FALSE)*Tabla15[[#This Row],[6]])</f>
        <v>0.9</v>
      </c>
      <c r="N62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2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29" s="52">
        <f>IF(Tabla15[[#This Row],[8]]="",0,VLOOKUP(TRAMOS!$H$2,Tabla5[#All],3,FALSE)*Tabla15[[#This Row],[9]])</f>
        <v>0</v>
      </c>
      <c r="Q62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2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29" s="52">
        <f>IF(Tabla15[[#This Row],[11]]="",0,VLOOKUP(TRAMOS!$Q$2,Tabla5[#All],3,FALSE)*Tabla15[[#This Row],[12]])</f>
        <v>0</v>
      </c>
      <c r="T62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2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2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2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2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2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2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2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29" s="52">
        <f>IF(Tabla15[[#This Row],[20]]="",0,VLOOKUP("VRP",Tabla5[#All],3,FALSE)*Tabla15[[#This Row],[21]])</f>
        <v>0</v>
      </c>
      <c r="AC62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2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29" s="52">
        <f>IF(Tabla15[[#This Row],[23]]="",0,VLOOKUP("VC",Tabla5[#All],3,FALSE)*Tabla15[[#This Row],[24]])</f>
        <v>0</v>
      </c>
      <c r="AF62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2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29" s="52">
        <f>IF(Tabla15[[#This Row],[26]]="",0,VLOOKUP(TRAMOS!$K$2,Tabla5[#All],3,FALSE)*Tabla15[[#This Row],[27]])</f>
        <v>0</v>
      </c>
      <c r="AI62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2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2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2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2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629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62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630" spans="2:41" x14ac:dyDescent="0.25">
      <c r="B630" s="58" t="str">
        <f>Tabla1[[#This Row],[nudo inicial]]</f>
        <v>N335</v>
      </c>
      <c r="C630" s="58" t="str">
        <f>Tabla1[[#This Row],[nudo final]]</f>
        <v>TP215</v>
      </c>
      <c r="D630" s="51">
        <f>Tabla1[[#This Row],[longitud]]</f>
        <v>46.52</v>
      </c>
      <c r="E630" s="51" t="str">
        <f>Tabla1[[#This Row],[diametro]]</f>
        <v>2"</v>
      </c>
      <c r="F630" s="51" t="str">
        <f>Tabla1[[#This Row],[material]]</f>
        <v>PVC</v>
      </c>
      <c r="G63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630" s="52" t="str">
        <f>IF(Tabla1[[#This Row],[5]]="TPD",Tabla1[[#This Row],[6]],"")</f>
        <v>2"</v>
      </c>
      <c r="I630" s="52">
        <f>IF(OR(Tabla1[[#This Row],[5]]="TPD"),Tabla1[[#This Row],[7]],"")</f>
        <v>1</v>
      </c>
      <c r="J630" s="52">
        <f>IF(Tabla15[[#This Row],[2]]="",0,VLOOKUP(TRAMOS!$H$2,Tabla5[#All],3,FALSE)*Tabla15[[#This Row],[3]])</f>
        <v>0.15</v>
      </c>
      <c r="K630" s="52" t="str">
        <f>IF(Tabla1[[#This Row],[5]]="TPL",Tabla1[[#This Row],[6]],"")</f>
        <v/>
      </c>
      <c r="L630" s="52" t="str">
        <f>IF(OR(Tabla1[[#This Row],[5]]="TPL"),Tabla1[[#This Row],[7]],"")</f>
        <v/>
      </c>
      <c r="M630" s="52">
        <f>IF(Tabla15[[#This Row],[5]]="",0,VLOOKUP(TRAMOS!$K$2,Tabla5[#All],3,FALSE)*Tabla15[[#This Row],[6]])</f>
        <v>0</v>
      </c>
      <c r="N63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3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30" s="52">
        <f>IF(Tabla15[[#This Row],[8]]="",0,VLOOKUP(TRAMOS!$H$2,Tabla5[#All],3,FALSE)*Tabla15[[#This Row],[9]])</f>
        <v>0</v>
      </c>
      <c r="Q63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630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630" s="52">
        <f>IF(Tabla15[[#This Row],[11]]="",0,VLOOKUP(TRAMOS!$Q$2,Tabla5[#All],3,FALSE)*Tabla15[[#This Row],[12]])</f>
        <v>0.9</v>
      </c>
      <c r="T63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3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3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3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3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3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3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3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30" s="52">
        <f>IF(Tabla15[[#This Row],[20]]="",0,VLOOKUP("VRP",Tabla5[#All],3,FALSE)*Tabla15[[#This Row],[21]])</f>
        <v>0</v>
      </c>
      <c r="AC63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3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30" s="52">
        <f>IF(Tabla15[[#This Row],[23]]="",0,VLOOKUP("VC",Tabla5[#All],3,FALSE)*Tabla15[[#This Row],[24]])</f>
        <v>0</v>
      </c>
      <c r="AF63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3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30" s="52">
        <f>IF(Tabla15[[#This Row],[26]]="",0,VLOOKUP(TRAMOS!$K$2,Tabla5[#All],3,FALSE)*Tabla15[[#This Row],[27]])</f>
        <v>0</v>
      </c>
      <c r="AI63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3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3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3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3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630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63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631" spans="2:41" x14ac:dyDescent="0.25">
      <c r="B631" s="58" t="str">
        <f>Tabla1[[#This Row],[nudo inicial]]</f>
        <v>N332</v>
      </c>
      <c r="C631" s="58" t="str">
        <f>Tabla1[[#This Row],[nudo final]]</f>
        <v>N336</v>
      </c>
      <c r="D631" s="51">
        <f>Tabla1[[#This Row],[longitud]]</f>
        <v>50.35</v>
      </c>
      <c r="E631" s="51" t="str">
        <f>Tabla1[[#This Row],[diametro]]</f>
        <v>3"</v>
      </c>
      <c r="F631" s="51" t="str">
        <f>Tabla1[[#This Row],[material]]</f>
        <v>AC</v>
      </c>
      <c r="G63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31" s="52" t="str">
        <f>IF(Tabla1[[#This Row],[5]]="TPD",Tabla1[[#This Row],[6]],"")</f>
        <v>3"</v>
      </c>
      <c r="I631" s="52">
        <f>IF(OR(Tabla1[[#This Row],[5]]="TPD"),Tabla1[[#This Row],[7]],"")</f>
        <v>1</v>
      </c>
      <c r="J631" s="52">
        <f>IF(Tabla15[[#This Row],[2]]="",0,VLOOKUP(TRAMOS!$H$2,Tabla5[#All],3,FALSE)*Tabla15[[#This Row],[3]])</f>
        <v>0.15</v>
      </c>
      <c r="K631" s="52" t="str">
        <f>IF(Tabla1[[#This Row],[5]]="TPL",Tabla1[[#This Row],[6]],"")</f>
        <v/>
      </c>
      <c r="L631" s="52" t="str">
        <f>IF(OR(Tabla1[[#This Row],[5]]="TPL"),Tabla1[[#This Row],[7]],"")</f>
        <v/>
      </c>
      <c r="M631" s="52">
        <f>IF(Tabla15[[#This Row],[5]]="",0,VLOOKUP(TRAMOS!$K$2,Tabla5[#All],3,FALSE)*Tabla15[[#This Row],[6]])</f>
        <v>0</v>
      </c>
      <c r="N63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3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31" s="52">
        <f>IF(Tabla15[[#This Row],[8]]="",0,VLOOKUP(TRAMOS!$H$2,Tabla5[#All],3,FALSE)*Tabla15[[#This Row],[9]])</f>
        <v>0</v>
      </c>
      <c r="Q63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3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31" s="52">
        <f>IF(Tabla15[[#This Row],[11]]="",0,VLOOKUP(TRAMOS!$Q$2,Tabla5[#All],3,FALSE)*Tabla15[[#This Row],[12]])</f>
        <v>0</v>
      </c>
      <c r="T63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3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3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3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3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3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3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3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31" s="52">
        <f>IF(Tabla15[[#This Row],[20]]="",0,VLOOKUP("VRP",Tabla5[#All],3,FALSE)*Tabla15[[#This Row],[21]])</f>
        <v>0</v>
      </c>
      <c r="AC63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3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31" s="52">
        <f>IF(Tabla15[[#This Row],[23]]="",0,VLOOKUP("VC",Tabla5[#All],3,FALSE)*Tabla15[[#This Row],[24]])</f>
        <v>0</v>
      </c>
      <c r="AF63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3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31" s="52">
        <f>IF(Tabla15[[#This Row],[26]]="",0,VLOOKUP(TRAMOS!$K$2,Tabla5[#All],3,FALSE)*Tabla15[[#This Row],[27]])</f>
        <v>0</v>
      </c>
      <c r="AI63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3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3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3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3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3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3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632" spans="2:41" x14ac:dyDescent="0.25">
      <c r="B632" s="58" t="str">
        <f>Tabla1[[#This Row],[nudo inicial]]</f>
        <v>N336</v>
      </c>
      <c r="C632" s="58" t="str">
        <f>Tabla1[[#This Row],[nudo final]]</f>
        <v>TP216</v>
      </c>
      <c r="D632" s="51">
        <f>Tabla1[[#This Row],[longitud]]</f>
        <v>203.38</v>
      </c>
      <c r="E632" s="51" t="str">
        <f>Tabla1[[#This Row],[diametro]]</f>
        <v>2"</v>
      </c>
      <c r="F632" s="51" t="str">
        <f>Tabla1[[#This Row],[material]]</f>
        <v>PVC</v>
      </c>
      <c r="G63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32" s="52" t="str">
        <f>IF(Tabla1[[#This Row],[5]]="TPD",Tabla1[[#This Row],[6]],"")</f>
        <v/>
      </c>
      <c r="I632" s="52" t="str">
        <f>IF(OR(Tabla1[[#This Row],[5]]="TPD"),Tabla1[[#This Row],[7]],"")</f>
        <v/>
      </c>
      <c r="J632" s="52">
        <f>IF(Tabla15[[#This Row],[2]]="",0,VLOOKUP(TRAMOS!$H$2,Tabla5[#All],3,FALSE)*Tabla15[[#This Row],[3]])</f>
        <v>0</v>
      </c>
      <c r="K632" s="52" t="str">
        <f>IF(Tabla1[[#This Row],[5]]="TPL",Tabla1[[#This Row],[6]],"")</f>
        <v>3"</v>
      </c>
      <c r="L632" s="52">
        <f>IF(OR(Tabla1[[#This Row],[5]]="TPL"),Tabla1[[#This Row],[7]],"")</f>
        <v>1</v>
      </c>
      <c r="M632" s="52">
        <f>IF(Tabla15[[#This Row],[5]]="",0,VLOOKUP(TRAMOS!$K$2,Tabla5[#All],3,FALSE)*Tabla15[[#This Row],[6]])</f>
        <v>0.9</v>
      </c>
      <c r="N63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3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32" s="52">
        <f>IF(Tabla15[[#This Row],[8]]="",0,VLOOKUP(TRAMOS!$H$2,Tabla5[#All],3,FALSE)*Tabla15[[#This Row],[9]])</f>
        <v>0</v>
      </c>
      <c r="Q63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632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632" s="52">
        <f>IF(Tabla15[[#This Row],[11]]="",0,VLOOKUP(TRAMOS!$Q$2,Tabla5[#All],3,FALSE)*Tabla15[[#This Row],[12]])</f>
        <v>0.9</v>
      </c>
      <c r="T63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632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63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63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3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3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3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3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32" s="52">
        <f>IF(Tabla15[[#This Row],[20]]="",0,VLOOKUP("VRP",Tabla5[#All],3,FALSE)*Tabla15[[#This Row],[21]])</f>
        <v>0</v>
      </c>
      <c r="AC63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3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32" s="52">
        <f>IF(Tabla15[[#This Row],[23]]="",0,VLOOKUP("VC",Tabla5[#All],3,FALSE)*Tabla15[[#This Row],[24]])</f>
        <v>0</v>
      </c>
      <c r="AF63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3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32" s="52">
        <f>IF(Tabla15[[#This Row],[26]]="",0,VLOOKUP(TRAMOS!$K$2,Tabla5[#All],3,FALSE)*Tabla15[[#This Row],[27]])</f>
        <v>0</v>
      </c>
      <c r="AI63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3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3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3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3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632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63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2.0150000000000001</v>
      </c>
    </row>
    <row r="633" spans="2:41" x14ac:dyDescent="0.25">
      <c r="B633" s="58" t="str">
        <f>Tabla1[[#This Row],[nudo inicial]]</f>
        <v>N336</v>
      </c>
      <c r="C633" s="58" t="str">
        <f>Tabla1[[#This Row],[nudo final]]</f>
        <v>N337</v>
      </c>
      <c r="D633" s="51">
        <f>Tabla1[[#This Row],[longitud]]</f>
        <v>52.11</v>
      </c>
      <c r="E633" s="51" t="str">
        <f>Tabla1[[#This Row],[diametro]]</f>
        <v>3"</v>
      </c>
      <c r="F633" s="51" t="str">
        <f>Tabla1[[#This Row],[material]]</f>
        <v>AC</v>
      </c>
      <c r="G63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33" s="52" t="str">
        <f>IF(Tabla1[[#This Row],[5]]="TPD",Tabla1[[#This Row],[6]],"")</f>
        <v>3"</v>
      </c>
      <c r="I633" s="52">
        <f>IF(OR(Tabla1[[#This Row],[5]]="TPD"),Tabla1[[#This Row],[7]],"")</f>
        <v>1</v>
      </c>
      <c r="J633" s="52">
        <f>IF(Tabla15[[#This Row],[2]]="",0,VLOOKUP(TRAMOS!$H$2,Tabla5[#All],3,FALSE)*Tabla15[[#This Row],[3]])</f>
        <v>0.15</v>
      </c>
      <c r="K633" s="52" t="str">
        <f>IF(Tabla1[[#This Row],[5]]="TPL",Tabla1[[#This Row],[6]],"")</f>
        <v/>
      </c>
      <c r="L633" s="52" t="str">
        <f>IF(OR(Tabla1[[#This Row],[5]]="TPL"),Tabla1[[#This Row],[7]],"")</f>
        <v/>
      </c>
      <c r="M633" s="52">
        <f>IF(Tabla15[[#This Row],[5]]="",0,VLOOKUP(TRAMOS!$K$2,Tabla5[#All],3,FALSE)*Tabla15[[#This Row],[6]])</f>
        <v>0</v>
      </c>
      <c r="N63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3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33" s="52">
        <f>IF(Tabla15[[#This Row],[8]]="",0,VLOOKUP(TRAMOS!$H$2,Tabla5[#All],3,FALSE)*Tabla15[[#This Row],[9]])</f>
        <v>0</v>
      </c>
      <c r="Q63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3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33" s="52">
        <f>IF(Tabla15[[#This Row],[11]]="",0,VLOOKUP(TRAMOS!$Q$2,Tabla5[#All],3,FALSE)*Tabla15[[#This Row],[12]])</f>
        <v>0</v>
      </c>
      <c r="T63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3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3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3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3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3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3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3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33" s="52">
        <f>IF(Tabla15[[#This Row],[20]]="",0,VLOOKUP("VRP",Tabla5[#All],3,FALSE)*Tabla15[[#This Row],[21]])</f>
        <v>0</v>
      </c>
      <c r="AC63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3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33" s="52">
        <f>IF(Tabla15[[#This Row],[23]]="",0,VLOOKUP("VC",Tabla5[#All],3,FALSE)*Tabla15[[#This Row],[24]])</f>
        <v>0</v>
      </c>
      <c r="AF63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3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33" s="52">
        <f>IF(Tabla15[[#This Row],[26]]="",0,VLOOKUP(TRAMOS!$K$2,Tabla5[#All],3,FALSE)*Tabla15[[#This Row],[27]])</f>
        <v>0</v>
      </c>
      <c r="AI63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3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3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3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3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3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3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634" spans="2:41" x14ac:dyDescent="0.25">
      <c r="B634" s="58" t="str">
        <f>Tabla1[[#This Row],[nudo inicial]]</f>
        <v>N337</v>
      </c>
      <c r="C634" s="58" t="str">
        <f>Tabla1[[#This Row],[nudo final]]</f>
        <v>TP217</v>
      </c>
      <c r="D634" s="51">
        <f>Tabla1[[#This Row],[longitud]]</f>
        <v>42.53</v>
      </c>
      <c r="E634" s="51" t="str">
        <f>Tabla1[[#This Row],[diametro]]</f>
        <v>1 1/2"</v>
      </c>
      <c r="F634" s="51" t="str">
        <f>Tabla1[[#This Row],[material]]</f>
        <v>PVC</v>
      </c>
      <c r="G63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34" s="52" t="str">
        <f>IF(Tabla1[[#This Row],[5]]="TPD",Tabla1[[#This Row],[6]],"")</f>
        <v/>
      </c>
      <c r="I634" s="52" t="str">
        <f>IF(OR(Tabla1[[#This Row],[5]]="TPD"),Tabla1[[#This Row],[7]],"")</f>
        <v/>
      </c>
      <c r="J634" s="52">
        <f>IF(Tabla15[[#This Row],[2]]="",0,VLOOKUP(TRAMOS!$H$2,Tabla5[#All],3,FALSE)*Tabla15[[#This Row],[3]])</f>
        <v>0</v>
      </c>
      <c r="K634" s="52" t="str">
        <f>IF(Tabla1[[#This Row],[5]]="TPL",Tabla1[[#This Row],[6]],"")</f>
        <v>3"</v>
      </c>
      <c r="L634" s="52">
        <f>IF(OR(Tabla1[[#This Row],[5]]="TPL"),Tabla1[[#This Row],[7]],"")</f>
        <v>1</v>
      </c>
      <c r="M634" s="52">
        <f>IF(Tabla15[[#This Row],[5]]="",0,VLOOKUP(TRAMOS!$K$2,Tabla5[#All],3,FALSE)*Tabla15[[#This Row],[6]])</f>
        <v>0.9</v>
      </c>
      <c r="N63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3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34" s="52">
        <f>IF(Tabla15[[#This Row],[8]]="",0,VLOOKUP(TRAMOS!$H$2,Tabla5[#All],3,FALSE)*Tabla15[[#This Row],[9]])</f>
        <v>0</v>
      </c>
      <c r="Q63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3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34" s="52">
        <f>IF(Tabla15[[#This Row],[11]]="",0,VLOOKUP(TRAMOS!$Q$2,Tabla5[#All],3,FALSE)*Tabla15[[#This Row],[12]])</f>
        <v>0</v>
      </c>
      <c r="T63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 1/2"</v>
      </c>
      <c r="U634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63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63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3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3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3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3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34" s="52">
        <f>IF(Tabla15[[#This Row],[20]]="",0,VLOOKUP("VRP",Tabla5[#All],3,FALSE)*Tabla15[[#This Row],[21]])</f>
        <v>0</v>
      </c>
      <c r="AC63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3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34" s="52">
        <f>IF(Tabla15[[#This Row],[23]]="",0,VLOOKUP("VC",Tabla5[#All],3,FALSE)*Tabla15[[#This Row],[24]])</f>
        <v>0</v>
      </c>
      <c r="AF63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3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34" s="52">
        <f>IF(Tabla15[[#This Row],[26]]="",0,VLOOKUP(TRAMOS!$K$2,Tabla5[#All],3,FALSE)*Tabla15[[#This Row],[27]])</f>
        <v>0</v>
      </c>
      <c r="AI63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3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3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3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3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 1/2"</v>
      </c>
      <c r="AN634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63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1.27</v>
      </c>
    </row>
    <row r="635" spans="2:41" x14ac:dyDescent="0.25">
      <c r="B635" s="58" t="str">
        <f>Tabla1[[#This Row],[nudo inicial]]</f>
        <v>N337</v>
      </c>
      <c r="C635" s="58" t="str">
        <f>Tabla1[[#This Row],[nudo final]]</f>
        <v>N338</v>
      </c>
      <c r="D635" s="51">
        <f>Tabla1[[#This Row],[longitud]]</f>
        <v>7.65</v>
      </c>
      <c r="E635" s="51" t="str">
        <f>Tabla1[[#This Row],[diametro]]</f>
        <v>3"</v>
      </c>
      <c r="F635" s="51" t="str">
        <f>Tabla1[[#This Row],[material]]</f>
        <v>AC</v>
      </c>
      <c r="G63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35" s="52" t="str">
        <f>IF(Tabla1[[#This Row],[5]]="TPD",Tabla1[[#This Row],[6]],"")</f>
        <v>3"</v>
      </c>
      <c r="I635" s="52">
        <f>IF(OR(Tabla1[[#This Row],[5]]="TPD"),Tabla1[[#This Row],[7]],"")</f>
        <v>1</v>
      </c>
      <c r="J635" s="52">
        <f>IF(Tabla15[[#This Row],[2]]="",0,VLOOKUP(TRAMOS!$H$2,Tabla5[#All],3,FALSE)*Tabla15[[#This Row],[3]])</f>
        <v>0.15</v>
      </c>
      <c r="K635" s="52" t="str">
        <f>IF(Tabla1[[#This Row],[5]]="TPL",Tabla1[[#This Row],[6]],"")</f>
        <v/>
      </c>
      <c r="L635" s="52" t="str">
        <f>IF(OR(Tabla1[[#This Row],[5]]="TPL"),Tabla1[[#This Row],[7]],"")</f>
        <v/>
      </c>
      <c r="M635" s="52">
        <f>IF(Tabla15[[#This Row],[5]]="",0,VLOOKUP(TRAMOS!$K$2,Tabla5[#All],3,FALSE)*Tabla15[[#This Row],[6]])</f>
        <v>0</v>
      </c>
      <c r="N63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3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35" s="52">
        <f>IF(Tabla15[[#This Row],[8]]="",0,VLOOKUP(TRAMOS!$H$2,Tabla5[#All],3,FALSE)*Tabla15[[#This Row],[9]])</f>
        <v>0</v>
      </c>
      <c r="Q63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3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35" s="52">
        <f>IF(Tabla15[[#This Row],[11]]="",0,VLOOKUP(TRAMOS!$Q$2,Tabla5[#All],3,FALSE)*Tabla15[[#This Row],[12]])</f>
        <v>0</v>
      </c>
      <c r="T63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3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3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3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3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3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3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3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35" s="52">
        <f>IF(Tabla15[[#This Row],[20]]="",0,VLOOKUP("VRP",Tabla5[#All],3,FALSE)*Tabla15[[#This Row],[21]])</f>
        <v>0</v>
      </c>
      <c r="AC63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3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35" s="52">
        <f>IF(Tabla15[[#This Row],[23]]="",0,VLOOKUP("VC",Tabla5[#All],3,FALSE)*Tabla15[[#This Row],[24]])</f>
        <v>0</v>
      </c>
      <c r="AF63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3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35" s="52">
        <f>IF(Tabla15[[#This Row],[26]]="",0,VLOOKUP(TRAMOS!$K$2,Tabla5[#All],3,FALSE)*Tabla15[[#This Row],[27]])</f>
        <v>0</v>
      </c>
      <c r="AI63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3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3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3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3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3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3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636" spans="2:41" x14ac:dyDescent="0.25">
      <c r="B636" s="58" t="str">
        <f>Tabla1[[#This Row],[nudo inicial]]</f>
        <v>N338</v>
      </c>
      <c r="C636" s="58" t="str">
        <f>Tabla1[[#This Row],[nudo final]]</f>
        <v>N339</v>
      </c>
      <c r="D636" s="51">
        <f>Tabla1[[#This Row],[longitud]]</f>
        <v>85.96</v>
      </c>
      <c r="E636" s="51" t="str">
        <f>Tabla1[[#This Row],[diametro]]</f>
        <v>3"</v>
      </c>
      <c r="F636" s="51" t="str">
        <f>Tabla1[[#This Row],[material]]</f>
        <v>PVC</v>
      </c>
      <c r="G63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36" s="52" t="str">
        <f>IF(Tabla1[[#This Row],[5]]="TPD",Tabla1[[#This Row],[6]],"")</f>
        <v/>
      </c>
      <c r="I636" s="52" t="str">
        <f>IF(OR(Tabla1[[#This Row],[5]]="TPD"),Tabla1[[#This Row],[7]],"")</f>
        <v/>
      </c>
      <c r="J636" s="52">
        <f>IF(Tabla15[[#This Row],[2]]="",0,VLOOKUP(TRAMOS!$H$2,Tabla5[#All],3,FALSE)*Tabla15[[#This Row],[3]])</f>
        <v>0</v>
      </c>
      <c r="K636" s="52" t="str">
        <f>IF(Tabla1[[#This Row],[5]]="TPL",Tabla1[[#This Row],[6]],"")</f>
        <v>3"</v>
      </c>
      <c r="L636" s="52">
        <f>IF(OR(Tabla1[[#This Row],[5]]="TPL"),Tabla1[[#This Row],[7]],"")</f>
        <v>1</v>
      </c>
      <c r="M636" s="52">
        <f>IF(Tabla15[[#This Row],[5]]="",0,VLOOKUP(TRAMOS!$K$2,Tabla5[#All],3,FALSE)*Tabla15[[#This Row],[6]])</f>
        <v>0.9</v>
      </c>
      <c r="N63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3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36" s="52">
        <f>IF(Tabla15[[#This Row],[8]]="",0,VLOOKUP(TRAMOS!$H$2,Tabla5[#All],3,FALSE)*Tabla15[[#This Row],[9]])</f>
        <v>0</v>
      </c>
      <c r="Q63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3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36" s="52">
        <f>IF(Tabla15[[#This Row],[11]]="",0,VLOOKUP(TRAMOS!$Q$2,Tabla5[#All],3,FALSE)*Tabla15[[#This Row],[12]])</f>
        <v>0</v>
      </c>
      <c r="T63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3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3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3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3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3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3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3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36" s="52">
        <f>IF(Tabla15[[#This Row],[20]]="",0,VLOOKUP("VRP",Tabla5[#All],3,FALSE)*Tabla15[[#This Row],[21]])</f>
        <v>0</v>
      </c>
      <c r="AC63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636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636" s="52">
        <f>IF(Tabla15[[#This Row],[23]]="",0,VLOOKUP("VC",Tabla5[#All],3,FALSE)*Tabla15[[#This Row],[24]])</f>
        <v>0.25</v>
      </c>
      <c r="AF63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3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36" s="52">
        <f>IF(Tabla15[[#This Row],[26]]="",0,VLOOKUP(TRAMOS!$K$2,Tabla5[#All],3,FALSE)*Tabla15[[#This Row],[27]])</f>
        <v>0</v>
      </c>
      <c r="AI63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3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3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3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3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3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3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1.1499999999999999</v>
      </c>
    </row>
    <row r="637" spans="2:41" x14ac:dyDescent="0.25">
      <c r="B637" s="58" t="str">
        <f>Tabla1[[#This Row],[nudo inicial]]</f>
        <v>N339</v>
      </c>
      <c r="C637" s="58" t="str">
        <f>Tabla1[[#This Row],[nudo final]]</f>
        <v>TP218</v>
      </c>
      <c r="D637" s="51">
        <f>Tabla1[[#This Row],[longitud]]</f>
        <v>57.96</v>
      </c>
      <c r="E637" s="51" t="str">
        <f>Tabla1[[#This Row],[diametro]]</f>
        <v>3"</v>
      </c>
      <c r="F637" s="51" t="str">
        <f>Tabla1[[#This Row],[material]]</f>
        <v>PVC</v>
      </c>
      <c r="G63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37" s="52" t="str">
        <f>IF(Tabla1[[#This Row],[5]]="TPD",Tabla1[[#This Row],[6]],"")</f>
        <v/>
      </c>
      <c r="I637" s="52" t="str">
        <f>IF(OR(Tabla1[[#This Row],[5]]="TPD"),Tabla1[[#This Row],[7]],"")</f>
        <v/>
      </c>
      <c r="J637" s="52">
        <f>IF(Tabla15[[#This Row],[2]]="",0,VLOOKUP(TRAMOS!$H$2,Tabla5[#All],3,FALSE)*Tabla15[[#This Row],[3]])</f>
        <v>0</v>
      </c>
      <c r="K637" s="52" t="str">
        <f>IF(Tabla1[[#This Row],[5]]="TPL",Tabla1[[#This Row],[6]],"")</f>
        <v>3"</v>
      </c>
      <c r="L637" s="52">
        <f>IF(OR(Tabla1[[#This Row],[5]]="TPL"),Tabla1[[#This Row],[7]],"")</f>
        <v>1</v>
      </c>
      <c r="M637" s="52">
        <f>IF(Tabla15[[#This Row],[5]]="",0,VLOOKUP(TRAMOS!$K$2,Tabla5[#All],3,FALSE)*Tabla15[[#This Row],[6]])</f>
        <v>0.9</v>
      </c>
      <c r="N63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3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37" s="52">
        <f>IF(Tabla15[[#This Row],[8]]="",0,VLOOKUP(TRAMOS!$H$2,Tabla5[#All],3,FALSE)*Tabla15[[#This Row],[9]])</f>
        <v>0</v>
      </c>
      <c r="Q63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3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37" s="52">
        <f>IF(Tabla15[[#This Row],[11]]="",0,VLOOKUP(TRAMOS!$Q$2,Tabla5[#All],3,FALSE)*Tabla15[[#This Row],[12]])</f>
        <v>0</v>
      </c>
      <c r="T63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3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3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3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3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3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3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3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37" s="52">
        <f>IF(Tabla15[[#This Row],[20]]="",0,VLOOKUP("VRP",Tabla5[#All],3,FALSE)*Tabla15[[#This Row],[21]])</f>
        <v>0</v>
      </c>
      <c r="AC63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3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37" s="52">
        <f>IF(Tabla15[[#This Row],[23]]="",0,VLOOKUP("VC",Tabla5[#All],3,FALSE)*Tabla15[[#This Row],[24]])</f>
        <v>0</v>
      </c>
      <c r="AF63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3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37" s="52">
        <f>IF(Tabla15[[#This Row],[26]]="",0,VLOOKUP(TRAMOS!$K$2,Tabla5[#All],3,FALSE)*Tabla15[[#This Row],[27]])</f>
        <v>0</v>
      </c>
      <c r="AI63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3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3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3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3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637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63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638" spans="2:41" x14ac:dyDescent="0.25">
      <c r="B638" s="58" t="str">
        <f>Tabla1[[#This Row],[nudo inicial]]</f>
        <v>N339</v>
      </c>
      <c r="C638" s="58" t="str">
        <f>Tabla1[[#This Row],[nudo final]]</f>
        <v>N340</v>
      </c>
      <c r="D638" s="51">
        <f>Tabla1[[#This Row],[longitud]]</f>
        <v>25.45</v>
      </c>
      <c r="E638" s="51" t="str">
        <f>Tabla1[[#This Row],[diametro]]</f>
        <v>3"</v>
      </c>
      <c r="F638" s="51" t="str">
        <f>Tabla1[[#This Row],[material]]</f>
        <v>PVC</v>
      </c>
      <c r="G63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38" s="52" t="str">
        <f>IF(Tabla1[[#This Row],[5]]="TPD",Tabla1[[#This Row],[6]],"")</f>
        <v/>
      </c>
      <c r="I638" s="52" t="str">
        <f>IF(OR(Tabla1[[#This Row],[5]]="TPD"),Tabla1[[#This Row],[7]],"")</f>
        <v/>
      </c>
      <c r="J638" s="52">
        <f>IF(Tabla15[[#This Row],[2]]="",0,VLOOKUP(TRAMOS!$H$2,Tabla5[#All],3,FALSE)*Tabla15[[#This Row],[3]])</f>
        <v>0</v>
      </c>
      <c r="K638" s="52" t="str">
        <f>IF(Tabla1[[#This Row],[5]]="TPL",Tabla1[[#This Row],[6]],"")</f>
        <v>3"</v>
      </c>
      <c r="L638" s="52">
        <f>IF(OR(Tabla1[[#This Row],[5]]="TPL"),Tabla1[[#This Row],[7]],"")</f>
        <v>1</v>
      </c>
      <c r="M638" s="52">
        <f>IF(Tabla15[[#This Row],[5]]="",0,VLOOKUP(TRAMOS!$K$2,Tabla5[#All],3,FALSE)*Tabla15[[#This Row],[6]])</f>
        <v>0.9</v>
      </c>
      <c r="N63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3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38" s="52">
        <f>IF(Tabla15[[#This Row],[8]]="",0,VLOOKUP(TRAMOS!$H$2,Tabla5[#All],3,FALSE)*Tabla15[[#This Row],[9]])</f>
        <v>0</v>
      </c>
      <c r="Q63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3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38" s="52">
        <f>IF(Tabla15[[#This Row],[11]]="",0,VLOOKUP(TRAMOS!$Q$2,Tabla5[#All],3,FALSE)*Tabla15[[#This Row],[12]])</f>
        <v>0</v>
      </c>
      <c r="T63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3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3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3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3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3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3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3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38" s="52">
        <f>IF(Tabla15[[#This Row],[20]]="",0,VLOOKUP("VRP",Tabla5[#All],3,FALSE)*Tabla15[[#This Row],[21]])</f>
        <v>0</v>
      </c>
      <c r="AC63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3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38" s="52">
        <f>IF(Tabla15[[#This Row],[23]]="",0,VLOOKUP("VC",Tabla5[#All],3,FALSE)*Tabla15[[#This Row],[24]])</f>
        <v>0</v>
      </c>
      <c r="AF63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3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38" s="52">
        <f>IF(Tabla15[[#This Row],[26]]="",0,VLOOKUP(TRAMOS!$K$2,Tabla5[#All],3,FALSE)*Tabla15[[#This Row],[27]])</f>
        <v>0</v>
      </c>
      <c r="AI63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3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3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3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3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3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3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639" spans="2:41" x14ac:dyDescent="0.25">
      <c r="B639" s="58" t="str">
        <f>Tabla1[[#This Row],[nudo inicial]]</f>
        <v>N340</v>
      </c>
      <c r="C639" s="58" t="str">
        <f>Tabla1[[#This Row],[nudo final]]</f>
        <v>TP219</v>
      </c>
      <c r="D639" s="51">
        <f>Tabla1[[#This Row],[longitud]]</f>
        <v>31.67</v>
      </c>
      <c r="E639" s="51" t="str">
        <f>Tabla1[[#This Row],[diametro]]</f>
        <v>1"</v>
      </c>
      <c r="F639" s="51" t="str">
        <f>Tabla1[[#This Row],[material]]</f>
        <v>PVC</v>
      </c>
      <c r="G63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39" s="52" t="str">
        <f>IF(Tabla1[[#This Row],[5]]="TPD",Tabla1[[#This Row],[6]],"")</f>
        <v/>
      </c>
      <c r="I639" s="52" t="str">
        <f>IF(OR(Tabla1[[#This Row],[5]]="TPD"),Tabla1[[#This Row],[7]],"")</f>
        <v/>
      </c>
      <c r="J639" s="52">
        <f>IF(Tabla15[[#This Row],[2]]="",0,VLOOKUP(TRAMOS!$H$2,Tabla5[#All],3,FALSE)*Tabla15[[#This Row],[3]])</f>
        <v>0</v>
      </c>
      <c r="K639" s="52" t="str">
        <f>IF(Tabla1[[#This Row],[5]]="TPL",Tabla1[[#This Row],[6]],"")</f>
        <v/>
      </c>
      <c r="L639" s="52" t="str">
        <f>IF(OR(Tabla1[[#This Row],[5]]="TPL"),Tabla1[[#This Row],[7]],"")</f>
        <v/>
      </c>
      <c r="M639" s="52">
        <f>IF(Tabla15[[#This Row],[5]]="",0,VLOOKUP(TRAMOS!$K$2,Tabla5[#All],3,FALSE)*Tabla15[[#This Row],[6]])</f>
        <v>0</v>
      </c>
      <c r="N63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3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39" s="52">
        <f>IF(Tabla15[[#This Row],[8]]="",0,VLOOKUP(TRAMOS!$H$2,Tabla5[#All],3,FALSE)*Tabla15[[#This Row],[9]])</f>
        <v>0</v>
      </c>
      <c r="Q63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3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39" s="52">
        <f>IF(Tabla15[[#This Row],[11]]="",0,VLOOKUP(TRAMOS!$Q$2,Tabla5[#All],3,FALSE)*Tabla15[[#This Row],[12]])</f>
        <v>0</v>
      </c>
      <c r="T63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1"</v>
      </c>
      <c r="U639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63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0.43</v>
      </c>
      <c r="W63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3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3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3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3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39" s="52">
        <f>IF(Tabla15[[#This Row],[20]]="",0,VLOOKUP("VRP",Tabla5[#All],3,FALSE)*Tabla15[[#This Row],[21]])</f>
        <v>0</v>
      </c>
      <c r="AC63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3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39" s="52">
        <f>IF(Tabla15[[#This Row],[23]]="",0,VLOOKUP("VC",Tabla5[#All],3,FALSE)*Tabla15[[#This Row],[24]])</f>
        <v>0</v>
      </c>
      <c r="AF63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3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39" s="52">
        <f>IF(Tabla15[[#This Row],[26]]="",0,VLOOKUP(TRAMOS!$K$2,Tabla5[#All],3,FALSE)*Tabla15[[#This Row],[27]])</f>
        <v>0</v>
      </c>
      <c r="AI63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3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3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3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3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1"</v>
      </c>
      <c r="AN639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63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0.43</v>
      </c>
    </row>
    <row r="640" spans="2:41" x14ac:dyDescent="0.25">
      <c r="B640" s="58" t="str">
        <f>Tabla1[[#This Row],[nudo inicial]]</f>
        <v>N338</v>
      </c>
      <c r="C640" s="58" t="str">
        <f>Tabla1[[#This Row],[nudo final]]</f>
        <v>N341</v>
      </c>
      <c r="D640" s="51">
        <f>Tabla1[[#This Row],[longitud]]</f>
        <v>38.549999999999997</v>
      </c>
      <c r="E640" s="51" t="str">
        <f>Tabla1[[#This Row],[diametro]]</f>
        <v>3"</v>
      </c>
      <c r="F640" s="51" t="str">
        <f>Tabla1[[#This Row],[material]]</f>
        <v>AC</v>
      </c>
      <c r="G64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40" s="52" t="str">
        <f>IF(Tabla1[[#This Row],[5]]="TPD",Tabla1[[#This Row],[6]],"")</f>
        <v>3"</v>
      </c>
      <c r="I640" s="52">
        <f>IF(OR(Tabla1[[#This Row],[5]]="TPD"),Tabla1[[#This Row],[7]],"")</f>
        <v>1</v>
      </c>
      <c r="J640" s="52">
        <f>IF(Tabla15[[#This Row],[2]]="",0,VLOOKUP(TRAMOS!$H$2,Tabla5[#All],3,FALSE)*Tabla15[[#This Row],[3]])</f>
        <v>0.15</v>
      </c>
      <c r="K640" s="52" t="str">
        <f>IF(Tabla1[[#This Row],[5]]="TPL",Tabla1[[#This Row],[6]],"")</f>
        <v/>
      </c>
      <c r="L640" s="52" t="str">
        <f>IF(OR(Tabla1[[#This Row],[5]]="TPL"),Tabla1[[#This Row],[7]],"")</f>
        <v/>
      </c>
      <c r="M640" s="52">
        <f>IF(Tabla15[[#This Row],[5]]="",0,VLOOKUP(TRAMOS!$K$2,Tabla5[#All],3,FALSE)*Tabla15[[#This Row],[6]])</f>
        <v>0</v>
      </c>
      <c r="N64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4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40" s="52">
        <f>IF(Tabla15[[#This Row],[8]]="",0,VLOOKUP(TRAMOS!$H$2,Tabla5[#All],3,FALSE)*Tabla15[[#This Row],[9]])</f>
        <v>0</v>
      </c>
      <c r="Q64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3"</v>
      </c>
      <c r="R640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640" s="52">
        <f>IF(Tabla15[[#This Row],[11]]="",0,VLOOKUP(TRAMOS!$Q$2,Tabla5[#All],3,FALSE)*Tabla15[[#This Row],[12]])</f>
        <v>0.9</v>
      </c>
      <c r="T64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4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4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4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>6"</v>
      </c>
      <c r="X640" s="52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>1</v>
      </c>
      <c r="Y64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0.68</v>
      </c>
      <c r="Z64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4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40" s="52">
        <f>IF(Tabla15[[#This Row],[20]]="",0,VLOOKUP("VRP",Tabla5[#All],3,FALSE)*Tabla15[[#This Row],[21]])</f>
        <v>0</v>
      </c>
      <c r="AC64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4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40" s="52">
        <f>IF(Tabla15[[#This Row],[23]]="",0,VLOOKUP("VC",Tabla5[#All],3,FALSE)*Tabla15[[#This Row],[24]])</f>
        <v>0</v>
      </c>
      <c r="AF64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4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40" s="52">
        <f>IF(Tabla15[[#This Row],[26]]="",0,VLOOKUP(TRAMOS!$K$2,Tabla5[#All],3,FALSE)*Tabla15[[#This Row],[27]])</f>
        <v>0</v>
      </c>
      <c r="AI64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4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4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4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4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4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4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1.73</v>
      </c>
    </row>
    <row r="641" spans="2:41" x14ac:dyDescent="0.25">
      <c r="B641" s="58" t="str">
        <f>Tabla1[[#This Row],[nudo inicial]]</f>
        <v>N341</v>
      </c>
      <c r="C641" s="58" t="str">
        <f>Tabla1[[#This Row],[nudo final]]</f>
        <v>TP220</v>
      </c>
      <c r="D641" s="51">
        <f>Tabla1[[#This Row],[longitud]]</f>
        <v>21.21</v>
      </c>
      <c r="E641" s="51" t="str">
        <f>Tabla1[[#This Row],[diametro]]</f>
        <v>3"</v>
      </c>
      <c r="F641" s="51" t="str">
        <f>Tabla1[[#This Row],[material]]</f>
        <v>PVC</v>
      </c>
      <c r="G64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641" s="52" t="str">
        <f>IF(Tabla1[[#This Row],[5]]="TPD",Tabla1[[#This Row],[6]],"")</f>
        <v/>
      </c>
      <c r="I641" s="52" t="str">
        <f>IF(OR(Tabla1[[#This Row],[5]]="TPD"),Tabla1[[#This Row],[7]],"")</f>
        <v/>
      </c>
      <c r="J641" s="52">
        <f>IF(Tabla15[[#This Row],[2]]="",0,VLOOKUP(TRAMOS!$H$2,Tabla5[#All],3,FALSE)*Tabla15[[#This Row],[3]])</f>
        <v>0</v>
      </c>
      <c r="K641" s="52" t="str">
        <f>IF(Tabla1[[#This Row],[5]]="TPL",Tabla1[[#This Row],[6]],"")</f>
        <v>6"</v>
      </c>
      <c r="L641" s="52">
        <f>IF(OR(Tabla1[[#This Row],[5]]="TPL"),Tabla1[[#This Row],[7]],"")</f>
        <v>1</v>
      </c>
      <c r="M641" s="52">
        <f>IF(Tabla15[[#This Row],[5]]="",0,VLOOKUP(TRAMOS!$K$2,Tabla5[#All],3,FALSE)*Tabla15[[#This Row],[6]])</f>
        <v>0.9</v>
      </c>
      <c r="N64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4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41" s="52">
        <f>IF(Tabla15[[#This Row],[8]]="",0,VLOOKUP(TRAMOS!$H$2,Tabla5[#All],3,FALSE)*Tabla15[[#This Row],[9]])</f>
        <v>0</v>
      </c>
      <c r="Q64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4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41" s="52">
        <f>IF(Tabla15[[#This Row],[11]]="",0,VLOOKUP(TRAMOS!$Q$2,Tabla5[#All],3,FALSE)*Tabla15[[#This Row],[12]])</f>
        <v>0</v>
      </c>
      <c r="T64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641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64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64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4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4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4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4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41" s="52">
        <f>IF(Tabla15[[#This Row],[20]]="",0,VLOOKUP("VRP",Tabla5[#All],3,FALSE)*Tabla15[[#This Row],[21]])</f>
        <v>0</v>
      </c>
      <c r="AC64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4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41" s="52">
        <f>IF(Tabla15[[#This Row],[23]]="",0,VLOOKUP("VC",Tabla5[#All],3,FALSE)*Tabla15[[#This Row],[24]])</f>
        <v>0</v>
      </c>
      <c r="AF64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4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41" s="52">
        <f>IF(Tabla15[[#This Row],[26]]="",0,VLOOKUP(TRAMOS!$K$2,Tabla5[#All],3,FALSE)*Tabla15[[#This Row],[27]])</f>
        <v>0</v>
      </c>
      <c r="AI64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4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4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4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4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641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64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1.27</v>
      </c>
    </row>
    <row r="642" spans="2:41" x14ac:dyDescent="0.25">
      <c r="B642" s="58" t="str">
        <f>Tabla1[[#This Row],[nudo inicial]]</f>
        <v>N341</v>
      </c>
      <c r="C642" s="58" t="str">
        <f>Tabla1[[#This Row],[nudo final]]</f>
        <v>N342</v>
      </c>
      <c r="D642" s="51">
        <f>Tabla1[[#This Row],[longitud]]</f>
        <v>59.47</v>
      </c>
      <c r="E642" s="51" t="str">
        <f>Tabla1[[#This Row],[diametro]]</f>
        <v>6"</v>
      </c>
      <c r="F642" s="51" t="str">
        <f>Tabla1[[#This Row],[material]]</f>
        <v>AC</v>
      </c>
      <c r="G64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642" s="52" t="str">
        <f>IF(Tabla1[[#This Row],[5]]="TPD",Tabla1[[#This Row],[6]],"")</f>
        <v>6"</v>
      </c>
      <c r="I642" s="52">
        <f>IF(OR(Tabla1[[#This Row],[5]]="TPD"),Tabla1[[#This Row],[7]],"")</f>
        <v>1</v>
      </c>
      <c r="J642" s="52">
        <f>IF(Tabla15[[#This Row],[2]]="",0,VLOOKUP(TRAMOS!$H$2,Tabla5[#All],3,FALSE)*Tabla15[[#This Row],[3]])</f>
        <v>0.15</v>
      </c>
      <c r="K642" s="52" t="str">
        <f>IF(Tabla1[[#This Row],[5]]="TPL",Tabla1[[#This Row],[6]],"")</f>
        <v/>
      </c>
      <c r="L642" s="52" t="str">
        <f>IF(OR(Tabla1[[#This Row],[5]]="TPL"),Tabla1[[#This Row],[7]],"")</f>
        <v/>
      </c>
      <c r="M642" s="52">
        <f>IF(Tabla15[[#This Row],[5]]="",0,VLOOKUP(TRAMOS!$K$2,Tabla5[#All],3,FALSE)*Tabla15[[#This Row],[6]])</f>
        <v>0</v>
      </c>
      <c r="N64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4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42" s="52">
        <f>IF(Tabla15[[#This Row],[8]]="",0,VLOOKUP(TRAMOS!$H$2,Tabla5[#All],3,FALSE)*Tabla15[[#This Row],[9]])</f>
        <v>0</v>
      </c>
      <c r="Q64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4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42" s="52">
        <f>IF(Tabla15[[#This Row],[11]]="",0,VLOOKUP(TRAMOS!$Q$2,Tabla5[#All],3,FALSE)*Tabla15[[#This Row],[12]])</f>
        <v>0</v>
      </c>
      <c r="T64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4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4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4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4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4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4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4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42" s="52">
        <f>IF(Tabla15[[#This Row],[20]]="",0,VLOOKUP("VRP",Tabla5[#All],3,FALSE)*Tabla15[[#This Row],[21]])</f>
        <v>0</v>
      </c>
      <c r="AC64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6"</v>
      </c>
      <c r="AD642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642" s="52">
        <f>IF(Tabla15[[#This Row],[23]]="",0,VLOOKUP("VC",Tabla5[#All],3,FALSE)*Tabla15[[#This Row],[24]])</f>
        <v>0.25</v>
      </c>
      <c r="AF64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4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42" s="52">
        <f>IF(Tabla15[[#This Row],[26]]="",0,VLOOKUP(TRAMOS!$K$2,Tabla5[#All],3,FALSE)*Tabla15[[#This Row],[27]])</f>
        <v>0</v>
      </c>
      <c r="AI64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4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4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4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4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4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4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0.4</v>
      </c>
    </row>
    <row r="643" spans="2:41" x14ac:dyDescent="0.25">
      <c r="B643" s="58" t="str">
        <f>Tabla1[[#This Row],[nudo inicial]]</f>
        <v>T. SANTA MARTA</v>
      </c>
      <c r="C643" s="58" t="str">
        <f>Tabla1[[#This Row],[nudo final]]</f>
        <v>N342</v>
      </c>
      <c r="D643" s="51">
        <f>Tabla1[[#This Row],[longitud]]</f>
        <v>11.44</v>
      </c>
      <c r="E643" s="51" t="str">
        <f>Tabla1[[#This Row],[diametro]]</f>
        <v>6"</v>
      </c>
      <c r="F643" s="51" t="str">
        <f>Tabla1[[#This Row],[material]]</f>
        <v>AC</v>
      </c>
      <c r="G64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643" s="52" t="str">
        <f>IF(Tabla1[[#This Row],[5]]="TPD",Tabla1[[#This Row],[6]],"")</f>
        <v/>
      </c>
      <c r="I643" s="52" t="str">
        <f>IF(OR(Tabla1[[#This Row],[5]]="TPD"),Tabla1[[#This Row],[7]],"")</f>
        <v/>
      </c>
      <c r="J643" s="52">
        <f>IF(Tabla15[[#This Row],[2]]="",0,VLOOKUP(TRAMOS!$H$2,Tabla5[#All],3,FALSE)*Tabla15[[#This Row],[3]])</f>
        <v>0</v>
      </c>
      <c r="K643" s="52" t="str">
        <f>IF(Tabla1[[#This Row],[5]]="TPL",Tabla1[[#This Row],[6]],"")</f>
        <v>6"</v>
      </c>
      <c r="L643" s="52">
        <f>IF(OR(Tabla1[[#This Row],[5]]="TPL"),Tabla1[[#This Row],[7]],"")</f>
        <v>1</v>
      </c>
      <c r="M643" s="52">
        <f>IF(Tabla15[[#This Row],[5]]="",0,VLOOKUP(TRAMOS!$K$2,Tabla5[#All],3,FALSE)*Tabla15[[#This Row],[6]])</f>
        <v>0.9</v>
      </c>
      <c r="N64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4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43" s="52">
        <f>IF(Tabla15[[#This Row],[8]]="",0,VLOOKUP(TRAMOS!$H$2,Tabla5[#All],3,FALSE)*Tabla15[[#This Row],[9]])</f>
        <v>0</v>
      </c>
      <c r="Q64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4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43" s="52">
        <f>IF(Tabla15[[#This Row],[11]]="",0,VLOOKUP(TRAMOS!$Q$2,Tabla5[#All],3,FALSE)*Tabla15[[#This Row],[12]])</f>
        <v>0</v>
      </c>
      <c r="T64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4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4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4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4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4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4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4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43" s="52">
        <f>IF(Tabla15[[#This Row],[20]]="",0,VLOOKUP("VRP",Tabla5[#All],3,FALSE)*Tabla15[[#This Row],[21]])</f>
        <v>0</v>
      </c>
      <c r="AC64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6"</v>
      </c>
      <c r="AD643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643" s="52">
        <f>IF(Tabla15[[#This Row],[23]]="",0,VLOOKUP("VC",Tabla5[#All],3,FALSE)*Tabla15[[#This Row],[24]])</f>
        <v>0.25</v>
      </c>
      <c r="AF64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4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43" s="52">
        <f>IF(Tabla15[[#This Row],[26]]="",0,VLOOKUP(TRAMOS!$K$2,Tabla5[#All],3,FALSE)*Tabla15[[#This Row],[27]])</f>
        <v>0</v>
      </c>
      <c r="AI64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4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4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4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4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4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4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1.1499999999999999</v>
      </c>
    </row>
    <row r="644" spans="2:41" x14ac:dyDescent="0.25">
      <c r="B644" s="58" t="str">
        <f>Tabla1[[#This Row],[nudo inicial]]</f>
        <v>N326</v>
      </c>
      <c r="C644" s="58" t="str">
        <f>Tabla1[[#This Row],[nudo final]]</f>
        <v>N343</v>
      </c>
      <c r="D644" s="51">
        <f>Tabla1[[#This Row],[longitud]]</f>
        <v>82.77</v>
      </c>
      <c r="E644" s="51" t="str">
        <f>Tabla1[[#This Row],[diametro]]</f>
        <v>8"</v>
      </c>
      <c r="F644" s="51" t="str">
        <f>Tabla1[[#This Row],[material]]</f>
        <v>HF</v>
      </c>
      <c r="G64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644" s="52" t="str">
        <f>IF(Tabla1[[#This Row],[5]]="TPD",Tabla1[[#This Row],[6]],"")</f>
        <v/>
      </c>
      <c r="I644" s="52" t="str">
        <f>IF(OR(Tabla1[[#This Row],[5]]="TPD"),Tabla1[[#This Row],[7]],"")</f>
        <v/>
      </c>
      <c r="J644" s="52">
        <f>IF(Tabla15[[#This Row],[2]]="",0,VLOOKUP(TRAMOS!$H$2,Tabla5[#All],3,FALSE)*Tabla15[[#This Row],[3]])</f>
        <v>0</v>
      </c>
      <c r="K644" s="52" t="str">
        <f>IF(Tabla1[[#This Row],[5]]="TPL",Tabla1[[#This Row],[6]],"")</f>
        <v/>
      </c>
      <c r="L644" s="52" t="str">
        <f>IF(OR(Tabla1[[#This Row],[5]]="TPL"),Tabla1[[#This Row],[7]],"")</f>
        <v/>
      </c>
      <c r="M644" s="52">
        <f>IF(Tabla15[[#This Row],[5]]="",0,VLOOKUP(TRAMOS!$K$2,Tabla5[#All],3,FALSE)*Tabla15[[#This Row],[6]])</f>
        <v>0</v>
      </c>
      <c r="N64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8"</v>
      </c>
      <c r="O644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644" s="52">
        <f>IF(Tabla15[[#This Row],[8]]="",0,VLOOKUP(TRAMOS!$H$2,Tabla5[#All],3,FALSE)*Tabla15[[#This Row],[9]])</f>
        <v>0.15</v>
      </c>
      <c r="Q64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4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44" s="52">
        <f>IF(Tabla15[[#This Row],[11]]="",0,VLOOKUP(TRAMOS!$Q$2,Tabla5[#All],3,FALSE)*Tabla15[[#This Row],[12]])</f>
        <v>0</v>
      </c>
      <c r="T64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4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4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4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4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4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4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4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44" s="52">
        <f>IF(Tabla15[[#This Row],[20]]="",0,VLOOKUP("VRP",Tabla5[#All],3,FALSE)*Tabla15[[#This Row],[21]])</f>
        <v>0</v>
      </c>
      <c r="AC64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4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44" s="52">
        <f>IF(Tabla15[[#This Row],[23]]="",0,VLOOKUP("VC",Tabla5[#All],3,FALSE)*Tabla15[[#This Row],[24]])</f>
        <v>0</v>
      </c>
      <c r="AF64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4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44" s="52">
        <f>IF(Tabla15[[#This Row],[26]]="",0,VLOOKUP(TRAMOS!$K$2,Tabla5[#All],3,FALSE)*Tabla15[[#This Row],[27]])</f>
        <v>0</v>
      </c>
      <c r="AI64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4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4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4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4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4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4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645" spans="2:41" x14ac:dyDescent="0.25">
      <c r="B645" s="58" t="str">
        <f>Tabla1[[#This Row],[nudo inicial]]</f>
        <v>N343</v>
      </c>
      <c r="C645" s="58" t="str">
        <f>Tabla1[[#This Row],[nudo final]]</f>
        <v>TP221</v>
      </c>
      <c r="D645" s="51">
        <f>Tabla1[[#This Row],[longitud]]</f>
        <v>65.489999999999995</v>
      </c>
      <c r="E645" s="51" t="str">
        <f>Tabla1[[#This Row],[diametro]]</f>
        <v>2"</v>
      </c>
      <c r="F645" s="51" t="str">
        <f>Tabla1[[#This Row],[material]]</f>
        <v>PVC</v>
      </c>
      <c r="G64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645" s="52" t="str">
        <f>IF(Tabla1[[#This Row],[5]]="TPD",Tabla1[[#This Row],[6]],"")</f>
        <v/>
      </c>
      <c r="I645" s="52" t="str">
        <f>IF(OR(Tabla1[[#This Row],[5]]="TPD"),Tabla1[[#This Row],[7]],"")</f>
        <v/>
      </c>
      <c r="J645" s="52">
        <f>IF(Tabla15[[#This Row],[2]]="",0,VLOOKUP(TRAMOS!$H$2,Tabla5[#All],3,FALSE)*Tabla15[[#This Row],[3]])</f>
        <v>0</v>
      </c>
      <c r="K645" s="52" t="str">
        <f>IF(Tabla1[[#This Row],[5]]="TPL",Tabla1[[#This Row],[6]],"")</f>
        <v>8"</v>
      </c>
      <c r="L645" s="52">
        <f>IF(OR(Tabla1[[#This Row],[5]]="TPL"),Tabla1[[#This Row],[7]],"")</f>
        <v>1</v>
      </c>
      <c r="M645" s="52">
        <f>IF(Tabla15[[#This Row],[5]]="",0,VLOOKUP(TRAMOS!$K$2,Tabla5[#All],3,FALSE)*Tabla15[[#This Row],[6]])</f>
        <v>0.9</v>
      </c>
      <c r="N64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4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45" s="52">
        <f>IF(Tabla15[[#This Row],[8]]="",0,VLOOKUP(TRAMOS!$H$2,Tabla5[#All],3,FALSE)*Tabla15[[#This Row],[9]])</f>
        <v>0</v>
      </c>
      <c r="Q64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4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45" s="52">
        <f>IF(Tabla15[[#This Row],[11]]="",0,VLOOKUP(TRAMOS!$Q$2,Tabla5[#All],3,FALSE)*Tabla15[[#This Row],[12]])</f>
        <v>0</v>
      </c>
      <c r="T64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645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64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0.45</v>
      </c>
      <c r="W64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4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4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4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4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45" s="52">
        <f>IF(Tabla15[[#This Row],[20]]="",0,VLOOKUP("VRP",Tabla5[#All],3,FALSE)*Tabla15[[#This Row],[21]])</f>
        <v>0</v>
      </c>
      <c r="AC64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645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645" s="52">
        <f>IF(Tabla15[[#This Row],[23]]="",0,VLOOKUP("VC",Tabla5[#All],3,FALSE)*Tabla15[[#This Row],[24]])</f>
        <v>0.25</v>
      </c>
      <c r="AF64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4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45" s="52">
        <f>IF(Tabla15[[#This Row],[26]]="",0,VLOOKUP(TRAMOS!$K$2,Tabla5[#All],3,FALSE)*Tabla15[[#This Row],[27]])</f>
        <v>0</v>
      </c>
      <c r="AI64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4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4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4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4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645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64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1.6</v>
      </c>
    </row>
    <row r="646" spans="2:41" x14ac:dyDescent="0.25">
      <c r="B646" s="58" t="str">
        <f>Tabla1[[#This Row],[nudo inicial]]</f>
        <v>N343</v>
      </c>
      <c r="C646" s="58" t="str">
        <f>Tabla1[[#This Row],[nudo final]]</f>
        <v>N344</v>
      </c>
      <c r="D646" s="51">
        <f>Tabla1[[#This Row],[longitud]]</f>
        <v>52.09</v>
      </c>
      <c r="E646" s="51" t="str">
        <f>Tabla1[[#This Row],[diametro]]</f>
        <v>8"</v>
      </c>
      <c r="F646" s="51" t="str">
        <f>Tabla1[[#This Row],[material]]</f>
        <v>HF</v>
      </c>
      <c r="G64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646" s="52" t="str">
        <f>IF(Tabla1[[#This Row],[5]]="TPD",Tabla1[[#This Row],[6]],"")</f>
        <v>8"</v>
      </c>
      <c r="I646" s="52">
        <f>IF(OR(Tabla1[[#This Row],[5]]="TPD"),Tabla1[[#This Row],[7]],"")</f>
        <v>1</v>
      </c>
      <c r="J646" s="52">
        <f>IF(Tabla15[[#This Row],[2]]="",0,VLOOKUP(TRAMOS!$H$2,Tabla5[#All],3,FALSE)*Tabla15[[#This Row],[3]])</f>
        <v>0.15</v>
      </c>
      <c r="K646" s="52" t="str">
        <f>IF(Tabla1[[#This Row],[5]]="TPL",Tabla1[[#This Row],[6]],"")</f>
        <v/>
      </c>
      <c r="L646" s="52" t="str">
        <f>IF(OR(Tabla1[[#This Row],[5]]="TPL"),Tabla1[[#This Row],[7]],"")</f>
        <v/>
      </c>
      <c r="M646" s="52">
        <f>IF(Tabla15[[#This Row],[5]]="",0,VLOOKUP(TRAMOS!$K$2,Tabla5[#All],3,FALSE)*Tabla15[[#This Row],[6]])</f>
        <v>0</v>
      </c>
      <c r="N64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4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46" s="52">
        <f>IF(Tabla15[[#This Row],[8]]="",0,VLOOKUP(TRAMOS!$H$2,Tabla5[#All],3,FALSE)*Tabla15[[#This Row],[9]])</f>
        <v>0</v>
      </c>
      <c r="Q64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4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46" s="52">
        <f>IF(Tabla15[[#This Row],[11]]="",0,VLOOKUP(TRAMOS!$Q$2,Tabla5[#All],3,FALSE)*Tabla15[[#This Row],[12]])</f>
        <v>0</v>
      </c>
      <c r="T64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4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4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4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4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4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4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4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46" s="52">
        <f>IF(Tabla15[[#This Row],[20]]="",0,VLOOKUP("VRP",Tabla5[#All],3,FALSE)*Tabla15[[#This Row],[21]])</f>
        <v>0</v>
      </c>
      <c r="AC64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4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46" s="52">
        <f>IF(Tabla15[[#This Row],[23]]="",0,VLOOKUP("VC",Tabla5[#All],3,FALSE)*Tabla15[[#This Row],[24]])</f>
        <v>0</v>
      </c>
      <c r="AF64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4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46" s="52">
        <f>IF(Tabla15[[#This Row],[26]]="",0,VLOOKUP(TRAMOS!$K$2,Tabla5[#All],3,FALSE)*Tabla15[[#This Row],[27]])</f>
        <v>0</v>
      </c>
      <c r="AI64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4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4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4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4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4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4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647" spans="2:41" x14ac:dyDescent="0.25">
      <c r="B647" s="58" t="str">
        <f>Tabla1[[#This Row],[nudo inicial]]</f>
        <v>N344</v>
      </c>
      <c r="C647" s="58" t="str">
        <f>Tabla1[[#This Row],[nudo final]]</f>
        <v>N345</v>
      </c>
      <c r="D647" s="51">
        <f>Tabla1[[#This Row],[longitud]]</f>
        <v>60.24</v>
      </c>
      <c r="E647" s="51" t="str">
        <f>Tabla1[[#This Row],[diametro]]</f>
        <v>3"</v>
      </c>
      <c r="F647" s="51" t="str">
        <f>Tabla1[[#This Row],[material]]</f>
        <v>HF</v>
      </c>
      <c r="G64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647" s="52" t="str">
        <f>IF(Tabla1[[#This Row],[5]]="TPD",Tabla1[[#This Row],[6]],"")</f>
        <v/>
      </c>
      <c r="I647" s="52" t="str">
        <f>IF(OR(Tabla1[[#This Row],[5]]="TPD"),Tabla1[[#This Row],[7]],"")</f>
        <v/>
      </c>
      <c r="J647" s="52">
        <f>IF(Tabla15[[#This Row],[2]]="",0,VLOOKUP(TRAMOS!$H$2,Tabla5[#All],3,FALSE)*Tabla15[[#This Row],[3]])</f>
        <v>0</v>
      </c>
      <c r="K647" s="52" t="str">
        <f>IF(Tabla1[[#This Row],[5]]="TPL",Tabla1[[#This Row],[6]],"")</f>
        <v>8"</v>
      </c>
      <c r="L647" s="52">
        <f>IF(OR(Tabla1[[#This Row],[5]]="TPL"),Tabla1[[#This Row],[7]],"")</f>
        <v>1</v>
      </c>
      <c r="M647" s="52">
        <f>IF(Tabla15[[#This Row],[5]]="",0,VLOOKUP(TRAMOS!$K$2,Tabla5[#All],3,FALSE)*Tabla15[[#This Row],[6]])</f>
        <v>0.9</v>
      </c>
      <c r="N64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4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47" s="52">
        <f>IF(Tabla15[[#This Row],[8]]="",0,VLOOKUP(TRAMOS!$H$2,Tabla5[#All],3,FALSE)*Tabla15[[#This Row],[9]])</f>
        <v>0</v>
      </c>
      <c r="Q64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4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47" s="52">
        <f>IF(Tabla15[[#This Row],[11]]="",0,VLOOKUP(TRAMOS!$Q$2,Tabla5[#All],3,FALSE)*Tabla15[[#This Row],[12]])</f>
        <v>0</v>
      </c>
      <c r="T64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647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64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0.41679999999999995</v>
      </c>
      <c r="W64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4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4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4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4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47" s="52">
        <f>IF(Tabla15[[#This Row],[20]]="",0,VLOOKUP("VRP",Tabla5[#All],3,FALSE)*Tabla15[[#This Row],[21]])</f>
        <v>0</v>
      </c>
      <c r="AC64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647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647" s="52">
        <f>IF(Tabla15[[#This Row],[23]]="",0,VLOOKUP("VC",Tabla5[#All],3,FALSE)*Tabla15[[#This Row],[24]])</f>
        <v>0.25</v>
      </c>
      <c r="AF64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4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47" s="52">
        <f>IF(Tabla15[[#This Row],[26]]="",0,VLOOKUP(TRAMOS!$K$2,Tabla5[#All],3,FALSE)*Tabla15[[#This Row],[27]])</f>
        <v>0</v>
      </c>
      <c r="AI64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4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4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4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4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4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4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1.5668</v>
      </c>
    </row>
    <row r="648" spans="2:41" x14ac:dyDescent="0.25">
      <c r="B648" s="58" t="str">
        <f>Tabla1[[#This Row],[nudo inicial]]</f>
        <v>N345</v>
      </c>
      <c r="C648" s="58" t="str">
        <f>Tabla1[[#This Row],[nudo final]]</f>
        <v>TP222</v>
      </c>
      <c r="D648" s="51">
        <f>Tabla1[[#This Row],[longitud]]</f>
        <v>61.93</v>
      </c>
      <c r="E648" s="51" t="str">
        <f>Tabla1[[#This Row],[diametro]]</f>
        <v>2"</v>
      </c>
      <c r="F648" s="51" t="str">
        <f>Tabla1[[#This Row],[material]]</f>
        <v>PVC</v>
      </c>
      <c r="G64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48" s="52" t="str">
        <f>IF(Tabla1[[#This Row],[5]]="TPD",Tabla1[[#This Row],[6]],"")</f>
        <v/>
      </c>
      <c r="I648" s="52" t="str">
        <f>IF(OR(Tabla1[[#This Row],[5]]="TPD"),Tabla1[[#This Row],[7]],"")</f>
        <v/>
      </c>
      <c r="J648" s="52">
        <f>IF(Tabla15[[#This Row],[2]]="",0,VLOOKUP(TRAMOS!$H$2,Tabla5[#All],3,FALSE)*Tabla15[[#This Row],[3]])</f>
        <v>0</v>
      </c>
      <c r="K648" s="52" t="str">
        <f>IF(Tabla1[[#This Row],[5]]="TPL",Tabla1[[#This Row],[6]],"")</f>
        <v>3"</v>
      </c>
      <c r="L648" s="52">
        <f>IF(OR(Tabla1[[#This Row],[5]]="TPL"),Tabla1[[#This Row],[7]],"")</f>
        <v>1</v>
      </c>
      <c r="M648" s="52">
        <f>IF(Tabla15[[#This Row],[5]]="",0,VLOOKUP(TRAMOS!$K$2,Tabla5[#All],3,FALSE)*Tabla15[[#This Row],[6]])</f>
        <v>0.9</v>
      </c>
      <c r="N64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4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48" s="52">
        <f>IF(Tabla15[[#This Row],[8]]="",0,VLOOKUP(TRAMOS!$H$2,Tabla5[#All],3,FALSE)*Tabla15[[#This Row],[9]])</f>
        <v>0</v>
      </c>
      <c r="Q64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4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48" s="52">
        <f>IF(Tabla15[[#This Row],[11]]="",0,VLOOKUP(TRAMOS!$Q$2,Tabla5[#All],3,FALSE)*Tabla15[[#This Row],[12]])</f>
        <v>0</v>
      </c>
      <c r="T64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648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64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64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4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4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4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4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48" s="52">
        <f>IF(Tabla15[[#This Row],[20]]="",0,VLOOKUP("VRP",Tabla5[#All],3,FALSE)*Tabla15[[#This Row],[21]])</f>
        <v>0</v>
      </c>
      <c r="AC64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648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648" s="52">
        <f>IF(Tabla15[[#This Row],[23]]="",0,VLOOKUP("VC",Tabla5[#All],3,FALSE)*Tabla15[[#This Row],[24]])</f>
        <v>0.25</v>
      </c>
      <c r="AF64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4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48" s="52">
        <f>IF(Tabla15[[#This Row],[26]]="",0,VLOOKUP(TRAMOS!$K$2,Tabla5[#All],3,FALSE)*Tabla15[[#This Row],[27]])</f>
        <v>0</v>
      </c>
      <c r="AI64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4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4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4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4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648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64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1.365</v>
      </c>
    </row>
    <row r="649" spans="2:41" x14ac:dyDescent="0.25">
      <c r="B649" s="58" t="str">
        <f>Tabla1[[#This Row],[nudo inicial]]</f>
        <v>N345</v>
      </c>
      <c r="C649" s="58" t="str">
        <f>Tabla1[[#This Row],[nudo final]]</f>
        <v>N346</v>
      </c>
      <c r="D649" s="51">
        <f>Tabla1[[#This Row],[longitud]]</f>
        <v>66.040000000000006</v>
      </c>
      <c r="E649" s="51" t="str">
        <f>Tabla1[[#This Row],[diametro]]</f>
        <v>3"</v>
      </c>
      <c r="F649" s="51" t="str">
        <f>Tabla1[[#This Row],[material]]</f>
        <v>HF</v>
      </c>
      <c r="G64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49" s="52" t="str">
        <f>IF(Tabla1[[#This Row],[5]]="TPD",Tabla1[[#This Row],[6]],"")</f>
        <v>3"</v>
      </c>
      <c r="I649" s="52">
        <f>IF(OR(Tabla1[[#This Row],[5]]="TPD"),Tabla1[[#This Row],[7]],"")</f>
        <v>1</v>
      </c>
      <c r="J649" s="52">
        <f>IF(Tabla15[[#This Row],[2]]="",0,VLOOKUP(TRAMOS!$H$2,Tabla5[#All],3,FALSE)*Tabla15[[#This Row],[3]])</f>
        <v>0.15</v>
      </c>
      <c r="K649" s="52" t="str">
        <f>IF(Tabla1[[#This Row],[5]]="TPL",Tabla1[[#This Row],[6]],"")</f>
        <v/>
      </c>
      <c r="L649" s="52" t="str">
        <f>IF(OR(Tabla1[[#This Row],[5]]="TPL"),Tabla1[[#This Row],[7]],"")</f>
        <v/>
      </c>
      <c r="M649" s="52">
        <f>IF(Tabla15[[#This Row],[5]]="",0,VLOOKUP(TRAMOS!$K$2,Tabla5[#All],3,FALSE)*Tabla15[[#This Row],[6]])</f>
        <v>0</v>
      </c>
      <c r="N64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4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49" s="52">
        <f>IF(Tabla15[[#This Row],[8]]="",0,VLOOKUP(TRAMOS!$H$2,Tabla5[#All],3,FALSE)*Tabla15[[#This Row],[9]])</f>
        <v>0</v>
      </c>
      <c r="Q64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4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49" s="52">
        <f>IF(Tabla15[[#This Row],[11]]="",0,VLOOKUP(TRAMOS!$Q$2,Tabla5[#All],3,FALSE)*Tabla15[[#This Row],[12]])</f>
        <v>0</v>
      </c>
      <c r="T64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4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4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4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4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4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4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4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49" s="52">
        <f>IF(Tabla15[[#This Row],[20]]="",0,VLOOKUP("VRP",Tabla5[#All],3,FALSE)*Tabla15[[#This Row],[21]])</f>
        <v>0</v>
      </c>
      <c r="AC64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4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49" s="52">
        <f>IF(Tabla15[[#This Row],[23]]="",0,VLOOKUP("VC",Tabla5[#All],3,FALSE)*Tabla15[[#This Row],[24]])</f>
        <v>0</v>
      </c>
      <c r="AF64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4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49" s="52">
        <f>IF(Tabla15[[#This Row],[26]]="",0,VLOOKUP(TRAMOS!$K$2,Tabla5[#All],3,FALSE)*Tabla15[[#This Row],[27]])</f>
        <v>0</v>
      </c>
      <c r="AI64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4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4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4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4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4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4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650" spans="2:41" x14ac:dyDescent="0.25">
      <c r="B650" s="58" t="str">
        <f>Tabla1[[#This Row],[nudo inicial]]</f>
        <v>N325</v>
      </c>
      <c r="C650" s="58" t="str">
        <f>Tabla1[[#This Row],[nudo final]]</f>
        <v>N346</v>
      </c>
      <c r="D650" s="51">
        <f>Tabla1[[#This Row],[longitud]]</f>
        <v>134.13</v>
      </c>
      <c r="E650" s="51" t="str">
        <f>Tabla1[[#This Row],[diametro]]</f>
        <v>3"</v>
      </c>
      <c r="F650" s="51" t="str">
        <f>Tabla1[[#This Row],[material]]</f>
        <v>HF</v>
      </c>
      <c r="G65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50" s="52" t="str">
        <f>IF(Tabla1[[#This Row],[5]]="TPD",Tabla1[[#This Row],[6]],"")</f>
        <v/>
      </c>
      <c r="I650" s="52" t="str">
        <f>IF(OR(Tabla1[[#This Row],[5]]="TPD"),Tabla1[[#This Row],[7]],"")</f>
        <v/>
      </c>
      <c r="J650" s="52">
        <f>IF(Tabla15[[#This Row],[2]]="",0,VLOOKUP(TRAMOS!$H$2,Tabla5[#All],3,FALSE)*Tabla15[[#This Row],[3]])</f>
        <v>0</v>
      </c>
      <c r="K650" s="52" t="str">
        <f>IF(Tabla1[[#This Row],[5]]="TPL",Tabla1[[#This Row],[6]],"")</f>
        <v/>
      </c>
      <c r="L650" s="52" t="str">
        <f>IF(OR(Tabla1[[#This Row],[5]]="TPL"),Tabla1[[#This Row],[7]],"")</f>
        <v/>
      </c>
      <c r="M650" s="52">
        <f>IF(Tabla15[[#This Row],[5]]="",0,VLOOKUP(TRAMOS!$K$2,Tabla5[#All],3,FALSE)*Tabla15[[#This Row],[6]])</f>
        <v>0</v>
      </c>
      <c r="N65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3"</v>
      </c>
      <c r="O650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650" s="52">
        <f>IF(Tabla15[[#This Row],[8]]="",0,VLOOKUP(TRAMOS!$H$2,Tabla5[#All],3,FALSE)*Tabla15[[#This Row],[9]])</f>
        <v>0.15</v>
      </c>
      <c r="Q65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5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50" s="52">
        <f>IF(Tabla15[[#This Row],[11]]="",0,VLOOKUP(TRAMOS!$Q$2,Tabla5[#All],3,FALSE)*Tabla15[[#This Row],[12]])</f>
        <v>0</v>
      </c>
      <c r="T65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5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5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5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5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5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5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5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50" s="52">
        <f>IF(Tabla15[[#This Row],[20]]="",0,VLOOKUP("VRP",Tabla5[#All],3,FALSE)*Tabla15[[#This Row],[21]])</f>
        <v>0</v>
      </c>
      <c r="AC65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5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50" s="52">
        <f>IF(Tabla15[[#This Row],[23]]="",0,VLOOKUP("VC",Tabla5[#All],3,FALSE)*Tabla15[[#This Row],[24]])</f>
        <v>0</v>
      </c>
      <c r="AF65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5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50" s="52">
        <f>IF(Tabla15[[#This Row],[26]]="",0,VLOOKUP(TRAMOS!$K$2,Tabla5[#All],3,FALSE)*Tabla15[[#This Row],[27]])</f>
        <v>0</v>
      </c>
      <c r="AI65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5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5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5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5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5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5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651" spans="2:41" x14ac:dyDescent="0.25">
      <c r="B651" s="58" t="str">
        <f>Tabla1[[#This Row],[nudo inicial]]</f>
        <v>N346</v>
      </c>
      <c r="C651" s="58" t="str">
        <f>Tabla1[[#This Row],[nudo final]]</f>
        <v>N347</v>
      </c>
      <c r="D651" s="51">
        <f>Tabla1[[#This Row],[longitud]]</f>
        <v>137.28</v>
      </c>
      <c r="E651" s="51" t="str">
        <f>Tabla1[[#This Row],[diametro]]</f>
        <v>3"</v>
      </c>
      <c r="F651" s="51" t="str">
        <f>Tabla1[[#This Row],[material]]</f>
        <v>HF</v>
      </c>
      <c r="G65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51" s="52" t="str">
        <f>IF(Tabla1[[#This Row],[5]]="TPD",Tabla1[[#This Row],[6]],"")</f>
        <v/>
      </c>
      <c r="I651" s="52" t="str">
        <f>IF(OR(Tabla1[[#This Row],[5]]="TPD"),Tabla1[[#This Row],[7]],"")</f>
        <v/>
      </c>
      <c r="J651" s="52">
        <f>IF(Tabla15[[#This Row],[2]]="",0,VLOOKUP(TRAMOS!$H$2,Tabla5[#All],3,FALSE)*Tabla15[[#This Row],[3]])</f>
        <v>0</v>
      </c>
      <c r="K651" s="52" t="str">
        <f>IF(Tabla1[[#This Row],[5]]="TPL",Tabla1[[#This Row],[6]],"")</f>
        <v/>
      </c>
      <c r="L651" s="52" t="str">
        <f>IF(OR(Tabla1[[#This Row],[5]]="TPL"),Tabla1[[#This Row],[7]],"")</f>
        <v/>
      </c>
      <c r="M651" s="52">
        <f>IF(Tabla15[[#This Row],[5]]="",0,VLOOKUP(TRAMOS!$K$2,Tabla5[#All],3,FALSE)*Tabla15[[#This Row],[6]])</f>
        <v>0</v>
      </c>
      <c r="N65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3"</v>
      </c>
      <c r="O651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651" s="52">
        <f>IF(Tabla15[[#This Row],[8]]="",0,VLOOKUP(TRAMOS!$H$2,Tabla5[#All],3,FALSE)*Tabla15[[#This Row],[9]])</f>
        <v>0.15</v>
      </c>
      <c r="Q65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5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51" s="52">
        <f>IF(Tabla15[[#This Row],[11]]="",0,VLOOKUP(TRAMOS!$Q$2,Tabla5[#All],3,FALSE)*Tabla15[[#This Row],[12]])</f>
        <v>0</v>
      </c>
      <c r="T65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5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5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5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5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5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5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5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51" s="52">
        <f>IF(Tabla15[[#This Row],[20]]="",0,VLOOKUP("VRP",Tabla5[#All],3,FALSE)*Tabla15[[#This Row],[21]])</f>
        <v>0</v>
      </c>
      <c r="AC65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5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51" s="52">
        <f>IF(Tabla15[[#This Row],[23]]="",0,VLOOKUP("VC",Tabla5[#All],3,FALSE)*Tabla15[[#This Row],[24]])</f>
        <v>0</v>
      </c>
      <c r="AF65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5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51" s="52">
        <f>IF(Tabla15[[#This Row],[26]]="",0,VLOOKUP(TRAMOS!$K$2,Tabla5[#All],3,FALSE)*Tabla15[[#This Row],[27]])</f>
        <v>0</v>
      </c>
      <c r="AI65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5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5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5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5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5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5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652" spans="2:41" x14ac:dyDescent="0.25">
      <c r="B652" s="58" t="str">
        <f>Tabla1[[#This Row],[nudo inicial]]</f>
        <v>N323</v>
      </c>
      <c r="C652" s="58" t="str">
        <f>Tabla1[[#This Row],[nudo final]]</f>
        <v>N347</v>
      </c>
      <c r="D652" s="51">
        <f>Tabla1[[#This Row],[longitud]]</f>
        <v>132.24</v>
      </c>
      <c r="E652" s="51" t="str">
        <f>Tabla1[[#This Row],[diametro]]</f>
        <v>3"</v>
      </c>
      <c r="F652" s="51" t="str">
        <f>Tabla1[[#This Row],[material]]</f>
        <v>HF</v>
      </c>
      <c r="G65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52" s="52" t="str">
        <f>IF(Tabla1[[#This Row],[5]]="TPD",Tabla1[[#This Row],[6]],"")</f>
        <v/>
      </c>
      <c r="I652" s="52" t="str">
        <f>IF(OR(Tabla1[[#This Row],[5]]="TPD"),Tabla1[[#This Row],[7]],"")</f>
        <v/>
      </c>
      <c r="J652" s="52">
        <f>IF(Tabla15[[#This Row],[2]]="",0,VLOOKUP(TRAMOS!$H$2,Tabla5[#All],3,FALSE)*Tabla15[[#This Row],[3]])</f>
        <v>0</v>
      </c>
      <c r="K652" s="52" t="str">
        <f>IF(Tabla1[[#This Row],[5]]="TPL",Tabla1[[#This Row],[6]],"")</f>
        <v/>
      </c>
      <c r="L652" s="52" t="str">
        <f>IF(OR(Tabla1[[#This Row],[5]]="TPL"),Tabla1[[#This Row],[7]],"")</f>
        <v/>
      </c>
      <c r="M652" s="52">
        <f>IF(Tabla15[[#This Row],[5]]="",0,VLOOKUP(TRAMOS!$K$2,Tabla5[#All],3,FALSE)*Tabla15[[#This Row],[6]])</f>
        <v>0</v>
      </c>
      <c r="N65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3"</v>
      </c>
      <c r="O652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652" s="52">
        <f>IF(Tabla15[[#This Row],[8]]="",0,VLOOKUP(TRAMOS!$H$2,Tabla5[#All],3,FALSE)*Tabla15[[#This Row],[9]])</f>
        <v>0.15</v>
      </c>
      <c r="Q65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5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52" s="52">
        <f>IF(Tabla15[[#This Row],[11]]="",0,VLOOKUP(TRAMOS!$Q$2,Tabla5[#All],3,FALSE)*Tabla15[[#This Row],[12]])</f>
        <v>0</v>
      </c>
      <c r="T65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5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5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5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5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5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5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5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52" s="52">
        <f>IF(Tabla15[[#This Row],[20]]="",0,VLOOKUP("VRP",Tabla5[#All],3,FALSE)*Tabla15[[#This Row],[21]])</f>
        <v>0</v>
      </c>
      <c r="AC65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5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52" s="52">
        <f>IF(Tabla15[[#This Row],[23]]="",0,VLOOKUP("VC",Tabla5[#All],3,FALSE)*Tabla15[[#This Row],[24]])</f>
        <v>0</v>
      </c>
      <c r="AF65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5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52" s="52">
        <f>IF(Tabla15[[#This Row],[26]]="",0,VLOOKUP(TRAMOS!$K$2,Tabla5[#All],3,FALSE)*Tabla15[[#This Row],[27]])</f>
        <v>0</v>
      </c>
      <c r="AI65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5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5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5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5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5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5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653" spans="2:41" x14ac:dyDescent="0.25">
      <c r="B653" s="58" t="str">
        <f>Tabla1[[#This Row],[nudo inicial]]</f>
        <v>N347</v>
      </c>
      <c r="C653" s="58" t="str">
        <f>Tabla1[[#This Row],[nudo final]]</f>
        <v>TP223</v>
      </c>
      <c r="D653" s="51">
        <f>Tabla1[[#This Row],[longitud]]</f>
        <v>4.9400000000000004</v>
      </c>
      <c r="E653" s="51" t="str">
        <f>Tabla1[[#This Row],[diametro]]</f>
        <v>3"</v>
      </c>
      <c r="F653" s="51" t="str">
        <f>Tabla1[[#This Row],[material]]</f>
        <v>HF</v>
      </c>
      <c r="G65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53" s="52" t="str">
        <f>IF(Tabla1[[#This Row],[5]]="TPD",Tabla1[[#This Row],[6]],"")</f>
        <v/>
      </c>
      <c r="I653" s="52" t="str">
        <f>IF(OR(Tabla1[[#This Row],[5]]="TPD"),Tabla1[[#This Row],[7]],"")</f>
        <v/>
      </c>
      <c r="J653" s="52">
        <f>IF(Tabla15[[#This Row],[2]]="",0,VLOOKUP(TRAMOS!$H$2,Tabla5[#All],3,FALSE)*Tabla15[[#This Row],[3]])</f>
        <v>0</v>
      </c>
      <c r="K653" s="52" t="str">
        <f>IF(Tabla1[[#This Row],[5]]="TPL",Tabla1[[#This Row],[6]],"")</f>
        <v/>
      </c>
      <c r="L653" s="52" t="str">
        <f>IF(OR(Tabla1[[#This Row],[5]]="TPL"),Tabla1[[#This Row],[7]],"")</f>
        <v/>
      </c>
      <c r="M653" s="52">
        <f>IF(Tabla15[[#This Row],[5]]="",0,VLOOKUP(TRAMOS!$K$2,Tabla5[#All],3,FALSE)*Tabla15[[#This Row],[6]])</f>
        <v>0</v>
      </c>
      <c r="N65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3"</v>
      </c>
      <c r="O653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653" s="52">
        <f>IF(Tabla15[[#This Row],[8]]="",0,VLOOKUP(TRAMOS!$H$2,Tabla5[#All],3,FALSE)*Tabla15[[#This Row],[9]])</f>
        <v>0.15</v>
      </c>
      <c r="Q65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5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53" s="52">
        <f>IF(Tabla15[[#This Row],[11]]="",0,VLOOKUP(TRAMOS!$Q$2,Tabla5[#All],3,FALSE)*Tabla15[[#This Row],[12]])</f>
        <v>0</v>
      </c>
      <c r="T65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5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5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5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5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5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5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5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53" s="52">
        <f>IF(Tabla15[[#This Row],[20]]="",0,VLOOKUP("VRP",Tabla5[#All],3,FALSE)*Tabla15[[#This Row],[21]])</f>
        <v>0</v>
      </c>
      <c r="AC65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5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53" s="52">
        <f>IF(Tabla15[[#This Row],[23]]="",0,VLOOKUP("VC",Tabla5[#All],3,FALSE)*Tabla15[[#This Row],[24]])</f>
        <v>0</v>
      </c>
      <c r="AF65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5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53" s="52">
        <f>IF(Tabla15[[#This Row],[26]]="",0,VLOOKUP(TRAMOS!$K$2,Tabla5[#All],3,FALSE)*Tabla15[[#This Row],[27]])</f>
        <v>0</v>
      </c>
      <c r="AI65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5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5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5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5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653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65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654" spans="2:41" x14ac:dyDescent="0.25">
      <c r="B654" s="58" t="str">
        <f>Tabla1[[#This Row],[nudo inicial]]</f>
        <v>N321</v>
      </c>
      <c r="C654" s="58" t="str">
        <f>Tabla1[[#This Row],[nudo final]]</f>
        <v>N348</v>
      </c>
      <c r="D654" s="51">
        <f>Tabla1[[#This Row],[longitud]]</f>
        <v>130.66</v>
      </c>
      <c r="E654" s="51" t="str">
        <f>Tabla1[[#This Row],[diametro]]</f>
        <v>8"</v>
      </c>
      <c r="F654" s="51" t="str">
        <f>Tabla1[[#This Row],[material]]</f>
        <v>PVC</v>
      </c>
      <c r="G65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654" s="52" t="str">
        <f>IF(Tabla1[[#This Row],[5]]="TPD",Tabla1[[#This Row],[6]],"")</f>
        <v/>
      </c>
      <c r="I654" s="52" t="str">
        <f>IF(OR(Tabla1[[#This Row],[5]]="TPD"),Tabla1[[#This Row],[7]],"")</f>
        <v/>
      </c>
      <c r="J654" s="52">
        <f>IF(Tabla15[[#This Row],[2]]="",0,VLOOKUP(TRAMOS!$H$2,Tabla5[#All],3,FALSE)*Tabla15[[#This Row],[3]])</f>
        <v>0</v>
      </c>
      <c r="K654" s="52" t="str">
        <f>IF(Tabla1[[#This Row],[5]]="TPL",Tabla1[[#This Row],[6]],"")</f>
        <v/>
      </c>
      <c r="L654" s="52" t="str">
        <f>IF(OR(Tabla1[[#This Row],[5]]="TPL"),Tabla1[[#This Row],[7]],"")</f>
        <v/>
      </c>
      <c r="M654" s="52">
        <f>IF(Tabla15[[#This Row],[5]]="",0,VLOOKUP(TRAMOS!$K$2,Tabla5[#All],3,FALSE)*Tabla15[[#This Row],[6]])</f>
        <v>0</v>
      </c>
      <c r="N65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8"</v>
      </c>
      <c r="O654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654" s="52">
        <f>IF(Tabla15[[#This Row],[8]]="",0,VLOOKUP(TRAMOS!$H$2,Tabla5[#All],3,FALSE)*Tabla15[[#This Row],[9]])</f>
        <v>0.15</v>
      </c>
      <c r="Q65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5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54" s="52">
        <f>IF(Tabla15[[#This Row],[11]]="",0,VLOOKUP(TRAMOS!$Q$2,Tabla5[#All],3,FALSE)*Tabla15[[#This Row],[12]])</f>
        <v>0</v>
      </c>
      <c r="T65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5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5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5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5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5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5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5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54" s="52">
        <f>IF(Tabla15[[#This Row],[20]]="",0,VLOOKUP("VRP",Tabla5[#All],3,FALSE)*Tabla15[[#This Row],[21]])</f>
        <v>0</v>
      </c>
      <c r="AC65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5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54" s="52">
        <f>IF(Tabla15[[#This Row],[23]]="",0,VLOOKUP("VC",Tabla5[#All],3,FALSE)*Tabla15[[#This Row],[24]])</f>
        <v>0</v>
      </c>
      <c r="AF65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5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54" s="52">
        <f>IF(Tabla15[[#This Row],[26]]="",0,VLOOKUP(TRAMOS!$K$2,Tabla5[#All],3,FALSE)*Tabla15[[#This Row],[27]])</f>
        <v>0</v>
      </c>
      <c r="AI654" s="52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>0</v>
      </c>
      <c r="AJ654" s="52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>1</v>
      </c>
      <c r="AK65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5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5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5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5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655" spans="2:41" x14ac:dyDescent="0.25">
      <c r="B655" s="58" t="str">
        <f>Tabla1[[#This Row],[nudo inicial]]</f>
        <v>N348</v>
      </c>
      <c r="C655" s="58" t="str">
        <f>Tabla1[[#This Row],[nudo final]]</f>
        <v>N349</v>
      </c>
      <c r="D655" s="51">
        <f>Tabla1[[#This Row],[longitud]]</f>
        <v>73.36</v>
      </c>
      <c r="E655" s="51" t="str">
        <f>Tabla1[[#This Row],[diametro]]</f>
        <v>6"</v>
      </c>
      <c r="F655" s="51" t="str">
        <f>Tabla1[[#This Row],[material]]</f>
        <v>AC</v>
      </c>
      <c r="G65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655" s="52" t="str">
        <f>IF(Tabla1[[#This Row],[5]]="TPD",Tabla1[[#This Row],[6]],"")</f>
        <v/>
      </c>
      <c r="I655" s="52" t="str">
        <f>IF(OR(Tabla1[[#This Row],[5]]="TPD"),Tabla1[[#This Row],[7]],"")</f>
        <v/>
      </c>
      <c r="J655" s="52">
        <f>IF(Tabla15[[#This Row],[2]]="",0,VLOOKUP(TRAMOS!$H$2,Tabla5[#All],3,FALSE)*Tabla15[[#This Row],[3]])</f>
        <v>0</v>
      </c>
      <c r="K655" s="52" t="str">
        <f>IF(Tabla1[[#This Row],[5]]="TPL",Tabla1[[#This Row],[6]],"")</f>
        <v/>
      </c>
      <c r="L655" s="52" t="str">
        <f>IF(OR(Tabla1[[#This Row],[5]]="TPL"),Tabla1[[#This Row],[7]],"")</f>
        <v/>
      </c>
      <c r="M655" s="52">
        <f>IF(Tabla15[[#This Row],[5]]="",0,VLOOKUP(TRAMOS!$K$2,Tabla5[#All],3,FALSE)*Tabla15[[#This Row],[6]])</f>
        <v>0</v>
      </c>
      <c r="N65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8"</v>
      </c>
      <c r="O655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655" s="52">
        <f>IF(Tabla15[[#This Row],[8]]="",0,VLOOKUP(TRAMOS!$H$2,Tabla5[#All],3,FALSE)*Tabla15[[#This Row],[9]])</f>
        <v>0.15</v>
      </c>
      <c r="Q65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5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55" s="52">
        <f>IF(Tabla15[[#This Row],[11]]="",0,VLOOKUP(TRAMOS!$Q$2,Tabla5[#All],3,FALSE)*Tabla15[[#This Row],[12]])</f>
        <v>0</v>
      </c>
      <c r="T65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6"</v>
      </c>
      <c r="U655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65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0.13850000000000007</v>
      </c>
      <c r="W65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5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5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5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5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55" s="52">
        <f>IF(Tabla15[[#This Row],[20]]="",0,VLOOKUP("VRP",Tabla5[#All],3,FALSE)*Tabla15[[#This Row],[21]])</f>
        <v>0</v>
      </c>
      <c r="AC65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5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55" s="52">
        <f>IF(Tabla15[[#This Row],[23]]="",0,VLOOKUP("VC",Tabla5[#All],3,FALSE)*Tabla15[[#This Row],[24]])</f>
        <v>0</v>
      </c>
      <c r="AF65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5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55" s="52">
        <f>IF(Tabla15[[#This Row],[26]]="",0,VLOOKUP(TRAMOS!$K$2,Tabla5[#All],3,FALSE)*Tabla15[[#This Row],[27]])</f>
        <v>0</v>
      </c>
      <c r="AI65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5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5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5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5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5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5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0.28850000000000009</v>
      </c>
    </row>
    <row r="656" spans="2:41" x14ac:dyDescent="0.25">
      <c r="B656" s="58" t="str">
        <f>Tabla1[[#This Row],[nudo inicial]]</f>
        <v>N349</v>
      </c>
      <c r="C656" s="58" t="str">
        <f>Tabla1[[#This Row],[nudo final]]</f>
        <v>TP224</v>
      </c>
      <c r="D656" s="51">
        <f>Tabla1[[#This Row],[longitud]]</f>
        <v>52.36</v>
      </c>
      <c r="E656" s="51" t="str">
        <f>Tabla1[[#This Row],[diametro]]</f>
        <v>2"</v>
      </c>
      <c r="F656" s="51" t="str">
        <f>Tabla1[[#This Row],[material]]</f>
        <v>PVC</v>
      </c>
      <c r="G65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656" s="52" t="str">
        <f>IF(Tabla1[[#This Row],[5]]="TPD",Tabla1[[#This Row],[6]],"")</f>
        <v/>
      </c>
      <c r="I656" s="52" t="str">
        <f>IF(OR(Tabla1[[#This Row],[5]]="TPD"),Tabla1[[#This Row],[7]],"")</f>
        <v/>
      </c>
      <c r="J656" s="52">
        <f>IF(Tabla15[[#This Row],[2]]="",0,VLOOKUP(TRAMOS!$H$2,Tabla5[#All],3,FALSE)*Tabla15[[#This Row],[3]])</f>
        <v>0</v>
      </c>
      <c r="K656" s="52" t="str">
        <f>IF(Tabla1[[#This Row],[5]]="TPL",Tabla1[[#This Row],[6]],"")</f>
        <v>6"</v>
      </c>
      <c r="L656" s="52">
        <f>IF(OR(Tabla1[[#This Row],[5]]="TPL"),Tabla1[[#This Row],[7]],"")</f>
        <v>1</v>
      </c>
      <c r="M656" s="52">
        <f>IF(Tabla15[[#This Row],[5]]="",0,VLOOKUP(TRAMOS!$K$2,Tabla5[#All],3,FALSE)*Tabla15[[#This Row],[6]])</f>
        <v>0.9</v>
      </c>
      <c r="N65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5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56" s="52">
        <f>IF(Tabla15[[#This Row],[8]]="",0,VLOOKUP(TRAMOS!$H$2,Tabla5[#All],3,FALSE)*Tabla15[[#This Row],[9]])</f>
        <v>0</v>
      </c>
      <c r="Q65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5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56" s="52">
        <f>IF(Tabla15[[#This Row],[11]]="",0,VLOOKUP(TRAMOS!$Q$2,Tabla5[#All],3,FALSE)*Tabla15[[#This Row],[12]])</f>
        <v>0</v>
      </c>
      <c r="T65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656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65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0.43</v>
      </c>
      <c r="W65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5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5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5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5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56" s="52">
        <f>IF(Tabla15[[#This Row],[20]]="",0,VLOOKUP("VRP",Tabla5[#All],3,FALSE)*Tabla15[[#This Row],[21]])</f>
        <v>0</v>
      </c>
      <c r="AC65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656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656" s="52">
        <f>IF(Tabla15[[#This Row],[23]]="",0,VLOOKUP("VC",Tabla5[#All],3,FALSE)*Tabla15[[#This Row],[24]])</f>
        <v>0.25</v>
      </c>
      <c r="AF65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5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56" s="52">
        <f>IF(Tabla15[[#This Row],[26]]="",0,VLOOKUP(TRAMOS!$K$2,Tabla5[#All],3,FALSE)*Tabla15[[#This Row],[27]])</f>
        <v>0</v>
      </c>
      <c r="AI65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5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5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5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5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65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65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1.58</v>
      </c>
    </row>
    <row r="657" spans="2:41" x14ac:dyDescent="0.25">
      <c r="B657" s="58" t="str">
        <f>Tabla1[[#This Row],[nudo inicial]]</f>
        <v>N349</v>
      </c>
      <c r="C657" s="58" t="str">
        <f>Tabla1[[#This Row],[nudo final]]</f>
        <v>TP225</v>
      </c>
      <c r="D657" s="51">
        <f>Tabla1[[#This Row],[longitud]]</f>
        <v>49.43</v>
      </c>
      <c r="E657" s="51" t="str">
        <f>Tabla1[[#This Row],[diametro]]</f>
        <v>6"</v>
      </c>
      <c r="F657" s="51" t="str">
        <f>Tabla1[[#This Row],[material]]</f>
        <v>AC</v>
      </c>
      <c r="G65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657" s="52" t="str">
        <f>IF(Tabla1[[#This Row],[5]]="TPD",Tabla1[[#This Row],[6]],"")</f>
        <v>6"</v>
      </c>
      <c r="I657" s="52">
        <f>IF(OR(Tabla1[[#This Row],[5]]="TPD"),Tabla1[[#This Row],[7]],"")</f>
        <v>1</v>
      </c>
      <c r="J657" s="52">
        <f>IF(Tabla15[[#This Row],[2]]="",0,VLOOKUP(TRAMOS!$H$2,Tabla5[#All],3,FALSE)*Tabla15[[#This Row],[3]])</f>
        <v>0.15</v>
      </c>
      <c r="K657" s="52" t="str">
        <f>IF(Tabla1[[#This Row],[5]]="TPL",Tabla1[[#This Row],[6]],"")</f>
        <v/>
      </c>
      <c r="L657" s="52" t="str">
        <f>IF(OR(Tabla1[[#This Row],[5]]="TPL"),Tabla1[[#This Row],[7]],"")</f>
        <v/>
      </c>
      <c r="M657" s="52">
        <f>IF(Tabla15[[#This Row],[5]]="",0,VLOOKUP(TRAMOS!$K$2,Tabla5[#All],3,FALSE)*Tabla15[[#This Row],[6]])</f>
        <v>0</v>
      </c>
      <c r="N65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5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57" s="52">
        <f>IF(Tabla15[[#This Row],[8]]="",0,VLOOKUP(TRAMOS!$H$2,Tabla5[#All],3,FALSE)*Tabla15[[#This Row],[9]])</f>
        <v>0</v>
      </c>
      <c r="Q65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5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57" s="52">
        <f>IF(Tabla15[[#This Row],[11]]="",0,VLOOKUP(TRAMOS!$Q$2,Tabla5[#All],3,FALSE)*Tabla15[[#This Row],[12]])</f>
        <v>0</v>
      </c>
      <c r="T65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5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5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5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5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5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5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5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57" s="52">
        <f>IF(Tabla15[[#This Row],[20]]="",0,VLOOKUP("VRP",Tabla5[#All],3,FALSE)*Tabla15[[#This Row],[21]])</f>
        <v>0</v>
      </c>
      <c r="AC65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5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57" s="52">
        <f>IF(Tabla15[[#This Row],[23]]="",0,VLOOKUP("VC",Tabla5[#All],3,FALSE)*Tabla15[[#This Row],[24]])</f>
        <v>0</v>
      </c>
      <c r="AF65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5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57" s="52">
        <f>IF(Tabla15[[#This Row],[26]]="",0,VLOOKUP(TRAMOS!$K$2,Tabla5[#All],3,FALSE)*Tabla15[[#This Row],[27]])</f>
        <v>0</v>
      </c>
      <c r="AI65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5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5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5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5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6"</v>
      </c>
      <c r="AN657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65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658" spans="2:41" x14ac:dyDescent="0.25">
      <c r="B658" s="58" t="str">
        <f>Tabla1[[#This Row],[nudo inicial]]</f>
        <v>N348</v>
      </c>
      <c r="C658" s="58" t="str">
        <f>Tabla1[[#This Row],[nudo final]]</f>
        <v>N350</v>
      </c>
      <c r="D658" s="51">
        <f>Tabla1[[#This Row],[longitud]]</f>
        <v>284.89</v>
      </c>
      <c r="E658" s="51" t="str">
        <f>Tabla1[[#This Row],[diametro]]</f>
        <v>4"</v>
      </c>
      <c r="F658" s="51" t="str">
        <f>Tabla1[[#This Row],[material]]</f>
        <v>PVC</v>
      </c>
      <c r="G65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658" s="52" t="str">
        <f>IF(Tabla1[[#This Row],[5]]="TPD",Tabla1[[#This Row],[6]],"")</f>
        <v/>
      </c>
      <c r="I658" s="52" t="str">
        <f>IF(OR(Tabla1[[#This Row],[5]]="TPD"),Tabla1[[#This Row],[7]],"")</f>
        <v/>
      </c>
      <c r="J658" s="52">
        <f>IF(Tabla15[[#This Row],[2]]="",0,VLOOKUP(TRAMOS!$H$2,Tabla5[#All],3,FALSE)*Tabla15[[#This Row],[3]])</f>
        <v>0</v>
      </c>
      <c r="K658" s="52" t="str">
        <f>IF(Tabla1[[#This Row],[5]]="TPL",Tabla1[[#This Row],[6]],"")</f>
        <v/>
      </c>
      <c r="L658" s="52" t="str">
        <f>IF(OR(Tabla1[[#This Row],[5]]="TPL"),Tabla1[[#This Row],[7]],"")</f>
        <v/>
      </c>
      <c r="M658" s="52">
        <f>IF(Tabla15[[#This Row],[5]]="",0,VLOOKUP(TRAMOS!$K$2,Tabla5[#All],3,FALSE)*Tabla15[[#This Row],[6]])</f>
        <v>0</v>
      </c>
      <c r="N65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8"</v>
      </c>
      <c r="O658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658" s="52">
        <f>IF(Tabla15[[#This Row],[8]]="",0,VLOOKUP(TRAMOS!$H$2,Tabla5[#All],3,FALSE)*Tabla15[[#This Row],[9]])</f>
        <v>0.15</v>
      </c>
      <c r="Q65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5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58" s="52">
        <f>IF(Tabla15[[#This Row],[11]]="",0,VLOOKUP(TRAMOS!$Q$2,Tabla5[#All],3,FALSE)*Tabla15[[#This Row],[12]])</f>
        <v>0</v>
      </c>
      <c r="T65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4"</v>
      </c>
      <c r="U658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65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65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5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5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5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5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58" s="52">
        <f>IF(Tabla15[[#This Row],[20]]="",0,VLOOKUP("VRP",Tabla5[#All],3,FALSE)*Tabla15[[#This Row],[21]])</f>
        <v>0</v>
      </c>
      <c r="AC65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4"</v>
      </c>
      <c r="AD658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2</v>
      </c>
      <c r="AE658" s="52">
        <f>IF(Tabla15[[#This Row],[23]]="",0,VLOOKUP("VC",Tabla5[#All],3,FALSE)*Tabla15[[#This Row],[24]])</f>
        <v>0.5</v>
      </c>
      <c r="AF65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5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58" s="52">
        <f>IF(Tabla15[[#This Row],[26]]="",0,VLOOKUP(TRAMOS!$K$2,Tabla5[#All],3,FALSE)*Tabla15[[#This Row],[27]])</f>
        <v>0</v>
      </c>
      <c r="AI65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5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5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5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5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5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5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1.02</v>
      </c>
    </row>
    <row r="659" spans="2:41" x14ac:dyDescent="0.25">
      <c r="B659" s="58" t="str">
        <f>Tabla1[[#This Row],[nudo inicial]]</f>
        <v>N319</v>
      </c>
      <c r="C659" s="58" t="str">
        <f>Tabla1[[#This Row],[nudo final]]</f>
        <v>N351</v>
      </c>
      <c r="D659" s="51">
        <f>Tabla1[[#This Row],[longitud]]</f>
        <v>143.97</v>
      </c>
      <c r="E659" s="51" t="str">
        <f>Tabla1[[#This Row],[diametro]]</f>
        <v>4"</v>
      </c>
      <c r="F659" s="51" t="str">
        <f>Tabla1[[#This Row],[material]]</f>
        <v>HF</v>
      </c>
      <c r="G65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659" s="52" t="str">
        <f>IF(Tabla1[[#This Row],[5]]="TPD",Tabla1[[#This Row],[6]],"")</f>
        <v/>
      </c>
      <c r="I659" s="52" t="str">
        <f>IF(OR(Tabla1[[#This Row],[5]]="TPD"),Tabla1[[#This Row],[7]],"")</f>
        <v/>
      </c>
      <c r="J659" s="52">
        <f>IF(Tabla15[[#This Row],[2]]="",0,VLOOKUP(TRAMOS!$H$2,Tabla5[#All],3,FALSE)*Tabla15[[#This Row],[3]])</f>
        <v>0</v>
      </c>
      <c r="K659" s="52" t="str">
        <f>IF(Tabla1[[#This Row],[5]]="TPL",Tabla1[[#This Row],[6]],"")</f>
        <v/>
      </c>
      <c r="L659" s="52" t="str">
        <f>IF(OR(Tabla1[[#This Row],[5]]="TPL"),Tabla1[[#This Row],[7]],"")</f>
        <v/>
      </c>
      <c r="M659" s="52">
        <f>IF(Tabla15[[#This Row],[5]]="",0,VLOOKUP(TRAMOS!$K$2,Tabla5[#All],3,FALSE)*Tabla15[[#This Row],[6]])</f>
        <v>0</v>
      </c>
      <c r="N65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4"</v>
      </c>
      <c r="O659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659" s="52">
        <f>IF(Tabla15[[#This Row],[8]]="",0,VLOOKUP(TRAMOS!$H$2,Tabla5[#All],3,FALSE)*Tabla15[[#This Row],[9]])</f>
        <v>0.15</v>
      </c>
      <c r="Q65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5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59" s="52">
        <f>IF(Tabla15[[#This Row],[11]]="",0,VLOOKUP(TRAMOS!$Q$2,Tabla5[#All],3,FALSE)*Tabla15[[#This Row],[12]])</f>
        <v>0</v>
      </c>
      <c r="T65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5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5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5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5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5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5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5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59" s="52">
        <f>IF(Tabla15[[#This Row],[20]]="",0,VLOOKUP("VRP",Tabla5[#All],3,FALSE)*Tabla15[[#This Row],[21]])</f>
        <v>0</v>
      </c>
      <c r="AC65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4"</v>
      </c>
      <c r="AD659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659" s="52">
        <f>IF(Tabla15[[#This Row],[23]]="",0,VLOOKUP("VC",Tabla5[#All],3,FALSE)*Tabla15[[#This Row],[24]])</f>
        <v>0.25</v>
      </c>
      <c r="AF65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5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59" s="52">
        <f>IF(Tabla15[[#This Row],[26]]="",0,VLOOKUP(TRAMOS!$K$2,Tabla5[#All],3,FALSE)*Tabla15[[#This Row],[27]])</f>
        <v>0</v>
      </c>
      <c r="AI65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5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5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5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5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5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5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0.4</v>
      </c>
    </row>
    <row r="660" spans="2:41" x14ac:dyDescent="0.25">
      <c r="B660" s="58" t="str">
        <f>Tabla1[[#This Row],[nudo inicial]]</f>
        <v>N351</v>
      </c>
      <c r="C660" s="58" t="str">
        <f>Tabla1[[#This Row],[nudo final]]</f>
        <v>N352</v>
      </c>
      <c r="D660" s="51">
        <f>Tabla1[[#This Row],[longitud]]</f>
        <v>66.58</v>
      </c>
      <c r="E660" s="51" t="str">
        <f>Tabla1[[#This Row],[diametro]]</f>
        <v>4"</v>
      </c>
      <c r="F660" s="51" t="str">
        <f>Tabla1[[#This Row],[material]]</f>
        <v>PVC</v>
      </c>
      <c r="G66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660" s="52" t="str">
        <f>IF(Tabla1[[#This Row],[5]]="TPD",Tabla1[[#This Row],[6]],"")</f>
        <v/>
      </c>
      <c r="I660" s="52" t="str">
        <f>IF(OR(Tabla1[[#This Row],[5]]="TPD"),Tabla1[[#This Row],[7]],"")</f>
        <v/>
      </c>
      <c r="J660" s="52">
        <f>IF(Tabla15[[#This Row],[2]]="",0,VLOOKUP(TRAMOS!$H$2,Tabla5[#All],3,FALSE)*Tabla15[[#This Row],[3]])</f>
        <v>0</v>
      </c>
      <c r="K660" s="52" t="str">
        <f>IF(Tabla1[[#This Row],[5]]="TPL",Tabla1[[#This Row],[6]],"")</f>
        <v/>
      </c>
      <c r="L660" s="52" t="str">
        <f>IF(OR(Tabla1[[#This Row],[5]]="TPL"),Tabla1[[#This Row],[7]],"")</f>
        <v/>
      </c>
      <c r="M660" s="52">
        <f>IF(Tabla15[[#This Row],[5]]="",0,VLOOKUP(TRAMOS!$K$2,Tabla5[#All],3,FALSE)*Tabla15[[#This Row],[6]])</f>
        <v>0</v>
      </c>
      <c r="N66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6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60" s="52">
        <f>IF(Tabla15[[#This Row],[8]]="",0,VLOOKUP(TRAMOS!$H$2,Tabla5[#All],3,FALSE)*Tabla15[[#This Row],[9]])</f>
        <v>0</v>
      </c>
      <c r="Q66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6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60" s="52">
        <f>IF(Tabla15[[#This Row],[11]]="",0,VLOOKUP(TRAMOS!$Q$2,Tabla5[#All],3,FALSE)*Tabla15[[#This Row],[12]])</f>
        <v>0</v>
      </c>
      <c r="T66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6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6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6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6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6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6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6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60" s="52">
        <f>IF(Tabla15[[#This Row],[20]]="",0,VLOOKUP("VRP",Tabla5[#All],3,FALSE)*Tabla15[[#This Row],[21]])</f>
        <v>0</v>
      </c>
      <c r="AC66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6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60" s="52">
        <f>IF(Tabla15[[#This Row],[23]]="",0,VLOOKUP("VC",Tabla5[#All],3,FALSE)*Tabla15[[#This Row],[24]])</f>
        <v>0</v>
      </c>
      <c r="AF66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6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60" s="52">
        <f>IF(Tabla15[[#This Row],[26]]="",0,VLOOKUP(TRAMOS!$K$2,Tabla5[#All],3,FALSE)*Tabla15[[#This Row],[27]])</f>
        <v>0</v>
      </c>
      <c r="AI66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6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6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6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6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6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6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</v>
      </c>
    </row>
    <row r="661" spans="2:41" x14ac:dyDescent="0.25">
      <c r="B661" s="58" t="str">
        <f>Tabla1[[#This Row],[nudo inicial]]</f>
        <v>N352</v>
      </c>
      <c r="C661" s="58" t="str">
        <f>Tabla1[[#This Row],[nudo final]]</f>
        <v>TP226</v>
      </c>
      <c r="D661" s="51">
        <f>Tabla1[[#This Row],[longitud]]</f>
        <v>70.41</v>
      </c>
      <c r="E661" s="51" t="str">
        <f>Tabla1[[#This Row],[diametro]]</f>
        <v>2"</v>
      </c>
      <c r="F661" s="51" t="str">
        <f>Tabla1[[#This Row],[material]]</f>
        <v>PVC</v>
      </c>
      <c r="G66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661" s="52" t="str">
        <f>IF(Tabla1[[#This Row],[5]]="TPD",Tabla1[[#This Row],[6]],"")</f>
        <v/>
      </c>
      <c r="I661" s="52" t="str">
        <f>IF(OR(Tabla1[[#This Row],[5]]="TPD"),Tabla1[[#This Row],[7]],"")</f>
        <v/>
      </c>
      <c r="J661" s="52">
        <f>IF(Tabla15[[#This Row],[2]]="",0,VLOOKUP(TRAMOS!$H$2,Tabla5[#All],3,FALSE)*Tabla15[[#This Row],[3]])</f>
        <v>0</v>
      </c>
      <c r="K661" s="52" t="str">
        <f>IF(Tabla1[[#This Row],[5]]="TPL",Tabla1[[#This Row],[6]],"")</f>
        <v>4"</v>
      </c>
      <c r="L661" s="52">
        <f>IF(OR(Tabla1[[#This Row],[5]]="TPL"),Tabla1[[#This Row],[7]],"")</f>
        <v>1</v>
      </c>
      <c r="M661" s="52">
        <f>IF(Tabla15[[#This Row],[5]]="",0,VLOOKUP(TRAMOS!$K$2,Tabla5[#All],3,FALSE)*Tabla15[[#This Row],[6]])</f>
        <v>0.9</v>
      </c>
      <c r="N66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6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61" s="52">
        <f>IF(Tabla15[[#This Row],[8]]="",0,VLOOKUP(TRAMOS!$H$2,Tabla5[#All],3,FALSE)*Tabla15[[#This Row],[9]])</f>
        <v>0</v>
      </c>
      <c r="Q66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6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61" s="52">
        <f>IF(Tabla15[[#This Row],[11]]="",0,VLOOKUP(TRAMOS!$Q$2,Tabla5[#All],3,FALSE)*Tabla15[[#This Row],[12]])</f>
        <v>0</v>
      </c>
      <c r="T66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661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66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66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6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6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6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6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61" s="52">
        <f>IF(Tabla15[[#This Row],[20]]="",0,VLOOKUP("VRP",Tabla5[#All],3,FALSE)*Tabla15[[#This Row],[21]])</f>
        <v>0</v>
      </c>
      <c r="AC66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6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61" s="52">
        <f>IF(Tabla15[[#This Row],[23]]="",0,VLOOKUP("VC",Tabla5[#All],3,FALSE)*Tabla15[[#This Row],[24]])</f>
        <v>0</v>
      </c>
      <c r="AF66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6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61" s="52">
        <f>IF(Tabla15[[#This Row],[26]]="",0,VLOOKUP(TRAMOS!$K$2,Tabla5[#All],3,FALSE)*Tabla15[[#This Row],[27]])</f>
        <v>0</v>
      </c>
      <c r="AI66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6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6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6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6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661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66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1.27</v>
      </c>
    </row>
    <row r="662" spans="2:41" x14ac:dyDescent="0.25">
      <c r="B662" s="58" t="str">
        <f>Tabla1[[#This Row],[nudo inicial]]</f>
        <v>N352</v>
      </c>
      <c r="C662" s="58" t="str">
        <f>Tabla1[[#This Row],[nudo final]]</f>
        <v>TP227</v>
      </c>
      <c r="D662" s="51">
        <f>Tabla1[[#This Row],[longitud]]</f>
        <v>51.53</v>
      </c>
      <c r="E662" s="51" t="str">
        <f>Tabla1[[#This Row],[diametro]]</f>
        <v>4"</v>
      </c>
      <c r="F662" s="51" t="str">
        <f>Tabla1[[#This Row],[material]]</f>
        <v>PVC</v>
      </c>
      <c r="G66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662" s="52" t="str">
        <f>IF(Tabla1[[#This Row],[5]]="TPD",Tabla1[[#This Row],[6]],"")</f>
        <v>4"</v>
      </c>
      <c r="I662" s="52">
        <f>IF(OR(Tabla1[[#This Row],[5]]="TPD"),Tabla1[[#This Row],[7]],"")</f>
        <v>1</v>
      </c>
      <c r="J662" s="52">
        <f>IF(Tabla15[[#This Row],[2]]="",0,VLOOKUP(TRAMOS!$H$2,Tabla5[#All],3,FALSE)*Tabla15[[#This Row],[3]])</f>
        <v>0.15</v>
      </c>
      <c r="K662" s="52" t="str">
        <f>IF(Tabla1[[#This Row],[5]]="TPL",Tabla1[[#This Row],[6]],"")</f>
        <v/>
      </c>
      <c r="L662" s="52" t="str">
        <f>IF(OR(Tabla1[[#This Row],[5]]="TPL"),Tabla1[[#This Row],[7]],"")</f>
        <v/>
      </c>
      <c r="M662" s="52">
        <f>IF(Tabla15[[#This Row],[5]]="",0,VLOOKUP(TRAMOS!$K$2,Tabla5[#All],3,FALSE)*Tabla15[[#This Row],[6]])</f>
        <v>0</v>
      </c>
      <c r="N66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6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62" s="52">
        <f>IF(Tabla15[[#This Row],[8]]="",0,VLOOKUP(TRAMOS!$H$2,Tabla5[#All],3,FALSE)*Tabla15[[#This Row],[9]])</f>
        <v>0</v>
      </c>
      <c r="Q66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6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62" s="52">
        <f>IF(Tabla15[[#This Row],[11]]="",0,VLOOKUP(TRAMOS!$Q$2,Tabla5[#All],3,FALSE)*Tabla15[[#This Row],[12]])</f>
        <v>0</v>
      </c>
      <c r="T66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6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6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6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6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6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6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6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62" s="52">
        <f>IF(Tabla15[[#This Row],[20]]="",0,VLOOKUP("VRP",Tabla5[#All],3,FALSE)*Tabla15[[#This Row],[21]])</f>
        <v>0</v>
      </c>
      <c r="AC66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6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62" s="52">
        <f>IF(Tabla15[[#This Row],[23]]="",0,VLOOKUP("VC",Tabla5[#All],3,FALSE)*Tabla15[[#This Row],[24]])</f>
        <v>0</v>
      </c>
      <c r="AF66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6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62" s="52">
        <f>IF(Tabla15[[#This Row],[26]]="",0,VLOOKUP(TRAMOS!$K$2,Tabla5[#All],3,FALSE)*Tabla15[[#This Row],[27]])</f>
        <v>0</v>
      </c>
      <c r="AI66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6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6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6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6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4"</v>
      </c>
      <c r="AN662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66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663" spans="2:41" x14ac:dyDescent="0.25">
      <c r="B663" s="58" t="str">
        <f>Tabla1[[#This Row],[nudo inicial]]</f>
        <v>N317</v>
      </c>
      <c r="C663" s="58" t="str">
        <f>Tabla1[[#This Row],[nudo final]]</f>
        <v>N350</v>
      </c>
      <c r="D663" s="51">
        <f>Tabla1[[#This Row],[longitud]]</f>
        <v>132.15</v>
      </c>
      <c r="E663" s="51" t="str">
        <f>Tabla1[[#This Row],[diametro]]</f>
        <v>3"</v>
      </c>
      <c r="F663" s="51" t="str">
        <f>Tabla1[[#This Row],[material]]</f>
        <v>HF</v>
      </c>
      <c r="G66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63" s="52" t="str">
        <f>IF(Tabla1[[#This Row],[5]]="TPD",Tabla1[[#This Row],[6]],"")</f>
        <v/>
      </c>
      <c r="I663" s="52" t="str">
        <f>IF(OR(Tabla1[[#This Row],[5]]="TPD"),Tabla1[[#This Row],[7]],"")</f>
        <v/>
      </c>
      <c r="J663" s="52">
        <f>IF(Tabla15[[#This Row],[2]]="",0,VLOOKUP(TRAMOS!$H$2,Tabla5[#All],3,FALSE)*Tabla15[[#This Row],[3]])</f>
        <v>0</v>
      </c>
      <c r="K663" s="52" t="str">
        <f>IF(Tabla1[[#This Row],[5]]="TPL",Tabla1[[#This Row],[6]],"")</f>
        <v/>
      </c>
      <c r="L663" s="52" t="str">
        <f>IF(OR(Tabla1[[#This Row],[5]]="TPL"),Tabla1[[#This Row],[7]],"")</f>
        <v/>
      </c>
      <c r="M663" s="52">
        <f>IF(Tabla15[[#This Row],[5]]="",0,VLOOKUP(TRAMOS!$K$2,Tabla5[#All],3,FALSE)*Tabla15[[#This Row],[6]])</f>
        <v>0</v>
      </c>
      <c r="N66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3"</v>
      </c>
      <c r="O663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663" s="52">
        <f>IF(Tabla15[[#This Row],[8]]="",0,VLOOKUP(TRAMOS!$H$2,Tabla5[#All],3,FALSE)*Tabla15[[#This Row],[9]])</f>
        <v>0.15</v>
      </c>
      <c r="Q66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6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63" s="52">
        <f>IF(Tabla15[[#This Row],[11]]="",0,VLOOKUP(TRAMOS!$Q$2,Tabla5[#All],3,FALSE)*Tabla15[[#This Row],[12]])</f>
        <v>0</v>
      </c>
      <c r="T66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6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6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6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>4"</v>
      </c>
      <c r="X663" s="52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>1</v>
      </c>
      <c r="Y66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0.4740000000000002</v>
      </c>
      <c r="Z66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6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63" s="52">
        <f>IF(Tabla15[[#This Row],[20]]="",0,VLOOKUP("VRP",Tabla5[#All],3,FALSE)*Tabla15[[#This Row],[21]])</f>
        <v>0</v>
      </c>
      <c r="AC66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6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63" s="52">
        <f>IF(Tabla15[[#This Row],[23]]="",0,VLOOKUP("VC",Tabla5[#All],3,FALSE)*Tabla15[[#This Row],[24]])</f>
        <v>0</v>
      </c>
      <c r="AF66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6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63" s="52">
        <f>IF(Tabla15[[#This Row],[26]]="",0,VLOOKUP(TRAMOS!$K$2,Tabla5[#All],3,FALSE)*Tabla15[[#This Row],[27]])</f>
        <v>0</v>
      </c>
      <c r="AI663" s="52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>0</v>
      </c>
      <c r="AJ663" s="52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>1</v>
      </c>
      <c r="AK66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6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6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6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6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0.62400000000000022</v>
      </c>
    </row>
    <row r="664" spans="2:41" x14ac:dyDescent="0.25">
      <c r="B664" s="58" t="str">
        <f>Tabla1[[#This Row],[nudo inicial]]</f>
        <v>N350</v>
      </c>
      <c r="C664" s="58" t="str">
        <f>Tabla1[[#This Row],[nudo final]]</f>
        <v>N353</v>
      </c>
      <c r="D664" s="51">
        <f>Tabla1[[#This Row],[longitud]]</f>
        <v>72.73</v>
      </c>
      <c r="E664" s="51" t="str">
        <f>Tabla1[[#This Row],[diametro]]</f>
        <v>4"</v>
      </c>
      <c r="F664" s="51" t="str">
        <f>Tabla1[[#This Row],[material]]</f>
        <v>PVC</v>
      </c>
      <c r="G66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664" s="52" t="str">
        <f>IF(Tabla1[[#This Row],[5]]="TPD",Tabla1[[#This Row],[6]],"")</f>
        <v/>
      </c>
      <c r="I664" s="52" t="str">
        <f>IF(OR(Tabla1[[#This Row],[5]]="TPD"),Tabla1[[#This Row],[7]],"")</f>
        <v/>
      </c>
      <c r="J664" s="52">
        <f>IF(Tabla15[[#This Row],[2]]="",0,VLOOKUP(TRAMOS!$H$2,Tabla5[#All],3,FALSE)*Tabla15[[#This Row],[3]])</f>
        <v>0</v>
      </c>
      <c r="K664" s="52" t="str">
        <f>IF(Tabla1[[#This Row],[5]]="TPL",Tabla1[[#This Row],[6]],"")</f>
        <v/>
      </c>
      <c r="L664" s="52" t="str">
        <f>IF(OR(Tabla1[[#This Row],[5]]="TPL"),Tabla1[[#This Row],[7]],"")</f>
        <v/>
      </c>
      <c r="M664" s="52">
        <f>IF(Tabla15[[#This Row],[5]]="",0,VLOOKUP(TRAMOS!$K$2,Tabla5[#All],3,FALSE)*Tabla15[[#This Row],[6]])</f>
        <v>0</v>
      </c>
      <c r="N66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4"</v>
      </c>
      <c r="O664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664" s="52">
        <f>IF(Tabla15[[#This Row],[8]]="",0,VLOOKUP(TRAMOS!$H$2,Tabla5[#All],3,FALSE)*Tabla15[[#This Row],[9]])</f>
        <v>0.15</v>
      </c>
      <c r="Q66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6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64" s="52">
        <f>IF(Tabla15[[#This Row],[11]]="",0,VLOOKUP(TRAMOS!$Q$2,Tabla5[#All],3,FALSE)*Tabla15[[#This Row],[12]])</f>
        <v>0</v>
      </c>
      <c r="T66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6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6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6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6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6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6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6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64" s="52">
        <f>IF(Tabla15[[#This Row],[20]]="",0,VLOOKUP("VRP",Tabla5[#All],3,FALSE)*Tabla15[[#This Row],[21]])</f>
        <v>0</v>
      </c>
      <c r="AC66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6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64" s="52">
        <f>IF(Tabla15[[#This Row],[23]]="",0,VLOOKUP("VC",Tabla5[#All],3,FALSE)*Tabla15[[#This Row],[24]])</f>
        <v>0</v>
      </c>
      <c r="AF66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6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64" s="52">
        <f>IF(Tabla15[[#This Row],[26]]="",0,VLOOKUP(TRAMOS!$K$2,Tabla5[#All],3,FALSE)*Tabla15[[#This Row],[27]])</f>
        <v>0</v>
      </c>
      <c r="AI66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6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6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6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6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6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6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665" spans="2:41" x14ac:dyDescent="0.25">
      <c r="B665" s="58" t="str">
        <f>Tabla1[[#This Row],[nudo inicial]]</f>
        <v>N353</v>
      </c>
      <c r="C665" s="58" t="str">
        <f>Tabla1[[#This Row],[nudo final]]</f>
        <v>TP228</v>
      </c>
      <c r="D665" s="51">
        <f>Tabla1[[#This Row],[longitud]]</f>
        <v>46.68</v>
      </c>
      <c r="E665" s="51" t="str">
        <f>Tabla1[[#This Row],[diametro]]</f>
        <v>2"</v>
      </c>
      <c r="F665" s="51" t="str">
        <f>Tabla1[[#This Row],[material]]</f>
        <v>PVC</v>
      </c>
      <c r="G66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665" s="52" t="str">
        <f>IF(Tabla1[[#This Row],[5]]="TPD",Tabla1[[#This Row],[6]],"")</f>
        <v/>
      </c>
      <c r="I665" s="52" t="str">
        <f>IF(OR(Tabla1[[#This Row],[5]]="TPD"),Tabla1[[#This Row],[7]],"")</f>
        <v/>
      </c>
      <c r="J665" s="52">
        <f>IF(Tabla15[[#This Row],[2]]="",0,VLOOKUP(TRAMOS!$H$2,Tabla5[#All],3,FALSE)*Tabla15[[#This Row],[3]])</f>
        <v>0</v>
      </c>
      <c r="K665" s="52" t="str">
        <f>IF(Tabla1[[#This Row],[5]]="TPL",Tabla1[[#This Row],[6]],"")</f>
        <v>4"</v>
      </c>
      <c r="L665" s="52">
        <f>IF(OR(Tabla1[[#This Row],[5]]="TPL"),Tabla1[[#This Row],[7]],"")</f>
        <v>1</v>
      </c>
      <c r="M665" s="52">
        <f>IF(Tabla15[[#This Row],[5]]="",0,VLOOKUP(TRAMOS!$K$2,Tabla5[#All],3,FALSE)*Tabla15[[#This Row],[6]])</f>
        <v>0.9</v>
      </c>
      <c r="N66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6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65" s="52">
        <f>IF(Tabla15[[#This Row],[8]]="",0,VLOOKUP(TRAMOS!$H$2,Tabla5[#All],3,FALSE)*Tabla15[[#This Row],[9]])</f>
        <v>0</v>
      </c>
      <c r="Q66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6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65" s="52">
        <f>IF(Tabla15[[#This Row],[11]]="",0,VLOOKUP(TRAMOS!$Q$2,Tabla5[#All],3,FALSE)*Tabla15[[#This Row],[12]])</f>
        <v>0</v>
      </c>
      <c r="T66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665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66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66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6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6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6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6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65" s="52">
        <f>IF(Tabla15[[#This Row],[20]]="",0,VLOOKUP("VRP",Tabla5[#All],3,FALSE)*Tabla15[[#This Row],[21]])</f>
        <v>0</v>
      </c>
      <c r="AC66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665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665" s="52">
        <f>IF(Tabla15[[#This Row],[23]]="",0,VLOOKUP("VC",Tabla5[#All],3,FALSE)*Tabla15[[#This Row],[24]])</f>
        <v>0.25</v>
      </c>
      <c r="AF66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6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65" s="52">
        <f>IF(Tabla15[[#This Row],[26]]="",0,VLOOKUP(TRAMOS!$K$2,Tabla5[#All],3,FALSE)*Tabla15[[#This Row],[27]])</f>
        <v>0</v>
      </c>
      <c r="AI66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6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6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6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6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665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66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1.52</v>
      </c>
    </row>
    <row r="666" spans="2:41" x14ac:dyDescent="0.25">
      <c r="B666" s="58" t="str">
        <f>Tabla1[[#This Row],[nudo inicial]]</f>
        <v>N353</v>
      </c>
      <c r="C666" s="58" t="str">
        <f>Tabla1[[#This Row],[nudo final]]</f>
        <v>N354</v>
      </c>
      <c r="D666" s="51">
        <f>Tabla1[[#This Row],[longitud]]</f>
        <v>67.81</v>
      </c>
      <c r="E666" s="51" t="str">
        <f>Tabla1[[#This Row],[diametro]]</f>
        <v>4"</v>
      </c>
      <c r="F666" s="51" t="str">
        <f>Tabla1[[#This Row],[material]]</f>
        <v>PVC</v>
      </c>
      <c r="G66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666" s="52" t="str">
        <f>IF(Tabla1[[#This Row],[5]]="TPD",Tabla1[[#This Row],[6]],"")</f>
        <v>4"</v>
      </c>
      <c r="I666" s="52">
        <f>IF(OR(Tabla1[[#This Row],[5]]="TPD"),Tabla1[[#This Row],[7]],"")</f>
        <v>1</v>
      </c>
      <c r="J666" s="52">
        <f>IF(Tabla15[[#This Row],[2]]="",0,VLOOKUP(TRAMOS!$H$2,Tabla5[#All],3,FALSE)*Tabla15[[#This Row],[3]])</f>
        <v>0.15</v>
      </c>
      <c r="K666" s="52" t="str">
        <f>IF(Tabla1[[#This Row],[5]]="TPL",Tabla1[[#This Row],[6]],"")</f>
        <v/>
      </c>
      <c r="L666" s="52" t="str">
        <f>IF(OR(Tabla1[[#This Row],[5]]="TPL"),Tabla1[[#This Row],[7]],"")</f>
        <v/>
      </c>
      <c r="M666" s="52">
        <f>IF(Tabla15[[#This Row],[5]]="",0,VLOOKUP(TRAMOS!$K$2,Tabla5[#All],3,FALSE)*Tabla15[[#This Row],[6]])</f>
        <v>0</v>
      </c>
      <c r="N66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6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66" s="52">
        <f>IF(Tabla15[[#This Row],[8]]="",0,VLOOKUP(TRAMOS!$H$2,Tabla5[#All],3,FALSE)*Tabla15[[#This Row],[9]])</f>
        <v>0</v>
      </c>
      <c r="Q66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6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66" s="52">
        <f>IF(Tabla15[[#This Row],[11]]="",0,VLOOKUP(TRAMOS!$Q$2,Tabla5[#All],3,FALSE)*Tabla15[[#This Row],[12]])</f>
        <v>0</v>
      </c>
      <c r="T66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6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6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6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6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6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6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6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66" s="52">
        <f>IF(Tabla15[[#This Row],[20]]="",0,VLOOKUP("VRP",Tabla5[#All],3,FALSE)*Tabla15[[#This Row],[21]])</f>
        <v>0</v>
      </c>
      <c r="AC66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6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66" s="52">
        <f>IF(Tabla15[[#This Row],[23]]="",0,VLOOKUP("VC",Tabla5[#All],3,FALSE)*Tabla15[[#This Row],[24]])</f>
        <v>0</v>
      </c>
      <c r="AF66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6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66" s="52">
        <f>IF(Tabla15[[#This Row],[26]]="",0,VLOOKUP(TRAMOS!$K$2,Tabla5[#All],3,FALSE)*Tabla15[[#This Row],[27]])</f>
        <v>0</v>
      </c>
      <c r="AI66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6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6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6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6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6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6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667" spans="2:41" x14ac:dyDescent="0.25">
      <c r="B667" s="58" t="str">
        <f>Tabla1[[#This Row],[nudo inicial]]</f>
        <v>N316</v>
      </c>
      <c r="C667" s="58" t="str">
        <f>Tabla1[[#This Row],[nudo final]]</f>
        <v>N354</v>
      </c>
      <c r="D667" s="51">
        <f>Tabla1[[#This Row],[longitud]]</f>
        <v>130.05000000000001</v>
      </c>
      <c r="E667" s="51" t="str">
        <f>Tabla1[[#This Row],[diametro]]</f>
        <v>6"</v>
      </c>
      <c r="F667" s="51" t="str">
        <f>Tabla1[[#This Row],[material]]</f>
        <v>HF</v>
      </c>
      <c r="G66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667" s="52" t="str">
        <f>IF(Tabla1[[#This Row],[5]]="TPD",Tabla1[[#This Row],[6]],"")</f>
        <v/>
      </c>
      <c r="I667" s="52" t="str">
        <f>IF(OR(Tabla1[[#This Row],[5]]="TPD"),Tabla1[[#This Row],[7]],"")</f>
        <v/>
      </c>
      <c r="J667" s="52">
        <f>IF(Tabla15[[#This Row],[2]]="",0,VLOOKUP(TRAMOS!$H$2,Tabla5[#All],3,FALSE)*Tabla15[[#This Row],[3]])</f>
        <v>0</v>
      </c>
      <c r="K667" s="52" t="str">
        <f>IF(Tabla1[[#This Row],[5]]="TPL",Tabla1[[#This Row],[6]],"")</f>
        <v/>
      </c>
      <c r="L667" s="52" t="str">
        <f>IF(OR(Tabla1[[#This Row],[5]]="TPL"),Tabla1[[#This Row],[7]],"")</f>
        <v/>
      </c>
      <c r="M667" s="52">
        <f>IF(Tabla15[[#This Row],[5]]="",0,VLOOKUP(TRAMOS!$K$2,Tabla5[#All],3,FALSE)*Tabla15[[#This Row],[6]])</f>
        <v>0</v>
      </c>
      <c r="N66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6"</v>
      </c>
      <c r="O667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667" s="52">
        <f>IF(Tabla15[[#This Row],[8]]="",0,VLOOKUP(TRAMOS!$H$2,Tabla5[#All],3,FALSE)*Tabla15[[#This Row],[9]])</f>
        <v>0.15</v>
      </c>
      <c r="Q66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6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67" s="52">
        <f>IF(Tabla15[[#This Row],[11]]="",0,VLOOKUP(TRAMOS!$Q$2,Tabla5[#All],3,FALSE)*Tabla15[[#This Row],[12]])</f>
        <v>0</v>
      </c>
      <c r="T66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6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6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6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6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6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6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6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67" s="52">
        <f>IF(Tabla15[[#This Row],[20]]="",0,VLOOKUP("VRP",Tabla5[#All],3,FALSE)*Tabla15[[#This Row],[21]])</f>
        <v>0</v>
      </c>
      <c r="AC66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6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67" s="52">
        <f>IF(Tabla15[[#This Row],[23]]="",0,VLOOKUP("VC",Tabla5[#All],3,FALSE)*Tabla15[[#This Row],[24]])</f>
        <v>0</v>
      </c>
      <c r="AF66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6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67" s="52">
        <f>IF(Tabla15[[#This Row],[26]]="",0,VLOOKUP(TRAMOS!$K$2,Tabla5[#All],3,FALSE)*Tabla15[[#This Row],[27]])</f>
        <v>0</v>
      </c>
      <c r="AI66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6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67" s="52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>0</v>
      </c>
      <c r="AL667" s="52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>1</v>
      </c>
      <c r="AM66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6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6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668" spans="2:41" x14ac:dyDescent="0.25">
      <c r="B668" s="58" t="str">
        <f>Tabla1[[#This Row],[nudo inicial]]</f>
        <v>N354</v>
      </c>
      <c r="C668" s="58" t="str">
        <f>Tabla1[[#This Row],[nudo final]]</f>
        <v>N355</v>
      </c>
      <c r="D668" s="51">
        <f>Tabla1[[#This Row],[longitud]]</f>
        <v>83.13</v>
      </c>
      <c r="E668" s="51" t="str">
        <f>Tabla1[[#This Row],[diametro]]</f>
        <v>3"</v>
      </c>
      <c r="F668" s="51" t="str">
        <f>Tabla1[[#This Row],[material]]</f>
        <v>PVC</v>
      </c>
      <c r="G66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668" s="52" t="str">
        <f>IF(Tabla1[[#This Row],[5]]="TPD",Tabla1[[#This Row],[6]],"")</f>
        <v/>
      </c>
      <c r="I668" s="52" t="str">
        <f>IF(OR(Tabla1[[#This Row],[5]]="TPD"),Tabla1[[#This Row],[7]],"")</f>
        <v/>
      </c>
      <c r="J668" s="52">
        <f>IF(Tabla15[[#This Row],[2]]="",0,VLOOKUP(TRAMOS!$H$2,Tabla5[#All],3,FALSE)*Tabla15[[#This Row],[3]])</f>
        <v>0</v>
      </c>
      <c r="K668" s="52" t="str">
        <f>IF(Tabla1[[#This Row],[5]]="TPL",Tabla1[[#This Row],[6]],"")</f>
        <v/>
      </c>
      <c r="L668" s="52" t="str">
        <f>IF(OR(Tabla1[[#This Row],[5]]="TPL"),Tabla1[[#This Row],[7]],"")</f>
        <v/>
      </c>
      <c r="M668" s="52">
        <f>IF(Tabla15[[#This Row],[5]]="",0,VLOOKUP(TRAMOS!$K$2,Tabla5[#All],3,FALSE)*Tabla15[[#This Row],[6]])</f>
        <v>0</v>
      </c>
      <c r="N66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6"</v>
      </c>
      <c r="O668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668" s="52">
        <f>IF(Tabla15[[#This Row],[8]]="",0,VLOOKUP(TRAMOS!$H$2,Tabla5[#All],3,FALSE)*Tabla15[[#This Row],[9]])</f>
        <v>0.15</v>
      </c>
      <c r="Q66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6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68" s="52">
        <f>IF(Tabla15[[#This Row],[11]]="",0,VLOOKUP(TRAMOS!$Q$2,Tabla5[#All],3,FALSE)*Tabla15[[#This Row],[12]])</f>
        <v>0</v>
      </c>
      <c r="T66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668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66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66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6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6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6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6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68" s="52">
        <f>IF(Tabla15[[#This Row],[20]]="",0,VLOOKUP("VRP",Tabla5[#All],3,FALSE)*Tabla15[[#This Row],[21]])</f>
        <v>0</v>
      </c>
      <c r="AC66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6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68" s="52">
        <f>IF(Tabla15[[#This Row],[23]]="",0,VLOOKUP("VC",Tabla5[#All],3,FALSE)*Tabla15[[#This Row],[24]])</f>
        <v>0</v>
      </c>
      <c r="AF66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6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68" s="52">
        <f>IF(Tabla15[[#This Row],[26]]="",0,VLOOKUP(TRAMOS!$K$2,Tabla5[#All],3,FALSE)*Tabla15[[#This Row],[27]])</f>
        <v>0</v>
      </c>
      <c r="AI66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6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6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6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6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6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6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0.52</v>
      </c>
    </row>
    <row r="669" spans="2:41" x14ac:dyDescent="0.25">
      <c r="B669" s="58" t="str">
        <f>Tabla1[[#This Row],[nudo inicial]]</f>
        <v>N355</v>
      </c>
      <c r="C669" s="58" t="str">
        <f>Tabla1[[#This Row],[nudo final]]</f>
        <v>N356</v>
      </c>
      <c r="D669" s="51">
        <f>Tabla1[[#This Row],[longitud]]</f>
        <v>41</v>
      </c>
      <c r="E669" s="51" t="str">
        <f>Tabla1[[#This Row],[diametro]]</f>
        <v>2"</v>
      </c>
      <c r="F669" s="51" t="str">
        <f>Tabla1[[#This Row],[material]]</f>
        <v>PVC</v>
      </c>
      <c r="G66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69" s="52" t="str">
        <f>IF(Tabla1[[#This Row],[5]]="TPD",Tabla1[[#This Row],[6]],"")</f>
        <v/>
      </c>
      <c r="I669" s="52" t="str">
        <f>IF(OR(Tabla1[[#This Row],[5]]="TPD"),Tabla1[[#This Row],[7]],"")</f>
        <v/>
      </c>
      <c r="J669" s="52">
        <f>IF(Tabla15[[#This Row],[2]]="",0,VLOOKUP(TRAMOS!$H$2,Tabla5[#All],3,FALSE)*Tabla15[[#This Row],[3]])</f>
        <v>0</v>
      </c>
      <c r="K669" s="52" t="str">
        <f>IF(Tabla1[[#This Row],[5]]="TPL",Tabla1[[#This Row],[6]],"")</f>
        <v>3"</v>
      </c>
      <c r="L669" s="52">
        <f>IF(OR(Tabla1[[#This Row],[5]]="TPL"),Tabla1[[#This Row],[7]],"")</f>
        <v>1</v>
      </c>
      <c r="M669" s="52">
        <f>IF(Tabla15[[#This Row],[5]]="",0,VLOOKUP(TRAMOS!$K$2,Tabla5[#All],3,FALSE)*Tabla15[[#This Row],[6]])</f>
        <v>0.9</v>
      </c>
      <c r="N66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6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69" s="52">
        <f>IF(Tabla15[[#This Row],[8]]="",0,VLOOKUP(TRAMOS!$H$2,Tabla5[#All],3,FALSE)*Tabla15[[#This Row],[9]])</f>
        <v>0</v>
      </c>
      <c r="Q66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6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69" s="52">
        <f>IF(Tabla15[[#This Row],[11]]="",0,VLOOKUP(TRAMOS!$Q$2,Tabla5[#All],3,FALSE)*Tabla15[[#This Row],[12]])</f>
        <v>0</v>
      </c>
      <c r="T66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669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66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66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6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6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6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6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69" s="52">
        <f>IF(Tabla15[[#This Row],[20]]="",0,VLOOKUP("VRP",Tabla5[#All],3,FALSE)*Tabla15[[#This Row],[21]])</f>
        <v>0</v>
      </c>
      <c r="AC66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6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69" s="52">
        <f>IF(Tabla15[[#This Row],[23]]="",0,VLOOKUP("VC",Tabla5[#All],3,FALSE)*Tabla15[[#This Row],[24]])</f>
        <v>0</v>
      </c>
      <c r="AF66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6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69" s="52">
        <f>IF(Tabla15[[#This Row],[26]]="",0,VLOOKUP(TRAMOS!$K$2,Tabla5[#All],3,FALSE)*Tabla15[[#This Row],[27]])</f>
        <v>0</v>
      </c>
      <c r="AI66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6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6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6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6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6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6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670" spans="2:41" x14ac:dyDescent="0.25">
      <c r="B670" s="58" t="str">
        <f>Tabla1[[#This Row],[nudo inicial]]</f>
        <v>N356</v>
      </c>
      <c r="C670" s="58" t="str">
        <f>Tabla1[[#This Row],[nudo final]]</f>
        <v>TP229</v>
      </c>
      <c r="D670" s="51">
        <f>Tabla1[[#This Row],[longitud]]</f>
        <v>60.17</v>
      </c>
      <c r="E670" s="51" t="str">
        <f>Tabla1[[#This Row],[diametro]]</f>
        <v>2"</v>
      </c>
      <c r="F670" s="51" t="str">
        <f>Tabla1[[#This Row],[material]]</f>
        <v>PVC</v>
      </c>
      <c r="G67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670" s="52" t="str">
        <f>IF(Tabla1[[#This Row],[5]]="TPD",Tabla1[[#This Row],[6]],"")</f>
        <v/>
      </c>
      <c r="I670" s="52" t="str">
        <f>IF(OR(Tabla1[[#This Row],[5]]="TPD"),Tabla1[[#This Row],[7]],"")</f>
        <v/>
      </c>
      <c r="J670" s="52">
        <f>IF(Tabla15[[#This Row],[2]]="",0,VLOOKUP(TRAMOS!$H$2,Tabla5[#All],3,FALSE)*Tabla15[[#This Row],[3]])</f>
        <v>0</v>
      </c>
      <c r="K670" s="52" t="str">
        <f>IF(Tabla1[[#This Row],[5]]="TPL",Tabla1[[#This Row],[6]],"")</f>
        <v>2"</v>
      </c>
      <c r="L670" s="52">
        <f>IF(OR(Tabla1[[#This Row],[5]]="TPL"),Tabla1[[#This Row],[7]],"")</f>
        <v>1</v>
      </c>
      <c r="M670" s="52">
        <f>IF(Tabla15[[#This Row],[5]]="",0,VLOOKUP(TRAMOS!$K$2,Tabla5[#All],3,FALSE)*Tabla15[[#This Row],[6]])</f>
        <v>0.9</v>
      </c>
      <c r="N67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7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70" s="52">
        <f>IF(Tabla15[[#This Row],[8]]="",0,VLOOKUP(TRAMOS!$H$2,Tabla5[#All],3,FALSE)*Tabla15[[#This Row],[9]])</f>
        <v>0</v>
      </c>
      <c r="Q67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670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670" s="52">
        <f>IF(Tabla15[[#This Row],[11]]="",0,VLOOKUP(TRAMOS!$Q$2,Tabla5[#All],3,FALSE)*Tabla15[[#This Row],[12]])</f>
        <v>0.9</v>
      </c>
      <c r="T67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7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7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7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7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7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7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7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70" s="52">
        <f>IF(Tabla15[[#This Row],[20]]="",0,VLOOKUP("VRP",Tabla5[#All],3,FALSE)*Tabla15[[#This Row],[21]])</f>
        <v>0</v>
      </c>
      <c r="AC67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670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670" s="52">
        <f>IF(Tabla15[[#This Row],[23]]="",0,VLOOKUP("VC",Tabla5[#All],3,FALSE)*Tabla15[[#This Row],[24]])</f>
        <v>0.25</v>
      </c>
      <c r="AF67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7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70" s="52">
        <f>IF(Tabla15[[#This Row],[26]]="",0,VLOOKUP(TRAMOS!$K$2,Tabla5[#All],3,FALSE)*Tabla15[[#This Row],[27]])</f>
        <v>0</v>
      </c>
      <c r="AI67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7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7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7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7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670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67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2.0499999999999998</v>
      </c>
    </row>
    <row r="671" spans="2:41" x14ac:dyDescent="0.25">
      <c r="B671" s="58" t="str">
        <f>Tabla1[[#This Row],[nudo inicial]]</f>
        <v>N356</v>
      </c>
      <c r="C671" s="58" t="str">
        <f>Tabla1[[#This Row],[nudo final]]</f>
        <v>N357</v>
      </c>
      <c r="D671" s="51">
        <f>Tabla1[[#This Row],[longitud]]</f>
        <v>30.95</v>
      </c>
      <c r="E671" s="51" t="str">
        <f>Tabla1[[#This Row],[diametro]]</f>
        <v>2"</v>
      </c>
      <c r="F671" s="51" t="str">
        <f>Tabla1[[#This Row],[material]]</f>
        <v>PVC</v>
      </c>
      <c r="G67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671" s="52" t="str">
        <f>IF(Tabla1[[#This Row],[5]]="TPD",Tabla1[[#This Row],[6]],"")</f>
        <v>2"</v>
      </c>
      <c r="I671" s="52">
        <f>IF(OR(Tabla1[[#This Row],[5]]="TPD"),Tabla1[[#This Row],[7]],"")</f>
        <v>1</v>
      </c>
      <c r="J671" s="52">
        <f>IF(Tabla15[[#This Row],[2]]="",0,VLOOKUP(TRAMOS!$H$2,Tabla5[#All],3,FALSE)*Tabla15[[#This Row],[3]])</f>
        <v>0.15</v>
      </c>
      <c r="K671" s="52" t="str">
        <f>IF(Tabla1[[#This Row],[5]]="TPL",Tabla1[[#This Row],[6]],"")</f>
        <v/>
      </c>
      <c r="L671" s="52" t="str">
        <f>IF(OR(Tabla1[[#This Row],[5]]="TPL"),Tabla1[[#This Row],[7]],"")</f>
        <v/>
      </c>
      <c r="M671" s="52">
        <f>IF(Tabla15[[#This Row],[5]]="",0,VLOOKUP(TRAMOS!$K$2,Tabla5[#All],3,FALSE)*Tabla15[[#This Row],[6]])</f>
        <v>0</v>
      </c>
      <c r="N67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7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71" s="52">
        <f>IF(Tabla15[[#This Row],[8]]="",0,VLOOKUP(TRAMOS!$H$2,Tabla5[#All],3,FALSE)*Tabla15[[#This Row],[9]])</f>
        <v>0</v>
      </c>
      <c r="Q67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7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71" s="52">
        <f>IF(Tabla15[[#This Row],[11]]="",0,VLOOKUP(TRAMOS!$Q$2,Tabla5[#All],3,FALSE)*Tabla15[[#This Row],[12]])</f>
        <v>0</v>
      </c>
      <c r="T67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7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7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7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7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7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7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7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71" s="52">
        <f>IF(Tabla15[[#This Row],[20]]="",0,VLOOKUP("VRP",Tabla5[#All],3,FALSE)*Tabla15[[#This Row],[21]])</f>
        <v>0</v>
      </c>
      <c r="AC67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7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71" s="52">
        <f>IF(Tabla15[[#This Row],[23]]="",0,VLOOKUP("VC",Tabla5[#All],3,FALSE)*Tabla15[[#This Row],[24]])</f>
        <v>0</v>
      </c>
      <c r="AF67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7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71" s="52">
        <f>IF(Tabla15[[#This Row],[26]]="",0,VLOOKUP(TRAMOS!$K$2,Tabla5[#All],3,FALSE)*Tabla15[[#This Row],[27]])</f>
        <v>0</v>
      </c>
      <c r="AI67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7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7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7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7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7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7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672" spans="2:41" x14ac:dyDescent="0.25">
      <c r="B672" s="58" t="str">
        <f>Tabla1[[#This Row],[nudo inicial]]</f>
        <v>N357</v>
      </c>
      <c r="C672" s="58" t="str">
        <f>Tabla1[[#This Row],[nudo final]]</f>
        <v>TP230</v>
      </c>
      <c r="D672" s="51">
        <f>Tabla1[[#This Row],[longitud]]</f>
        <v>77.7</v>
      </c>
      <c r="E672" s="51" t="str">
        <f>Tabla1[[#This Row],[diametro]]</f>
        <v>2"</v>
      </c>
      <c r="F672" s="51" t="str">
        <f>Tabla1[[#This Row],[material]]</f>
        <v>PVC</v>
      </c>
      <c r="G67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672" s="52" t="str">
        <f>IF(Tabla1[[#This Row],[5]]="TPD",Tabla1[[#This Row],[6]],"")</f>
        <v/>
      </c>
      <c r="I672" s="52" t="str">
        <f>IF(OR(Tabla1[[#This Row],[5]]="TPD"),Tabla1[[#This Row],[7]],"")</f>
        <v/>
      </c>
      <c r="J672" s="52">
        <f>IF(Tabla15[[#This Row],[2]]="",0,VLOOKUP(TRAMOS!$H$2,Tabla5[#All],3,FALSE)*Tabla15[[#This Row],[3]])</f>
        <v>0</v>
      </c>
      <c r="K672" s="52" t="str">
        <f>IF(Tabla1[[#This Row],[5]]="TPL",Tabla1[[#This Row],[6]],"")</f>
        <v>2"</v>
      </c>
      <c r="L672" s="52">
        <f>IF(OR(Tabla1[[#This Row],[5]]="TPL"),Tabla1[[#This Row],[7]],"")</f>
        <v>1</v>
      </c>
      <c r="M672" s="52">
        <f>IF(Tabla15[[#This Row],[5]]="",0,VLOOKUP(TRAMOS!$K$2,Tabla5[#All],3,FALSE)*Tabla15[[#This Row],[6]])</f>
        <v>0.9</v>
      </c>
      <c r="N67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7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72" s="52">
        <f>IF(Tabla15[[#This Row],[8]]="",0,VLOOKUP(TRAMOS!$H$2,Tabla5[#All],3,FALSE)*Tabla15[[#This Row],[9]])</f>
        <v>0</v>
      </c>
      <c r="Q67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7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72" s="52">
        <f>IF(Tabla15[[#This Row],[11]]="",0,VLOOKUP(TRAMOS!$Q$2,Tabla5[#All],3,FALSE)*Tabla15[[#This Row],[12]])</f>
        <v>0</v>
      </c>
      <c r="T67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7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7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7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7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7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7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7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72" s="52">
        <f>IF(Tabla15[[#This Row],[20]]="",0,VLOOKUP("VRP",Tabla5[#All],3,FALSE)*Tabla15[[#This Row],[21]])</f>
        <v>0</v>
      </c>
      <c r="AC67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672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672" s="52">
        <f>IF(Tabla15[[#This Row],[23]]="",0,VLOOKUP("VC",Tabla5[#All],3,FALSE)*Tabla15[[#This Row],[24]])</f>
        <v>0.25</v>
      </c>
      <c r="AF67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7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72" s="52">
        <f>IF(Tabla15[[#This Row],[26]]="",0,VLOOKUP(TRAMOS!$K$2,Tabla5[#All],3,FALSE)*Tabla15[[#This Row],[27]])</f>
        <v>0</v>
      </c>
      <c r="AI67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7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7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7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7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672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67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1.1499999999999999</v>
      </c>
    </row>
    <row r="673" spans="2:41" x14ac:dyDescent="0.25">
      <c r="B673" s="58" t="str">
        <f>Tabla1[[#This Row],[nudo inicial]]</f>
        <v>N357</v>
      </c>
      <c r="C673" s="58" t="str">
        <f>Tabla1[[#This Row],[nudo final]]</f>
        <v>TP231</v>
      </c>
      <c r="D673" s="51">
        <f>Tabla1[[#This Row],[longitud]]</f>
        <v>52.29</v>
      </c>
      <c r="E673" s="51" t="str">
        <f>Tabla1[[#This Row],[diametro]]</f>
        <v>2"</v>
      </c>
      <c r="F673" s="51" t="str">
        <f>Tabla1[[#This Row],[material]]</f>
        <v>PVC</v>
      </c>
      <c r="G67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673" s="52" t="str">
        <f>IF(Tabla1[[#This Row],[5]]="TPD",Tabla1[[#This Row],[6]],"")</f>
        <v>2"</v>
      </c>
      <c r="I673" s="52">
        <f>IF(OR(Tabla1[[#This Row],[5]]="TPD"),Tabla1[[#This Row],[7]],"")</f>
        <v>1</v>
      </c>
      <c r="J673" s="52">
        <f>IF(Tabla15[[#This Row],[2]]="",0,VLOOKUP(TRAMOS!$H$2,Tabla5[#All],3,FALSE)*Tabla15[[#This Row],[3]])</f>
        <v>0.15</v>
      </c>
      <c r="K673" s="52" t="str">
        <f>IF(Tabla1[[#This Row],[5]]="TPL",Tabla1[[#This Row],[6]],"")</f>
        <v/>
      </c>
      <c r="L673" s="52" t="str">
        <f>IF(OR(Tabla1[[#This Row],[5]]="TPL"),Tabla1[[#This Row],[7]],"")</f>
        <v/>
      </c>
      <c r="M673" s="52">
        <f>IF(Tabla15[[#This Row],[5]]="",0,VLOOKUP(TRAMOS!$K$2,Tabla5[#All],3,FALSE)*Tabla15[[#This Row],[6]])</f>
        <v>0</v>
      </c>
      <c r="N67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7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73" s="52">
        <f>IF(Tabla15[[#This Row],[8]]="",0,VLOOKUP(TRAMOS!$H$2,Tabla5[#All],3,FALSE)*Tabla15[[#This Row],[9]])</f>
        <v>0</v>
      </c>
      <c r="Q67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7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73" s="52">
        <f>IF(Tabla15[[#This Row],[11]]="",0,VLOOKUP(TRAMOS!$Q$2,Tabla5[#All],3,FALSE)*Tabla15[[#This Row],[12]])</f>
        <v>0</v>
      </c>
      <c r="T67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7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7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7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7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7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7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7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73" s="52">
        <f>IF(Tabla15[[#This Row],[20]]="",0,VLOOKUP("VRP",Tabla5[#All],3,FALSE)*Tabla15[[#This Row],[21]])</f>
        <v>0</v>
      </c>
      <c r="AC67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7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73" s="52">
        <f>IF(Tabla15[[#This Row],[23]]="",0,VLOOKUP("VC",Tabla5[#All],3,FALSE)*Tabla15[[#This Row],[24]])</f>
        <v>0</v>
      </c>
      <c r="AF67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7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73" s="52">
        <f>IF(Tabla15[[#This Row],[26]]="",0,VLOOKUP(TRAMOS!$K$2,Tabla5[#All],3,FALSE)*Tabla15[[#This Row],[27]])</f>
        <v>0</v>
      </c>
      <c r="AI67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7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7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7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7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673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67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674" spans="2:41" x14ac:dyDescent="0.25">
      <c r="B674" s="58" t="str">
        <f>Tabla1[[#This Row],[nudo inicial]]</f>
        <v>N355</v>
      </c>
      <c r="C674" s="58" t="str">
        <f>Tabla1[[#This Row],[nudo final]]</f>
        <v>N358</v>
      </c>
      <c r="D674" s="51">
        <f>Tabla1[[#This Row],[longitud]]</f>
        <v>24.18</v>
      </c>
      <c r="E674" s="51" t="str">
        <f>Tabla1[[#This Row],[diametro]]</f>
        <v>3"</v>
      </c>
      <c r="F674" s="51" t="str">
        <f>Tabla1[[#This Row],[material]]</f>
        <v>PVC</v>
      </c>
      <c r="G67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74" s="52" t="str">
        <f>IF(Tabla1[[#This Row],[5]]="TPD",Tabla1[[#This Row],[6]],"")</f>
        <v>3"</v>
      </c>
      <c r="I674" s="52">
        <f>IF(OR(Tabla1[[#This Row],[5]]="TPD"),Tabla1[[#This Row],[7]],"")</f>
        <v>1</v>
      </c>
      <c r="J674" s="52">
        <f>IF(Tabla15[[#This Row],[2]]="",0,VLOOKUP(TRAMOS!$H$2,Tabla5[#All],3,FALSE)*Tabla15[[#This Row],[3]])</f>
        <v>0.15</v>
      </c>
      <c r="K674" s="52" t="str">
        <f>IF(Tabla1[[#This Row],[5]]="TPL",Tabla1[[#This Row],[6]],"")</f>
        <v/>
      </c>
      <c r="L674" s="52" t="str">
        <f>IF(OR(Tabla1[[#This Row],[5]]="TPL"),Tabla1[[#This Row],[7]],"")</f>
        <v/>
      </c>
      <c r="M674" s="52">
        <f>IF(Tabla15[[#This Row],[5]]="",0,VLOOKUP(TRAMOS!$K$2,Tabla5[#All],3,FALSE)*Tabla15[[#This Row],[6]])</f>
        <v>0</v>
      </c>
      <c r="N67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7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74" s="52">
        <f>IF(Tabla15[[#This Row],[8]]="",0,VLOOKUP(TRAMOS!$H$2,Tabla5[#All],3,FALSE)*Tabla15[[#This Row],[9]])</f>
        <v>0</v>
      </c>
      <c r="Q67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7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74" s="52">
        <f>IF(Tabla15[[#This Row],[11]]="",0,VLOOKUP(TRAMOS!$Q$2,Tabla5[#All],3,FALSE)*Tabla15[[#This Row],[12]])</f>
        <v>0</v>
      </c>
      <c r="T67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7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7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7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7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7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7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7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74" s="52">
        <f>IF(Tabla15[[#This Row],[20]]="",0,VLOOKUP("VRP",Tabla5[#All],3,FALSE)*Tabla15[[#This Row],[21]])</f>
        <v>0</v>
      </c>
      <c r="AC67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7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74" s="52">
        <f>IF(Tabla15[[#This Row],[23]]="",0,VLOOKUP("VC",Tabla5[#All],3,FALSE)*Tabla15[[#This Row],[24]])</f>
        <v>0</v>
      </c>
      <c r="AF67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7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74" s="52">
        <f>IF(Tabla15[[#This Row],[26]]="",0,VLOOKUP(TRAMOS!$K$2,Tabla5[#All],3,FALSE)*Tabla15[[#This Row],[27]])</f>
        <v>0</v>
      </c>
      <c r="AI67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7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7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7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7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7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7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675" spans="2:41" x14ac:dyDescent="0.25">
      <c r="B675" s="58" t="str">
        <f>Tabla1[[#This Row],[nudo inicial]]</f>
        <v>N358</v>
      </c>
      <c r="C675" s="58" t="str">
        <f>Tabla1[[#This Row],[nudo final]]</f>
        <v>TP232</v>
      </c>
      <c r="D675" s="51">
        <f>Tabla1[[#This Row],[longitud]]</f>
        <v>40.119999999999997</v>
      </c>
      <c r="E675" s="51" t="str">
        <f>Tabla1[[#This Row],[diametro]]</f>
        <v>2"</v>
      </c>
      <c r="F675" s="51" t="str">
        <f>Tabla1[[#This Row],[material]]</f>
        <v>AC</v>
      </c>
      <c r="G67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75" s="52" t="str">
        <f>IF(Tabla1[[#This Row],[5]]="TPD",Tabla1[[#This Row],[6]],"")</f>
        <v/>
      </c>
      <c r="I675" s="52" t="str">
        <f>IF(OR(Tabla1[[#This Row],[5]]="TPD"),Tabla1[[#This Row],[7]],"")</f>
        <v/>
      </c>
      <c r="J675" s="52">
        <f>IF(Tabla15[[#This Row],[2]]="",0,VLOOKUP(TRAMOS!$H$2,Tabla5[#All],3,FALSE)*Tabla15[[#This Row],[3]])</f>
        <v>0</v>
      </c>
      <c r="K675" s="52" t="str">
        <f>IF(Tabla1[[#This Row],[5]]="TPL",Tabla1[[#This Row],[6]],"")</f>
        <v>3"</v>
      </c>
      <c r="L675" s="52">
        <f>IF(OR(Tabla1[[#This Row],[5]]="TPL"),Tabla1[[#This Row],[7]],"")</f>
        <v>1</v>
      </c>
      <c r="M675" s="52">
        <f>IF(Tabla15[[#This Row],[5]]="",0,VLOOKUP(TRAMOS!$K$2,Tabla5[#All],3,FALSE)*Tabla15[[#This Row],[6]])</f>
        <v>0.9</v>
      </c>
      <c r="N67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7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75" s="52">
        <f>IF(Tabla15[[#This Row],[8]]="",0,VLOOKUP(TRAMOS!$H$2,Tabla5[#All],3,FALSE)*Tabla15[[#This Row],[9]])</f>
        <v>0</v>
      </c>
      <c r="Q67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7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75" s="52">
        <f>IF(Tabla15[[#This Row],[11]]="",0,VLOOKUP(TRAMOS!$Q$2,Tabla5[#All],3,FALSE)*Tabla15[[#This Row],[12]])</f>
        <v>0</v>
      </c>
      <c r="T67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675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67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67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7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7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7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7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75" s="52">
        <f>IF(Tabla15[[#This Row],[20]]="",0,VLOOKUP("VRP",Tabla5[#All],3,FALSE)*Tabla15[[#This Row],[21]])</f>
        <v>0</v>
      </c>
      <c r="AC67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7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75" s="52">
        <f>IF(Tabla15[[#This Row],[23]]="",0,VLOOKUP("VC",Tabla5[#All],3,FALSE)*Tabla15[[#This Row],[24]])</f>
        <v>0</v>
      </c>
      <c r="AF67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7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75" s="52">
        <f>IF(Tabla15[[#This Row],[26]]="",0,VLOOKUP(TRAMOS!$K$2,Tabla5[#All],3,FALSE)*Tabla15[[#This Row],[27]])</f>
        <v>0</v>
      </c>
      <c r="AI67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7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7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7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7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675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67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676" spans="2:41" x14ac:dyDescent="0.25">
      <c r="B676" s="58" t="str">
        <f>Tabla1[[#This Row],[nudo inicial]]</f>
        <v>N358</v>
      </c>
      <c r="C676" s="58" t="str">
        <f>Tabla1[[#This Row],[nudo final]]</f>
        <v>N359</v>
      </c>
      <c r="D676" s="51">
        <f>Tabla1[[#This Row],[longitud]]</f>
        <v>81.99</v>
      </c>
      <c r="E676" s="51" t="str">
        <f>Tabla1[[#This Row],[diametro]]</f>
        <v>3"</v>
      </c>
      <c r="F676" s="51" t="str">
        <f>Tabla1[[#This Row],[material]]</f>
        <v>PVC</v>
      </c>
      <c r="G67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76" s="52" t="str">
        <f>IF(Tabla1[[#This Row],[5]]="TPD",Tabla1[[#This Row],[6]],"")</f>
        <v>3"</v>
      </c>
      <c r="I676" s="52">
        <f>IF(OR(Tabla1[[#This Row],[5]]="TPD"),Tabla1[[#This Row],[7]],"")</f>
        <v>1</v>
      </c>
      <c r="J676" s="52">
        <f>IF(Tabla15[[#This Row],[2]]="",0,VLOOKUP(TRAMOS!$H$2,Tabla5[#All],3,FALSE)*Tabla15[[#This Row],[3]])</f>
        <v>0.15</v>
      </c>
      <c r="K676" s="52" t="str">
        <f>IF(Tabla1[[#This Row],[5]]="TPL",Tabla1[[#This Row],[6]],"")</f>
        <v/>
      </c>
      <c r="L676" s="52" t="str">
        <f>IF(OR(Tabla1[[#This Row],[5]]="TPL"),Tabla1[[#This Row],[7]],"")</f>
        <v/>
      </c>
      <c r="M676" s="52">
        <f>IF(Tabla15[[#This Row],[5]]="",0,VLOOKUP(TRAMOS!$K$2,Tabla5[#All],3,FALSE)*Tabla15[[#This Row],[6]])</f>
        <v>0</v>
      </c>
      <c r="N67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7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76" s="52">
        <f>IF(Tabla15[[#This Row],[8]]="",0,VLOOKUP(TRAMOS!$H$2,Tabla5[#All],3,FALSE)*Tabla15[[#This Row],[9]])</f>
        <v>0</v>
      </c>
      <c r="Q67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7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76" s="52">
        <f>IF(Tabla15[[#This Row],[11]]="",0,VLOOKUP(TRAMOS!$Q$2,Tabla5[#All],3,FALSE)*Tabla15[[#This Row],[12]])</f>
        <v>0</v>
      </c>
      <c r="T67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7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7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7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7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7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7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7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76" s="52">
        <f>IF(Tabla15[[#This Row],[20]]="",0,VLOOKUP("VRP",Tabla5[#All],3,FALSE)*Tabla15[[#This Row],[21]])</f>
        <v>0</v>
      </c>
      <c r="AC67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7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76" s="52">
        <f>IF(Tabla15[[#This Row],[23]]="",0,VLOOKUP("VC",Tabla5[#All],3,FALSE)*Tabla15[[#This Row],[24]])</f>
        <v>0</v>
      </c>
      <c r="AF67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7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76" s="52">
        <f>IF(Tabla15[[#This Row],[26]]="",0,VLOOKUP(TRAMOS!$K$2,Tabla5[#All],3,FALSE)*Tabla15[[#This Row],[27]])</f>
        <v>0</v>
      </c>
      <c r="AI67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7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7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7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7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7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7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677" spans="2:41" x14ac:dyDescent="0.25">
      <c r="B677" s="58" t="str">
        <f>Tabla1[[#This Row],[nudo inicial]]</f>
        <v>N359</v>
      </c>
      <c r="C677" s="58" t="str">
        <f>Tabla1[[#This Row],[nudo final]]</f>
        <v>TP233</v>
      </c>
      <c r="D677" s="51">
        <f>Tabla1[[#This Row],[longitud]]</f>
        <v>58.26</v>
      </c>
      <c r="E677" s="51" t="str">
        <f>Tabla1[[#This Row],[diametro]]</f>
        <v>2"</v>
      </c>
      <c r="F677" s="51" t="str">
        <f>Tabla1[[#This Row],[material]]</f>
        <v>PVC</v>
      </c>
      <c r="G67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77" s="52" t="str">
        <f>IF(Tabla1[[#This Row],[5]]="TPD",Tabla1[[#This Row],[6]],"")</f>
        <v/>
      </c>
      <c r="I677" s="52" t="str">
        <f>IF(OR(Tabla1[[#This Row],[5]]="TPD"),Tabla1[[#This Row],[7]],"")</f>
        <v/>
      </c>
      <c r="J677" s="52">
        <f>IF(Tabla15[[#This Row],[2]]="",0,VLOOKUP(TRAMOS!$H$2,Tabla5[#All],3,FALSE)*Tabla15[[#This Row],[3]])</f>
        <v>0</v>
      </c>
      <c r="K677" s="52" t="str">
        <f>IF(Tabla1[[#This Row],[5]]="TPL",Tabla1[[#This Row],[6]],"")</f>
        <v>3"</v>
      </c>
      <c r="L677" s="52">
        <f>IF(OR(Tabla1[[#This Row],[5]]="TPL"),Tabla1[[#This Row],[7]],"")</f>
        <v>1</v>
      </c>
      <c r="M677" s="52">
        <f>IF(Tabla15[[#This Row],[5]]="",0,VLOOKUP(TRAMOS!$K$2,Tabla5[#All],3,FALSE)*Tabla15[[#This Row],[6]])</f>
        <v>0.9</v>
      </c>
      <c r="N67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7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77" s="52">
        <f>IF(Tabla15[[#This Row],[8]]="",0,VLOOKUP(TRAMOS!$H$2,Tabla5[#All],3,FALSE)*Tabla15[[#This Row],[9]])</f>
        <v>0</v>
      </c>
      <c r="Q67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7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77" s="52">
        <f>IF(Tabla15[[#This Row],[11]]="",0,VLOOKUP(TRAMOS!$Q$2,Tabla5[#All],3,FALSE)*Tabla15[[#This Row],[12]])</f>
        <v>0</v>
      </c>
      <c r="T67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677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67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67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7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7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7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7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77" s="52">
        <f>IF(Tabla15[[#This Row],[20]]="",0,VLOOKUP("VRP",Tabla5[#All],3,FALSE)*Tabla15[[#This Row],[21]])</f>
        <v>0</v>
      </c>
      <c r="AC67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7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77" s="52">
        <f>IF(Tabla15[[#This Row],[23]]="",0,VLOOKUP("VC",Tabla5[#All],3,FALSE)*Tabla15[[#This Row],[24]])</f>
        <v>0</v>
      </c>
      <c r="AF67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7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77" s="52">
        <f>IF(Tabla15[[#This Row],[26]]="",0,VLOOKUP(TRAMOS!$K$2,Tabla5[#All],3,FALSE)*Tabla15[[#This Row],[27]])</f>
        <v>0</v>
      </c>
      <c r="AI67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7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7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7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7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677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67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678" spans="2:41" x14ac:dyDescent="0.25">
      <c r="B678" s="58" t="str">
        <f>Tabla1[[#This Row],[nudo inicial]]</f>
        <v>N359</v>
      </c>
      <c r="C678" s="58" t="str">
        <f>Tabla1[[#This Row],[nudo final]]</f>
        <v>N360</v>
      </c>
      <c r="D678" s="51">
        <f>Tabla1[[#This Row],[longitud]]</f>
        <v>62.35</v>
      </c>
      <c r="E678" s="51" t="str">
        <f>Tabla1[[#This Row],[diametro]]</f>
        <v>3"</v>
      </c>
      <c r="F678" s="51" t="str">
        <f>Tabla1[[#This Row],[material]]</f>
        <v>PVC</v>
      </c>
      <c r="G67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78" s="52" t="str">
        <f>IF(Tabla1[[#This Row],[5]]="TPD",Tabla1[[#This Row],[6]],"")</f>
        <v>3"</v>
      </c>
      <c r="I678" s="52">
        <f>IF(OR(Tabla1[[#This Row],[5]]="TPD"),Tabla1[[#This Row],[7]],"")</f>
        <v>1</v>
      </c>
      <c r="J678" s="52">
        <f>IF(Tabla15[[#This Row],[2]]="",0,VLOOKUP(TRAMOS!$H$2,Tabla5[#All],3,FALSE)*Tabla15[[#This Row],[3]])</f>
        <v>0.15</v>
      </c>
      <c r="K678" s="52" t="str">
        <f>IF(Tabla1[[#This Row],[5]]="TPL",Tabla1[[#This Row],[6]],"")</f>
        <v/>
      </c>
      <c r="L678" s="52" t="str">
        <f>IF(OR(Tabla1[[#This Row],[5]]="TPL"),Tabla1[[#This Row],[7]],"")</f>
        <v/>
      </c>
      <c r="M678" s="52">
        <f>IF(Tabla15[[#This Row],[5]]="",0,VLOOKUP(TRAMOS!$K$2,Tabla5[#All],3,FALSE)*Tabla15[[#This Row],[6]])</f>
        <v>0</v>
      </c>
      <c r="N67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7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78" s="52">
        <f>IF(Tabla15[[#This Row],[8]]="",0,VLOOKUP(TRAMOS!$H$2,Tabla5[#All],3,FALSE)*Tabla15[[#This Row],[9]])</f>
        <v>0</v>
      </c>
      <c r="Q67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7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78" s="52">
        <f>IF(Tabla15[[#This Row],[11]]="",0,VLOOKUP(TRAMOS!$Q$2,Tabla5[#All],3,FALSE)*Tabla15[[#This Row],[12]])</f>
        <v>0</v>
      </c>
      <c r="T67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7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7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7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7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7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7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7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78" s="52">
        <f>IF(Tabla15[[#This Row],[20]]="",0,VLOOKUP("VRP",Tabla5[#All],3,FALSE)*Tabla15[[#This Row],[21]])</f>
        <v>0</v>
      </c>
      <c r="AC67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7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78" s="52">
        <f>IF(Tabla15[[#This Row],[23]]="",0,VLOOKUP("VC",Tabla5[#All],3,FALSE)*Tabla15[[#This Row],[24]])</f>
        <v>0</v>
      </c>
      <c r="AF67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7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78" s="52">
        <f>IF(Tabla15[[#This Row],[26]]="",0,VLOOKUP(TRAMOS!$K$2,Tabla5[#All],3,FALSE)*Tabla15[[#This Row],[27]])</f>
        <v>0</v>
      </c>
      <c r="AI67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7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78" s="52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>0</v>
      </c>
      <c r="AL678" s="52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>1</v>
      </c>
      <c r="AM67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7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7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679" spans="2:41" x14ac:dyDescent="0.25">
      <c r="B679" s="58" t="str">
        <f>Tabla1[[#This Row],[nudo inicial]]</f>
        <v>N315</v>
      </c>
      <c r="C679" s="58" t="str">
        <f>Tabla1[[#This Row],[nudo final]]</f>
        <v>N361</v>
      </c>
      <c r="D679" s="51">
        <f>Tabla1[[#This Row],[longitud]]</f>
        <v>38.630000000000003</v>
      </c>
      <c r="E679" s="51" t="str">
        <f>Tabla1[[#This Row],[diametro]]</f>
        <v>3"</v>
      </c>
      <c r="F679" s="51" t="str">
        <f>Tabla1[[#This Row],[material]]</f>
        <v>HF</v>
      </c>
      <c r="G67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79" s="52" t="str">
        <f>IF(Tabla1[[#This Row],[5]]="TPD",Tabla1[[#This Row],[6]],"")</f>
        <v/>
      </c>
      <c r="I679" s="52" t="str">
        <f>IF(OR(Tabla1[[#This Row],[5]]="TPD"),Tabla1[[#This Row],[7]],"")</f>
        <v/>
      </c>
      <c r="J679" s="52">
        <f>IF(Tabla15[[#This Row],[2]]="",0,VLOOKUP(TRAMOS!$H$2,Tabla5[#All],3,FALSE)*Tabla15[[#This Row],[3]])</f>
        <v>0</v>
      </c>
      <c r="K679" s="52" t="str">
        <f>IF(Tabla1[[#This Row],[5]]="TPL",Tabla1[[#This Row],[6]],"")</f>
        <v>3"</v>
      </c>
      <c r="L679" s="52">
        <f>IF(OR(Tabla1[[#This Row],[5]]="TPL"),Tabla1[[#This Row],[7]],"")</f>
        <v>1</v>
      </c>
      <c r="M679" s="52">
        <f>IF(Tabla15[[#This Row],[5]]="",0,VLOOKUP(TRAMOS!$K$2,Tabla5[#All],3,FALSE)*Tabla15[[#This Row],[6]])</f>
        <v>0.9</v>
      </c>
      <c r="N67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7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79" s="52">
        <f>IF(Tabla15[[#This Row],[8]]="",0,VLOOKUP(TRAMOS!$H$2,Tabla5[#All],3,FALSE)*Tabla15[[#This Row],[9]])</f>
        <v>0</v>
      </c>
      <c r="Q67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7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79" s="52">
        <f>IF(Tabla15[[#This Row],[11]]="",0,VLOOKUP(TRAMOS!$Q$2,Tabla5[#All],3,FALSE)*Tabla15[[#This Row],[12]])</f>
        <v>0</v>
      </c>
      <c r="T67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7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7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7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7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7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7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7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79" s="52">
        <f>IF(Tabla15[[#This Row],[20]]="",0,VLOOKUP("VRP",Tabla5[#All],3,FALSE)*Tabla15[[#This Row],[21]])</f>
        <v>0</v>
      </c>
      <c r="AC67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7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79" s="52">
        <f>IF(Tabla15[[#This Row],[23]]="",0,VLOOKUP("VC",Tabla5[#All],3,FALSE)*Tabla15[[#This Row],[24]])</f>
        <v>0</v>
      </c>
      <c r="AF67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7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79" s="52">
        <f>IF(Tabla15[[#This Row],[26]]="",0,VLOOKUP(TRAMOS!$K$2,Tabla5[#All],3,FALSE)*Tabla15[[#This Row],[27]])</f>
        <v>0</v>
      </c>
      <c r="AI67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7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7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7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7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7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7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680" spans="2:41" x14ac:dyDescent="0.25">
      <c r="B680" s="58" t="str">
        <f>Tabla1[[#This Row],[nudo inicial]]</f>
        <v>N361</v>
      </c>
      <c r="C680" s="58" t="str">
        <f>Tabla1[[#This Row],[nudo final]]</f>
        <v>TP234</v>
      </c>
      <c r="D680" s="51">
        <f>Tabla1[[#This Row],[longitud]]</f>
        <v>59.24</v>
      </c>
      <c r="E680" s="51" t="str">
        <f>Tabla1[[#This Row],[diametro]]</f>
        <v>1"</v>
      </c>
      <c r="F680" s="51" t="str">
        <f>Tabla1[[#This Row],[material]]</f>
        <v>PVC</v>
      </c>
      <c r="G68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80" s="52" t="str">
        <f>IF(Tabla1[[#This Row],[5]]="TPD",Tabla1[[#This Row],[6]],"")</f>
        <v/>
      </c>
      <c r="I680" s="52" t="str">
        <f>IF(OR(Tabla1[[#This Row],[5]]="TPD"),Tabla1[[#This Row],[7]],"")</f>
        <v/>
      </c>
      <c r="J680" s="52">
        <f>IF(Tabla15[[#This Row],[2]]="",0,VLOOKUP(TRAMOS!$H$2,Tabla5[#All],3,FALSE)*Tabla15[[#This Row],[3]])</f>
        <v>0</v>
      </c>
      <c r="K680" s="52" t="str">
        <f>IF(Tabla1[[#This Row],[5]]="TPL",Tabla1[[#This Row],[6]],"")</f>
        <v>3"</v>
      </c>
      <c r="L680" s="52">
        <f>IF(OR(Tabla1[[#This Row],[5]]="TPL"),Tabla1[[#This Row],[7]],"")</f>
        <v>1</v>
      </c>
      <c r="M680" s="52">
        <f>IF(Tabla15[[#This Row],[5]]="",0,VLOOKUP(TRAMOS!$K$2,Tabla5[#All],3,FALSE)*Tabla15[[#This Row],[6]])</f>
        <v>0.9</v>
      </c>
      <c r="N68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8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80" s="52">
        <f>IF(Tabla15[[#This Row],[8]]="",0,VLOOKUP(TRAMOS!$H$2,Tabla5[#All],3,FALSE)*Tabla15[[#This Row],[9]])</f>
        <v>0</v>
      </c>
      <c r="Q68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1"</v>
      </c>
      <c r="R680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680" s="52">
        <f>IF(Tabla15[[#This Row],[11]]="",0,VLOOKUP(TRAMOS!$Q$2,Tabla5[#All],3,FALSE)*Tabla15[[#This Row],[12]])</f>
        <v>0.9</v>
      </c>
      <c r="T68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1"</v>
      </c>
      <c r="U680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68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0.43</v>
      </c>
      <c r="W68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8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8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8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8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80" s="52">
        <f>IF(Tabla15[[#This Row],[20]]="",0,VLOOKUP("VRP",Tabla5[#All],3,FALSE)*Tabla15[[#This Row],[21]])</f>
        <v>0</v>
      </c>
      <c r="AC68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8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80" s="52">
        <f>IF(Tabla15[[#This Row],[23]]="",0,VLOOKUP("VC",Tabla5[#All],3,FALSE)*Tabla15[[#This Row],[24]])</f>
        <v>0</v>
      </c>
      <c r="AF68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8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80" s="52">
        <f>IF(Tabla15[[#This Row],[26]]="",0,VLOOKUP(TRAMOS!$K$2,Tabla5[#All],3,FALSE)*Tabla15[[#This Row],[27]])</f>
        <v>0</v>
      </c>
      <c r="AI68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8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8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8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8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1"</v>
      </c>
      <c r="AN680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68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2.23</v>
      </c>
    </row>
    <row r="681" spans="2:41" x14ac:dyDescent="0.25">
      <c r="B681" s="58" t="str">
        <f>Tabla1[[#This Row],[nudo inicial]]</f>
        <v>N361</v>
      </c>
      <c r="C681" s="58" t="str">
        <f>Tabla1[[#This Row],[nudo final]]</f>
        <v>N360</v>
      </c>
      <c r="D681" s="51">
        <f>Tabla1[[#This Row],[longitud]]</f>
        <v>109.71</v>
      </c>
      <c r="E681" s="51" t="str">
        <f>Tabla1[[#This Row],[diametro]]</f>
        <v>3"</v>
      </c>
      <c r="F681" s="51" t="str">
        <f>Tabla1[[#This Row],[material]]</f>
        <v>HF</v>
      </c>
      <c r="G68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81" s="52" t="str">
        <f>IF(Tabla1[[#This Row],[5]]="TPD",Tabla1[[#This Row],[6]],"")</f>
        <v>3"</v>
      </c>
      <c r="I681" s="52">
        <f>IF(OR(Tabla1[[#This Row],[5]]="TPD"),Tabla1[[#This Row],[7]],"")</f>
        <v>1</v>
      </c>
      <c r="J681" s="52">
        <f>IF(Tabla15[[#This Row],[2]]="",0,VLOOKUP(TRAMOS!$H$2,Tabla5[#All],3,FALSE)*Tabla15[[#This Row],[3]])</f>
        <v>0.15</v>
      </c>
      <c r="K681" s="52" t="str">
        <f>IF(Tabla1[[#This Row],[5]]="TPL",Tabla1[[#This Row],[6]],"")</f>
        <v/>
      </c>
      <c r="L681" s="52" t="str">
        <f>IF(OR(Tabla1[[#This Row],[5]]="TPL"),Tabla1[[#This Row],[7]],"")</f>
        <v/>
      </c>
      <c r="M681" s="52">
        <f>IF(Tabla15[[#This Row],[5]]="",0,VLOOKUP(TRAMOS!$K$2,Tabla5[#All],3,FALSE)*Tabla15[[#This Row],[6]])</f>
        <v>0</v>
      </c>
      <c r="N68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8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81" s="52">
        <f>IF(Tabla15[[#This Row],[8]]="",0,VLOOKUP(TRAMOS!$H$2,Tabla5[#All],3,FALSE)*Tabla15[[#This Row],[9]])</f>
        <v>0</v>
      </c>
      <c r="Q68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8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81" s="52">
        <f>IF(Tabla15[[#This Row],[11]]="",0,VLOOKUP(TRAMOS!$Q$2,Tabla5[#All],3,FALSE)*Tabla15[[#This Row],[12]])</f>
        <v>0</v>
      </c>
      <c r="T68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8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8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8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8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8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8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8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81" s="52">
        <f>IF(Tabla15[[#This Row],[20]]="",0,VLOOKUP("VRP",Tabla5[#All],3,FALSE)*Tabla15[[#This Row],[21]])</f>
        <v>0</v>
      </c>
      <c r="AC68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8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81" s="52">
        <f>IF(Tabla15[[#This Row],[23]]="",0,VLOOKUP("VC",Tabla5[#All],3,FALSE)*Tabla15[[#This Row],[24]])</f>
        <v>0</v>
      </c>
      <c r="AF68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8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81" s="52">
        <f>IF(Tabla15[[#This Row],[26]]="",0,VLOOKUP(TRAMOS!$K$2,Tabla5[#All],3,FALSE)*Tabla15[[#This Row],[27]])</f>
        <v>0</v>
      </c>
      <c r="AI68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8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8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8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8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8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8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682" spans="2:41" x14ac:dyDescent="0.25">
      <c r="B682" s="58" t="str">
        <f>Tabla1[[#This Row],[nudo inicial]]</f>
        <v>N360</v>
      </c>
      <c r="C682" s="58" t="str">
        <f>Tabla1[[#This Row],[nudo final]]</f>
        <v>N362</v>
      </c>
      <c r="D682" s="51">
        <f>Tabla1[[#This Row],[longitud]]</f>
        <v>161.38</v>
      </c>
      <c r="E682" s="51" t="str">
        <f>Tabla1[[#This Row],[diametro]]</f>
        <v>2"</v>
      </c>
      <c r="F682" s="51" t="str">
        <f>Tabla1[[#This Row],[material]]</f>
        <v>PVC</v>
      </c>
      <c r="G68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82" s="52" t="str">
        <f>IF(Tabla1[[#This Row],[5]]="TPD",Tabla1[[#This Row],[6]],"")</f>
        <v>3"</v>
      </c>
      <c r="I682" s="52">
        <f>IF(OR(Tabla1[[#This Row],[5]]="TPD"),Tabla1[[#This Row],[7]],"")</f>
        <v>1</v>
      </c>
      <c r="J682" s="52">
        <f>IF(Tabla15[[#This Row],[2]]="",0,VLOOKUP(TRAMOS!$H$2,Tabla5[#All],3,FALSE)*Tabla15[[#This Row],[3]])</f>
        <v>0.15</v>
      </c>
      <c r="K682" s="52" t="str">
        <f>IF(Tabla1[[#This Row],[5]]="TPL",Tabla1[[#This Row],[6]],"")</f>
        <v/>
      </c>
      <c r="L682" s="52" t="str">
        <f>IF(OR(Tabla1[[#This Row],[5]]="TPL"),Tabla1[[#This Row],[7]],"")</f>
        <v/>
      </c>
      <c r="M682" s="52">
        <f>IF(Tabla15[[#This Row],[5]]="",0,VLOOKUP(TRAMOS!$K$2,Tabla5[#All],3,FALSE)*Tabla15[[#This Row],[6]])</f>
        <v>0</v>
      </c>
      <c r="N68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8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82" s="52">
        <f>IF(Tabla15[[#This Row],[8]]="",0,VLOOKUP(TRAMOS!$H$2,Tabla5[#All],3,FALSE)*Tabla15[[#This Row],[9]])</f>
        <v>0</v>
      </c>
      <c r="Q68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8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82" s="52">
        <f>IF(Tabla15[[#This Row],[11]]="",0,VLOOKUP(TRAMOS!$Q$2,Tabla5[#All],3,FALSE)*Tabla15[[#This Row],[12]])</f>
        <v>0</v>
      </c>
      <c r="T68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682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68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68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8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8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8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8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82" s="52">
        <f>IF(Tabla15[[#This Row],[20]]="",0,VLOOKUP("VRP",Tabla5[#All],3,FALSE)*Tabla15[[#This Row],[21]])</f>
        <v>0</v>
      </c>
      <c r="AC68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8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82" s="52">
        <f>IF(Tabla15[[#This Row],[23]]="",0,VLOOKUP("VC",Tabla5[#All],3,FALSE)*Tabla15[[#This Row],[24]])</f>
        <v>0</v>
      </c>
      <c r="AF68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8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82" s="52">
        <f>IF(Tabla15[[#This Row],[26]]="",0,VLOOKUP(TRAMOS!$K$2,Tabla5[#All],3,FALSE)*Tabla15[[#This Row],[27]])</f>
        <v>0</v>
      </c>
      <c r="AI68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8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8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8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8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8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8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0.36499999999999999</v>
      </c>
    </row>
    <row r="683" spans="2:41" x14ac:dyDescent="0.25">
      <c r="B683" s="58" t="str">
        <f>Tabla1[[#This Row],[nudo inicial]]</f>
        <v>N362</v>
      </c>
      <c r="C683" s="58" t="str">
        <f>Tabla1[[#This Row],[nudo final]]</f>
        <v>N363</v>
      </c>
      <c r="D683" s="51">
        <f>Tabla1[[#This Row],[longitud]]</f>
        <v>54.15</v>
      </c>
      <c r="E683" s="51" t="str">
        <f>Tabla1[[#This Row],[diametro]]</f>
        <v>2"</v>
      </c>
      <c r="F683" s="51" t="str">
        <f>Tabla1[[#This Row],[material]]</f>
        <v>PVC</v>
      </c>
      <c r="G68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683" s="52" t="str">
        <f>IF(Tabla1[[#This Row],[5]]="TPD",Tabla1[[#This Row],[6]],"")</f>
        <v/>
      </c>
      <c r="I683" s="52" t="str">
        <f>IF(OR(Tabla1[[#This Row],[5]]="TPD"),Tabla1[[#This Row],[7]],"")</f>
        <v/>
      </c>
      <c r="J683" s="52">
        <f>IF(Tabla15[[#This Row],[2]]="",0,VLOOKUP(TRAMOS!$H$2,Tabla5[#All],3,FALSE)*Tabla15[[#This Row],[3]])</f>
        <v>0</v>
      </c>
      <c r="K683" s="52" t="str">
        <f>IF(Tabla1[[#This Row],[5]]="TPL",Tabla1[[#This Row],[6]],"")</f>
        <v>2"</v>
      </c>
      <c r="L683" s="52">
        <f>IF(OR(Tabla1[[#This Row],[5]]="TPL"),Tabla1[[#This Row],[7]],"")</f>
        <v>1</v>
      </c>
      <c r="M683" s="52">
        <f>IF(Tabla15[[#This Row],[5]]="",0,VLOOKUP(TRAMOS!$K$2,Tabla5[#All],3,FALSE)*Tabla15[[#This Row],[6]])</f>
        <v>0.9</v>
      </c>
      <c r="N68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8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83" s="52">
        <f>IF(Tabla15[[#This Row],[8]]="",0,VLOOKUP(TRAMOS!$H$2,Tabla5[#All],3,FALSE)*Tabla15[[#This Row],[9]])</f>
        <v>0</v>
      </c>
      <c r="Q68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8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83" s="52">
        <f>IF(Tabla15[[#This Row],[11]]="",0,VLOOKUP(TRAMOS!$Q$2,Tabla5[#All],3,FALSE)*Tabla15[[#This Row],[12]])</f>
        <v>0</v>
      </c>
      <c r="T68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8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8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8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8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8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8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8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83" s="52">
        <f>IF(Tabla15[[#This Row],[20]]="",0,VLOOKUP("VRP",Tabla5[#All],3,FALSE)*Tabla15[[#This Row],[21]])</f>
        <v>0</v>
      </c>
      <c r="AC68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8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83" s="52">
        <f>IF(Tabla15[[#This Row],[23]]="",0,VLOOKUP("VC",Tabla5[#All],3,FALSE)*Tabla15[[#This Row],[24]])</f>
        <v>0</v>
      </c>
      <c r="AF68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8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83" s="52">
        <f>IF(Tabla15[[#This Row],[26]]="",0,VLOOKUP(TRAMOS!$K$2,Tabla5[#All],3,FALSE)*Tabla15[[#This Row],[27]])</f>
        <v>0</v>
      </c>
      <c r="AI68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8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8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8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8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8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8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684" spans="2:41" x14ac:dyDescent="0.25">
      <c r="B684" s="58" t="str">
        <f>Tabla1[[#This Row],[nudo inicial]]</f>
        <v>N363</v>
      </c>
      <c r="C684" s="58" t="str">
        <f>Tabla1[[#This Row],[nudo final]]</f>
        <v>TP235</v>
      </c>
      <c r="D684" s="51">
        <f>Tabla1[[#This Row],[longitud]]</f>
        <v>42.38</v>
      </c>
      <c r="E684" s="51" t="str">
        <f>Tabla1[[#This Row],[diametro]]</f>
        <v>2"</v>
      </c>
      <c r="F684" s="51" t="str">
        <f>Tabla1[[#This Row],[material]]</f>
        <v>PVC</v>
      </c>
      <c r="G68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684" s="52" t="str">
        <f>IF(Tabla1[[#This Row],[5]]="TPD",Tabla1[[#This Row],[6]],"")</f>
        <v/>
      </c>
      <c r="I684" s="52" t="str">
        <f>IF(OR(Tabla1[[#This Row],[5]]="TPD"),Tabla1[[#This Row],[7]],"")</f>
        <v/>
      </c>
      <c r="J684" s="52">
        <f>IF(Tabla15[[#This Row],[2]]="",0,VLOOKUP(TRAMOS!$H$2,Tabla5[#All],3,FALSE)*Tabla15[[#This Row],[3]])</f>
        <v>0</v>
      </c>
      <c r="K684" s="52" t="str">
        <f>IF(Tabla1[[#This Row],[5]]="TPL",Tabla1[[#This Row],[6]],"")</f>
        <v>2"</v>
      </c>
      <c r="L684" s="52">
        <f>IF(OR(Tabla1[[#This Row],[5]]="TPL"),Tabla1[[#This Row],[7]],"")</f>
        <v>1</v>
      </c>
      <c r="M684" s="52">
        <f>IF(Tabla15[[#This Row],[5]]="",0,VLOOKUP(TRAMOS!$K$2,Tabla5[#All],3,FALSE)*Tabla15[[#This Row],[6]])</f>
        <v>0.9</v>
      </c>
      <c r="N68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8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84" s="52">
        <f>IF(Tabla15[[#This Row],[8]]="",0,VLOOKUP(TRAMOS!$H$2,Tabla5[#All],3,FALSE)*Tabla15[[#This Row],[9]])</f>
        <v>0</v>
      </c>
      <c r="Q68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8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84" s="52">
        <f>IF(Tabla15[[#This Row],[11]]="",0,VLOOKUP(TRAMOS!$Q$2,Tabla5[#All],3,FALSE)*Tabla15[[#This Row],[12]])</f>
        <v>0</v>
      </c>
      <c r="T68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8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8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8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8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8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8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8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84" s="52">
        <f>IF(Tabla15[[#This Row],[20]]="",0,VLOOKUP("VRP",Tabla5[#All],3,FALSE)*Tabla15[[#This Row],[21]])</f>
        <v>0</v>
      </c>
      <c r="AC68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8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84" s="52">
        <f>IF(Tabla15[[#This Row],[23]]="",0,VLOOKUP("VC",Tabla5[#All],3,FALSE)*Tabla15[[#This Row],[24]])</f>
        <v>0</v>
      </c>
      <c r="AF68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8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84" s="52">
        <f>IF(Tabla15[[#This Row],[26]]="",0,VLOOKUP(TRAMOS!$K$2,Tabla5[#All],3,FALSE)*Tabla15[[#This Row],[27]])</f>
        <v>0</v>
      </c>
      <c r="AI68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8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8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8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8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684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68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685" spans="2:41" x14ac:dyDescent="0.25">
      <c r="B685" s="58" t="str">
        <f>Tabla1[[#This Row],[nudo inicial]]</f>
        <v>N363</v>
      </c>
      <c r="C685" s="58" t="str">
        <f>Tabla1[[#This Row],[nudo final]]</f>
        <v>N364</v>
      </c>
      <c r="D685" s="51">
        <f>Tabla1[[#This Row],[longitud]]</f>
        <v>10.17</v>
      </c>
      <c r="E685" s="51" t="str">
        <f>Tabla1[[#This Row],[diametro]]</f>
        <v>2"</v>
      </c>
      <c r="F685" s="51" t="str">
        <f>Tabla1[[#This Row],[material]]</f>
        <v>PVC</v>
      </c>
      <c r="G68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685" s="52" t="str">
        <f>IF(Tabla1[[#This Row],[5]]="TPD",Tabla1[[#This Row],[6]],"")</f>
        <v/>
      </c>
      <c r="I685" s="52" t="str">
        <f>IF(OR(Tabla1[[#This Row],[5]]="TPD"),Tabla1[[#This Row],[7]],"")</f>
        <v/>
      </c>
      <c r="J685" s="52">
        <f>IF(Tabla15[[#This Row],[2]]="",0,VLOOKUP(TRAMOS!$H$2,Tabla5[#All],3,FALSE)*Tabla15[[#This Row],[3]])</f>
        <v>0</v>
      </c>
      <c r="K685" s="52" t="str">
        <f>IF(Tabla1[[#This Row],[5]]="TPL",Tabla1[[#This Row],[6]],"")</f>
        <v>2"</v>
      </c>
      <c r="L685" s="52">
        <f>IF(OR(Tabla1[[#This Row],[5]]="TPL"),Tabla1[[#This Row],[7]],"")</f>
        <v>1</v>
      </c>
      <c r="M685" s="52">
        <f>IF(Tabla15[[#This Row],[5]]="",0,VLOOKUP(TRAMOS!$K$2,Tabla5[#All],3,FALSE)*Tabla15[[#This Row],[6]])</f>
        <v>0.9</v>
      </c>
      <c r="N68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8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85" s="52">
        <f>IF(Tabla15[[#This Row],[8]]="",0,VLOOKUP(TRAMOS!$H$2,Tabla5[#All],3,FALSE)*Tabla15[[#This Row],[9]])</f>
        <v>0</v>
      </c>
      <c r="Q68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8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85" s="52">
        <f>IF(Tabla15[[#This Row],[11]]="",0,VLOOKUP(TRAMOS!$Q$2,Tabla5[#All],3,FALSE)*Tabla15[[#This Row],[12]])</f>
        <v>0</v>
      </c>
      <c r="T68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8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8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8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8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8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8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8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85" s="52">
        <f>IF(Tabla15[[#This Row],[20]]="",0,VLOOKUP("VRP",Tabla5[#All],3,FALSE)*Tabla15[[#This Row],[21]])</f>
        <v>0</v>
      </c>
      <c r="AC68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8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85" s="52">
        <f>IF(Tabla15[[#This Row],[23]]="",0,VLOOKUP("VC",Tabla5[#All],3,FALSE)*Tabla15[[#This Row],[24]])</f>
        <v>0</v>
      </c>
      <c r="AF68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8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85" s="52">
        <f>IF(Tabla15[[#This Row],[26]]="",0,VLOOKUP(TRAMOS!$K$2,Tabla5[#All],3,FALSE)*Tabla15[[#This Row],[27]])</f>
        <v>0</v>
      </c>
      <c r="AI68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8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8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8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8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8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8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686" spans="2:41" x14ac:dyDescent="0.25">
      <c r="B686" s="58" t="str">
        <f>Tabla1[[#This Row],[nudo inicial]]</f>
        <v>N364</v>
      </c>
      <c r="C686" s="58" t="str">
        <f>Tabla1[[#This Row],[nudo final]]</f>
        <v>TP236</v>
      </c>
      <c r="D686" s="51">
        <f>Tabla1[[#This Row],[longitud]]</f>
        <v>23.33</v>
      </c>
      <c r="E686" s="51" t="str">
        <f>Tabla1[[#This Row],[diametro]]</f>
        <v>2"</v>
      </c>
      <c r="F686" s="51" t="str">
        <f>Tabla1[[#This Row],[material]]</f>
        <v>PVC</v>
      </c>
      <c r="G68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686" s="52" t="str">
        <f>IF(Tabla1[[#This Row],[5]]="TPD",Tabla1[[#This Row],[6]],"")</f>
        <v/>
      </c>
      <c r="I686" s="52" t="str">
        <f>IF(OR(Tabla1[[#This Row],[5]]="TPD"),Tabla1[[#This Row],[7]],"")</f>
        <v/>
      </c>
      <c r="J686" s="52">
        <f>IF(Tabla15[[#This Row],[2]]="",0,VLOOKUP(TRAMOS!$H$2,Tabla5[#All],3,FALSE)*Tabla15[[#This Row],[3]])</f>
        <v>0</v>
      </c>
      <c r="K686" s="52" t="str">
        <f>IF(Tabla1[[#This Row],[5]]="TPL",Tabla1[[#This Row],[6]],"")</f>
        <v>2"</v>
      </c>
      <c r="L686" s="52">
        <f>IF(OR(Tabla1[[#This Row],[5]]="TPL"),Tabla1[[#This Row],[7]],"")</f>
        <v>1</v>
      </c>
      <c r="M686" s="52">
        <f>IF(Tabla15[[#This Row],[5]]="",0,VLOOKUP(TRAMOS!$K$2,Tabla5[#All],3,FALSE)*Tabla15[[#This Row],[6]])</f>
        <v>0.9</v>
      </c>
      <c r="N68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8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86" s="52">
        <f>IF(Tabla15[[#This Row],[8]]="",0,VLOOKUP(TRAMOS!$H$2,Tabla5[#All],3,FALSE)*Tabla15[[#This Row],[9]])</f>
        <v>0</v>
      </c>
      <c r="Q68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8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86" s="52">
        <f>IF(Tabla15[[#This Row],[11]]="",0,VLOOKUP(TRAMOS!$Q$2,Tabla5[#All],3,FALSE)*Tabla15[[#This Row],[12]])</f>
        <v>0</v>
      </c>
      <c r="T68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8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8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8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8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8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8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8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86" s="52">
        <f>IF(Tabla15[[#This Row],[20]]="",0,VLOOKUP("VRP",Tabla5[#All],3,FALSE)*Tabla15[[#This Row],[21]])</f>
        <v>0</v>
      </c>
      <c r="AC68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8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86" s="52">
        <f>IF(Tabla15[[#This Row],[23]]="",0,VLOOKUP("VC",Tabla5[#All],3,FALSE)*Tabla15[[#This Row],[24]])</f>
        <v>0</v>
      </c>
      <c r="AF68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8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86" s="52">
        <f>IF(Tabla15[[#This Row],[26]]="",0,VLOOKUP(TRAMOS!$K$2,Tabla5[#All],3,FALSE)*Tabla15[[#This Row],[27]])</f>
        <v>0</v>
      </c>
      <c r="AI68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8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8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8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8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68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68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687" spans="2:41" x14ac:dyDescent="0.25">
      <c r="B687" s="58" t="str">
        <f>Tabla1[[#This Row],[nudo inicial]]</f>
        <v>N364</v>
      </c>
      <c r="C687" s="58" t="str">
        <f>Tabla1[[#This Row],[nudo final]]</f>
        <v>TP237</v>
      </c>
      <c r="D687" s="51">
        <f>Tabla1[[#This Row],[longitud]]</f>
        <v>36.33</v>
      </c>
      <c r="E687" s="51" t="str">
        <f>Tabla1[[#This Row],[diametro]]</f>
        <v>2"</v>
      </c>
      <c r="F687" s="51" t="str">
        <f>Tabla1[[#This Row],[material]]</f>
        <v>PVC</v>
      </c>
      <c r="G68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687" s="52" t="str">
        <f>IF(Tabla1[[#This Row],[5]]="TPD",Tabla1[[#This Row],[6]],"")</f>
        <v>2"</v>
      </c>
      <c r="I687" s="52">
        <f>IF(OR(Tabla1[[#This Row],[5]]="TPD"),Tabla1[[#This Row],[7]],"")</f>
        <v>1</v>
      </c>
      <c r="J687" s="52">
        <f>IF(Tabla15[[#This Row],[2]]="",0,VLOOKUP(TRAMOS!$H$2,Tabla5[#All],3,FALSE)*Tabla15[[#This Row],[3]])</f>
        <v>0.15</v>
      </c>
      <c r="K687" s="52" t="str">
        <f>IF(Tabla1[[#This Row],[5]]="TPL",Tabla1[[#This Row],[6]],"")</f>
        <v/>
      </c>
      <c r="L687" s="52" t="str">
        <f>IF(OR(Tabla1[[#This Row],[5]]="TPL"),Tabla1[[#This Row],[7]],"")</f>
        <v/>
      </c>
      <c r="M687" s="52">
        <f>IF(Tabla15[[#This Row],[5]]="",0,VLOOKUP(TRAMOS!$K$2,Tabla5[#All],3,FALSE)*Tabla15[[#This Row],[6]])</f>
        <v>0</v>
      </c>
      <c r="N68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8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87" s="52">
        <f>IF(Tabla15[[#This Row],[8]]="",0,VLOOKUP(TRAMOS!$H$2,Tabla5[#All],3,FALSE)*Tabla15[[#This Row],[9]])</f>
        <v>0</v>
      </c>
      <c r="Q68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8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87" s="52">
        <f>IF(Tabla15[[#This Row],[11]]="",0,VLOOKUP(TRAMOS!$Q$2,Tabla5[#All],3,FALSE)*Tabla15[[#This Row],[12]])</f>
        <v>0</v>
      </c>
      <c r="T68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8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8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8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8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8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8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8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87" s="52">
        <f>IF(Tabla15[[#This Row],[20]]="",0,VLOOKUP("VRP",Tabla5[#All],3,FALSE)*Tabla15[[#This Row],[21]])</f>
        <v>0</v>
      </c>
      <c r="AC68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8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87" s="52">
        <f>IF(Tabla15[[#This Row],[23]]="",0,VLOOKUP("VC",Tabla5[#All],3,FALSE)*Tabla15[[#This Row],[24]])</f>
        <v>0</v>
      </c>
      <c r="AF68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8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87" s="52">
        <f>IF(Tabla15[[#This Row],[26]]="",0,VLOOKUP(TRAMOS!$K$2,Tabla5[#All],3,FALSE)*Tabla15[[#This Row],[27]])</f>
        <v>0</v>
      </c>
      <c r="AI68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8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8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8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8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687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68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688" spans="2:41" x14ac:dyDescent="0.25">
      <c r="B688" s="58" t="str">
        <f>Tabla1[[#This Row],[nudo inicial]]</f>
        <v>N362</v>
      </c>
      <c r="C688" s="58" t="str">
        <f>Tabla1[[#This Row],[nudo final]]</f>
        <v>N365</v>
      </c>
      <c r="D688" s="51">
        <f>Tabla1[[#This Row],[longitud]]</f>
        <v>53.57</v>
      </c>
      <c r="E688" s="51" t="str">
        <f>Tabla1[[#This Row],[diametro]]</f>
        <v>2"</v>
      </c>
      <c r="F688" s="51" t="str">
        <f>Tabla1[[#This Row],[material]]</f>
        <v>PVC</v>
      </c>
      <c r="G68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688" s="52" t="str">
        <f>IF(Tabla1[[#This Row],[5]]="TPD",Tabla1[[#This Row],[6]],"")</f>
        <v>2"</v>
      </c>
      <c r="I688" s="52">
        <f>IF(OR(Tabla1[[#This Row],[5]]="TPD"),Tabla1[[#This Row],[7]],"")</f>
        <v>1</v>
      </c>
      <c r="J688" s="52">
        <f>IF(Tabla15[[#This Row],[2]]="",0,VLOOKUP(TRAMOS!$H$2,Tabla5[#All],3,FALSE)*Tabla15[[#This Row],[3]])</f>
        <v>0.15</v>
      </c>
      <c r="K688" s="52" t="str">
        <f>IF(Tabla1[[#This Row],[5]]="TPL",Tabla1[[#This Row],[6]],"")</f>
        <v/>
      </c>
      <c r="L688" s="52" t="str">
        <f>IF(OR(Tabla1[[#This Row],[5]]="TPL"),Tabla1[[#This Row],[7]],"")</f>
        <v/>
      </c>
      <c r="M688" s="52">
        <f>IF(Tabla15[[#This Row],[5]]="",0,VLOOKUP(TRAMOS!$K$2,Tabla5[#All],3,FALSE)*Tabla15[[#This Row],[6]])</f>
        <v>0</v>
      </c>
      <c r="N68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8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88" s="52">
        <f>IF(Tabla15[[#This Row],[8]]="",0,VLOOKUP(TRAMOS!$H$2,Tabla5[#All],3,FALSE)*Tabla15[[#This Row],[9]])</f>
        <v>0</v>
      </c>
      <c r="Q68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8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88" s="52">
        <f>IF(Tabla15[[#This Row],[11]]="",0,VLOOKUP(TRAMOS!$Q$2,Tabla5[#All],3,FALSE)*Tabla15[[#This Row],[12]])</f>
        <v>0</v>
      </c>
      <c r="T68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8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8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8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8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8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8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8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88" s="52">
        <f>IF(Tabla15[[#This Row],[20]]="",0,VLOOKUP("VRP",Tabla5[#All],3,FALSE)*Tabla15[[#This Row],[21]])</f>
        <v>0</v>
      </c>
      <c r="AC68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8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88" s="52">
        <f>IF(Tabla15[[#This Row],[23]]="",0,VLOOKUP("VC",Tabla5[#All],3,FALSE)*Tabla15[[#This Row],[24]])</f>
        <v>0</v>
      </c>
      <c r="AF68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8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88" s="52">
        <f>IF(Tabla15[[#This Row],[26]]="",0,VLOOKUP(TRAMOS!$K$2,Tabla5[#All],3,FALSE)*Tabla15[[#This Row],[27]])</f>
        <v>0</v>
      </c>
      <c r="AI68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8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8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8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8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8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8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689" spans="2:41" x14ac:dyDescent="0.25">
      <c r="B689" s="58" t="str">
        <f>Tabla1[[#This Row],[nudo inicial]]</f>
        <v>N365</v>
      </c>
      <c r="C689" s="58" t="str">
        <f>Tabla1[[#This Row],[nudo final]]</f>
        <v>N366</v>
      </c>
      <c r="D689" s="51">
        <f>Tabla1[[#This Row],[longitud]]</f>
        <v>277.45999999999998</v>
      </c>
      <c r="E689" s="51" t="str">
        <f>Tabla1[[#This Row],[diametro]]</f>
        <v>2"</v>
      </c>
      <c r="F689" s="51" t="str">
        <f>Tabla1[[#This Row],[material]]</f>
        <v>PVC</v>
      </c>
      <c r="G68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689" s="52" t="str">
        <f>IF(Tabla1[[#This Row],[5]]="TPD",Tabla1[[#This Row],[6]],"")</f>
        <v>2"</v>
      </c>
      <c r="I689" s="52">
        <f>IF(OR(Tabla1[[#This Row],[5]]="TPD"),Tabla1[[#This Row],[7]],"")</f>
        <v>1</v>
      </c>
      <c r="J689" s="52">
        <f>IF(Tabla15[[#This Row],[2]]="",0,VLOOKUP(TRAMOS!$H$2,Tabla5[#All],3,FALSE)*Tabla15[[#This Row],[3]])</f>
        <v>0.15</v>
      </c>
      <c r="K689" s="52" t="str">
        <f>IF(Tabla1[[#This Row],[5]]="TPL",Tabla1[[#This Row],[6]],"")</f>
        <v/>
      </c>
      <c r="L689" s="52" t="str">
        <f>IF(OR(Tabla1[[#This Row],[5]]="TPL"),Tabla1[[#This Row],[7]],"")</f>
        <v/>
      </c>
      <c r="M689" s="52">
        <f>IF(Tabla15[[#This Row],[5]]="",0,VLOOKUP(TRAMOS!$K$2,Tabla5[#All],3,FALSE)*Tabla15[[#This Row],[6]])</f>
        <v>0</v>
      </c>
      <c r="N68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8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89" s="52">
        <f>IF(Tabla15[[#This Row],[8]]="",0,VLOOKUP(TRAMOS!$H$2,Tabla5[#All],3,FALSE)*Tabla15[[#This Row],[9]])</f>
        <v>0</v>
      </c>
      <c r="Q68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689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3</v>
      </c>
      <c r="S689" s="52">
        <f>IF(Tabla15[[#This Row],[11]]="",0,VLOOKUP(TRAMOS!$Q$2,Tabla5[#All],3,FALSE)*Tabla15[[#This Row],[12]])</f>
        <v>2.7</v>
      </c>
      <c r="T68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8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8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8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8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8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8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8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89" s="52">
        <f>IF(Tabla15[[#This Row],[20]]="",0,VLOOKUP("VRP",Tabla5[#All],3,FALSE)*Tabla15[[#This Row],[21]])</f>
        <v>0</v>
      </c>
      <c r="AC68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689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689" s="52">
        <f>IF(Tabla15[[#This Row],[23]]="",0,VLOOKUP("VC",Tabla5[#All],3,FALSE)*Tabla15[[#This Row],[24]])</f>
        <v>0.25</v>
      </c>
      <c r="AF68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8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89" s="52">
        <f>IF(Tabla15[[#This Row],[26]]="",0,VLOOKUP(TRAMOS!$K$2,Tabla5[#All],3,FALSE)*Tabla15[[#This Row],[27]])</f>
        <v>0</v>
      </c>
      <c r="AI68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8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8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8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8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8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8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3.1</v>
      </c>
    </row>
    <row r="690" spans="2:41" x14ac:dyDescent="0.25">
      <c r="B690" s="58" t="str">
        <f>Tabla1[[#This Row],[nudo inicial]]</f>
        <v>N366</v>
      </c>
      <c r="C690" s="58" t="str">
        <f>Tabla1[[#This Row],[nudo final]]</f>
        <v>TP238</v>
      </c>
      <c r="D690" s="51">
        <f>Tabla1[[#This Row],[longitud]]</f>
        <v>23.8</v>
      </c>
      <c r="E690" s="51" t="str">
        <f>Tabla1[[#This Row],[diametro]]</f>
        <v>2"</v>
      </c>
      <c r="F690" s="51" t="str">
        <f>Tabla1[[#This Row],[material]]</f>
        <v>PVC</v>
      </c>
      <c r="G69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690" s="52" t="str">
        <f>IF(Tabla1[[#This Row],[5]]="TPD",Tabla1[[#This Row],[6]],"")</f>
        <v>2"</v>
      </c>
      <c r="I690" s="52">
        <f>IF(OR(Tabla1[[#This Row],[5]]="TPD"),Tabla1[[#This Row],[7]],"")</f>
        <v>1</v>
      </c>
      <c r="J690" s="52">
        <f>IF(Tabla15[[#This Row],[2]]="",0,VLOOKUP(TRAMOS!$H$2,Tabla5[#All],3,FALSE)*Tabla15[[#This Row],[3]])</f>
        <v>0.15</v>
      </c>
      <c r="K690" s="52" t="str">
        <f>IF(Tabla1[[#This Row],[5]]="TPL",Tabla1[[#This Row],[6]],"")</f>
        <v/>
      </c>
      <c r="L690" s="52" t="str">
        <f>IF(OR(Tabla1[[#This Row],[5]]="TPL"),Tabla1[[#This Row],[7]],"")</f>
        <v/>
      </c>
      <c r="M690" s="52">
        <f>IF(Tabla15[[#This Row],[5]]="",0,VLOOKUP(TRAMOS!$K$2,Tabla5[#All],3,FALSE)*Tabla15[[#This Row],[6]])</f>
        <v>0</v>
      </c>
      <c r="N69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9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90" s="52">
        <f>IF(Tabla15[[#This Row],[8]]="",0,VLOOKUP(TRAMOS!$H$2,Tabla5[#All],3,FALSE)*Tabla15[[#This Row],[9]])</f>
        <v>0</v>
      </c>
      <c r="Q69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9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90" s="52">
        <f>IF(Tabla15[[#This Row],[11]]="",0,VLOOKUP(TRAMOS!$Q$2,Tabla5[#All],3,FALSE)*Tabla15[[#This Row],[12]])</f>
        <v>0</v>
      </c>
      <c r="T69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9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9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9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9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9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9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9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90" s="52">
        <f>IF(Tabla15[[#This Row],[20]]="",0,VLOOKUP("VRP",Tabla5[#All],3,FALSE)*Tabla15[[#This Row],[21]])</f>
        <v>0</v>
      </c>
      <c r="AC69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9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90" s="52">
        <f>IF(Tabla15[[#This Row],[23]]="",0,VLOOKUP("VC",Tabla5[#All],3,FALSE)*Tabla15[[#This Row],[24]])</f>
        <v>0</v>
      </c>
      <c r="AF69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9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90" s="52">
        <f>IF(Tabla15[[#This Row],[26]]="",0,VLOOKUP(TRAMOS!$K$2,Tabla5[#All],3,FALSE)*Tabla15[[#This Row],[27]])</f>
        <v>0</v>
      </c>
      <c r="AI69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9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9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9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9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690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69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691" spans="2:41" x14ac:dyDescent="0.25">
      <c r="B691" s="58" t="str">
        <f>Tabla1[[#This Row],[nudo inicial]]</f>
        <v>N366</v>
      </c>
      <c r="C691" s="58" t="str">
        <f>Tabla1[[#This Row],[nudo final]]</f>
        <v>TP239</v>
      </c>
      <c r="D691" s="51">
        <f>Tabla1[[#This Row],[longitud]]</f>
        <v>372.95</v>
      </c>
      <c r="E691" s="51" t="str">
        <f>Tabla1[[#This Row],[diametro]]</f>
        <v>2"</v>
      </c>
      <c r="F691" s="51" t="str">
        <f>Tabla1[[#This Row],[material]]</f>
        <v>PVC</v>
      </c>
      <c r="G69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691" s="52" t="str">
        <f>IF(Tabla1[[#This Row],[5]]="TPD",Tabla1[[#This Row],[6]],"")</f>
        <v/>
      </c>
      <c r="I691" s="52" t="str">
        <f>IF(OR(Tabla1[[#This Row],[5]]="TPD"),Tabla1[[#This Row],[7]],"")</f>
        <v/>
      </c>
      <c r="J691" s="52">
        <f>IF(Tabla15[[#This Row],[2]]="",0,VLOOKUP(TRAMOS!$H$2,Tabla5[#All],3,FALSE)*Tabla15[[#This Row],[3]])</f>
        <v>0</v>
      </c>
      <c r="K691" s="52" t="str">
        <f>IF(Tabla1[[#This Row],[5]]="TPL",Tabla1[[#This Row],[6]],"")</f>
        <v>2"</v>
      </c>
      <c r="L691" s="52">
        <f>IF(OR(Tabla1[[#This Row],[5]]="TPL"),Tabla1[[#This Row],[7]],"")</f>
        <v>1</v>
      </c>
      <c r="M691" s="52">
        <f>IF(Tabla15[[#This Row],[5]]="",0,VLOOKUP(TRAMOS!$K$2,Tabla5[#All],3,FALSE)*Tabla15[[#This Row],[6]])</f>
        <v>0.9</v>
      </c>
      <c r="N69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9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91" s="52">
        <f>IF(Tabla15[[#This Row],[8]]="",0,VLOOKUP(TRAMOS!$H$2,Tabla5[#All],3,FALSE)*Tabla15[[#This Row],[9]])</f>
        <v>0</v>
      </c>
      <c r="Q69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9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91" s="52">
        <f>IF(Tabla15[[#This Row],[11]]="",0,VLOOKUP(TRAMOS!$Q$2,Tabla5[#All],3,FALSE)*Tabla15[[#This Row],[12]])</f>
        <v>0</v>
      </c>
      <c r="T69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9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9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9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9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9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9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9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91" s="52">
        <f>IF(Tabla15[[#This Row],[20]]="",0,VLOOKUP("VRP",Tabla5[#All],3,FALSE)*Tabla15[[#This Row],[21]])</f>
        <v>0</v>
      </c>
      <c r="AC69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9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91" s="52">
        <f>IF(Tabla15[[#This Row],[23]]="",0,VLOOKUP("VC",Tabla5[#All],3,FALSE)*Tabla15[[#This Row],[24]])</f>
        <v>0</v>
      </c>
      <c r="AF69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9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91" s="52">
        <f>IF(Tabla15[[#This Row],[26]]="",0,VLOOKUP(TRAMOS!$K$2,Tabla5[#All],3,FALSE)*Tabla15[[#This Row],[27]])</f>
        <v>0</v>
      </c>
      <c r="AI69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9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9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9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9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691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69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692" spans="2:41" x14ac:dyDescent="0.25">
      <c r="B692" s="58" t="str">
        <f>Tabla1[[#This Row],[nudo inicial]]</f>
        <v>N365</v>
      </c>
      <c r="C692" s="58" t="str">
        <f>Tabla1[[#This Row],[nudo final]]</f>
        <v>N367</v>
      </c>
      <c r="D692" s="51">
        <f>Tabla1[[#This Row],[longitud]]</f>
        <v>99.45</v>
      </c>
      <c r="E692" s="51" t="str">
        <f>Tabla1[[#This Row],[diametro]]</f>
        <v>3"</v>
      </c>
      <c r="F692" s="51" t="str">
        <f>Tabla1[[#This Row],[material]]</f>
        <v>PVC</v>
      </c>
      <c r="G69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692" s="52" t="str">
        <f>IF(Tabla1[[#This Row],[5]]="TPD",Tabla1[[#This Row],[6]],"")</f>
        <v/>
      </c>
      <c r="I692" s="52" t="str">
        <f>IF(OR(Tabla1[[#This Row],[5]]="TPD"),Tabla1[[#This Row],[7]],"")</f>
        <v/>
      </c>
      <c r="J692" s="52">
        <f>IF(Tabla15[[#This Row],[2]]="",0,VLOOKUP(TRAMOS!$H$2,Tabla5[#All],3,FALSE)*Tabla15[[#This Row],[3]])</f>
        <v>0</v>
      </c>
      <c r="K692" s="52" t="str">
        <f>IF(Tabla1[[#This Row],[5]]="TPL",Tabla1[[#This Row],[6]],"")</f>
        <v>2"</v>
      </c>
      <c r="L692" s="52">
        <f>IF(OR(Tabla1[[#This Row],[5]]="TPL"),Tabla1[[#This Row],[7]],"")</f>
        <v>1</v>
      </c>
      <c r="M692" s="52">
        <f>IF(Tabla15[[#This Row],[5]]="",0,VLOOKUP(TRAMOS!$K$2,Tabla5[#All],3,FALSE)*Tabla15[[#This Row],[6]])</f>
        <v>0.9</v>
      </c>
      <c r="N69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9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92" s="52">
        <f>IF(Tabla15[[#This Row],[8]]="",0,VLOOKUP(TRAMOS!$H$2,Tabla5[#All],3,FALSE)*Tabla15[[#This Row],[9]])</f>
        <v>0</v>
      </c>
      <c r="Q69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3"</v>
      </c>
      <c r="R692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692" s="52">
        <f>IF(Tabla15[[#This Row],[11]]="",0,VLOOKUP(TRAMOS!$Q$2,Tabla5[#All],3,FALSE)*Tabla15[[#This Row],[12]])</f>
        <v>0.9</v>
      </c>
      <c r="T69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9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9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9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>3"</v>
      </c>
      <c r="X692" s="52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>1</v>
      </c>
      <c r="Y69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0.57000000000000006</v>
      </c>
      <c r="Z69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9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92" s="52">
        <f>IF(Tabla15[[#This Row],[20]]="",0,VLOOKUP("VRP",Tabla5[#All],3,FALSE)*Tabla15[[#This Row],[21]])</f>
        <v>0</v>
      </c>
      <c r="AC69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692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692" s="52">
        <f>IF(Tabla15[[#This Row],[23]]="",0,VLOOKUP("VC",Tabla5[#All],3,FALSE)*Tabla15[[#This Row],[24]])</f>
        <v>0.25</v>
      </c>
      <c r="AF69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9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92" s="52">
        <f>IF(Tabla15[[#This Row],[26]]="",0,VLOOKUP(TRAMOS!$K$2,Tabla5[#All],3,FALSE)*Tabla15[[#This Row],[27]])</f>
        <v>0</v>
      </c>
      <c r="AI69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9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9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9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9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9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9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2.62</v>
      </c>
    </row>
    <row r="693" spans="2:41" x14ac:dyDescent="0.25">
      <c r="B693" s="58" t="str">
        <f>Tabla1[[#This Row],[nudo inicial]]</f>
        <v>N367</v>
      </c>
      <c r="C693" s="58" t="str">
        <f>Tabla1[[#This Row],[nudo final]]</f>
        <v>N368</v>
      </c>
      <c r="D693" s="51">
        <f>Tabla1[[#This Row],[longitud]]</f>
        <v>14.29</v>
      </c>
      <c r="E693" s="51" t="str">
        <f>Tabla1[[#This Row],[diametro]]</f>
        <v>3"</v>
      </c>
      <c r="F693" s="51" t="str">
        <f>Tabla1[[#This Row],[material]]</f>
        <v>PVC</v>
      </c>
      <c r="G69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693" s="52" t="str">
        <f>IF(Tabla1[[#This Row],[5]]="TPD",Tabla1[[#This Row],[6]],"")</f>
        <v>2"</v>
      </c>
      <c r="I693" s="52">
        <f>IF(OR(Tabla1[[#This Row],[5]]="TPD"),Tabla1[[#This Row],[7]],"")</f>
        <v>1</v>
      </c>
      <c r="J693" s="52">
        <f>IF(Tabla15[[#This Row],[2]]="",0,VLOOKUP(TRAMOS!$H$2,Tabla5[#All],3,FALSE)*Tabla15[[#This Row],[3]])</f>
        <v>0.15</v>
      </c>
      <c r="K693" s="52" t="str">
        <f>IF(Tabla1[[#This Row],[5]]="TPL",Tabla1[[#This Row],[6]],"")</f>
        <v/>
      </c>
      <c r="L693" s="52" t="str">
        <f>IF(OR(Tabla1[[#This Row],[5]]="TPL"),Tabla1[[#This Row],[7]],"")</f>
        <v/>
      </c>
      <c r="M693" s="52">
        <f>IF(Tabla15[[#This Row],[5]]="",0,VLOOKUP(TRAMOS!$K$2,Tabla5[#All],3,FALSE)*Tabla15[[#This Row],[6]])</f>
        <v>0</v>
      </c>
      <c r="N69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9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93" s="52">
        <f>IF(Tabla15[[#This Row],[8]]="",0,VLOOKUP(TRAMOS!$H$2,Tabla5[#All],3,FALSE)*Tabla15[[#This Row],[9]])</f>
        <v>0</v>
      </c>
      <c r="Q69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9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93" s="52">
        <f>IF(Tabla15[[#This Row],[11]]="",0,VLOOKUP(TRAMOS!$Q$2,Tabla5[#All],3,FALSE)*Tabla15[[#This Row],[12]])</f>
        <v>0</v>
      </c>
      <c r="T69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9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9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9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9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9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9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9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93" s="52">
        <f>IF(Tabla15[[#This Row],[20]]="",0,VLOOKUP("VRP",Tabla5[#All],3,FALSE)*Tabla15[[#This Row],[21]])</f>
        <v>0</v>
      </c>
      <c r="AC69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9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93" s="52">
        <f>IF(Tabla15[[#This Row],[23]]="",0,VLOOKUP("VC",Tabla5[#All],3,FALSE)*Tabla15[[#This Row],[24]])</f>
        <v>0</v>
      </c>
      <c r="AF69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9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93" s="52">
        <f>IF(Tabla15[[#This Row],[26]]="",0,VLOOKUP(TRAMOS!$K$2,Tabla5[#All],3,FALSE)*Tabla15[[#This Row],[27]])</f>
        <v>0</v>
      </c>
      <c r="AI69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9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9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9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9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9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9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694" spans="2:41" x14ac:dyDescent="0.25">
      <c r="B694" s="58" t="str">
        <f>Tabla1[[#This Row],[nudo inicial]]</f>
        <v>N368</v>
      </c>
      <c r="C694" s="58" t="str">
        <f>Tabla1[[#This Row],[nudo final]]</f>
        <v>TP240</v>
      </c>
      <c r="D694" s="51">
        <f>Tabla1[[#This Row],[longitud]]</f>
        <v>26.79</v>
      </c>
      <c r="E694" s="51" t="str">
        <f>Tabla1[[#This Row],[diametro]]</f>
        <v>1"</v>
      </c>
      <c r="F694" s="51" t="str">
        <f>Tabla1[[#This Row],[material]]</f>
        <v>PVC</v>
      </c>
      <c r="G69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94" s="52" t="str">
        <f>IF(Tabla1[[#This Row],[5]]="TPD",Tabla1[[#This Row],[6]],"")</f>
        <v/>
      </c>
      <c r="I694" s="52" t="str">
        <f>IF(OR(Tabla1[[#This Row],[5]]="TPD"),Tabla1[[#This Row],[7]],"")</f>
        <v/>
      </c>
      <c r="J694" s="52">
        <f>IF(Tabla15[[#This Row],[2]]="",0,VLOOKUP(TRAMOS!$H$2,Tabla5[#All],3,FALSE)*Tabla15[[#This Row],[3]])</f>
        <v>0</v>
      </c>
      <c r="K694" s="52" t="str">
        <f>IF(Tabla1[[#This Row],[5]]="TPL",Tabla1[[#This Row],[6]],"")</f>
        <v>3"</v>
      </c>
      <c r="L694" s="52">
        <f>IF(OR(Tabla1[[#This Row],[5]]="TPL"),Tabla1[[#This Row],[7]],"")</f>
        <v>1</v>
      </c>
      <c r="M694" s="52">
        <f>IF(Tabla15[[#This Row],[5]]="",0,VLOOKUP(TRAMOS!$K$2,Tabla5[#All],3,FALSE)*Tabla15[[#This Row],[6]])</f>
        <v>0.9</v>
      </c>
      <c r="N69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9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94" s="52">
        <f>IF(Tabla15[[#This Row],[8]]="",0,VLOOKUP(TRAMOS!$H$2,Tabla5[#All],3,FALSE)*Tabla15[[#This Row],[9]])</f>
        <v>0</v>
      </c>
      <c r="Q69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9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94" s="52">
        <f>IF(Tabla15[[#This Row],[11]]="",0,VLOOKUP(TRAMOS!$Q$2,Tabla5[#All],3,FALSE)*Tabla15[[#This Row],[12]])</f>
        <v>0</v>
      </c>
      <c r="T69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1"</v>
      </c>
      <c r="U694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69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0.43</v>
      </c>
      <c r="W69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9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9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9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9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94" s="52">
        <f>IF(Tabla15[[#This Row],[20]]="",0,VLOOKUP("VRP",Tabla5[#All],3,FALSE)*Tabla15[[#This Row],[21]])</f>
        <v>0</v>
      </c>
      <c r="AC69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9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94" s="52">
        <f>IF(Tabla15[[#This Row],[23]]="",0,VLOOKUP("VC",Tabla5[#All],3,FALSE)*Tabla15[[#This Row],[24]])</f>
        <v>0</v>
      </c>
      <c r="AF69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9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94" s="52">
        <f>IF(Tabla15[[#This Row],[26]]="",0,VLOOKUP(TRAMOS!$K$2,Tabla5[#All],3,FALSE)*Tabla15[[#This Row],[27]])</f>
        <v>0</v>
      </c>
      <c r="AI69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9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9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9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9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1"</v>
      </c>
      <c r="AN694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69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1.33</v>
      </c>
    </row>
    <row r="695" spans="2:41" x14ac:dyDescent="0.25">
      <c r="B695" s="58" t="str">
        <f>Tabla1[[#This Row],[nudo inicial]]</f>
        <v>N368</v>
      </c>
      <c r="C695" s="58" t="str">
        <f>Tabla1[[#This Row],[nudo final]]</f>
        <v>N369</v>
      </c>
      <c r="D695" s="51">
        <f>Tabla1[[#This Row],[longitud]]</f>
        <v>40.33</v>
      </c>
      <c r="E695" s="51" t="str">
        <f>Tabla1[[#This Row],[diametro]]</f>
        <v>3"</v>
      </c>
      <c r="F695" s="51" t="str">
        <f>Tabla1[[#This Row],[material]]</f>
        <v>PVC</v>
      </c>
      <c r="G69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95" s="52" t="str">
        <f>IF(Tabla1[[#This Row],[5]]="TPD",Tabla1[[#This Row],[6]],"")</f>
        <v>3"</v>
      </c>
      <c r="I695" s="52">
        <f>IF(OR(Tabla1[[#This Row],[5]]="TPD"),Tabla1[[#This Row],[7]],"")</f>
        <v>1</v>
      </c>
      <c r="J695" s="52">
        <f>IF(Tabla15[[#This Row],[2]]="",0,VLOOKUP(TRAMOS!$H$2,Tabla5[#All],3,FALSE)*Tabla15[[#This Row],[3]])</f>
        <v>0.15</v>
      </c>
      <c r="K695" s="52" t="str">
        <f>IF(Tabla1[[#This Row],[5]]="TPL",Tabla1[[#This Row],[6]],"")</f>
        <v/>
      </c>
      <c r="L695" s="52" t="str">
        <f>IF(OR(Tabla1[[#This Row],[5]]="TPL"),Tabla1[[#This Row],[7]],"")</f>
        <v/>
      </c>
      <c r="M695" s="52">
        <f>IF(Tabla15[[#This Row],[5]]="",0,VLOOKUP(TRAMOS!$K$2,Tabla5[#All],3,FALSE)*Tabla15[[#This Row],[6]])</f>
        <v>0</v>
      </c>
      <c r="N69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9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95" s="52">
        <f>IF(Tabla15[[#This Row],[8]]="",0,VLOOKUP(TRAMOS!$H$2,Tabla5[#All],3,FALSE)*Tabla15[[#This Row],[9]])</f>
        <v>0</v>
      </c>
      <c r="Q69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9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95" s="52">
        <f>IF(Tabla15[[#This Row],[11]]="",0,VLOOKUP(TRAMOS!$Q$2,Tabla5[#All],3,FALSE)*Tabla15[[#This Row],[12]])</f>
        <v>0</v>
      </c>
      <c r="T69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9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9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9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9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9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9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9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95" s="52">
        <f>IF(Tabla15[[#This Row],[20]]="",0,VLOOKUP("VRP",Tabla5[#All],3,FALSE)*Tabla15[[#This Row],[21]])</f>
        <v>0</v>
      </c>
      <c r="AC69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9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95" s="52">
        <f>IF(Tabla15[[#This Row],[23]]="",0,VLOOKUP("VC",Tabla5[#All],3,FALSE)*Tabla15[[#This Row],[24]])</f>
        <v>0</v>
      </c>
      <c r="AF69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9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95" s="52">
        <f>IF(Tabla15[[#This Row],[26]]="",0,VLOOKUP(TRAMOS!$K$2,Tabla5[#All],3,FALSE)*Tabla15[[#This Row],[27]])</f>
        <v>0</v>
      </c>
      <c r="AI69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9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9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9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9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9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9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696" spans="2:41" x14ac:dyDescent="0.25">
      <c r="B696" s="58" t="str">
        <f>Tabla1[[#This Row],[nudo inicial]]</f>
        <v>N369</v>
      </c>
      <c r="C696" s="58" t="str">
        <f>Tabla1[[#This Row],[nudo final]]</f>
        <v>TP241</v>
      </c>
      <c r="D696" s="51">
        <f>Tabla1[[#This Row],[longitud]]</f>
        <v>41.24</v>
      </c>
      <c r="E696" s="51" t="str">
        <f>Tabla1[[#This Row],[diametro]]</f>
        <v>2"</v>
      </c>
      <c r="F696" s="51" t="str">
        <f>Tabla1[[#This Row],[material]]</f>
        <v>PVC</v>
      </c>
      <c r="G69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96" s="52" t="str">
        <f>IF(Tabla1[[#This Row],[5]]="TPD",Tabla1[[#This Row],[6]],"")</f>
        <v/>
      </c>
      <c r="I696" s="52" t="str">
        <f>IF(OR(Tabla1[[#This Row],[5]]="TPD"),Tabla1[[#This Row],[7]],"")</f>
        <v/>
      </c>
      <c r="J696" s="52">
        <f>IF(Tabla15[[#This Row],[2]]="",0,VLOOKUP(TRAMOS!$H$2,Tabla5[#All],3,FALSE)*Tabla15[[#This Row],[3]])</f>
        <v>0</v>
      </c>
      <c r="K696" s="52" t="str">
        <f>IF(Tabla1[[#This Row],[5]]="TPL",Tabla1[[#This Row],[6]],"")</f>
        <v>3"</v>
      </c>
      <c r="L696" s="52">
        <f>IF(OR(Tabla1[[#This Row],[5]]="TPL"),Tabla1[[#This Row],[7]],"")</f>
        <v>1</v>
      </c>
      <c r="M696" s="52">
        <f>IF(Tabla15[[#This Row],[5]]="",0,VLOOKUP(TRAMOS!$K$2,Tabla5[#All],3,FALSE)*Tabla15[[#This Row],[6]])</f>
        <v>0.9</v>
      </c>
      <c r="N69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9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96" s="52">
        <f>IF(Tabla15[[#This Row],[8]]="",0,VLOOKUP(TRAMOS!$H$2,Tabla5[#All],3,FALSE)*Tabla15[[#This Row],[9]])</f>
        <v>0</v>
      </c>
      <c r="Q69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9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96" s="52">
        <f>IF(Tabla15[[#This Row],[11]]="",0,VLOOKUP(TRAMOS!$Q$2,Tabla5[#All],3,FALSE)*Tabla15[[#This Row],[12]])</f>
        <v>0</v>
      </c>
      <c r="T69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696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69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69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9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9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9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9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96" s="52">
        <f>IF(Tabla15[[#This Row],[20]]="",0,VLOOKUP("VRP",Tabla5[#All],3,FALSE)*Tabla15[[#This Row],[21]])</f>
        <v>0</v>
      </c>
      <c r="AC69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9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96" s="52">
        <f>IF(Tabla15[[#This Row],[23]]="",0,VLOOKUP("VC",Tabla5[#All],3,FALSE)*Tabla15[[#This Row],[24]])</f>
        <v>0</v>
      </c>
      <c r="AF69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9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96" s="52">
        <f>IF(Tabla15[[#This Row],[26]]="",0,VLOOKUP(TRAMOS!$K$2,Tabla5[#All],3,FALSE)*Tabla15[[#This Row],[27]])</f>
        <v>0</v>
      </c>
      <c r="AI69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9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9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9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9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69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69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697" spans="2:41" x14ac:dyDescent="0.25">
      <c r="B697" s="58" t="str">
        <f>Tabla1[[#This Row],[nudo inicial]]</f>
        <v>N369</v>
      </c>
      <c r="C697" s="58" t="str">
        <f>Tabla1[[#This Row],[nudo final]]</f>
        <v>N370</v>
      </c>
      <c r="D697" s="51">
        <f>Tabla1[[#This Row],[longitud]]</f>
        <v>42.26</v>
      </c>
      <c r="E697" s="51" t="str">
        <f>Tabla1[[#This Row],[diametro]]</f>
        <v>3"</v>
      </c>
      <c r="F697" s="51" t="str">
        <f>Tabla1[[#This Row],[material]]</f>
        <v>PVC</v>
      </c>
      <c r="G69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97" s="52" t="str">
        <f>IF(Tabla1[[#This Row],[5]]="TPD",Tabla1[[#This Row],[6]],"")</f>
        <v>3"</v>
      </c>
      <c r="I697" s="52">
        <f>IF(OR(Tabla1[[#This Row],[5]]="TPD"),Tabla1[[#This Row],[7]],"")</f>
        <v>1</v>
      </c>
      <c r="J697" s="52">
        <f>IF(Tabla15[[#This Row],[2]]="",0,VLOOKUP(TRAMOS!$H$2,Tabla5[#All],3,FALSE)*Tabla15[[#This Row],[3]])</f>
        <v>0.15</v>
      </c>
      <c r="K697" s="52" t="str">
        <f>IF(Tabla1[[#This Row],[5]]="TPL",Tabla1[[#This Row],[6]],"")</f>
        <v/>
      </c>
      <c r="L697" s="52" t="str">
        <f>IF(OR(Tabla1[[#This Row],[5]]="TPL"),Tabla1[[#This Row],[7]],"")</f>
        <v/>
      </c>
      <c r="M697" s="52">
        <f>IF(Tabla15[[#This Row],[5]]="",0,VLOOKUP(TRAMOS!$K$2,Tabla5[#All],3,FALSE)*Tabla15[[#This Row],[6]])</f>
        <v>0</v>
      </c>
      <c r="N69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9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97" s="52">
        <f>IF(Tabla15[[#This Row],[8]]="",0,VLOOKUP(TRAMOS!$H$2,Tabla5[#All],3,FALSE)*Tabla15[[#This Row],[9]])</f>
        <v>0</v>
      </c>
      <c r="Q69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9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97" s="52">
        <f>IF(Tabla15[[#This Row],[11]]="",0,VLOOKUP(TRAMOS!$Q$2,Tabla5[#All],3,FALSE)*Tabla15[[#This Row],[12]])</f>
        <v>0</v>
      </c>
      <c r="T69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9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9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9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9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9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9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9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97" s="52">
        <f>IF(Tabla15[[#This Row],[20]]="",0,VLOOKUP("VRP",Tabla5[#All],3,FALSE)*Tabla15[[#This Row],[21]])</f>
        <v>0</v>
      </c>
      <c r="AC69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9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97" s="52">
        <f>IF(Tabla15[[#This Row],[23]]="",0,VLOOKUP("VC",Tabla5[#All],3,FALSE)*Tabla15[[#This Row],[24]])</f>
        <v>0</v>
      </c>
      <c r="AF69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9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97" s="52">
        <f>IF(Tabla15[[#This Row],[26]]="",0,VLOOKUP(TRAMOS!$K$2,Tabla5[#All],3,FALSE)*Tabla15[[#This Row],[27]])</f>
        <v>0</v>
      </c>
      <c r="AI69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9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9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9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9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9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9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698" spans="2:41" x14ac:dyDescent="0.25">
      <c r="B698" s="58" t="str">
        <f>Tabla1[[#This Row],[nudo inicial]]</f>
        <v>N370</v>
      </c>
      <c r="C698" s="58" t="str">
        <f>Tabla1[[#This Row],[nudo final]]</f>
        <v>TP242</v>
      </c>
      <c r="D698" s="51">
        <f>Tabla1[[#This Row],[longitud]]</f>
        <v>52.6</v>
      </c>
      <c r="E698" s="51" t="str">
        <f>Tabla1[[#This Row],[diametro]]</f>
        <v>2"</v>
      </c>
      <c r="F698" s="51" t="str">
        <f>Tabla1[[#This Row],[material]]</f>
        <v>PVC</v>
      </c>
      <c r="G69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98" s="52" t="str">
        <f>IF(Tabla1[[#This Row],[5]]="TPD",Tabla1[[#This Row],[6]],"")</f>
        <v/>
      </c>
      <c r="I698" s="52" t="str">
        <f>IF(OR(Tabla1[[#This Row],[5]]="TPD"),Tabla1[[#This Row],[7]],"")</f>
        <v/>
      </c>
      <c r="J698" s="52">
        <f>IF(Tabla15[[#This Row],[2]]="",0,VLOOKUP(TRAMOS!$H$2,Tabla5[#All],3,FALSE)*Tabla15[[#This Row],[3]])</f>
        <v>0</v>
      </c>
      <c r="K698" s="52" t="str">
        <f>IF(Tabla1[[#This Row],[5]]="TPL",Tabla1[[#This Row],[6]],"")</f>
        <v>3"</v>
      </c>
      <c r="L698" s="52">
        <f>IF(OR(Tabla1[[#This Row],[5]]="TPL"),Tabla1[[#This Row],[7]],"")</f>
        <v>1</v>
      </c>
      <c r="M698" s="52">
        <f>IF(Tabla15[[#This Row],[5]]="",0,VLOOKUP(TRAMOS!$K$2,Tabla5[#All],3,FALSE)*Tabla15[[#This Row],[6]])</f>
        <v>0.9</v>
      </c>
      <c r="N69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9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98" s="52">
        <f>IF(Tabla15[[#This Row],[8]]="",0,VLOOKUP(TRAMOS!$H$2,Tabla5[#All],3,FALSE)*Tabla15[[#This Row],[9]])</f>
        <v>0</v>
      </c>
      <c r="Q69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9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98" s="52">
        <f>IF(Tabla15[[#This Row],[11]]="",0,VLOOKUP(TRAMOS!$Q$2,Tabla5[#All],3,FALSE)*Tabla15[[#This Row],[12]])</f>
        <v>0</v>
      </c>
      <c r="T69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698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69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69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9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9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9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9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98" s="52">
        <f>IF(Tabla15[[#This Row],[20]]="",0,VLOOKUP("VRP",Tabla5[#All],3,FALSE)*Tabla15[[#This Row],[21]])</f>
        <v>0</v>
      </c>
      <c r="AC69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9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98" s="52">
        <f>IF(Tabla15[[#This Row],[23]]="",0,VLOOKUP("VC",Tabla5[#All],3,FALSE)*Tabla15[[#This Row],[24]])</f>
        <v>0</v>
      </c>
      <c r="AF69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9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98" s="52">
        <f>IF(Tabla15[[#This Row],[26]]="",0,VLOOKUP(TRAMOS!$K$2,Tabla5[#All],3,FALSE)*Tabla15[[#This Row],[27]])</f>
        <v>0</v>
      </c>
      <c r="AI69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9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9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9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9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698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69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699" spans="2:41" x14ac:dyDescent="0.25">
      <c r="B699" s="58" t="str">
        <f>Tabla1[[#This Row],[nudo inicial]]</f>
        <v>N370</v>
      </c>
      <c r="C699" s="58" t="str">
        <f>Tabla1[[#This Row],[nudo final]]</f>
        <v>N371</v>
      </c>
      <c r="D699" s="51">
        <f>Tabla1[[#This Row],[longitud]]</f>
        <v>44.16</v>
      </c>
      <c r="E699" s="51" t="str">
        <f>Tabla1[[#This Row],[diametro]]</f>
        <v>3"</v>
      </c>
      <c r="F699" s="51" t="str">
        <f>Tabla1[[#This Row],[material]]</f>
        <v>PVC</v>
      </c>
      <c r="G69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699" s="52" t="str">
        <f>IF(Tabla1[[#This Row],[5]]="TPD",Tabla1[[#This Row],[6]],"")</f>
        <v>3"</v>
      </c>
      <c r="I699" s="52">
        <f>IF(OR(Tabla1[[#This Row],[5]]="TPD"),Tabla1[[#This Row],[7]],"")</f>
        <v>1</v>
      </c>
      <c r="J699" s="52">
        <f>IF(Tabla15[[#This Row],[2]]="",0,VLOOKUP(TRAMOS!$H$2,Tabla5[#All],3,FALSE)*Tabla15[[#This Row],[3]])</f>
        <v>0.15</v>
      </c>
      <c r="K699" s="52" t="str">
        <f>IF(Tabla1[[#This Row],[5]]="TPL",Tabla1[[#This Row],[6]],"")</f>
        <v/>
      </c>
      <c r="L699" s="52" t="str">
        <f>IF(OR(Tabla1[[#This Row],[5]]="TPL"),Tabla1[[#This Row],[7]],"")</f>
        <v/>
      </c>
      <c r="M699" s="52">
        <f>IF(Tabla15[[#This Row],[5]]="",0,VLOOKUP(TRAMOS!$K$2,Tabla5[#All],3,FALSE)*Tabla15[[#This Row],[6]])</f>
        <v>0</v>
      </c>
      <c r="N69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69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699" s="52">
        <f>IF(Tabla15[[#This Row],[8]]="",0,VLOOKUP(TRAMOS!$H$2,Tabla5[#All],3,FALSE)*Tabla15[[#This Row],[9]])</f>
        <v>0</v>
      </c>
      <c r="Q69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69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699" s="52">
        <f>IF(Tabla15[[#This Row],[11]]="",0,VLOOKUP(TRAMOS!$Q$2,Tabla5[#All],3,FALSE)*Tabla15[[#This Row],[12]])</f>
        <v>0</v>
      </c>
      <c r="T69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69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69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69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69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69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69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69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699" s="52">
        <f>IF(Tabla15[[#This Row],[20]]="",0,VLOOKUP("VRP",Tabla5[#All],3,FALSE)*Tabla15[[#This Row],[21]])</f>
        <v>0</v>
      </c>
      <c r="AC69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69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699" s="52">
        <f>IF(Tabla15[[#This Row],[23]]="",0,VLOOKUP("VC",Tabla5[#All],3,FALSE)*Tabla15[[#This Row],[24]])</f>
        <v>0</v>
      </c>
      <c r="AF69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69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699" s="52">
        <f>IF(Tabla15[[#This Row],[26]]="",0,VLOOKUP(TRAMOS!$K$2,Tabla5[#All],3,FALSE)*Tabla15[[#This Row],[27]])</f>
        <v>0</v>
      </c>
      <c r="AI69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69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69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69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69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69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69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700" spans="2:41" x14ac:dyDescent="0.25">
      <c r="B700" s="58" t="str">
        <f>Tabla1[[#This Row],[nudo inicial]]</f>
        <v>N371</v>
      </c>
      <c r="C700" s="58" t="str">
        <f>Tabla1[[#This Row],[nudo final]]</f>
        <v>TP243</v>
      </c>
      <c r="D700" s="51">
        <f>Tabla1[[#This Row],[longitud]]</f>
        <v>76.239999999999995</v>
      </c>
      <c r="E700" s="51" t="str">
        <f>Tabla1[[#This Row],[diametro]]</f>
        <v>2"</v>
      </c>
      <c r="F700" s="51" t="str">
        <f>Tabla1[[#This Row],[material]]</f>
        <v>PVC</v>
      </c>
      <c r="G70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700" s="52" t="str">
        <f>IF(Tabla1[[#This Row],[5]]="TPD",Tabla1[[#This Row],[6]],"")</f>
        <v/>
      </c>
      <c r="I700" s="52" t="str">
        <f>IF(OR(Tabla1[[#This Row],[5]]="TPD"),Tabla1[[#This Row],[7]],"")</f>
        <v/>
      </c>
      <c r="J700" s="52">
        <f>IF(Tabla15[[#This Row],[2]]="",0,VLOOKUP(TRAMOS!$H$2,Tabla5[#All],3,FALSE)*Tabla15[[#This Row],[3]])</f>
        <v>0</v>
      </c>
      <c r="K700" s="52" t="str">
        <f>IF(Tabla1[[#This Row],[5]]="TPL",Tabla1[[#This Row],[6]],"")</f>
        <v>3"</v>
      </c>
      <c r="L700" s="52">
        <f>IF(OR(Tabla1[[#This Row],[5]]="TPL"),Tabla1[[#This Row],[7]],"")</f>
        <v>1</v>
      </c>
      <c r="M700" s="52">
        <f>IF(Tabla15[[#This Row],[5]]="",0,VLOOKUP(TRAMOS!$K$2,Tabla5[#All],3,FALSE)*Tabla15[[#This Row],[6]])</f>
        <v>0.9</v>
      </c>
      <c r="N70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0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00" s="52">
        <f>IF(Tabla15[[#This Row],[8]]="",0,VLOOKUP(TRAMOS!$H$2,Tabla5[#All],3,FALSE)*Tabla15[[#This Row],[9]])</f>
        <v>0</v>
      </c>
      <c r="Q70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0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00" s="52">
        <f>IF(Tabla15[[#This Row],[11]]="",0,VLOOKUP(TRAMOS!$Q$2,Tabla5[#All],3,FALSE)*Tabla15[[#This Row],[12]])</f>
        <v>0</v>
      </c>
      <c r="T70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700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70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70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0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0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0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0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00" s="52">
        <f>IF(Tabla15[[#This Row],[20]]="",0,VLOOKUP("VRP",Tabla5[#All],3,FALSE)*Tabla15[[#This Row],[21]])</f>
        <v>0</v>
      </c>
      <c r="AC70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0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00" s="52">
        <f>IF(Tabla15[[#This Row],[23]]="",0,VLOOKUP("VC",Tabla5[#All],3,FALSE)*Tabla15[[#This Row],[24]])</f>
        <v>0</v>
      </c>
      <c r="AF70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0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00" s="52">
        <f>IF(Tabla15[[#This Row],[26]]="",0,VLOOKUP(TRAMOS!$K$2,Tabla5[#All],3,FALSE)*Tabla15[[#This Row],[27]])</f>
        <v>0</v>
      </c>
      <c r="AI70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0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0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0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0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700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70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701" spans="2:41" x14ac:dyDescent="0.25">
      <c r="B701" s="58" t="str">
        <f>Tabla1[[#This Row],[nudo inicial]]</f>
        <v>N371</v>
      </c>
      <c r="C701" s="58" t="str">
        <f>Tabla1[[#This Row],[nudo final]]</f>
        <v>N372</v>
      </c>
      <c r="D701" s="51">
        <f>Tabla1[[#This Row],[longitud]]</f>
        <v>52.63</v>
      </c>
      <c r="E701" s="51" t="str">
        <f>Tabla1[[#This Row],[diametro]]</f>
        <v>3"</v>
      </c>
      <c r="F701" s="51" t="str">
        <f>Tabla1[[#This Row],[material]]</f>
        <v>PVC</v>
      </c>
      <c r="G70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701" s="52" t="str">
        <f>IF(Tabla1[[#This Row],[5]]="TPD",Tabla1[[#This Row],[6]],"")</f>
        <v>3"</v>
      </c>
      <c r="I701" s="52">
        <f>IF(OR(Tabla1[[#This Row],[5]]="TPD"),Tabla1[[#This Row],[7]],"")</f>
        <v>0</v>
      </c>
      <c r="J701" s="52">
        <f>IF(Tabla15[[#This Row],[2]]="",0,VLOOKUP(TRAMOS!$H$2,Tabla5[#All],3,FALSE)*Tabla15[[#This Row],[3]])</f>
        <v>0</v>
      </c>
      <c r="K701" s="52" t="str">
        <f>IF(Tabla1[[#This Row],[5]]="TPL",Tabla1[[#This Row],[6]],"")</f>
        <v/>
      </c>
      <c r="L701" s="52" t="str">
        <f>IF(OR(Tabla1[[#This Row],[5]]="TPL"),Tabla1[[#This Row],[7]],"")</f>
        <v/>
      </c>
      <c r="M701" s="52">
        <f>IF(Tabla15[[#This Row],[5]]="",0,VLOOKUP(TRAMOS!$K$2,Tabla5[#All],3,FALSE)*Tabla15[[#This Row],[6]])</f>
        <v>0</v>
      </c>
      <c r="N70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0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01" s="52">
        <f>IF(Tabla15[[#This Row],[8]]="",0,VLOOKUP(TRAMOS!$H$2,Tabla5[#All],3,FALSE)*Tabla15[[#This Row],[9]])</f>
        <v>0</v>
      </c>
      <c r="Q70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0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01" s="52">
        <f>IF(Tabla15[[#This Row],[11]]="",0,VLOOKUP(TRAMOS!$Q$2,Tabla5[#All],3,FALSE)*Tabla15[[#This Row],[12]])</f>
        <v>0</v>
      </c>
      <c r="T70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0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0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0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0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0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0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0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01" s="52">
        <f>IF(Tabla15[[#This Row],[20]]="",0,VLOOKUP("VRP",Tabla5[#All],3,FALSE)*Tabla15[[#This Row],[21]])</f>
        <v>0</v>
      </c>
      <c r="AC70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0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01" s="52">
        <f>IF(Tabla15[[#This Row],[23]]="",0,VLOOKUP("VC",Tabla5[#All],3,FALSE)*Tabla15[[#This Row],[24]])</f>
        <v>0</v>
      </c>
      <c r="AF70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0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01" s="52">
        <f>IF(Tabla15[[#This Row],[26]]="",0,VLOOKUP(TRAMOS!$K$2,Tabla5[#All],3,FALSE)*Tabla15[[#This Row],[27]])</f>
        <v>0</v>
      </c>
      <c r="AI70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0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0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0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0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0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0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</v>
      </c>
    </row>
    <row r="702" spans="2:41" x14ac:dyDescent="0.25">
      <c r="B702" s="58" t="str">
        <f>Tabla1[[#This Row],[nudo inicial]]</f>
        <v>N372</v>
      </c>
      <c r="C702" s="58" t="str">
        <f>Tabla1[[#This Row],[nudo final]]</f>
        <v>TP244</v>
      </c>
      <c r="D702" s="51">
        <f>Tabla1[[#This Row],[longitud]]</f>
        <v>81.27</v>
      </c>
      <c r="E702" s="51" t="str">
        <f>Tabla1[[#This Row],[diametro]]</f>
        <v>2"</v>
      </c>
      <c r="F702" s="51" t="str">
        <f>Tabla1[[#This Row],[material]]</f>
        <v>PVC</v>
      </c>
      <c r="G70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702" s="52" t="str">
        <f>IF(Tabla1[[#This Row],[5]]="TPD",Tabla1[[#This Row],[6]],"")</f>
        <v/>
      </c>
      <c r="I702" s="52" t="str">
        <f>IF(OR(Tabla1[[#This Row],[5]]="TPD"),Tabla1[[#This Row],[7]],"")</f>
        <v/>
      </c>
      <c r="J702" s="52">
        <f>IF(Tabla15[[#This Row],[2]]="",0,VLOOKUP(TRAMOS!$H$2,Tabla5[#All],3,FALSE)*Tabla15[[#This Row],[3]])</f>
        <v>0</v>
      </c>
      <c r="K702" s="52" t="str">
        <f>IF(Tabla1[[#This Row],[5]]="TPL",Tabla1[[#This Row],[6]],"")</f>
        <v>3"</v>
      </c>
      <c r="L702" s="52">
        <f>IF(OR(Tabla1[[#This Row],[5]]="TPL"),Tabla1[[#This Row],[7]],"")</f>
        <v>1</v>
      </c>
      <c r="M702" s="52">
        <f>IF(Tabla15[[#This Row],[5]]="",0,VLOOKUP(TRAMOS!$K$2,Tabla5[#All],3,FALSE)*Tabla15[[#This Row],[6]])</f>
        <v>0.9</v>
      </c>
      <c r="N70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0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02" s="52">
        <f>IF(Tabla15[[#This Row],[8]]="",0,VLOOKUP(TRAMOS!$H$2,Tabla5[#All],3,FALSE)*Tabla15[[#This Row],[9]])</f>
        <v>0</v>
      </c>
      <c r="Q70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0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02" s="52">
        <f>IF(Tabla15[[#This Row],[11]]="",0,VLOOKUP(TRAMOS!$Q$2,Tabla5[#All],3,FALSE)*Tabla15[[#This Row],[12]])</f>
        <v>0</v>
      </c>
      <c r="T70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702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70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70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0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0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0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0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02" s="52">
        <f>IF(Tabla15[[#This Row],[20]]="",0,VLOOKUP("VRP",Tabla5[#All],3,FALSE)*Tabla15[[#This Row],[21]])</f>
        <v>0</v>
      </c>
      <c r="AC70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0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02" s="52">
        <f>IF(Tabla15[[#This Row],[23]]="",0,VLOOKUP("VC",Tabla5[#All],3,FALSE)*Tabla15[[#This Row],[24]])</f>
        <v>0</v>
      </c>
      <c r="AF70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0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02" s="52">
        <f>IF(Tabla15[[#This Row],[26]]="",0,VLOOKUP(TRAMOS!$K$2,Tabla5[#All],3,FALSE)*Tabla15[[#This Row],[27]])</f>
        <v>0</v>
      </c>
      <c r="AI70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0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0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0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0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702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70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703" spans="2:41" x14ac:dyDescent="0.25">
      <c r="B703" s="58" t="str">
        <f>Tabla1[[#This Row],[nudo inicial]]</f>
        <v>N372</v>
      </c>
      <c r="C703" s="58" t="str">
        <f>Tabla1[[#This Row],[nudo final]]</f>
        <v>N373</v>
      </c>
      <c r="D703" s="51">
        <f>Tabla1[[#This Row],[longitud]]</f>
        <v>56.13</v>
      </c>
      <c r="E703" s="51" t="str">
        <f>Tabla1[[#This Row],[diametro]]</f>
        <v>3"</v>
      </c>
      <c r="F703" s="51" t="str">
        <f>Tabla1[[#This Row],[material]]</f>
        <v>PVC</v>
      </c>
      <c r="G70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703" s="52" t="str">
        <f>IF(Tabla1[[#This Row],[5]]="TPD",Tabla1[[#This Row],[6]],"")</f>
        <v>3"</v>
      </c>
      <c r="I703" s="52">
        <f>IF(OR(Tabla1[[#This Row],[5]]="TPD"),Tabla1[[#This Row],[7]],"")</f>
        <v>1</v>
      </c>
      <c r="J703" s="52">
        <f>IF(Tabla15[[#This Row],[2]]="",0,VLOOKUP(TRAMOS!$H$2,Tabla5[#All],3,FALSE)*Tabla15[[#This Row],[3]])</f>
        <v>0.15</v>
      </c>
      <c r="K703" s="52" t="str">
        <f>IF(Tabla1[[#This Row],[5]]="TPL",Tabla1[[#This Row],[6]],"")</f>
        <v/>
      </c>
      <c r="L703" s="52" t="str">
        <f>IF(OR(Tabla1[[#This Row],[5]]="TPL"),Tabla1[[#This Row],[7]],"")</f>
        <v/>
      </c>
      <c r="M703" s="52">
        <f>IF(Tabla15[[#This Row],[5]]="",0,VLOOKUP(TRAMOS!$K$2,Tabla5[#All],3,FALSE)*Tabla15[[#This Row],[6]])</f>
        <v>0</v>
      </c>
      <c r="N70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0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03" s="52">
        <f>IF(Tabla15[[#This Row],[8]]="",0,VLOOKUP(TRAMOS!$H$2,Tabla5[#All],3,FALSE)*Tabla15[[#This Row],[9]])</f>
        <v>0</v>
      </c>
      <c r="Q70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0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03" s="52">
        <f>IF(Tabla15[[#This Row],[11]]="",0,VLOOKUP(TRAMOS!$Q$2,Tabla5[#All],3,FALSE)*Tabla15[[#This Row],[12]])</f>
        <v>0</v>
      </c>
      <c r="T70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0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0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0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0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0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0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0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03" s="52">
        <f>IF(Tabla15[[#This Row],[20]]="",0,VLOOKUP("VRP",Tabla5[#All],3,FALSE)*Tabla15[[#This Row],[21]])</f>
        <v>0</v>
      </c>
      <c r="AC70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0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03" s="52">
        <f>IF(Tabla15[[#This Row],[23]]="",0,VLOOKUP("VC",Tabla5[#All],3,FALSE)*Tabla15[[#This Row],[24]])</f>
        <v>0</v>
      </c>
      <c r="AF70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0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03" s="52">
        <f>IF(Tabla15[[#This Row],[26]]="",0,VLOOKUP(TRAMOS!$K$2,Tabla5[#All],3,FALSE)*Tabla15[[#This Row],[27]])</f>
        <v>0</v>
      </c>
      <c r="AI70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0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0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0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0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0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0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704" spans="2:41" x14ac:dyDescent="0.25">
      <c r="B704" s="58" t="str">
        <f>Tabla1[[#This Row],[nudo inicial]]</f>
        <v>N373</v>
      </c>
      <c r="C704" s="58" t="str">
        <f>Tabla1[[#This Row],[nudo final]]</f>
        <v>N374</v>
      </c>
      <c r="D704" s="51">
        <f>Tabla1[[#This Row],[longitud]]</f>
        <v>9.33</v>
      </c>
      <c r="E704" s="51" t="str">
        <f>Tabla1[[#This Row],[diametro]]</f>
        <v>3"</v>
      </c>
      <c r="F704" s="51" t="str">
        <f>Tabla1[[#This Row],[material]]</f>
        <v>PVC</v>
      </c>
      <c r="G70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704" s="52" t="str">
        <f>IF(Tabla1[[#This Row],[5]]="TPD",Tabla1[[#This Row],[6]],"")</f>
        <v/>
      </c>
      <c r="I704" s="52" t="str">
        <f>IF(OR(Tabla1[[#This Row],[5]]="TPD"),Tabla1[[#This Row],[7]],"")</f>
        <v/>
      </c>
      <c r="J704" s="52">
        <f>IF(Tabla15[[#This Row],[2]]="",0,VLOOKUP(TRAMOS!$H$2,Tabla5[#All],3,FALSE)*Tabla15[[#This Row],[3]])</f>
        <v>0</v>
      </c>
      <c r="K704" s="52" t="str">
        <f>IF(Tabla1[[#This Row],[5]]="TPL",Tabla1[[#This Row],[6]],"")</f>
        <v>3"</v>
      </c>
      <c r="L704" s="52">
        <f>IF(OR(Tabla1[[#This Row],[5]]="TPL"),Tabla1[[#This Row],[7]],"")</f>
        <v>1</v>
      </c>
      <c r="M704" s="52">
        <f>IF(Tabla15[[#This Row],[5]]="",0,VLOOKUP(TRAMOS!$K$2,Tabla5[#All],3,FALSE)*Tabla15[[#This Row],[6]])</f>
        <v>0.9</v>
      </c>
      <c r="N70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0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04" s="52">
        <f>IF(Tabla15[[#This Row],[8]]="",0,VLOOKUP(TRAMOS!$H$2,Tabla5[#All],3,FALSE)*Tabla15[[#This Row],[9]])</f>
        <v>0</v>
      </c>
      <c r="Q70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0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04" s="52">
        <f>IF(Tabla15[[#This Row],[11]]="",0,VLOOKUP(TRAMOS!$Q$2,Tabla5[#All],3,FALSE)*Tabla15[[#This Row],[12]])</f>
        <v>0</v>
      </c>
      <c r="T70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0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0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0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0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0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0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0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04" s="52">
        <f>IF(Tabla15[[#This Row],[20]]="",0,VLOOKUP("VRP",Tabla5[#All],3,FALSE)*Tabla15[[#This Row],[21]])</f>
        <v>0</v>
      </c>
      <c r="AC70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0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04" s="52">
        <f>IF(Tabla15[[#This Row],[23]]="",0,VLOOKUP("VC",Tabla5[#All],3,FALSE)*Tabla15[[#This Row],[24]])</f>
        <v>0</v>
      </c>
      <c r="AF70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0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04" s="52">
        <f>IF(Tabla15[[#This Row],[26]]="",0,VLOOKUP(TRAMOS!$K$2,Tabla5[#All],3,FALSE)*Tabla15[[#This Row],[27]])</f>
        <v>0</v>
      </c>
      <c r="AI70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0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0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0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0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0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0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705" spans="2:41" x14ac:dyDescent="0.25">
      <c r="B705" s="58" t="str">
        <f>Tabla1[[#This Row],[nudo inicial]]</f>
        <v>N374</v>
      </c>
      <c r="C705" s="58" t="str">
        <f>Tabla1[[#This Row],[nudo final]]</f>
        <v>TP245</v>
      </c>
      <c r="D705" s="51">
        <f>Tabla1[[#This Row],[longitud]]</f>
        <v>110.49</v>
      </c>
      <c r="E705" s="51" t="str">
        <f>Tabla1[[#This Row],[diametro]]</f>
        <v>2"</v>
      </c>
      <c r="F705" s="51" t="str">
        <f>Tabla1[[#This Row],[material]]</f>
        <v>PVC</v>
      </c>
      <c r="G70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705" s="52" t="str">
        <f>IF(Tabla1[[#This Row],[5]]="TPD",Tabla1[[#This Row],[6]],"")</f>
        <v/>
      </c>
      <c r="I705" s="52" t="str">
        <f>IF(OR(Tabla1[[#This Row],[5]]="TPD"),Tabla1[[#This Row],[7]],"")</f>
        <v/>
      </c>
      <c r="J705" s="52">
        <f>IF(Tabla15[[#This Row],[2]]="",0,VLOOKUP(TRAMOS!$H$2,Tabla5[#All],3,FALSE)*Tabla15[[#This Row],[3]])</f>
        <v>0</v>
      </c>
      <c r="K705" s="52" t="str">
        <f>IF(Tabla1[[#This Row],[5]]="TPL",Tabla1[[#This Row],[6]],"")</f>
        <v/>
      </c>
      <c r="L705" s="52" t="str">
        <f>IF(OR(Tabla1[[#This Row],[5]]="TPL"),Tabla1[[#This Row],[7]],"")</f>
        <v/>
      </c>
      <c r="M705" s="52">
        <f>IF(Tabla15[[#This Row],[5]]="",0,VLOOKUP(TRAMOS!$K$2,Tabla5[#All],3,FALSE)*Tabla15[[#This Row],[6]])</f>
        <v>0</v>
      </c>
      <c r="N70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0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05" s="52">
        <f>IF(Tabla15[[#This Row],[8]]="",0,VLOOKUP(TRAMOS!$H$2,Tabla5[#All],3,FALSE)*Tabla15[[#This Row],[9]])</f>
        <v>0</v>
      </c>
      <c r="Q70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0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05" s="52">
        <f>IF(Tabla15[[#This Row],[11]]="",0,VLOOKUP(TRAMOS!$Q$2,Tabla5[#All],3,FALSE)*Tabla15[[#This Row],[12]])</f>
        <v>0</v>
      </c>
      <c r="T70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705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70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70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0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0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0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0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05" s="52">
        <f>IF(Tabla15[[#This Row],[20]]="",0,VLOOKUP("VRP",Tabla5[#All],3,FALSE)*Tabla15[[#This Row],[21]])</f>
        <v>0</v>
      </c>
      <c r="AC70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0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05" s="52">
        <f>IF(Tabla15[[#This Row],[23]]="",0,VLOOKUP("VC",Tabla5[#All],3,FALSE)*Tabla15[[#This Row],[24]])</f>
        <v>0</v>
      </c>
      <c r="AF70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0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05" s="52">
        <f>IF(Tabla15[[#This Row],[26]]="",0,VLOOKUP(TRAMOS!$K$2,Tabla5[#All],3,FALSE)*Tabla15[[#This Row],[27]])</f>
        <v>0</v>
      </c>
      <c r="AI70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0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0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0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0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705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70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0.21500000000000002</v>
      </c>
    </row>
    <row r="706" spans="2:41" x14ac:dyDescent="0.25">
      <c r="B706" s="58" t="str">
        <f>Tabla1[[#This Row],[nudo inicial]]</f>
        <v>N373</v>
      </c>
      <c r="C706" s="58" t="str">
        <f>Tabla1[[#This Row],[nudo final]]</f>
        <v>N375</v>
      </c>
      <c r="D706" s="51">
        <f>Tabla1[[#This Row],[longitud]]</f>
        <v>21.76</v>
      </c>
      <c r="E706" s="51" t="str">
        <f>Tabla1[[#This Row],[diametro]]</f>
        <v>2"</v>
      </c>
      <c r="F706" s="51" t="str">
        <f>Tabla1[[#This Row],[material]]</f>
        <v>PVC</v>
      </c>
      <c r="G70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706" s="52" t="str">
        <f>IF(Tabla1[[#This Row],[5]]="TPD",Tabla1[[#This Row],[6]],"")</f>
        <v>3"</v>
      </c>
      <c r="I706" s="52">
        <f>IF(OR(Tabla1[[#This Row],[5]]="TPD"),Tabla1[[#This Row],[7]],"")</f>
        <v>1</v>
      </c>
      <c r="J706" s="52">
        <f>IF(Tabla15[[#This Row],[2]]="",0,VLOOKUP(TRAMOS!$H$2,Tabla5[#All],3,FALSE)*Tabla15[[#This Row],[3]])</f>
        <v>0.15</v>
      </c>
      <c r="K706" s="52" t="str">
        <f>IF(Tabla1[[#This Row],[5]]="TPL",Tabla1[[#This Row],[6]],"")</f>
        <v/>
      </c>
      <c r="L706" s="52" t="str">
        <f>IF(OR(Tabla1[[#This Row],[5]]="TPL"),Tabla1[[#This Row],[7]],"")</f>
        <v/>
      </c>
      <c r="M706" s="52">
        <f>IF(Tabla15[[#This Row],[5]]="",0,VLOOKUP(TRAMOS!$K$2,Tabla5[#All],3,FALSE)*Tabla15[[#This Row],[6]])</f>
        <v>0</v>
      </c>
      <c r="N70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0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06" s="52">
        <f>IF(Tabla15[[#This Row],[8]]="",0,VLOOKUP(TRAMOS!$H$2,Tabla5[#All],3,FALSE)*Tabla15[[#This Row],[9]])</f>
        <v>0</v>
      </c>
      <c r="Q70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0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06" s="52">
        <f>IF(Tabla15[[#This Row],[11]]="",0,VLOOKUP(TRAMOS!$Q$2,Tabla5[#All],3,FALSE)*Tabla15[[#This Row],[12]])</f>
        <v>0</v>
      </c>
      <c r="T70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706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70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70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0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0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0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0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06" s="52">
        <f>IF(Tabla15[[#This Row],[20]]="",0,VLOOKUP("VRP",Tabla5[#All],3,FALSE)*Tabla15[[#This Row],[21]])</f>
        <v>0</v>
      </c>
      <c r="AC70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0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06" s="52">
        <f>IF(Tabla15[[#This Row],[23]]="",0,VLOOKUP("VC",Tabla5[#All],3,FALSE)*Tabla15[[#This Row],[24]])</f>
        <v>0</v>
      </c>
      <c r="AF70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0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06" s="52">
        <f>IF(Tabla15[[#This Row],[26]]="",0,VLOOKUP(TRAMOS!$K$2,Tabla5[#All],3,FALSE)*Tabla15[[#This Row],[27]])</f>
        <v>0</v>
      </c>
      <c r="AI70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0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0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0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0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0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0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0.36499999999999999</v>
      </c>
    </row>
    <row r="707" spans="2:41" x14ac:dyDescent="0.25">
      <c r="B707" s="58" t="str">
        <f>Tabla1[[#This Row],[nudo inicial]]</f>
        <v>N375</v>
      </c>
      <c r="C707" s="58" t="str">
        <f>Tabla1[[#This Row],[nudo final]]</f>
        <v>N376</v>
      </c>
      <c r="D707" s="51">
        <f>Tabla1[[#This Row],[longitud]]</f>
        <v>77.8</v>
      </c>
      <c r="E707" s="51" t="str">
        <f>Tabla1[[#This Row],[diametro]]</f>
        <v>2"</v>
      </c>
      <c r="F707" s="51" t="str">
        <f>Tabla1[[#This Row],[material]]</f>
        <v>PVC</v>
      </c>
      <c r="G70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707" s="52" t="str">
        <f>IF(Tabla1[[#This Row],[5]]="TPD",Tabla1[[#This Row],[6]],"")</f>
        <v/>
      </c>
      <c r="I707" s="52" t="str">
        <f>IF(OR(Tabla1[[#This Row],[5]]="TPD"),Tabla1[[#This Row],[7]],"")</f>
        <v/>
      </c>
      <c r="J707" s="52">
        <f>IF(Tabla15[[#This Row],[2]]="",0,VLOOKUP(TRAMOS!$H$2,Tabla5[#All],3,FALSE)*Tabla15[[#This Row],[3]])</f>
        <v>0</v>
      </c>
      <c r="K707" s="52" t="str">
        <f>IF(Tabla1[[#This Row],[5]]="TPL",Tabla1[[#This Row],[6]],"")</f>
        <v>2"</v>
      </c>
      <c r="L707" s="52">
        <f>IF(OR(Tabla1[[#This Row],[5]]="TPL"),Tabla1[[#This Row],[7]],"")</f>
        <v>1</v>
      </c>
      <c r="M707" s="52">
        <f>IF(Tabla15[[#This Row],[5]]="",0,VLOOKUP(TRAMOS!$K$2,Tabla5[#All],3,FALSE)*Tabla15[[#This Row],[6]])</f>
        <v>0.9</v>
      </c>
      <c r="N70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0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07" s="52">
        <f>IF(Tabla15[[#This Row],[8]]="",0,VLOOKUP(TRAMOS!$H$2,Tabla5[#All],3,FALSE)*Tabla15[[#This Row],[9]])</f>
        <v>0</v>
      </c>
      <c r="Q70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0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07" s="52">
        <f>IF(Tabla15[[#This Row],[11]]="",0,VLOOKUP(TRAMOS!$Q$2,Tabla5[#All],3,FALSE)*Tabla15[[#This Row],[12]])</f>
        <v>0</v>
      </c>
      <c r="T70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0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0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0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0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0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0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0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07" s="52">
        <f>IF(Tabla15[[#This Row],[20]]="",0,VLOOKUP("VRP",Tabla5[#All],3,FALSE)*Tabla15[[#This Row],[21]])</f>
        <v>0</v>
      </c>
      <c r="AC70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0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07" s="52">
        <f>IF(Tabla15[[#This Row],[23]]="",0,VLOOKUP("VC",Tabla5[#All],3,FALSE)*Tabla15[[#This Row],[24]])</f>
        <v>0</v>
      </c>
      <c r="AF70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0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07" s="52">
        <f>IF(Tabla15[[#This Row],[26]]="",0,VLOOKUP(TRAMOS!$K$2,Tabla5[#All],3,FALSE)*Tabla15[[#This Row],[27]])</f>
        <v>0</v>
      </c>
      <c r="AI70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0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0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0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0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0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0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708" spans="2:41" x14ac:dyDescent="0.25">
      <c r="B708" s="58" t="str">
        <f>Tabla1[[#This Row],[nudo inicial]]</f>
        <v>N376</v>
      </c>
      <c r="C708" s="58" t="str">
        <f>Tabla1[[#This Row],[nudo final]]</f>
        <v>TP246</v>
      </c>
      <c r="D708" s="51">
        <f>Tabla1[[#This Row],[longitud]]</f>
        <v>7.08</v>
      </c>
      <c r="E708" s="51" t="str">
        <f>Tabla1[[#This Row],[diametro]]</f>
        <v>2"</v>
      </c>
      <c r="F708" s="51" t="str">
        <f>Tabla1[[#This Row],[material]]</f>
        <v>PVC</v>
      </c>
      <c r="G70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708" s="52" t="str">
        <f>IF(Tabla1[[#This Row],[5]]="TPD",Tabla1[[#This Row],[6]],"")</f>
        <v/>
      </c>
      <c r="I708" s="52" t="str">
        <f>IF(OR(Tabla1[[#This Row],[5]]="TPD"),Tabla1[[#This Row],[7]],"")</f>
        <v/>
      </c>
      <c r="J708" s="52">
        <f>IF(Tabla15[[#This Row],[2]]="",0,VLOOKUP(TRAMOS!$H$2,Tabla5[#All],3,FALSE)*Tabla15[[#This Row],[3]])</f>
        <v>0</v>
      </c>
      <c r="K708" s="52" t="str">
        <f>IF(Tabla1[[#This Row],[5]]="TPL",Tabla1[[#This Row],[6]],"")</f>
        <v>2"</v>
      </c>
      <c r="L708" s="52">
        <f>IF(OR(Tabla1[[#This Row],[5]]="TPL"),Tabla1[[#This Row],[7]],"")</f>
        <v>1</v>
      </c>
      <c r="M708" s="52">
        <f>IF(Tabla15[[#This Row],[5]]="",0,VLOOKUP(TRAMOS!$K$2,Tabla5[#All],3,FALSE)*Tabla15[[#This Row],[6]])</f>
        <v>0.9</v>
      </c>
      <c r="N70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0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08" s="52">
        <f>IF(Tabla15[[#This Row],[8]]="",0,VLOOKUP(TRAMOS!$H$2,Tabla5[#All],3,FALSE)*Tabla15[[#This Row],[9]])</f>
        <v>0</v>
      </c>
      <c r="Q70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0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08" s="52">
        <f>IF(Tabla15[[#This Row],[11]]="",0,VLOOKUP(TRAMOS!$Q$2,Tabla5[#All],3,FALSE)*Tabla15[[#This Row],[12]])</f>
        <v>0</v>
      </c>
      <c r="T70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0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0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0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0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0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0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0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08" s="52">
        <f>IF(Tabla15[[#This Row],[20]]="",0,VLOOKUP("VRP",Tabla5[#All],3,FALSE)*Tabla15[[#This Row],[21]])</f>
        <v>0</v>
      </c>
      <c r="AC70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0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08" s="52">
        <f>IF(Tabla15[[#This Row],[23]]="",0,VLOOKUP("VC",Tabla5[#All],3,FALSE)*Tabla15[[#This Row],[24]])</f>
        <v>0</v>
      </c>
      <c r="AF70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0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08" s="52">
        <f>IF(Tabla15[[#This Row],[26]]="",0,VLOOKUP(TRAMOS!$K$2,Tabla5[#All],3,FALSE)*Tabla15[[#This Row],[27]])</f>
        <v>0</v>
      </c>
      <c r="AI70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0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0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0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0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708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70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709" spans="2:41" x14ac:dyDescent="0.25">
      <c r="B709" s="58" t="str">
        <f>Tabla1[[#This Row],[nudo inicial]]</f>
        <v>N376</v>
      </c>
      <c r="C709" s="58" t="str">
        <f>Tabla1[[#This Row],[nudo final]]</f>
        <v>N377</v>
      </c>
      <c r="D709" s="51">
        <f>Tabla1[[#This Row],[longitud]]</f>
        <v>34.32</v>
      </c>
      <c r="E709" s="51" t="str">
        <f>Tabla1[[#This Row],[diametro]]</f>
        <v>2"</v>
      </c>
      <c r="F709" s="51" t="str">
        <f>Tabla1[[#This Row],[material]]</f>
        <v>PVC</v>
      </c>
      <c r="G70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709" s="52" t="str">
        <f>IF(Tabla1[[#This Row],[5]]="TPD",Tabla1[[#This Row],[6]],"")</f>
        <v/>
      </c>
      <c r="I709" s="52" t="str">
        <f>IF(OR(Tabla1[[#This Row],[5]]="TPD"),Tabla1[[#This Row],[7]],"")</f>
        <v/>
      </c>
      <c r="J709" s="52">
        <f>IF(Tabla15[[#This Row],[2]]="",0,VLOOKUP(TRAMOS!$H$2,Tabla5[#All],3,FALSE)*Tabla15[[#This Row],[3]])</f>
        <v>0</v>
      </c>
      <c r="K709" s="52" t="str">
        <f>IF(Tabla1[[#This Row],[5]]="TPL",Tabla1[[#This Row],[6]],"")</f>
        <v>2"</v>
      </c>
      <c r="L709" s="52">
        <f>IF(OR(Tabla1[[#This Row],[5]]="TPL"),Tabla1[[#This Row],[7]],"")</f>
        <v>1</v>
      </c>
      <c r="M709" s="52">
        <f>IF(Tabla15[[#This Row],[5]]="",0,VLOOKUP(TRAMOS!$K$2,Tabla5[#All],3,FALSE)*Tabla15[[#This Row],[6]])</f>
        <v>0.9</v>
      </c>
      <c r="N70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0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09" s="52">
        <f>IF(Tabla15[[#This Row],[8]]="",0,VLOOKUP(TRAMOS!$H$2,Tabla5[#All],3,FALSE)*Tabla15[[#This Row],[9]])</f>
        <v>0</v>
      </c>
      <c r="Q70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709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2</v>
      </c>
      <c r="S709" s="52">
        <f>IF(Tabla15[[#This Row],[11]]="",0,VLOOKUP(TRAMOS!$Q$2,Tabla5[#All],3,FALSE)*Tabla15[[#This Row],[12]])</f>
        <v>1.8</v>
      </c>
      <c r="T70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0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0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0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0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0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0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0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09" s="52">
        <f>IF(Tabla15[[#This Row],[20]]="",0,VLOOKUP("VRP",Tabla5[#All],3,FALSE)*Tabla15[[#This Row],[21]])</f>
        <v>0</v>
      </c>
      <c r="AC70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0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09" s="52">
        <f>IF(Tabla15[[#This Row],[23]]="",0,VLOOKUP("VC",Tabla5[#All],3,FALSE)*Tabla15[[#This Row],[24]])</f>
        <v>0</v>
      </c>
      <c r="AF70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0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09" s="52">
        <f>IF(Tabla15[[#This Row],[26]]="",0,VLOOKUP(TRAMOS!$K$2,Tabla5[#All],3,FALSE)*Tabla15[[#This Row],[27]])</f>
        <v>0</v>
      </c>
      <c r="AI70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0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0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0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0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0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0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2.7</v>
      </c>
    </row>
    <row r="710" spans="2:41" x14ac:dyDescent="0.25">
      <c r="B710" s="58" t="str">
        <f>Tabla1[[#This Row],[nudo inicial]]</f>
        <v>N377</v>
      </c>
      <c r="C710" s="58" t="str">
        <f>Tabla1[[#This Row],[nudo final]]</f>
        <v>TP247</v>
      </c>
      <c r="D710" s="51">
        <f>Tabla1[[#This Row],[longitud]]</f>
        <v>62.36</v>
      </c>
      <c r="E710" s="51" t="str">
        <f>Tabla1[[#This Row],[diametro]]</f>
        <v>2"</v>
      </c>
      <c r="F710" s="51" t="str">
        <f>Tabla1[[#This Row],[material]]</f>
        <v>PVC</v>
      </c>
      <c r="G71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710" s="52" t="str">
        <f>IF(Tabla1[[#This Row],[5]]="TPD",Tabla1[[#This Row],[6]],"")</f>
        <v/>
      </c>
      <c r="I710" s="52" t="str">
        <f>IF(OR(Tabla1[[#This Row],[5]]="TPD"),Tabla1[[#This Row],[7]],"")</f>
        <v/>
      </c>
      <c r="J710" s="52">
        <f>IF(Tabla15[[#This Row],[2]]="",0,VLOOKUP(TRAMOS!$H$2,Tabla5[#All],3,FALSE)*Tabla15[[#This Row],[3]])</f>
        <v>0</v>
      </c>
      <c r="K710" s="52" t="str">
        <f>IF(Tabla1[[#This Row],[5]]="TPL",Tabla1[[#This Row],[6]],"")</f>
        <v>2"</v>
      </c>
      <c r="L710" s="52">
        <f>IF(OR(Tabla1[[#This Row],[5]]="TPL"),Tabla1[[#This Row],[7]],"")</f>
        <v>1</v>
      </c>
      <c r="M710" s="52">
        <f>IF(Tabla15[[#This Row],[5]]="",0,VLOOKUP(TRAMOS!$K$2,Tabla5[#All],3,FALSE)*Tabla15[[#This Row],[6]])</f>
        <v>0.9</v>
      </c>
      <c r="N71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1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10" s="52">
        <f>IF(Tabla15[[#This Row],[8]]="",0,VLOOKUP(TRAMOS!$H$2,Tabla5[#All],3,FALSE)*Tabla15[[#This Row],[9]])</f>
        <v>0</v>
      </c>
      <c r="Q71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1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10" s="52">
        <f>IF(Tabla15[[#This Row],[11]]="",0,VLOOKUP(TRAMOS!$Q$2,Tabla5[#All],3,FALSE)*Tabla15[[#This Row],[12]])</f>
        <v>0</v>
      </c>
      <c r="T71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1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1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1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1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1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1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1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10" s="52">
        <f>IF(Tabla15[[#This Row],[20]]="",0,VLOOKUP("VRP",Tabla5[#All],3,FALSE)*Tabla15[[#This Row],[21]])</f>
        <v>0</v>
      </c>
      <c r="AC71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1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10" s="52">
        <f>IF(Tabla15[[#This Row],[23]]="",0,VLOOKUP("VC",Tabla5[#All],3,FALSE)*Tabla15[[#This Row],[24]])</f>
        <v>0</v>
      </c>
      <c r="AF71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1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10" s="52">
        <f>IF(Tabla15[[#This Row],[26]]="",0,VLOOKUP(TRAMOS!$K$2,Tabla5[#All],3,FALSE)*Tabla15[[#This Row],[27]])</f>
        <v>0</v>
      </c>
      <c r="AI71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1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1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1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1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710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71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711" spans="2:41" x14ac:dyDescent="0.25">
      <c r="B711" s="58" t="str">
        <f>Tabla1[[#This Row],[nudo inicial]]</f>
        <v>N377</v>
      </c>
      <c r="C711" s="58" t="str">
        <f>Tabla1[[#This Row],[nudo final]]</f>
        <v>TP248</v>
      </c>
      <c r="D711" s="51">
        <f>Tabla1[[#This Row],[longitud]]</f>
        <v>24.8</v>
      </c>
      <c r="E711" s="51" t="str">
        <f>Tabla1[[#This Row],[diametro]]</f>
        <v>2"</v>
      </c>
      <c r="F711" s="51" t="str">
        <f>Tabla1[[#This Row],[material]]</f>
        <v>PVC</v>
      </c>
      <c r="G71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711" s="52" t="str">
        <f>IF(Tabla1[[#This Row],[5]]="TPD",Tabla1[[#This Row],[6]],"")</f>
        <v>2"</v>
      </c>
      <c r="I711" s="52">
        <f>IF(OR(Tabla1[[#This Row],[5]]="TPD"),Tabla1[[#This Row],[7]],"")</f>
        <v>1</v>
      </c>
      <c r="J711" s="52">
        <f>IF(Tabla15[[#This Row],[2]]="",0,VLOOKUP(TRAMOS!$H$2,Tabla5[#All],3,FALSE)*Tabla15[[#This Row],[3]])</f>
        <v>0.15</v>
      </c>
      <c r="K711" s="52" t="str">
        <f>IF(Tabla1[[#This Row],[5]]="TPL",Tabla1[[#This Row],[6]],"")</f>
        <v/>
      </c>
      <c r="L711" s="52" t="str">
        <f>IF(OR(Tabla1[[#This Row],[5]]="TPL"),Tabla1[[#This Row],[7]],"")</f>
        <v/>
      </c>
      <c r="M711" s="52">
        <f>IF(Tabla15[[#This Row],[5]]="",0,VLOOKUP(TRAMOS!$K$2,Tabla5[#All],3,FALSE)*Tabla15[[#This Row],[6]])</f>
        <v>0</v>
      </c>
      <c r="N71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1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11" s="52">
        <f>IF(Tabla15[[#This Row],[8]]="",0,VLOOKUP(TRAMOS!$H$2,Tabla5[#All],3,FALSE)*Tabla15[[#This Row],[9]])</f>
        <v>0</v>
      </c>
      <c r="Q71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1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11" s="52">
        <f>IF(Tabla15[[#This Row],[11]]="",0,VLOOKUP(TRAMOS!$Q$2,Tabla5[#All],3,FALSE)*Tabla15[[#This Row],[12]])</f>
        <v>0</v>
      </c>
      <c r="T71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1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1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1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1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1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1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1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11" s="52">
        <f>IF(Tabla15[[#This Row],[20]]="",0,VLOOKUP("VRP",Tabla5[#All],3,FALSE)*Tabla15[[#This Row],[21]])</f>
        <v>0</v>
      </c>
      <c r="AC71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1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11" s="52">
        <f>IF(Tabla15[[#This Row],[23]]="",0,VLOOKUP("VC",Tabla5[#All],3,FALSE)*Tabla15[[#This Row],[24]])</f>
        <v>0</v>
      </c>
      <c r="AF71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1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11" s="52">
        <f>IF(Tabla15[[#This Row],[26]]="",0,VLOOKUP(TRAMOS!$K$2,Tabla5[#All],3,FALSE)*Tabla15[[#This Row],[27]])</f>
        <v>0</v>
      </c>
      <c r="AI71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1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1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1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1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711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71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712" spans="2:41" x14ac:dyDescent="0.25">
      <c r="B712" s="58" t="str">
        <f>Tabla1[[#This Row],[nudo inicial]]</f>
        <v>N375</v>
      </c>
      <c r="C712" s="58" t="str">
        <f>Tabla1[[#This Row],[nudo final]]</f>
        <v>N378</v>
      </c>
      <c r="D712" s="51">
        <f>Tabla1[[#This Row],[longitud]]</f>
        <v>35.06</v>
      </c>
      <c r="E712" s="51" t="str">
        <f>Tabla1[[#This Row],[diametro]]</f>
        <v>2"</v>
      </c>
      <c r="F712" s="51" t="str">
        <f>Tabla1[[#This Row],[material]]</f>
        <v>PVC</v>
      </c>
      <c r="G71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712" s="52" t="str">
        <f>IF(Tabla1[[#This Row],[5]]="TPD",Tabla1[[#This Row],[6]],"")</f>
        <v>2"</v>
      </c>
      <c r="I712" s="52">
        <f>IF(OR(Tabla1[[#This Row],[5]]="TPD"),Tabla1[[#This Row],[7]],"")</f>
        <v>1</v>
      </c>
      <c r="J712" s="52">
        <f>IF(Tabla15[[#This Row],[2]]="",0,VLOOKUP(TRAMOS!$H$2,Tabla5[#All],3,FALSE)*Tabla15[[#This Row],[3]])</f>
        <v>0.15</v>
      </c>
      <c r="K712" s="52" t="str">
        <f>IF(Tabla1[[#This Row],[5]]="TPL",Tabla1[[#This Row],[6]],"")</f>
        <v/>
      </c>
      <c r="L712" s="52" t="str">
        <f>IF(OR(Tabla1[[#This Row],[5]]="TPL"),Tabla1[[#This Row],[7]],"")</f>
        <v/>
      </c>
      <c r="M712" s="52">
        <f>IF(Tabla15[[#This Row],[5]]="",0,VLOOKUP(TRAMOS!$K$2,Tabla5[#All],3,FALSE)*Tabla15[[#This Row],[6]])</f>
        <v>0</v>
      </c>
      <c r="N71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1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12" s="52">
        <f>IF(Tabla15[[#This Row],[8]]="",0,VLOOKUP(TRAMOS!$H$2,Tabla5[#All],3,FALSE)*Tabla15[[#This Row],[9]])</f>
        <v>0</v>
      </c>
      <c r="Q71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1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12" s="52">
        <f>IF(Tabla15[[#This Row],[11]]="",0,VLOOKUP(TRAMOS!$Q$2,Tabla5[#All],3,FALSE)*Tabla15[[#This Row],[12]])</f>
        <v>0</v>
      </c>
      <c r="T71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1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1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1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>3"</v>
      </c>
      <c r="X712" s="52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>1</v>
      </c>
      <c r="Y71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0.57000000000000006</v>
      </c>
      <c r="Z71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1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12" s="52">
        <f>IF(Tabla15[[#This Row],[20]]="",0,VLOOKUP("VRP",Tabla5[#All],3,FALSE)*Tabla15[[#This Row],[21]])</f>
        <v>0</v>
      </c>
      <c r="AC71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1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12" s="52">
        <f>IF(Tabla15[[#This Row],[23]]="",0,VLOOKUP("VC",Tabla5[#All],3,FALSE)*Tabla15[[#This Row],[24]])</f>
        <v>0</v>
      </c>
      <c r="AF71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1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12" s="52">
        <f>IF(Tabla15[[#This Row],[26]]="",0,VLOOKUP(TRAMOS!$K$2,Tabla5[#All],3,FALSE)*Tabla15[[#This Row],[27]])</f>
        <v>0</v>
      </c>
      <c r="AI71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1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1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1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1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1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1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0.72000000000000008</v>
      </c>
    </row>
    <row r="713" spans="2:41" x14ac:dyDescent="0.25">
      <c r="B713" s="58" t="str">
        <f>Tabla1[[#This Row],[nudo inicial]]</f>
        <v>N378</v>
      </c>
      <c r="C713" s="58" t="str">
        <f>Tabla1[[#This Row],[nudo final]]</f>
        <v>TP249</v>
      </c>
      <c r="D713" s="51">
        <f>Tabla1[[#This Row],[longitud]]</f>
        <v>37</v>
      </c>
      <c r="E713" s="51" t="str">
        <f>Tabla1[[#This Row],[diametro]]</f>
        <v>1"</v>
      </c>
      <c r="F713" s="51" t="str">
        <f>Tabla1[[#This Row],[material]]</f>
        <v>PVC</v>
      </c>
      <c r="G71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713" s="52" t="str">
        <f>IF(Tabla1[[#This Row],[5]]="TPD",Tabla1[[#This Row],[6]],"")</f>
        <v/>
      </c>
      <c r="I713" s="52" t="str">
        <f>IF(OR(Tabla1[[#This Row],[5]]="TPD"),Tabla1[[#This Row],[7]],"")</f>
        <v/>
      </c>
      <c r="J713" s="52">
        <f>IF(Tabla15[[#This Row],[2]]="",0,VLOOKUP(TRAMOS!$H$2,Tabla5[#All],3,FALSE)*Tabla15[[#This Row],[3]])</f>
        <v>0</v>
      </c>
      <c r="K713" s="52" t="str">
        <f>IF(Tabla1[[#This Row],[5]]="TPL",Tabla1[[#This Row],[6]],"")</f>
        <v/>
      </c>
      <c r="L713" s="52" t="str">
        <f>IF(OR(Tabla1[[#This Row],[5]]="TPL"),Tabla1[[#This Row],[7]],"")</f>
        <v/>
      </c>
      <c r="M713" s="52">
        <f>IF(Tabla15[[#This Row],[5]]="",0,VLOOKUP(TRAMOS!$K$2,Tabla5[#All],3,FALSE)*Tabla15[[#This Row],[6]])</f>
        <v>0</v>
      </c>
      <c r="N71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1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13" s="52">
        <f>IF(Tabla15[[#This Row],[8]]="",0,VLOOKUP(TRAMOS!$H$2,Tabla5[#All],3,FALSE)*Tabla15[[#This Row],[9]])</f>
        <v>0</v>
      </c>
      <c r="Q71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1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13" s="52">
        <f>IF(Tabla15[[#This Row],[11]]="",0,VLOOKUP(TRAMOS!$Q$2,Tabla5[#All],3,FALSE)*Tabla15[[#This Row],[12]])</f>
        <v>0</v>
      </c>
      <c r="T71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1"</v>
      </c>
      <c r="U713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71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0.43</v>
      </c>
      <c r="W71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1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1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1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1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13" s="52">
        <f>IF(Tabla15[[#This Row],[20]]="",0,VLOOKUP("VRP",Tabla5[#All],3,FALSE)*Tabla15[[#This Row],[21]])</f>
        <v>0</v>
      </c>
      <c r="AC71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1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13" s="52">
        <f>IF(Tabla15[[#This Row],[23]]="",0,VLOOKUP("VC",Tabla5[#All],3,FALSE)*Tabla15[[#This Row],[24]])</f>
        <v>0</v>
      </c>
      <c r="AF71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>3"</v>
      </c>
      <c r="AG713" s="52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>1</v>
      </c>
      <c r="AH713" s="52">
        <f>IF(Tabla15[[#This Row],[26]]="",0,VLOOKUP(TRAMOS!$K$2,Tabla5[#All],3,FALSE)*Tabla15[[#This Row],[27]])</f>
        <v>0.9</v>
      </c>
      <c r="AI71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1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1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1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1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1"</v>
      </c>
      <c r="AN713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71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1.33</v>
      </c>
    </row>
    <row r="714" spans="2:41" x14ac:dyDescent="0.25">
      <c r="B714" s="58" t="str">
        <f>Tabla1[[#This Row],[nudo inicial]]</f>
        <v>N378</v>
      </c>
      <c r="C714" s="58" t="str">
        <f>Tabla1[[#This Row],[nudo final]]</f>
        <v>N379</v>
      </c>
      <c r="D714" s="51">
        <f>Tabla1[[#This Row],[longitud]]</f>
        <v>46.66</v>
      </c>
      <c r="E714" s="51" t="str">
        <f>Tabla1[[#This Row],[diametro]]</f>
        <v>3"</v>
      </c>
      <c r="F714" s="51" t="str">
        <f>Tabla1[[#This Row],[material]]</f>
        <v>PVC</v>
      </c>
      <c r="G71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714" s="52" t="str">
        <f>IF(Tabla1[[#This Row],[5]]="TPD",Tabla1[[#This Row],[6]],"")</f>
        <v/>
      </c>
      <c r="I714" s="52" t="str">
        <f>IF(OR(Tabla1[[#This Row],[5]]="TPD"),Tabla1[[#This Row],[7]],"")</f>
        <v/>
      </c>
      <c r="J714" s="52">
        <f>IF(Tabla15[[#This Row],[2]]="",0,VLOOKUP(TRAMOS!$H$2,Tabla5[#All],3,FALSE)*Tabla15[[#This Row],[3]])</f>
        <v>0</v>
      </c>
      <c r="K714" s="52" t="str">
        <f>IF(Tabla1[[#This Row],[5]]="TPL",Tabla1[[#This Row],[6]],"")</f>
        <v/>
      </c>
      <c r="L714" s="52" t="str">
        <f>IF(OR(Tabla1[[#This Row],[5]]="TPL"),Tabla1[[#This Row],[7]],"")</f>
        <v/>
      </c>
      <c r="M714" s="52">
        <f>IF(Tabla15[[#This Row],[5]]="",0,VLOOKUP(TRAMOS!$K$2,Tabla5[#All],3,FALSE)*Tabla15[[#This Row],[6]])</f>
        <v>0</v>
      </c>
      <c r="N71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1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14" s="52">
        <f>IF(Tabla15[[#This Row],[8]]="",0,VLOOKUP(TRAMOS!$H$2,Tabla5[#All],3,FALSE)*Tabla15[[#This Row],[9]])</f>
        <v>0</v>
      </c>
      <c r="Q71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1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14" s="52">
        <f>IF(Tabla15[[#This Row],[11]]="",0,VLOOKUP(TRAMOS!$Q$2,Tabla5[#All],3,FALSE)*Tabla15[[#This Row],[12]])</f>
        <v>0</v>
      </c>
      <c r="T71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1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1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1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1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1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1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1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14" s="52">
        <f>IF(Tabla15[[#This Row],[20]]="",0,VLOOKUP("VRP",Tabla5[#All],3,FALSE)*Tabla15[[#This Row],[21]])</f>
        <v>0</v>
      </c>
      <c r="AC71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714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714" s="52">
        <f>IF(Tabla15[[#This Row],[23]]="",0,VLOOKUP("VC",Tabla5[#All],3,FALSE)*Tabla15[[#This Row],[24]])</f>
        <v>0.25</v>
      </c>
      <c r="AF71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1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14" s="52">
        <f>IF(Tabla15[[#This Row],[26]]="",0,VLOOKUP(TRAMOS!$K$2,Tabla5[#All],3,FALSE)*Tabla15[[#This Row],[27]])</f>
        <v>0</v>
      </c>
      <c r="AI71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1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1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1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1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1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1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0.25</v>
      </c>
    </row>
    <row r="715" spans="2:41" x14ac:dyDescent="0.25">
      <c r="B715" s="58" t="str">
        <f>Tabla1[[#This Row],[nudo inicial]]</f>
        <v>N354</v>
      </c>
      <c r="C715" s="58" t="str">
        <f>Tabla1[[#This Row],[nudo final]]</f>
        <v>N380</v>
      </c>
      <c r="D715" s="51">
        <f>Tabla1[[#This Row],[longitud]]</f>
        <v>139.59</v>
      </c>
      <c r="E715" s="51" t="str">
        <f>Tabla1[[#This Row],[diametro]]</f>
        <v>6"</v>
      </c>
      <c r="F715" s="51" t="str">
        <f>Tabla1[[#This Row],[material]]</f>
        <v>HF</v>
      </c>
      <c r="G71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715" s="52" t="str">
        <f>IF(Tabla1[[#This Row],[5]]="TPD",Tabla1[[#This Row],[6]],"")</f>
        <v/>
      </c>
      <c r="I715" s="52" t="str">
        <f>IF(OR(Tabla1[[#This Row],[5]]="TPD"),Tabla1[[#This Row],[7]],"")</f>
        <v/>
      </c>
      <c r="J715" s="52">
        <f>IF(Tabla15[[#This Row],[2]]="",0,VLOOKUP(TRAMOS!$H$2,Tabla5[#All],3,FALSE)*Tabla15[[#This Row],[3]])</f>
        <v>0</v>
      </c>
      <c r="K715" s="52" t="str">
        <f>IF(Tabla1[[#This Row],[5]]="TPL",Tabla1[[#This Row],[6]],"")</f>
        <v/>
      </c>
      <c r="L715" s="52" t="str">
        <f>IF(OR(Tabla1[[#This Row],[5]]="TPL"),Tabla1[[#This Row],[7]],"")</f>
        <v/>
      </c>
      <c r="M715" s="52">
        <f>IF(Tabla15[[#This Row],[5]]="",0,VLOOKUP(TRAMOS!$K$2,Tabla5[#All],3,FALSE)*Tabla15[[#This Row],[6]])</f>
        <v>0</v>
      </c>
      <c r="N71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6"</v>
      </c>
      <c r="O715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715" s="52">
        <f>IF(Tabla15[[#This Row],[8]]="",0,VLOOKUP(TRAMOS!$H$2,Tabla5[#All],3,FALSE)*Tabla15[[#This Row],[9]])</f>
        <v>0.15</v>
      </c>
      <c r="Q71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1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15" s="52">
        <f>IF(Tabla15[[#This Row],[11]]="",0,VLOOKUP(TRAMOS!$Q$2,Tabla5[#All],3,FALSE)*Tabla15[[#This Row],[12]])</f>
        <v>0</v>
      </c>
      <c r="T71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1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1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1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1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1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1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1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15" s="52">
        <f>IF(Tabla15[[#This Row],[20]]="",0,VLOOKUP("VRP",Tabla5[#All],3,FALSE)*Tabla15[[#This Row],[21]])</f>
        <v>0</v>
      </c>
      <c r="AC71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1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15" s="52">
        <f>IF(Tabla15[[#This Row],[23]]="",0,VLOOKUP("VC",Tabla5[#All],3,FALSE)*Tabla15[[#This Row],[24]])</f>
        <v>0</v>
      </c>
      <c r="AF71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1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15" s="52">
        <f>IF(Tabla15[[#This Row],[26]]="",0,VLOOKUP(TRAMOS!$K$2,Tabla5[#All],3,FALSE)*Tabla15[[#This Row],[27]])</f>
        <v>0</v>
      </c>
      <c r="AI71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1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15" s="52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>0</v>
      </c>
      <c r="AL715" s="52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>1</v>
      </c>
      <c r="AM71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1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1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716" spans="2:41" x14ac:dyDescent="0.25">
      <c r="B716" s="58" t="str">
        <f>Tabla1[[#This Row],[nudo inicial]]</f>
        <v>N380</v>
      </c>
      <c r="C716" s="58" t="str">
        <f>Tabla1[[#This Row],[nudo final]]</f>
        <v>N379</v>
      </c>
      <c r="D716" s="51">
        <f>Tabla1[[#This Row],[longitud]]</f>
        <v>1.75</v>
      </c>
      <c r="E716" s="51" t="str">
        <f>Tabla1[[#This Row],[diametro]]</f>
        <v>3"</v>
      </c>
      <c r="F716" s="51" t="str">
        <f>Tabla1[[#This Row],[material]]</f>
        <v>PVC</v>
      </c>
      <c r="G71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716" s="52" t="str">
        <f>IF(Tabla1[[#This Row],[5]]="TPD",Tabla1[[#This Row],[6]],"")</f>
        <v/>
      </c>
      <c r="I716" s="52" t="str">
        <f>IF(OR(Tabla1[[#This Row],[5]]="TPD"),Tabla1[[#This Row],[7]],"")</f>
        <v/>
      </c>
      <c r="J716" s="52">
        <f>IF(Tabla15[[#This Row],[2]]="",0,VLOOKUP(TRAMOS!$H$2,Tabla5[#All],3,FALSE)*Tabla15[[#This Row],[3]])</f>
        <v>0</v>
      </c>
      <c r="K716" s="52" t="str">
        <f>IF(Tabla1[[#This Row],[5]]="TPL",Tabla1[[#This Row],[6]],"")</f>
        <v/>
      </c>
      <c r="L716" s="52" t="str">
        <f>IF(OR(Tabla1[[#This Row],[5]]="TPL"),Tabla1[[#This Row],[7]],"")</f>
        <v/>
      </c>
      <c r="M716" s="52">
        <f>IF(Tabla15[[#This Row],[5]]="",0,VLOOKUP(TRAMOS!$K$2,Tabla5[#All],3,FALSE)*Tabla15[[#This Row],[6]])</f>
        <v>0</v>
      </c>
      <c r="N71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1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16" s="52">
        <f>IF(Tabla15[[#This Row],[8]]="",0,VLOOKUP(TRAMOS!$H$2,Tabla5[#All],3,FALSE)*Tabla15[[#This Row],[9]])</f>
        <v>0</v>
      </c>
      <c r="Q71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1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16" s="52">
        <f>IF(Tabla15[[#This Row],[11]]="",0,VLOOKUP(TRAMOS!$Q$2,Tabla5[#All],3,FALSE)*Tabla15[[#This Row],[12]])</f>
        <v>0</v>
      </c>
      <c r="T71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716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71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71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1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1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1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1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16" s="52">
        <f>IF(Tabla15[[#This Row],[20]]="",0,VLOOKUP("VRP",Tabla5[#All],3,FALSE)*Tabla15[[#This Row],[21]])</f>
        <v>0</v>
      </c>
      <c r="AC71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1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16" s="52">
        <f>IF(Tabla15[[#This Row],[23]]="",0,VLOOKUP("VC",Tabla5[#All],3,FALSE)*Tabla15[[#This Row],[24]])</f>
        <v>0</v>
      </c>
      <c r="AF71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1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16" s="52">
        <f>IF(Tabla15[[#This Row],[26]]="",0,VLOOKUP(TRAMOS!$K$2,Tabla5[#All],3,FALSE)*Tabla15[[#This Row],[27]])</f>
        <v>0</v>
      </c>
      <c r="AI71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1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1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1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1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1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1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0.37</v>
      </c>
    </row>
    <row r="717" spans="2:41" x14ac:dyDescent="0.25">
      <c r="B717" s="58" t="str">
        <f>Tabla1[[#This Row],[nudo inicial]]</f>
        <v>N379</v>
      </c>
      <c r="C717" s="58" t="str">
        <f>Tabla1[[#This Row],[nudo final]]</f>
        <v>N381</v>
      </c>
      <c r="D717" s="51">
        <f>Tabla1[[#This Row],[longitud]]</f>
        <v>4.9400000000000004</v>
      </c>
      <c r="E717" s="51" t="str">
        <f>Tabla1[[#This Row],[diametro]]</f>
        <v>3"</v>
      </c>
      <c r="F717" s="51" t="str">
        <f>Tabla1[[#This Row],[material]]</f>
        <v>PVC</v>
      </c>
      <c r="G71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717" s="52" t="str">
        <f>IF(Tabla1[[#This Row],[5]]="TPD",Tabla1[[#This Row],[6]],"")</f>
        <v>3"</v>
      </c>
      <c r="I717" s="52">
        <f>IF(OR(Tabla1[[#This Row],[5]]="TPD"),Tabla1[[#This Row],[7]],"")</f>
        <v>1</v>
      </c>
      <c r="J717" s="52">
        <f>IF(Tabla15[[#This Row],[2]]="",0,VLOOKUP(TRAMOS!$H$2,Tabla5[#All],3,FALSE)*Tabla15[[#This Row],[3]])</f>
        <v>0.15</v>
      </c>
      <c r="K717" s="52" t="str">
        <f>IF(Tabla1[[#This Row],[5]]="TPL",Tabla1[[#This Row],[6]],"")</f>
        <v/>
      </c>
      <c r="L717" s="52" t="str">
        <f>IF(OR(Tabla1[[#This Row],[5]]="TPL"),Tabla1[[#This Row],[7]],"")</f>
        <v/>
      </c>
      <c r="M717" s="52">
        <f>IF(Tabla15[[#This Row],[5]]="",0,VLOOKUP(TRAMOS!$K$2,Tabla5[#All],3,FALSE)*Tabla15[[#This Row],[6]])</f>
        <v>0</v>
      </c>
      <c r="N71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1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17" s="52">
        <f>IF(Tabla15[[#This Row],[8]]="",0,VLOOKUP(TRAMOS!$H$2,Tabla5[#All],3,FALSE)*Tabla15[[#This Row],[9]])</f>
        <v>0</v>
      </c>
      <c r="Q71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1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17" s="52">
        <f>IF(Tabla15[[#This Row],[11]]="",0,VLOOKUP(TRAMOS!$Q$2,Tabla5[#All],3,FALSE)*Tabla15[[#This Row],[12]])</f>
        <v>0</v>
      </c>
      <c r="T71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1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1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1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1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1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1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1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17" s="52">
        <f>IF(Tabla15[[#This Row],[20]]="",0,VLOOKUP("VRP",Tabla5[#All],3,FALSE)*Tabla15[[#This Row],[21]])</f>
        <v>0</v>
      </c>
      <c r="AC71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1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17" s="52">
        <f>IF(Tabla15[[#This Row],[23]]="",0,VLOOKUP("VC",Tabla5[#All],3,FALSE)*Tabla15[[#This Row],[24]])</f>
        <v>0</v>
      </c>
      <c r="AF71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1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17" s="52">
        <f>IF(Tabla15[[#This Row],[26]]="",0,VLOOKUP(TRAMOS!$K$2,Tabla5[#All],3,FALSE)*Tabla15[[#This Row],[27]])</f>
        <v>0</v>
      </c>
      <c r="AI71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1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1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1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1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1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1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718" spans="2:41" x14ac:dyDescent="0.25">
      <c r="B718" s="58" t="str">
        <f>Tabla1[[#This Row],[nudo inicial]]</f>
        <v>N381</v>
      </c>
      <c r="C718" s="58" t="str">
        <f>Tabla1[[#This Row],[nudo final]]</f>
        <v>N382</v>
      </c>
      <c r="D718" s="51">
        <f>Tabla1[[#This Row],[longitud]]</f>
        <v>147.78</v>
      </c>
      <c r="E718" s="51" t="str">
        <f>Tabla1[[#This Row],[diametro]]</f>
        <v>3"</v>
      </c>
      <c r="F718" s="51" t="str">
        <f>Tabla1[[#This Row],[material]]</f>
        <v>PVC</v>
      </c>
      <c r="G71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718" s="52" t="str">
        <f>IF(Tabla1[[#This Row],[5]]="TPD",Tabla1[[#This Row],[6]],"")</f>
        <v/>
      </c>
      <c r="I718" s="52" t="str">
        <f>IF(OR(Tabla1[[#This Row],[5]]="TPD"),Tabla1[[#This Row],[7]],"")</f>
        <v/>
      </c>
      <c r="J718" s="52">
        <f>IF(Tabla15[[#This Row],[2]]="",0,VLOOKUP(TRAMOS!$H$2,Tabla5[#All],3,FALSE)*Tabla15[[#This Row],[3]])</f>
        <v>0</v>
      </c>
      <c r="K718" s="52" t="str">
        <f>IF(Tabla1[[#This Row],[5]]="TPL",Tabla1[[#This Row],[6]],"")</f>
        <v>3"</v>
      </c>
      <c r="L718" s="52">
        <f>IF(OR(Tabla1[[#This Row],[5]]="TPL"),Tabla1[[#This Row],[7]],"")</f>
        <v>1</v>
      </c>
      <c r="M718" s="52">
        <f>IF(Tabla15[[#This Row],[5]]="",0,VLOOKUP(TRAMOS!$K$2,Tabla5[#All],3,FALSE)*Tabla15[[#This Row],[6]])</f>
        <v>0.9</v>
      </c>
      <c r="N71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1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18" s="52">
        <f>IF(Tabla15[[#This Row],[8]]="",0,VLOOKUP(TRAMOS!$H$2,Tabla5[#All],3,FALSE)*Tabla15[[#This Row],[9]])</f>
        <v>0</v>
      </c>
      <c r="Q71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1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18" s="52">
        <f>IF(Tabla15[[#This Row],[11]]="",0,VLOOKUP(TRAMOS!$Q$2,Tabla5[#All],3,FALSE)*Tabla15[[#This Row],[12]])</f>
        <v>0</v>
      </c>
      <c r="T71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1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1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1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1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1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1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1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18" s="52">
        <f>IF(Tabla15[[#This Row],[20]]="",0,VLOOKUP("VRP",Tabla5[#All],3,FALSE)*Tabla15[[#This Row],[21]])</f>
        <v>0</v>
      </c>
      <c r="AC71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1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18" s="52">
        <f>IF(Tabla15[[#This Row],[23]]="",0,VLOOKUP("VC",Tabla5[#All],3,FALSE)*Tabla15[[#This Row],[24]])</f>
        <v>0</v>
      </c>
      <c r="AF71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1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18" s="52">
        <f>IF(Tabla15[[#This Row],[26]]="",0,VLOOKUP(TRAMOS!$K$2,Tabla5[#All],3,FALSE)*Tabla15[[#This Row],[27]])</f>
        <v>0</v>
      </c>
      <c r="AI71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1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1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1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1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1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1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719" spans="2:41" x14ac:dyDescent="0.25">
      <c r="B719" s="58" t="str">
        <f>Tabla1[[#This Row],[nudo inicial]]</f>
        <v>N382</v>
      </c>
      <c r="C719" s="58" t="str">
        <f>Tabla1[[#This Row],[nudo final]]</f>
        <v>N383</v>
      </c>
      <c r="D719" s="51">
        <f>Tabla1[[#This Row],[longitud]]</f>
        <v>2.2400000000000002</v>
      </c>
      <c r="E719" s="51" t="str">
        <f>Tabla1[[#This Row],[diametro]]</f>
        <v>3"</v>
      </c>
      <c r="F719" s="51" t="str">
        <f>Tabla1[[#This Row],[material]]</f>
        <v>HF</v>
      </c>
      <c r="G71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719" s="52" t="str">
        <f>IF(Tabla1[[#This Row],[5]]="TPD",Tabla1[[#This Row],[6]],"")</f>
        <v/>
      </c>
      <c r="I719" s="52" t="str">
        <f>IF(OR(Tabla1[[#This Row],[5]]="TPD"),Tabla1[[#This Row],[7]],"")</f>
        <v/>
      </c>
      <c r="J719" s="52">
        <f>IF(Tabla15[[#This Row],[2]]="",0,VLOOKUP(TRAMOS!$H$2,Tabla5[#All],3,FALSE)*Tabla15[[#This Row],[3]])</f>
        <v>0</v>
      </c>
      <c r="K719" s="52" t="str">
        <f>IF(Tabla1[[#This Row],[5]]="TPL",Tabla1[[#This Row],[6]],"")</f>
        <v>3"</v>
      </c>
      <c r="L719" s="52">
        <f>IF(OR(Tabla1[[#This Row],[5]]="TPL"),Tabla1[[#This Row],[7]],"")</f>
        <v>1</v>
      </c>
      <c r="M719" s="52">
        <f>IF(Tabla15[[#This Row],[5]]="",0,VLOOKUP(TRAMOS!$K$2,Tabla5[#All],3,FALSE)*Tabla15[[#This Row],[6]])</f>
        <v>0.9</v>
      </c>
      <c r="N71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1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19" s="52">
        <f>IF(Tabla15[[#This Row],[8]]="",0,VLOOKUP(TRAMOS!$H$2,Tabla5[#All],3,FALSE)*Tabla15[[#This Row],[9]])</f>
        <v>0</v>
      </c>
      <c r="Q71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1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19" s="52">
        <f>IF(Tabla15[[#This Row],[11]]="",0,VLOOKUP(TRAMOS!$Q$2,Tabla5[#All],3,FALSE)*Tabla15[[#This Row],[12]])</f>
        <v>0</v>
      </c>
      <c r="T71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1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1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1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1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1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1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1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19" s="52">
        <f>IF(Tabla15[[#This Row],[20]]="",0,VLOOKUP("VRP",Tabla5[#All],3,FALSE)*Tabla15[[#This Row],[21]])</f>
        <v>0</v>
      </c>
      <c r="AC71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1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19" s="52">
        <f>IF(Tabla15[[#This Row],[23]]="",0,VLOOKUP("VC",Tabla5[#All],3,FALSE)*Tabla15[[#This Row],[24]])</f>
        <v>0</v>
      </c>
      <c r="AF71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1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19" s="52">
        <f>IF(Tabla15[[#This Row],[26]]="",0,VLOOKUP(TRAMOS!$K$2,Tabla5[#All],3,FALSE)*Tabla15[[#This Row],[27]])</f>
        <v>0</v>
      </c>
      <c r="AI71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1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1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1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1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1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1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720" spans="2:41" x14ac:dyDescent="0.25">
      <c r="B720" s="58" t="str">
        <f>Tabla1[[#This Row],[nudo inicial]]</f>
        <v>N383</v>
      </c>
      <c r="C720" s="58" t="str">
        <f>Tabla1[[#This Row],[nudo final]]</f>
        <v>N384</v>
      </c>
      <c r="D720" s="51">
        <f>Tabla1[[#This Row],[longitud]]</f>
        <v>12.35</v>
      </c>
      <c r="E720" s="51" t="str">
        <f>Tabla1[[#This Row],[diametro]]</f>
        <v>3"</v>
      </c>
      <c r="F720" s="51" t="str">
        <f>Tabla1[[#This Row],[material]]</f>
        <v>HF</v>
      </c>
      <c r="G72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720" s="52" t="str">
        <f>IF(Tabla1[[#This Row],[5]]="TPD",Tabla1[[#This Row],[6]],"")</f>
        <v>3"</v>
      </c>
      <c r="I720" s="52">
        <f>IF(OR(Tabla1[[#This Row],[5]]="TPD"),Tabla1[[#This Row],[7]],"")</f>
        <v>1</v>
      </c>
      <c r="J720" s="52">
        <f>IF(Tabla15[[#This Row],[2]]="",0,VLOOKUP(TRAMOS!$H$2,Tabla5[#All],3,FALSE)*Tabla15[[#This Row],[3]])</f>
        <v>0.15</v>
      </c>
      <c r="K720" s="52" t="str">
        <f>IF(Tabla1[[#This Row],[5]]="TPL",Tabla1[[#This Row],[6]],"")</f>
        <v/>
      </c>
      <c r="L720" s="52" t="str">
        <f>IF(OR(Tabla1[[#This Row],[5]]="TPL"),Tabla1[[#This Row],[7]],"")</f>
        <v/>
      </c>
      <c r="M720" s="52">
        <f>IF(Tabla15[[#This Row],[5]]="",0,VLOOKUP(TRAMOS!$K$2,Tabla5[#All],3,FALSE)*Tabla15[[#This Row],[6]])</f>
        <v>0</v>
      </c>
      <c r="N72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2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20" s="52">
        <f>IF(Tabla15[[#This Row],[8]]="",0,VLOOKUP(TRAMOS!$H$2,Tabla5[#All],3,FALSE)*Tabla15[[#This Row],[9]])</f>
        <v>0</v>
      </c>
      <c r="Q72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2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20" s="52">
        <f>IF(Tabla15[[#This Row],[11]]="",0,VLOOKUP(TRAMOS!$Q$2,Tabla5[#All],3,FALSE)*Tabla15[[#This Row],[12]])</f>
        <v>0</v>
      </c>
      <c r="T72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2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2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2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>6"</v>
      </c>
      <c r="X720" s="52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>1</v>
      </c>
      <c r="Y72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0.68</v>
      </c>
      <c r="Z72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2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20" s="52">
        <f>IF(Tabla15[[#This Row],[20]]="",0,VLOOKUP("VRP",Tabla5[#All],3,FALSE)*Tabla15[[#This Row],[21]])</f>
        <v>0</v>
      </c>
      <c r="AC72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2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20" s="52">
        <f>IF(Tabla15[[#This Row],[23]]="",0,VLOOKUP("VC",Tabla5[#All],3,FALSE)*Tabla15[[#This Row],[24]])</f>
        <v>0</v>
      </c>
      <c r="AF72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2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20" s="52">
        <f>IF(Tabla15[[#This Row],[26]]="",0,VLOOKUP(TRAMOS!$K$2,Tabla5[#All],3,FALSE)*Tabla15[[#This Row],[27]])</f>
        <v>0</v>
      </c>
      <c r="AI72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2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2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2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2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2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2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0.83000000000000007</v>
      </c>
    </row>
    <row r="721" spans="2:41" x14ac:dyDescent="0.25">
      <c r="B721" s="58" t="str">
        <f>Tabla1[[#This Row],[nudo inicial]]</f>
        <v>N350</v>
      </c>
      <c r="C721" s="58" t="str">
        <f>Tabla1[[#This Row],[nudo final]]</f>
        <v>N385</v>
      </c>
      <c r="D721" s="51">
        <f>Tabla1[[#This Row],[longitud]]</f>
        <v>79.680000000000007</v>
      </c>
      <c r="E721" s="51" t="str">
        <f>Tabla1[[#This Row],[diametro]]</f>
        <v>3"</v>
      </c>
      <c r="F721" s="51" t="str">
        <f>Tabla1[[#This Row],[material]]</f>
        <v>PVC</v>
      </c>
      <c r="G72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721" s="52" t="str">
        <f>IF(Tabla1[[#This Row],[5]]="TPD",Tabla1[[#This Row],[6]],"")</f>
        <v/>
      </c>
      <c r="I721" s="52" t="str">
        <f>IF(OR(Tabla1[[#This Row],[5]]="TPD"),Tabla1[[#This Row],[7]],"")</f>
        <v/>
      </c>
      <c r="J721" s="52">
        <f>IF(Tabla15[[#This Row],[2]]="",0,VLOOKUP(TRAMOS!$H$2,Tabla5[#All],3,FALSE)*Tabla15[[#This Row],[3]])</f>
        <v>0</v>
      </c>
      <c r="K721" s="52" t="str">
        <f>IF(Tabla1[[#This Row],[5]]="TPL",Tabla1[[#This Row],[6]],"")</f>
        <v/>
      </c>
      <c r="L721" s="52" t="str">
        <f>IF(OR(Tabla1[[#This Row],[5]]="TPL"),Tabla1[[#This Row],[7]],"")</f>
        <v/>
      </c>
      <c r="M721" s="52">
        <f>IF(Tabla15[[#This Row],[5]]="",0,VLOOKUP(TRAMOS!$K$2,Tabla5[#All],3,FALSE)*Tabla15[[#This Row],[6]])</f>
        <v>0</v>
      </c>
      <c r="N72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4"</v>
      </c>
      <c r="O721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721" s="52">
        <f>IF(Tabla15[[#This Row],[8]]="",0,VLOOKUP(TRAMOS!$H$2,Tabla5[#All],3,FALSE)*Tabla15[[#This Row],[9]])</f>
        <v>0.15</v>
      </c>
      <c r="Q72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2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21" s="52">
        <f>IF(Tabla15[[#This Row],[11]]="",0,VLOOKUP(TRAMOS!$Q$2,Tabla5[#All],3,FALSE)*Tabla15[[#This Row],[12]])</f>
        <v>0</v>
      </c>
      <c r="T72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721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72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0.13850000000000007</v>
      </c>
      <c r="W72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2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2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2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2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21" s="52">
        <f>IF(Tabla15[[#This Row],[20]]="",0,VLOOKUP("VRP",Tabla5[#All],3,FALSE)*Tabla15[[#This Row],[21]])</f>
        <v>0</v>
      </c>
      <c r="AC72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2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21" s="52">
        <f>IF(Tabla15[[#This Row],[23]]="",0,VLOOKUP("VC",Tabla5[#All],3,FALSE)*Tabla15[[#This Row],[24]])</f>
        <v>0</v>
      </c>
      <c r="AF72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2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21" s="52">
        <f>IF(Tabla15[[#This Row],[26]]="",0,VLOOKUP(TRAMOS!$K$2,Tabla5[#All],3,FALSE)*Tabla15[[#This Row],[27]])</f>
        <v>0</v>
      </c>
      <c r="AI72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2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2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2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2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2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2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0.28850000000000009</v>
      </c>
    </row>
    <row r="722" spans="2:41" x14ac:dyDescent="0.25">
      <c r="B722" s="58" t="str">
        <f>Tabla1[[#This Row],[nudo inicial]]</f>
        <v>N385</v>
      </c>
      <c r="C722" s="58" t="str">
        <f>Tabla1[[#This Row],[nudo final]]</f>
        <v>TP250</v>
      </c>
      <c r="D722" s="51">
        <f>Tabla1[[#This Row],[longitud]]</f>
        <v>51.02</v>
      </c>
      <c r="E722" s="51" t="str">
        <f>Tabla1[[#This Row],[diametro]]</f>
        <v>2"</v>
      </c>
      <c r="F722" s="51" t="str">
        <f>Tabla1[[#This Row],[material]]</f>
        <v>PVC</v>
      </c>
      <c r="G72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722" s="52" t="str">
        <f>IF(Tabla1[[#This Row],[5]]="TPD",Tabla1[[#This Row],[6]],"")</f>
        <v/>
      </c>
      <c r="I722" s="52" t="str">
        <f>IF(OR(Tabla1[[#This Row],[5]]="TPD"),Tabla1[[#This Row],[7]],"")</f>
        <v/>
      </c>
      <c r="J722" s="52">
        <f>IF(Tabla15[[#This Row],[2]]="",0,VLOOKUP(TRAMOS!$H$2,Tabla5[#All],3,FALSE)*Tabla15[[#This Row],[3]])</f>
        <v>0</v>
      </c>
      <c r="K722" s="52" t="str">
        <f>IF(Tabla1[[#This Row],[5]]="TPL",Tabla1[[#This Row],[6]],"")</f>
        <v>3"</v>
      </c>
      <c r="L722" s="52">
        <f>IF(OR(Tabla1[[#This Row],[5]]="TPL"),Tabla1[[#This Row],[7]],"")</f>
        <v>1</v>
      </c>
      <c r="M722" s="52">
        <f>IF(Tabla15[[#This Row],[5]]="",0,VLOOKUP(TRAMOS!$K$2,Tabla5[#All],3,FALSE)*Tabla15[[#This Row],[6]])</f>
        <v>0.9</v>
      </c>
      <c r="N72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2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22" s="52">
        <f>IF(Tabla15[[#This Row],[8]]="",0,VLOOKUP(TRAMOS!$H$2,Tabla5[#All],3,FALSE)*Tabla15[[#This Row],[9]])</f>
        <v>0</v>
      </c>
      <c r="Q72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2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22" s="52">
        <f>IF(Tabla15[[#This Row],[11]]="",0,VLOOKUP(TRAMOS!$Q$2,Tabla5[#All],3,FALSE)*Tabla15[[#This Row],[12]])</f>
        <v>0</v>
      </c>
      <c r="T72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722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72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72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2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2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2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2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22" s="52">
        <f>IF(Tabla15[[#This Row],[20]]="",0,VLOOKUP("VRP",Tabla5[#All],3,FALSE)*Tabla15[[#This Row],[21]])</f>
        <v>0</v>
      </c>
      <c r="AC72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2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22" s="52">
        <f>IF(Tabla15[[#This Row],[23]]="",0,VLOOKUP("VC",Tabla5[#All],3,FALSE)*Tabla15[[#This Row],[24]])</f>
        <v>0</v>
      </c>
      <c r="AF72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2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22" s="52">
        <f>IF(Tabla15[[#This Row],[26]]="",0,VLOOKUP(TRAMOS!$K$2,Tabla5[#All],3,FALSE)*Tabla15[[#This Row],[27]])</f>
        <v>0</v>
      </c>
      <c r="AI72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2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2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2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2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722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72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723" spans="2:41" x14ac:dyDescent="0.25">
      <c r="B723" s="58" t="str">
        <f>Tabla1[[#This Row],[nudo inicial]]</f>
        <v>N385</v>
      </c>
      <c r="C723" s="58" t="str">
        <f>Tabla1[[#This Row],[nudo final]]</f>
        <v>N386</v>
      </c>
      <c r="D723" s="51">
        <f>Tabla1[[#This Row],[longitud]]</f>
        <v>41.88</v>
      </c>
      <c r="E723" s="51" t="str">
        <f>Tabla1[[#This Row],[diametro]]</f>
        <v>3"</v>
      </c>
      <c r="F723" s="51" t="str">
        <f>Tabla1[[#This Row],[material]]</f>
        <v>PVC</v>
      </c>
      <c r="G72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723" s="52" t="str">
        <f>IF(Tabla1[[#This Row],[5]]="TPD",Tabla1[[#This Row],[6]],"")</f>
        <v>3"</v>
      </c>
      <c r="I723" s="52">
        <f>IF(OR(Tabla1[[#This Row],[5]]="TPD"),Tabla1[[#This Row],[7]],"")</f>
        <v>1</v>
      </c>
      <c r="J723" s="52">
        <f>IF(Tabla15[[#This Row],[2]]="",0,VLOOKUP(TRAMOS!$H$2,Tabla5[#All],3,FALSE)*Tabla15[[#This Row],[3]])</f>
        <v>0.15</v>
      </c>
      <c r="K723" s="52" t="str">
        <f>IF(Tabla1[[#This Row],[5]]="TPL",Tabla1[[#This Row],[6]],"")</f>
        <v/>
      </c>
      <c r="L723" s="52" t="str">
        <f>IF(OR(Tabla1[[#This Row],[5]]="TPL"),Tabla1[[#This Row],[7]],"")</f>
        <v/>
      </c>
      <c r="M723" s="52">
        <f>IF(Tabla15[[#This Row],[5]]="",0,VLOOKUP(TRAMOS!$K$2,Tabla5[#All],3,FALSE)*Tabla15[[#This Row],[6]])</f>
        <v>0</v>
      </c>
      <c r="N72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2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23" s="52">
        <f>IF(Tabla15[[#This Row],[8]]="",0,VLOOKUP(TRAMOS!$H$2,Tabla5[#All],3,FALSE)*Tabla15[[#This Row],[9]])</f>
        <v>0</v>
      </c>
      <c r="Q72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2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23" s="52">
        <f>IF(Tabla15[[#This Row],[11]]="",0,VLOOKUP(TRAMOS!$Q$2,Tabla5[#All],3,FALSE)*Tabla15[[#This Row],[12]])</f>
        <v>0</v>
      </c>
      <c r="T72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2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2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2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2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2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2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2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23" s="52">
        <f>IF(Tabla15[[#This Row],[20]]="",0,VLOOKUP("VRP",Tabla5[#All],3,FALSE)*Tabla15[[#This Row],[21]])</f>
        <v>0</v>
      </c>
      <c r="AC72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723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723" s="52">
        <f>IF(Tabla15[[#This Row],[23]]="",0,VLOOKUP("VC",Tabla5[#All],3,FALSE)*Tabla15[[#This Row],[24]])</f>
        <v>0.25</v>
      </c>
      <c r="AF72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2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23" s="52">
        <f>IF(Tabla15[[#This Row],[26]]="",0,VLOOKUP(TRAMOS!$K$2,Tabla5[#All],3,FALSE)*Tabla15[[#This Row],[27]])</f>
        <v>0</v>
      </c>
      <c r="AI72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2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2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2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2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2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2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0.4</v>
      </c>
    </row>
    <row r="724" spans="2:41" x14ac:dyDescent="0.25">
      <c r="B724" s="58" t="str">
        <f>Tabla1[[#This Row],[nudo inicial]]</f>
        <v>N386</v>
      </c>
      <c r="C724" s="58" t="str">
        <f>Tabla1[[#This Row],[nudo final]]</f>
        <v>N384</v>
      </c>
      <c r="D724" s="51">
        <f>Tabla1[[#This Row],[longitud]]</f>
        <v>7.66</v>
      </c>
      <c r="E724" s="51" t="str">
        <f>Tabla1[[#This Row],[diametro]]</f>
        <v>3"</v>
      </c>
      <c r="F724" s="51" t="str">
        <f>Tabla1[[#This Row],[material]]</f>
        <v>HF</v>
      </c>
      <c r="G72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724" s="52" t="str">
        <f>IF(Tabla1[[#This Row],[5]]="TPD",Tabla1[[#This Row],[6]],"")</f>
        <v/>
      </c>
      <c r="I724" s="52" t="str">
        <f>IF(OR(Tabla1[[#This Row],[5]]="TPD"),Tabla1[[#This Row],[7]],"")</f>
        <v/>
      </c>
      <c r="J724" s="52">
        <f>IF(Tabla15[[#This Row],[2]]="",0,VLOOKUP(TRAMOS!$H$2,Tabla5[#All],3,FALSE)*Tabla15[[#This Row],[3]])</f>
        <v>0</v>
      </c>
      <c r="K724" s="52" t="str">
        <f>IF(Tabla1[[#This Row],[5]]="TPL",Tabla1[[#This Row],[6]],"")</f>
        <v/>
      </c>
      <c r="L724" s="52" t="str">
        <f>IF(OR(Tabla1[[#This Row],[5]]="TPL"),Tabla1[[#This Row],[7]],"")</f>
        <v/>
      </c>
      <c r="M724" s="52">
        <f>IF(Tabla15[[#This Row],[5]]="",0,VLOOKUP(TRAMOS!$K$2,Tabla5[#All],3,FALSE)*Tabla15[[#This Row],[6]])</f>
        <v>0</v>
      </c>
      <c r="N72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2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24" s="52">
        <f>IF(Tabla15[[#This Row],[8]]="",0,VLOOKUP(TRAMOS!$H$2,Tabla5[#All],3,FALSE)*Tabla15[[#This Row],[9]])</f>
        <v>0</v>
      </c>
      <c r="Q72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2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24" s="52">
        <f>IF(Tabla15[[#This Row],[11]]="",0,VLOOKUP(TRAMOS!$Q$2,Tabla5[#All],3,FALSE)*Tabla15[[#This Row],[12]])</f>
        <v>0</v>
      </c>
      <c r="T72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2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2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2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>6"</v>
      </c>
      <c r="X724" s="52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>1</v>
      </c>
      <c r="Y72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0.68</v>
      </c>
      <c r="Z72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2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24" s="52">
        <f>IF(Tabla15[[#This Row],[20]]="",0,VLOOKUP("VRP",Tabla5[#All],3,FALSE)*Tabla15[[#This Row],[21]])</f>
        <v>0</v>
      </c>
      <c r="AC72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2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24" s="52">
        <f>IF(Tabla15[[#This Row],[23]]="",0,VLOOKUP("VC",Tabla5[#All],3,FALSE)*Tabla15[[#This Row],[24]])</f>
        <v>0</v>
      </c>
      <c r="AF72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2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24" s="52">
        <f>IF(Tabla15[[#This Row],[26]]="",0,VLOOKUP(TRAMOS!$K$2,Tabla5[#All],3,FALSE)*Tabla15[[#This Row],[27]])</f>
        <v>0</v>
      </c>
      <c r="AI72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2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2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2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2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2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2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0.68</v>
      </c>
    </row>
    <row r="725" spans="2:41" x14ac:dyDescent="0.25">
      <c r="B725" s="58" t="str">
        <f>Tabla1[[#This Row],[nudo inicial]]</f>
        <v>N384</v>
      </c>
      <c r="C725" s="58" t="str">
        <f>Tabla1[[#This Row],[nudo final]]</f>
        <v>TP251</v>
      </c>
      <c r="D725" s="51">
        <f>Tabla1[[#This Row],[longitud]]</f>
        <v>124.82</v>
      </c>
      <c r="E725" s="51" t="str">
        <f>Tabla1[[#This Row],[diametro]]</f>
        <v>3"</v>
      </c>
      <c r="F725" s="51" t="str">
        <f>Tabla1[[#This Row],[material]]</f>
        <v>PVC</v>
      </c>
      <c r="G72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725" s="52" t="str">
        <f>IF(Tabla1[[#This Row],[5]]="TPD",Tabla1[[#This Row],[6]],"")</f>
        <v/>
      </c>
      <c r="I725" s="52" t="str">
        <f>IF(OR(Tabla1[[#This Row],[5]]="TPD"),Tabla1[[#This Row],[7]],"")</f>
        <v/>
      </c>
      <c r="J725" s="52">
        <f>IF(Tabla15[[#This Row],[2]]="",0,VLOOKUP(TRAMOS!$H$2,Tabla5[#All],3,FALSE)*Tabla15[[#This Row],[3]])</f>
        <v>0</v>
      </c>
      <c r="K725" s="52" t="str">
        <f>IF(Tabla1[[#This Row],[5]]="TPL",Tabla1[[#This Row],[6]],"")</f>
        <v/>
      </c>
      <c r="L725" s="52" t="str">
        <f>IF(OR(Tabla1[[#This Row],[5]]="TPL"),Tabla1[[#This Row],[7]],"")</f>
        <v/>
      </c>
      <c r="M725" s="52">
        <f>IF(Tabla15[[#This Row],[5]]="",0,VLOOKUP(TRAMOS!$K$2,Tabla5[#All],3,FALSE)*Tabla15[[#This Row],[6]])</f>
        <v>0</v>
      </c>
      <c r="N72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6"</v>
      </c>
      <c r="O725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725" s="52">
        <f>IF(Tabla15[[#This Row],[8]]="",0,VLOOKUP(TRAMOS!$H$2,Tabla5[#All],3,FALSE)*Tabla15[[#This Row],[9]])</f>
        <v>0.15</v>
      </c>
      <c r="Q72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2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25" s="52">
        <f>IF(Tabla15[[#This Row],[11]]="",0,VLOOKUP(TRAMOS!$Q$2,Tabla5[#All],3,FALSE)*Tabla15[[#This Row],[12]])</f>
        <v>0</v>
      </c>
      <c r="T72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725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72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72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2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2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2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2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25" s="52">
        <f>IF(Tabla15[[#This Row],[20]]="",0,VLOOKUP("VRP",Tabla5[#All],3,FALSE)*Tabla15[[#This Row],[21]])</f>
        <v>0</v>
      </c>
      <c r="AC72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2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25" s="52">
        <f>IF(Tabla15[[#This Row],[23]]="",0,VLOOKUP("VC",Tabla5[#All],3,FALSE)*Tabla15[[#This Row],[24]])</f>
        <v>0</v>
      </c>
      <c r="AF72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2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25" s="52">
        <f>IF(Tabla15[[#This Row],[26]]="",0,VLOOKUP(TRAMOS!$K$2,Tabla5[#All],3,FALSE)*Tabla15[[#This Row],[27]])</f>
        <v>0</v>
      </c>
      <c r="AI72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2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2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2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2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725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72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0.52</v>
      </c>
    </row>
    <row r="726" spans="2:41" x14ac:dyDescent="0.25">
      <c r="B726" s="58" t="str">
        <f>Tabla1[[#This Row],[nudo inicial]]</f>
        <v>N384</v>
      </c>
      <c r="C726" s="58" t="str">
        <f>Tabla1[[#This Row],[nudo final]]</f>
        <v>N387</v>
      </c>
      <c r="D726" s="51">
        <f>Tabla1[[#This Row],[longitud]]</f>
        <v>128.04</v>
      </c>
      <c r="E726" s="51" t="str">
        <f>Tabla1[[#This Row],[diametro]]</f>
        <v>6"</v>
      </c>
      <c r="F726" s="51" t="str">
        <f>Tabla1[[#This Row],[material]]</f>
        <v>PVC</v>
      </c>
      <c r="G72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726" s="52" t="str">
        <f>IF(Tabla1[[#This Row],[5]]="TPD",Tabla1[[#This Row],[6]],"")</f>
        <v/>
      </c>
      <c r="I726" s="52" t="str">
        <f>IF(OR(Tabla1[[#This Row],[5]]="TPD"),Tabla1[[#This Row],[7]],"")</f>
        <v/>
      </c>
      <c r="J726" s="52">
        <f>IF(Tabla15[[#This Row],[2]]="",0,VLOOKUP(TRAMOS!$H$2,Tabla5[#All],3,FALSE)*Tabla15[[#This Row],[3]])</f>
        <v>0</v>
      </c>
      <c r="K726" s="52" t="str">
        <f>IF(Tabla1[[#This Row],[5]]="TPL",Tabla1[[#This Row],[6]],"")</f>
        <v/>
      </c>
      <c r="L726" s="52" t="str">
        <f>IF(OR(Tabla1[[#This Row],[5]]="TPL"),Tabla1[[#This Row],[7]],"")</f>
        <v/>
      </c>
      <c r="M726" s="52">
        <f>IF(Tabla15[[#This Row],[5]]="",0,VLOOKUP(TRAMOS!$K$2,Tabla5[#All],3,FALSE)*Tabla15[[#This Row],[6]])</f>
        <v>0</v>
      </c>
      <c r="N72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6"</v>
      </c>
      <c r="O726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726" s="52">
        <f>IF(Tabla15[[#This Row],[8]]="",0,VLOOKUP(TRAMOS!$H$2,Tabla5[#All],3,FALSE)*Tabla15[[#This Row],[9]])</f>
        <v>0.15</v>
      </c>
      <c r="Q72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2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26" s="52">
        <f>IF(Tabla15[[#This Row],[11]]="",0,VLOOKUP(TRAMOS!$Q$2,Tabla5[#All],3,FALSE)*Tabla15[[#This Row],[12]])</f>
        <v>0</v>
      </c>
      <c r="T72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2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2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2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2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2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2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2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26" s="52">
        <f>IF(Tabla15[[#This Row],[20]]="",0,VLOOKUP("VRP",Tabla5[#All],3,FALSE)*Tabla15[[#This Row],[21]])</f>
        <v>0</v>
      </c>
      <c r="AC72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6"</v>
      </c>
      <c r="AD726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726" s="52">
        <f>IF(Tabla15[[#This Row],[23]]="",0,VLOOKUP("VC",Tabla5[#All],3,FALSE)*Tabla15[[#This Row],[24]])</f>
        <v>0.25</v>
      </c>
      <c r="AF72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2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26" s="52">
        <f>IF(Tabla15[[#This Row],[26]]="",0,VLOOKUP(TRAMOS!$K$2,Tabla5[#All],3,FALSE)*Tabla15[[#This Row],[27]])</f>
        <v>0</v>
      </c>
      <c r="AI726" s="52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>0</v>
      </c>
      <c r="AJ726" s="52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>1</v>
      </c>
      <c r="AK72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2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2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2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2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0.4</v>
      </c>
    </row>
    <row r="727" spans="2:41" x14ac:dyDescent="0.25">
      <c r="B727" s="58" t="str">
        <f>Tabla1[[#This Row],[nudo inicial]]</f>
        <v>N387</v>
      </c>
      <c r="C727" s="58" t="str">
        <f>Tabla1[[#This Row],[nudo final]]</f>
        <v>N388</v>
      </c>
      <c r="D727" s="51">
        <f>Tabla1[[#This Row],[longitud]]</f>
        <v>147.22999999999999</v>
      </c>
      <c r="E727" s="51" t="str">
        <f>Tabla1[[#This Row],[diametro]]</f>
        <v>6"</v>
      </c>
      <c r="F727" s="51" t="str">
        <f>Tabla1[[#This Row],[material]]</f>
        <v>PVC</v>
      </c>
      <c r="G72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727" s="52" t="str">
        <f>IF(Tabla1[[#This Row],[5]]="TPD",Tabla1[[#This Row],[6]],"")</f>
        <v>6"</v>
      </c>
      <c r="I727" s="52">
        <f>IF(OR(Tabla1[[#This Row],[5]]="TPD"),Tabla1[[#This Row],[7]],"")</f>
        <v>1</v>
      </c>
      <c r="J727" s="52">
        <f>IF(Tabla15[[#This Row],[2]]="",0,VLOOKUP(TRAMOS!$H$2,Tabla5[#All],3,FALSE)*Tabla15[[#This Row],[3]])</f>
        <v>0.15</v>
      </c>
      <c r="K727" s="52" t="str">
        <f>IF(Tabla1[[#This Row],[5]]="TPL",Tabla1[[#This Row],[6]],"")</f>
        <v/>
      </c>
      <c r="L727" s="52" t="str">
        <f>IF(OR(Tabla1[[#This Row],[5]]="TPL"),Tabla1[[#This Row],[7]],"")</f>
        <v/>
      </c>
      <c r="M727" s="52">
        <f>IF(Tabla15[[#This Row],[5]]="",0,VLOOKUP(TRAMOS!$K$2,Tabla5[#All],3,FALSE)*Tabla15[[#This Row],[6]])</f>
        <v>0</v>
      </c>
      <c r="N72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2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27" s="52">
        <f>IF(Tabla15[[#This Row],[8]]="",0,VLOOKUP(TRAMOS!$H$2,Tabla5[#All],3,FALSE)*Tabla15[[#This Row],[9]])</f>
        <v>0</v>
      </c>
      <c r="Q72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2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27" s="52">
        <f>IF(Tabla15[[#This Row],[11]]="",0,VLOOKUP(TRAMOS!$Q$2,Tabla5[#All],3,FALSE)*Tabla15[[#This Row],[12]])</f>
        <v>0</v>
      </c>
      <c r="T72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2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2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2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>8"</v>
      </c>
      <c r="X727" s="52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>1</v>
      </c>
      <c r="Y72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0.4740000000000002</v>
      </c>
      <c r="Z72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2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27" s="52">
        <f>IF(Tabla15[[#This Row],[20]]="",0,VLOOKUP("VRP",Tabla5[#All],3,FALSE)*Tabla15[[#This Row],[21]])</f>
        <v>0</v>
      </c>
      <c r="AC72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2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27" s="52">
        <f>IF(Tabla15[[#This Row],[23]]="",0,VLOOKUP("VC",Tabla5[#All],3,FALSE)*Tabla15[[#This Row],[24]])</f>
        <v>0</v>
      </c>
      <c r="AF72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2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27" s="52">
        <f>IF(Tabla15[[#This Row],[26]]="",0,VLOOKUP(TRAMOS!$K$2,Tabla5[#All],3,FALSE)*Tabla15[[#This Row],[27]])</f>
        <v>0</v>
      </c>
      <c r="AI72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2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2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2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2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2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2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0.62400000000000022</v>
      </c>
    </row>
    <row r="728" spans="2:41" x14ac:dyDescent="0.25">
      <c r="B728" s="58" t="str">
        <f>Tabla1[[#This Row],[nudo inicial]]</f>
        <v>N348</v>
      </c>
      <c r="C728" s="58" t="str">
        <f>Tabla1[[#This Row],[nudo final]]</f>
        <v>N388</v>
      </c>
      <c r="D728" s="51">
        <f>Tabla1[[#This Row],[longitud]]</f>
        <v>133.6</v>
      </c>
      <c r="E728" s="51" t="str">
        <f>Tabla1[[#This Row],[diametro]]</f>
        <v>8"</v>
      </c>
      <c r="F728" s="51" t="str">
        <f>Tabla1[[#This Row],[material]]</f>
        <v>PVC</v>
      </c>
      <c r="G72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728" s="52" t="str">
        <f>IF(Tabla1[[#This Row],[5]]="TPD",Tabla1[[#This Row],[6]],"")</f>
        <v/>
      </c>
      <c r="I728" s="52" t="str">
        <f>IF(OR(Tabla1[[#This Row],[5]]="TPD"),Tabla1[[#This Row],[7]],"")</f>
        <v/>
      </c>
      <c r="J728" s="52">
        <f>IF(Tabla15[[#This Row],[2]]="",0,VLOOKUP(TRAMOS!$H$2,Tabla5[#All],3,FALSE)*Tabla15[[#This Row],[3]])</f>
        <v>0</v>
      </c>
      <c r="K728" s="52" t="str">
        <f>IF(Tabla1[[#This Row],[5]]="TPL",Tabla1[[#This Row],[6]],"")</f>
        <v/>
      </c>
      <c r="L728" s="52" t="str">
        <f>IF(OR(Tabla1[[#This Row],[5]]="TPL"),Tabla1[[#This Row],[7]],"")</f>
        <v/>
      </c>
      <c r="M728" s="52">
        <f>IF(Tabla15[[#This Row],[5]]="",0,VLOOKUP(TRAMOS!$K$2,Tabla5[#All],3,FALSE)*Tabla15[[#This Row],[6]])</f>
        <v>0</v>
      </c>
      <c r="N72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8"</v>
      </c>
      <c r="O728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728" s="52">
        <f>IF(Tabla15[[#This Row],[8]]="",0,VLOOKUP(TRAMOS!$H$2,Tabla5[#All],3,FALSE)*Tabla15[[#This Row],[9]])</f>
        <v>0.15</v>
      </c>
      <c r="Q72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2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28" s="52">
        <f>IF(Tabla15[[#This Row],[11]]="",0,VLOOKUP(TRAMOS!$Q$2,Tabla5[#All],3,FALSE)*Tabla15[[#This Row],[12]])</f>
        <v>0</v>
      </c>
      <c r="T72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2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2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2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2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2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2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2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28" s="52">
        <f>IF(Tabla15[[#This Row],[20]]="",0,VLOOKUP("VRP",Tabla5[#All],3,FALSE)*Tabla15[[#This Row],[21]])</f>
        <v>0</v>
      </c>
      <c r="AC72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8"</v>
      </c>
      <c r="AD728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728" s="52">
        <f>IF(Tabla15[[#This Row],[23]]="",0,VLOOKUP("VC",Tabla5[#All],3,FALSE)*Tabla15[[#This Row],[24]])</f>
        <v>0.25</v>
      </c>
      <c r="AF72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2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28" s="52">
        <f>IF(Tabla15[[#This Row],[26]]="",0,VLOOKUP(TRAMOS!$K$2,Tabla5[#All],3,FALSE)*Tabla15[[#This Row],[27]])</f>
        <v>0</v>
      </c>
      <c r="AI72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2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2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2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2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2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2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0.4</v>
      </c>
    </row>
    <row r="729" spans="2:41" x14ac:dyDescent="0.25">
      <c r="B729" s="58" t="str">
        <f>Tabla1[[#This Row],[nudo inicial]]</f>
        <v>N388</v>
      </c>
      <c r="C729" s="58" t="str">
        <f>Tabla1[[#This Row],[nudo final]]</f>
        <v>N389</v>
      </c>
      <c r="D729" s="51">
        <f>Tabla1[[#This Row],[longitud]]</f>
        <v>198.34</v>
      </c>
      <c r="E729" s="51" t="str">
        <f>Tabla1[[#This Row],[diametro]]</f>
        <v>6"</v>
      </c>
      <c r="F729" s="51" t="str">
        <f>Tabla1[[#This Row],[material]]</f>
        <v>PVC</v>
      </c>
      <c r="G72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729" s="52" t="str">
        <f>IF(Tabla1[[#This Row],[5]]="TPD",Tabla1[[#This Row],[6]],"")</f>
        <v/>
      </c>
      <c r="I729" s="52" t="str">
        <f>IF(OR(Tabla1[[#This Row],[5]]="TPD"),Tabla1[[#This Row],[7]],"")</f>
        <v/>
      </c>
      <c r="J729" s="52">
        <f>IF(Tabla15[[#This Row],[2]]="",0,VLOOKUP(TRAMOS!$H$2,Tabla5[#All],3,FALSE)*Tabla15[[#This Row],[3]])</f>
        <v>0</v>
      </c>
      <c r="K729" s="52" t="str">
        <f>IF(Tabla1[[#This Row],[5]]="TPL",Tabla1[[#This Row],[6]],"")</f>
        <v/>
      </c>
      <c r="L729" s="52" t="str">
        <f>IF(OR(Tabla1[[#This Row],[5]]="TPL"),Tabla1[[#This Row],[7]],"")</f>
        <v/>
      </c>
      <c r="M729" s="52">
        <f>IF(Tabla15[[#This Row],[5]]="",0,VLOOKUP(TRAMOS!$K$2,Tabla5[#All],3,FALSE)*Tabla15[[#This Row],[6]])</f>
        <v>0</v>
      </c>
      <c r="N72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8"</v>
      </c>
      <c r="O729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729" s="52">
        <f>IF(Tabla15[[#This Row],[8]]="",0,VLOOKUP(TRAMOS!$H$2,Tabla5[#All],3,FALSE)*Tabla15[[#This Row],[9]])</f>
        <v>0.15</v>
      </c>
      <c r="Q72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2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29" s="52">
        <f>IF(Tabla15[[#This Row],[11]]="",0,VLOOKUP(TRAMOS!$Q$2,Tabla5[#All],3,FALSE)*Tabla15[[#This Row],[12]])</f>
        <v>0</v>
      </c>
      <c r="T72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6"</v>
      </c>
      <c r="U729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72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0.13850000000000007</v>
      </c>
      <c r="W72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2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2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2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2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29" s="52">
        <f>IF(Tabla15[[#This Row],[20]]="",0,VLOOKUP("VRP",Tabla5[#All],3,FALSE)*Tabla15[[#This Row],[21]])</f>
        <v>0</v>
      </c>
      <c r="AC72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2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29" s="52">
        <f>IF(Tabla15[[#This Row],[23]]="",0,VLOOKUP("VC",Tabla5[#All],3,FALSE)*Tabla15[[#This Row],[24]])</f>
        <v>0</v>
      </c>
      <c r="AF72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2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29" s="52">
        <f>IF(Tabla15[[#This Row],[26]]="",0,VLOOKUP(TRAMOS!$K$2,Tabla5[#All],3,FALSE)*Tabla15[[#This Row],[27]])</f>
        <v>0</v>
      </c>
      <c r="AI72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2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2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2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2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2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2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0.28850000000000009</v>
      </c>
    </row>
    <row r="730" spans="2:41" x14ac:dyDescent="0.25">
      <c r="B730" s="58" t="str">
        <f>Tabla1[[#This Row],[nudo inicial]]</f>
        <v>N389</v>
      </c>
      <c r="C730" s="58" t="str">
        <f>Tabla1[[#This Row],[nudo final]]</f>
        <v>TP252</v>
      </c>
      <c r="D730" s="51">
        <f>Tabla1[[#This Row],[longitud]]</f>
        <v>64.66</v>
      </c>
      <c r="E730" s="51" t="str">
        <f>Tabla1[[#This Row],[diametro]]</f>
        <v>2"</v>
      </c>
      <c r="F730" s="51" t="str">
        <f>Tabla1[[#This Row],[material]]</f>
        <v>PVC</v>
      </c>
      <c r="G73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730" s="52" t="str">
        <f>IF(Tabla1[[#This Row],[5]]="TPD",Tabla1[[#This Row],[6]],"")</f>
        <v/>
      </c>
      <c r="I730" s="52" t="str">
        <f>IF(OR(Tabla1[[#This Row],[5]]="TPD"),Tabla1[[#This Row],[7]],"")</f>
        <v/>
      </c>
      <c r="J730" s="52">
        <f>IF(Tabla15[[#This Row],[2]]="",0,VLOOKUP(TRAMOS!$H$2,Tabla5[#All],3,FALSE)*Tabla15[[#This Row],[3]])</f>
        <v>0</v>
      </c>
      <c r="K730" s="52" t="str">
        <f>IF(Tabla1[[#This Row],[5]]="TPL",Tabla1[[#This Row],[6]],"")</f>
        <v>6"</v>
      </c>
      <c r="L730" s="52">
        <f>IF(OR(Tabla1[[#This Row],[5]]="TPL"),Tabla1[[#This Row],[7]],"")</f>
        <v>1</v>
      </c>
      <c r="M730" s="52">
        <f>IF(Tabla15[[#This Row],[5]]="",0,VLOOKUP(TRAMOS!$K$2,Tabla5[#All],3,FALSE)*Tabla15[[#This Row],[6]])</f>
        <v>0.9</v>
      </c>
      <c r="N73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3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30" s="52">
        <f>IF(Tabla15[[#This Row],[8]]="",0,VLOOKUP(TRAMOS!$H$2,Tabla5[#All],3,FALSE)*Tabla15[[#This Row],[9]])</f>
        <v>0</v>
      </c>
      <c r="Q73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3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30" s="52">
        <f>IF(Tabla15[[#This Row],[11]]="",0,VLOOKUP(TRAMOS!$Q$2,Tabla5[#All],3,FALSE)*Tabla15[[#This Row],[12]])</f>
        <v>0</v>
      </c>
      <c r="T73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730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73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0.43</v>
      </c>
      <c r="W73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3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3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3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3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30" s="52">
        <f>IF(Tabla15[[#This Row],[20]]="",0,VLOOKUP("VRP",Tabla5[#All],3,FALSE)*Tabla15[[#This Row],[21]])</f>
        <v>0</v>
      </c>
      <c r="AC73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3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30" s="52">
        <f>IF(Tabla15[[#This Row],[23]]="",0,VLOOKUP("VC",Tabla5[#All],3,FALSE)*Tabla15[[#This Row],[24]])</f>
        <v>0</v>
      </c>
      <c r="AF73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3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30" s="52">
        <f>IF(Tabla15[[#This Row],[26]]="",0,VLOOKUP(TRAMOS!$K$2,Tabla5[#All],3,FALSE)*Tabla15[[#This Row],[27]])</f>
        <v>0</v>
      </c>
      <c r="AI73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3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3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3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3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730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73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1.33</v>
      </c>
    </row>
    <row r="731" spans="2:41" x14ac:dyDescent="0.25">
      <c r="B731" s="58" t="str">
        <f>Tabla1[[#This Row],[nudo inicial]]</f>
        <v>N389</v>
      </c>
      <c r="C731" s="58" t="str">
        <f>Tabla1[[#This Row],[nudo final]]</f>
        <v>TP253</v>
      </c>
      <c r="D731" s="51">
        <f>Tabla1[[#This Row],[longitud]]</f>
        <v>70.959999999999994</v>
      </c>
      <c r="E731" s="51" t="str">
        <f>Tabla1[[#This Row],[diametro]]</f>
        <v>6"</v>
      </c>
      <c r="F731" s="51" t="str">
        <f>Tabla1[[#This Row],[material]]</f>
        <v>PVC</v>
      </c>
      <c r="G73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731" s="52" t="str">
        <f>IF(Tabla1[[#This Row],[5]]="TPD",Tabla1[[#This Row],[6]],"")</f>
        <v>6"</v>
      </c>
      <c r="I731" s="52">
        <f>IF(OR(Tabla1[[#This Row],[5]]="TPD"),Tabla1[[#This Row],[7]],"")</f>
        <v>1</v>
      </c>
      <c r="J731" s="52">
        <f>IF(Tabla15[[#This Row],[2]]="",0,VLOOKUP(TRAMOS!$H$2,Tabla5[#All],3,FALSE)*Tabla15[[#This Row],[3]])</f>
        <v>0.15</v>
      </c>
      <c r="K731" s="52" t="str">
        <f>IF(Tabla1[[#This Row],[5]]="TPL",Tabla1[[#This Row],[6]],"")</f>
        <v/>
      </c>
      <c r="L731" s="52" t="str">
        <f>IF(OR(Tabla1[[#This Row],[5]]="TPL"),Tabla1[[#This Row],[7]],"")</f>
        <v/>
      </c>
      <c r="M731" s="52">
        <f>IF(Tabla15[[#This Row],[5]]="",0,VLOOKUP(TRAMOS!$K$2,Tabla5[#All],3,FALSE)*Tabla15[[#This Row],[6]])</f>
        <v>0</v>
      </c>
      <c r="N73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3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31" s="52">
        <f>IF(Tabla15[[#This Row],[8]]="",0,VLOOKUP(TRAMOS!$H$2,Tabla5[#All],3,FALSE)*Tabla15[[#This Row],[9]])</f>
        <v>0</v>
      </c>
      <c r="Q73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3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31" s="52">
        <f>IF(Tabla15[[#This Row],[11]]="",0,VLOOKUP(TRAMOS!$Q$2,Tabla5[#All],3,FALSE)*Tabla15[[#This Row],[12]])</f>
        <v>0</v>
      </c>
      <c r="T73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3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3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3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3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3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3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3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31" s="52">
        <f>IF(Tabla15[[#This Row],[20]]="",0,VLOOKUP("VRP",Tabla5[#All],3,FALSE)*Tabla15[[#This Row],[21]])</f>
        <v>0</v>
      </c>
      <c r="AC73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3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31" s="52">
        <f>IF(Tabla15[[#This Row],[23]]="",0,VLOOKUP("VC",Tabla5[#All],3,FALSE)*Tabla15[[#This Row],[24]])</f>
        <v>0</v>
      </c>
      <c r="AF73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3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31" s="52">
        <f>IF(Tabla15[[#This Row],[26]]="",0,VLOOKUP(TRAMOS!$K$2,Tabla5[#All],3,FALSE)*Tabla15[[#This Row],[27]])</f>
        <v>0</v>
      </c>
      <c r="AI73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3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3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3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3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6"</v>
      </c>
      <c r="AN731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73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732" spans="2:41" x14ac:dyDescent="0.25">
      <c r="B732" s="58" t="str">
        <f>Tabla1[[#This Row],[nudo inicial]]</f>
        <v>N347</v>
      </c>
      <c r="C732" s="58" t="str">
        <f>Tabla1[[#This Row],[nudo final]]</f>
        <v>N390</v>
      </c>
      <c r="D732" s="51">
        <f>Tabla1[[#This Row],[longitud]]</f>
        <v>151.47</v>
      </c>
      <c r="E732" s="51" t="str">
        <f>Tabla1[[#This Row],[diametro]]</f>
        <v>3"</v>
      </c>
      <c r="F732" s="51" t="str">
        <f>Tabla1[[#This Row],[material]]</f>
        <v>PVC</v>
      </c>
      <c r="G73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732" s="52" t="str">
        <f>IF(Tabla1[[#This Row],[5]]="TPD",Tabla1[[#This Row],[6]],"")</f>
        <v/>
      </c>
      <c r="I732" s="52" t="str">
        <f>IF(OR(Tabla1[[#This Row],[5]]="TPD"),Tabla1[[#This Row],[7]],"")</f>
        <v/>
      </c>
      <c r="J732" s="52">
        <f>IF(Tabla15[[#This Row],[2]]="",0,VLOOKUP(TRAMOS!$H$2,Tabla5[#All],3,FALSE)*Tabla15[[#This Row],[3]])</f>
        <v>0</v>
      </c>
      <c r="K732" s="52" t="str">
        <f>IF(Tabla1[[#This Row],[5]]="TPL",Tabla1[[#This Row],[6]],"")</f>
        <v/>
      </c>
      <c r="L732" s="52" t="str">
        <f>IF(OR(Tabla1[[#This Row],[5]]="TPL"),Tabla1[[#This Row],[7]],"")</f>
        <v/>
      </c>
      <c r="M732" s="52">
        <f>IF(Tabla15[[#This Row],[5]]="",0,VLOOKUP(TRAMOS!$K$2,Tabla5[#All],3,FALSE)*Tabla15[[#This Row],[6]])</f>
        <v>0</v>
      </c>
      <c r="N73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3"</v>
      </c>
      <c r="O732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732" s="52">
        <f>IF(Tabla15[[#This Row],[8]]="",0,VLOOKUP(TRAMOS!$H$2,Tabla5[#All],3,FALSE)*Tabla15[[#This Row],[9]])</f>
        <v>0.15</v>
      </c>
      <c r="Q73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3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32" s="52">
        <f>IF(Tabla15[[#This Row],[11]]="",0,VLOOKUP(TRAMOS!$Q$2,Tabla5[#All],3,FALSE)*Tabla15[[#This Row],[12]])</f>
        <v>0</v>
      </c>
      <c r="T73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3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3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3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>4"</v>
      </c>
      <c r="X732" s="52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>1</v>
      </c>
      <c r="Y73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0.4740000000000002</v>
      </c>
      <c r="Z73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3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32" s="52">
        <f>IF(Tabla15[[#This Row],[20]]="",0,VLOOKUP("VRP",Tabla5[#All],3,FALSE)*Tabla15[[#This Row],[21]])</f>
        <v>0</v>
      </c>
      <c r="AC73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732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0</v>
      </c>
      <c r="AE732" s="52">
        <f>IF(Tabla15[[#This Row],[23]]="",0,VLOOKUP("VC",Tabla5[#All],3,FALSE)*Tabla15[[#This Row],[24]])</f>
        <v>0</v>
      </c>
      <c r="AF73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3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32" s="52">
        <f>IF(Tabla15[[#This Row],[26]]="",0,VLOOKUP(TRAMOS!$K$2,Tabla5[#All],3,FALSE)*Tabla15[[#This Row],[27]])</f>
        <v>0</v>
      </c>
      <c r="AI73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3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3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3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3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3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3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0.62400000000000022</v>
      </c>
    </row>
    <row r="733" spans="2:41" x14ac:dyDescent="0.25">
      <c r="B733" s="58" t="str">
        <f>Tabla1[[#This Row],[nudo inicial]]</f>
        <v>N346</v>
      </c>
      <c r="C733" s="58" t="str">
        <f>Tabla1[[#This Row],[nudo final]]</f>
        <v>N391</v>
      </c>
      <c r="D733" s="51">
        <f>Tabla1[[#This Row],[longitud]]</f>
        <v>129.88</v>
      </c>
      <c r="E733" s="51" t="str">
        <f>Tabla1[[#This Row],[diametro]]</f>
        <v>3"</v>
      </c>
      <c r="F733" s="51" t="str">
        <f>Tabla1[[#This Row],[material]]</f>
        <v>AC</v>
      </c>
      <c r="G73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733" s="52" t="str">
        <f>IF(Tabla1[[#This Row],[5]]="TPD",Tabla1[[#This Row],[6]],"")</f>
        <v/>
      </c>
      <c r="I733" s="52" t="str">
        <f>IF(OR(Tabla1[[#This Row],[5]]="TPD"),Tabla1[[#This Row],[7]],"")</f>
        <v/>
      </c>
      <c r="J733" s="52">
        <f>IF(Tabla15[[#This Row],[2]]="",0,VLOOKUP(TRAMOS!$H$2,Tabla5[#All],3,FALSE)*Tabla15[[#This Row],[3]])</f>
        <v>0</v>
      </c>
      <c r="K733" s="52" t="str">
        <f>IF(Tabla1[[#This Row],[5]]="TPL",Tabla1[[#This Row],[6]],"")</f>
        <v/>
      </c>
      <c r="L733" s="52" t="str">
        <f>IF(OR(Tabla1[[#This Row],[5]]="TPL"),Tabla1[[#This Row],[7]],"")</f>
        <v/>
      </c>
      <c r="M733" s="52">
        <f>IF(Tabla15[[#This Row],[5]]="",0,VLOOKUP(TRAMOS!$K$2,Tabla5[#All],3,FALSE)*Tabla15[[#This Row],[6]])</f>
        <v>0</v>
      </c>
      <c r="N73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3"</v>
      </c>
      <c r="O733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733" s="52">
        <f>IF(Tabla15[[#This Row],[8]]="",0,VLOOKUP(TRAMOS!$H$2,Tabla5[#All],3,FALSE)*Tabla15[[#This Row],[9]])</f>
        <v>0.15</v>
      </c>
      <c r="Q73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3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33" s="52">
        <f>IF(Tabla15[[#This Row],[11]]="",0,VLOOKUP(TRAMOS!$Q$2,Tabla5[#All],3,FALSE)*Tabla15[[#This Row],[12]])</f>
        <v>0</v>
      </c>
      <c r="T73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3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3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3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3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3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3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3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33" s="52">
        <f>IF(Tabla15[[#This Row],[20]]="",0,VLOOKUP("VRP",Tabla5[#All],3,FALSE)*Tabla15[[#This Row],[21]])</f>
        <v>0</v>
      </c>
      <c r="AC73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733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733" s="52">
        <f>IF(Tabla15[[#This Row],[23]]="",0,VLOOKUP("VC",Tabla5[#All],3,FALSE)*Tabla15[[#This Row],[24]])</f>
        <v>0.25</v>
      </c>
      <c r="AF73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3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33" s="52">
        <f>IF(Tabla15[[#This Row],[26]]="",0,VLOOKUP(TRAMOS!$K$2,Tabla5[#All],3,FALSE)*Tabla15[[#This Row],[27]])</f>
        <v>0</v>
      </c>
      <c r="AI73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3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3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3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3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3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3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0.4</v>
      </c>
    </row>
    <row r="734" spans="2:41" x14ac:dyDescent="0.25">
      <c r="B734" s="58" t="str">
        <f>Tabla1[[#This Row],[nudo inicial]]</f>
        <v>N391</v>
      </c>
      <c r="C734" s="58" t="str">
        <f>Tabla1[[#This Row],[nudo final]]</f>
        <v>N392</v>
      </c>
      <c r="D734" s="51">
        <f>Tabla1[[#This Row],[longitud]]</f>
        <v>3.96</v>
      </c>
      <c r="E734" s="51" t="str">
        <f>Tabla1[[#This Row],[diametro]]</f>
        <v>2"</v>
      </c>
      <c r="F734" s="51" t="str">
        <f>Tabla1[[#This Row],[material]]</f>
        <v>HG</v>
      </c>
      <c r="G73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734" s="52" t="str">
        <f>IF(Tabla1[[#This Row],[5]]="TPD",Tabla1[[#This Row],[6]],"")</f>
        <v/>
      </c>
      <c r="I734" s="52" t="str">
        <f>IF(OR(Tabla1[[#This Row],[5]]="TPD"),Tabla1[[#This Row],[7]],"")</f>
        <v/>
      </c>
      <c r="J734" s="52">
        <f>IF(Tabla15[[#This Row],[2]]="",0,VLOOKUP(TRAMOS!$H$2,Tabla5[#All],3,FALSE)*Tabla15[[#This Row],[3]])</f>
        <v>0</v>
      </c>
      <c r="K734" s="52" t="str">
        <f>IF(Tabla1[[#This Row],[5]]="TPL",Tabla1[[#This Row],[6]],"")</f>
        <v/>
      </c>
      <c r="L734" s="52" t="str">
        <f>IF(OR(Tabla1[[#This Row],[5]]="TPL"),Tabla1[[#This Row],[7]],"")</f>
        <v/>
      </c>
      <c r="M734" s="52">
        <f>IF(Tabla15[[#This Row],[5]]="",0,VLOOKUP(TRAMOS!$K$2,Tabla5[#All],3,FALSE)*Tabla15[[#This Row],[6]])</f>
        <v>0</v>
      </c>
      <c r="N73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3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34" s="52">
        <f>IF(Tabla15[[#This Row],[8]]="",0,VLOOKUP(TRAMOS!$H$2,Tabla5[#All],3,FALSE)*Tabla15[[#This Row],[9]])</f>
        <v>0</v>
      </c>
      <c r="Q73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3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34" s="52">
        <f>IF(Tabla15[[#This Row],[11]]="",0,VLOOKUP(TRAMOS!$Q$2,Tabla5[#All],3,FALSE)*Tabla15[[#This Row],[12]])</f>
        <v>0</v>
      </c>
      <c r="T73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734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73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73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3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3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3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3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34" s="52">
        <f>IF(Tabla15[[#This Row],[20]]="",0,VLOOKUP("VRP",Tabla5[#All],3,FALSE)*Tabla15[[#This Row],[21]])</f>
        <v>0</v>
      </c>
      <c r="AC73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3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34" s="52">
        <f>IF(Tabla15[[#This Row],[23]]="",0,VLOOKUP("VC",Tabla5[#All],3,FALSE)*Tabla15[[#This Row],[24]])</f>
        <v>0</v>
      </c>
      <c r="AF73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3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34" s="52">
        <f>IF(Tabla15[[#This Row],[26]]="",0,VLOOKUP(TRAMOS!$K$2,Tabla5[#All],3,FALSE)*Tabla15[[#This Row],[27]])</f>
        <v>0</v>
      </c>
      <c r="AI73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3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3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3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3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3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3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0.21500000000000002</v>
      </c>
    </row>
    <row r="735" spans="2:41" x14ac:dyDescent="0.25">
      <c r="B735" s="58" t="str">
        <f>Tabla1[[#This Row],[nudo inicial]]</f>
        <v>N392</v>
      </c>
      <c r="C735" s="58" t="str">
        <f>Tabla1[[#This Row],[nudo final]]</f>
        <v>TP253</v>
      </c>
      <c r="D735" s="51">
        <f>Tabla1[[#This Row],[longitud]]</f>
        <v>3.46</v>
      </c>
      <c r="E735" s="51" t="str">
        <f>Tabla1[[#This Row],[diametro]]</f>
        <v>3"</v>
      </c>
      <c r="F735" s="51" t="str">
        <f>Tabla1[[#This Row],[material]]</f>
        <v>PVC</v>
      </c>
      <c r="G73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735" s="52" t="str">
        <f>IF(Tabla1[[#This Row],[5]]="TPD",Tabla1[[#This Row],[6]],"")</f>
        <v/>
      </c>
      <c r="I735" s="52" t="str">
        <f>IF(OR(Tabla1[[#This Row],[5]]="TPD"),Tabla1[[#This Row],[7]],"")</f>
        <v/>
      </c>
      <c r="J735" s="52">
        <f>IF(Tabla15[[#This Row],[2]]="",0,VLOOKUP(TRAMOS!$H$2,Tabla5[#All],3,FALSE)*Tabla15[[#This Row],[3]])</f>
        <v>0</v>
      </c>
      <c r="K735" s="52" t="str">
        <f>IF(Tabla1[[#This Row],[5]]="TPL",Tabla1[[#This Row],[6]],"")</f>
        <v/>
      </c>
      <c r="L735" s="52" t="str">
        <f>IF(OR(Tabla1[[#This Row],[5]]="TPL"),Tabla1[[#This Row],[7]],"")</f>
        <v/>
      </c>
      <c r="M735" s="52">
        <f>IF(Tabla15[[#This Row],[5]]="",0,VLOOKUP(TRAMOS!$K$2,Tabla5[#All],3,FALSE)*Tabla15[[#This Row],[6]])</f>
        <v>0</v>
      </c>
      <c r="N73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3"</v>
      </c>
      <c r="O735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735" s="52">
        <f>IF(Tabla15[[#This Row],[8]]="",0,VLOOKUP(TRAMOS!$H$2,Tabla5[#All],3,FALSE)*Tabla15[[#This Row],[9]])</f>
        <v>0.15</v>
      </c>
      <c r="Q73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3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35" s="52">
        <f>IF(Tabla15[[#This Row],[11]]="",0,VLOOKUP(TRAMOS!$Q$2,Tabla5[#All],3,FALSE)*Tabla15[[#This Row],[12]])</f>
        <v>0</v>
      </c>
      <c r="T73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3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3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3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3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3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3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3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35" s="52">
        <f>IF(Tabla15[[#This Row],[20]]="",0,VLOOKUP("VRP",Tabla5[#All],3,FALSE)*Tabla15[[#This Row],[21]])</f>
        <v>0</v>
      </c>
      <c r="AC73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3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35" s="52">
        <f>IF(Tabla15[[#This Row],[23]]="",0,VLOOKUP("VC",Tabla5[#All],3,FALSE)*Tabla15[[#This Row],[24]])</f>
        <v>0</v>
      </c>
      <c r="AF73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3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35" s="52">
        <f>IF(Tabla15[[#This Row],[26]]="",0,VLOOKUP(TRAMOS!$K$2,Tabla5[#All],3,FALSE)*Tabla15[[#This Row],[27]])</f>
        <v>0</v>
      </c>
      <c r="AI73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3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3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3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3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735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73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736" spans="2:41" x14ac:dyDescent="0.25">
      <c r="B736" s="58" t="str">
        <f>Tabla1[[#This Row],[nudo inicial]]</f>
        <v>N392</v>
      </c>
      <c r="C736" s="58" t="str">
        <f>Tabla1[[#This Row],[nudo final]]</f>
        <v>N393</v>
      </c>
      <c r="D736" s="51">
        <f>Tabla1[[#This Row],[longitud]]</f>
        <v>25.9</v>
      </c>
      <c r="E736" s="51" t="str">
        <f>Tabla1[[#This Row],[diametro]]</f>
        <v>3"</v>
      </c>
      <c r="F736" s="51" t="str">
        <f>Tabla1[[#This Row],[material]]</f>
        <v>PVC</v>
      </c>
      <c r="G73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736" s="52" t="str">
        <f>IF(Tabla1[[#This Row],[5]]="TPD",Tabla1[[#This Row],[6]],"")</f>
        <v/>
      </c>
      <c r="I736" s="52" t="str">
        <f>IF(OR(Tabla1[[#This Row],[5]]="TPD"),Tabla1[[#This Row],[7]],"")</f>
        <v/>
      </c>
      <c r="J736" s="52">
        <f>IF(Tabla15[[#This Row],[2]]="",0,VLOOKUP(TRAMOS!$H$2,Tabla5[#All],3,FALSE)*Tabla15[[#This Row],[3]])</f>
        <v>0</v>
      </c>
      <c r="K736" s="52" t="str">
        <f>IF(Tabla1[[#This Row],[5]]="TPL",Tabla1[[#This Row],[6]],"")</f>
        <v/>
      </c>
      <c r="L736" s="52" t="str">
        <f>IF(OR(Tabla1[[#This Row],[5]]="TPL"),Tabla1[[#This Row],[7]],"")</f>
        <v/>
      </c>
      <c r="M736" s="52">
        <f>IF(Tabla15[[#This Row],[5]]="",0,VLOOKUP(TRAMOS!$K$2,Tabla5[#All],3,FALSE)*Tabla15[[#This Row],[6]])</f>
        <v>0</v>
      </c>
      <c r="N73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3"</v>
      </c>
      <c r="O736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736" s="52">
        <f>IF(Tabla15[[#This Row],[8]]="",0,VLOOKUP(TRAMOS!$H$2,Tabla5[#All],3,FALSE)*Tabla15[[#This Row],[9]])</f>
        <v>0.15</v>
      </c>
      <c r="Q73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3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36" s="52">
        <f>IF(Tabla15[[#This Row],[11]]="",0,VLOOKUP(TRAMOS!$Q$2,Tabla5[#All],3,FALSE)*Tabla15[[#This Row],[12]])</f>
        <v>0</v>
      </c>
      <c r="T73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3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3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3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3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3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3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3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36" s="52">
        <f>IF(Tabla15[[#This Row],[20]]="",0,VLOOKUP("VRP",Tabla5[#All],3,FALSE)*Tabla15[[#This Row],[21]])</f>
        <v>0</v>
      </c>
      <c r="AC73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3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36" s="52">
        <f>IF(Tabla15[[#This Row],[23]]="",0,VLOOKUP("VC",Tabla5[#All],3,FALSE)*Tabla15[[#This Row],[24]])</f>
        <v>0</v>
      </c>
      <c r="AF73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3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36" s="52">
        <f>IF(Tabla15[[#This Row],[26]]="",0,VLOOKUP(TRAMOS!$K$2,Tabla5[#All],3,FALSE)*Tabla15[[#This Row],[27]])</f>
        <v>0</v>
      </c>
      <c r="AI73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3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3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3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3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3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3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737" spans="2:41" x14ac:dyDescent="0.25">
      <c r="B737" s="58" t="str">
        <f>Tabla1[[#This Row],[nudo inicial]]</f>
        <v>N393</v>
      </c>
      <c r="C737" s="58" t="str">
        <f>Tabla1[[#This Row],[nudo final]]</f>
        <v>TP254</v>
      </c>
      <c r="D737" s="51">
        <f>Tabla1[[#This Row],[longitud]]</f>
        <v>71.81</v>
      </c>
      <c r="E737" s="51" t="str">
        <f>Tabla1[[#This Row],[diametro]]</f>
        <v>2"</v>
      </c>
      <c r="F737" s="51" t="str">
        <f>Tabla1[[#This Row],[material]]</f>
        <v>PVC</v>
      </c>
      <c r="G73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737" s="52" t="str">
        <f>IF(Tabla1[[#This Row],[5]]="TPD",Tabla1[[#This Row],[6]],"")</f>
        <v/>
      </c>
      <c r="I737" s="52" t="str">
        <f>IF(OR(Tabla1[[#This Row],[5]]="TPD"),Tabla1[[#This Row],[7]],"")</f>
        <v/>
      </c>
      <c r="J737" s="52">
        <f>IF(Tabla15[[#This Row],[2]]="",0,VLOOKUP(TRAMOS!$H$2,Tabla5[#All],3,FALSE)*Tabla15[[#This Row],[3]])</f>
        <v>0</v>
      </c>
      <c r="K737" s="52" t="str">
        <f>IF(Tabla1[[#This Row],[5]]="TPL",Tabla1[[#This Row],[6]],"")</f>
        <v>3"</v>
      </c>
      <c r="L737" s="52">
        <f>IF(OR(Tabla1[[#This Row],[5]]="TPL"),Tabla1[[#This Row],[7]],"")</f>
        <v>1</v>
      </c>
      <c r="M737" s="52">
        <f>IF(Tabla15[[#This Row],[5]]="",0,VLOOKUP(TRAMOS!$K$2,Tabla5[#All],3,FALSE)*Tabla15[[#This Row],[6]])</f>
        <v>0.9</v>
      </c>
      <c r="N73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3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37" s="52">
        <f>IF(Tabla15[[#This Row],[8]]="",0,VLOOKUP(TRAMOS!$H$2,Tabla5[#All],3,FALSE)*Tabla15[[#This Row],[9]])</f>
        <v>0</v>
      </c>
      <c r="Q73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3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37" s="52">
        <f>IF(Tabla15[[#This Row],[11]]="",0,VLOOKUP(TRAMOS!$Q$2,Tabla5[#All],3,FALSE)*Tabla15[[#This Row],[12]])</f>
        <v>0</v>
      </c>
      <c r="T73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737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73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73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3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3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3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3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37" s="52">
        <f>IF(Tabla15[[#This Row],[20]]="",0,VLOOKUP("VRP",Tabla5[#All],3,FALSE)*Tabla15[[#This Row],[21]])</f>
        <v>0</v>
      </c>
      <c r="AC73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737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737" s="52">
        <f>IF(Tabla15[[#This Row],[23]]="",0,VLOOKUP("VC",Tabla5[#All],3,FALSE)*Tabla15[[#This Row],[24]])</f>
        <v>0.25</v>
      </c>
      <c r="AF73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3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37" s="52">
        <f>IF(Tabla15[[#This Row],[26]]="",0,VLOOKUP(TRAMOS!$K$2,Tabla5[#All],3,FALSE)*Tabla15[[#This Row],[27]])</f>
        <v>0</v>
      </c>
      <c r="AI73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3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3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3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3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737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73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1.365</v>
      </c>
    </row>
    <row r="738" spans="2:41" x14ac:dyDescent="0.25">
      <c r="B738" s="58" t="str">
        <f>Tabla1[[#This Row],[nudo inicial]]</f>
        <v>N393</v>
      </c>
      <c r="C738" s="58" t="str">
        <f>Tabla1[[#This Row],[nudo final]]</f>
        <v>N394</v>
      </c>
      <c r="D738" s="51">
        <f>Tabla1[[#This Row],[longitud]]</f>
        <v>50.44</v>
      </c>
      <c r="E738" s="51" t="str">
        <f>Tabla1[[#This Row],[diametro]]</f>
        <v>3"</v>
      </c>
      <c r="F738" s="51" t="str">
        <f>Tabla1[[#This Row],[material]]</f>
        <v>PVC</v>
      </c>
      <c r="G73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738" s="52" t="str">
        <f>IF(Tabla1[[#This Row],[5]]="TPD",Tabla1[[#This Row],[6]],"")</f>
        <v>3"</v>
      </c>
      <c r="I738" s="52">
        <f>IF(OR(Tabla1[[#This Row],[5]]="TPD"),Tabla1[[#This Row],[7]],"")</f>
        <v>1</v>
      </c>
      <c r="J738" s="52">
        <f>IF(Tabla15[[#This Row],[2]]="",0,VLOOKUP(TRAMOS!$H$2,Tabla5[#All],3,FALSE)*Tabla15[[#This Row],[3]])</f>
        <v>0.15</v>
      </c>
      <c r="K738" s="52" t="str">
        <f>IF(Tabla1[[#This Row],[5]]="TPL",Tabla1[[#This Row],[6]],"")</f>
        <v/>
      </c>
      <c r="L738" s="52" t="str">
        <f>IF(OR(Tabla1[[#This Row],[5]]="TPL"),Tabla1[[#This Row],[7]],"")</f>
        <v/>
      </c>
      <c r="M738" s="52">
        <f>IF(Tabla15[[#This Row],[5]]="",0,VLOOKUP(TRAMOS!$K$2,Tabla5[#All],3,FALSE)*Tabla15[[#This Row],[6]])</f>
        <v>0</v>
      </c>
      <c r="N73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3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38" s="52">
        <f>IF(Tabla15[[#This Row],[8]]="",0,VLOOKUP(TRAMOS!$H$2,Tabla5[#All],3,FALSE)*Tabla15[[#This Row],[9]])</f>
        <v>0</v>
      </c>
      <c r="Q73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3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38" s="52">
        <f>IF(Tabla15[[#This Row],[11]]="",0,VLOOKUP(TRAMOS!$Q$2,Tabla5[#All],3,FALSE)*Tabla15[[#This Row],[12]])</f>
        <v>0</v>
      </c>
      <c r="T73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3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3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3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3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3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3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3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38" s="52">
        <f>IF(Tabla15[[#This Row],[20]]="",0,VLOOKUP("VRP",Tabla5[#All],3,FALSE)*Tabla15[[#This Row],[21]])</f>
        <v>0</v>
      </c>
      <c r="AC73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3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38" s="52">
        <f>IF(Tabla15[[#This Row],[23]]="",0,VLOOKUP("VC",Tabla5[#All],3,FALSE)*Tabla15[[#This Row],[24]])</f>
        <v>0</v>
      </c>
      <c r="AF73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3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38" s="52">
        <f>IF(Tabla15[[#This Row],[26]]="",0,VLOOKUP(TRAMOS!$K$2,Tabla5[#All],3,FALSE)*Tabla15[[#This Row],[27]])</f>
        <v>0</v>
      </c>
      <c r="AI73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3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3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3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3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3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3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739" spans="2:41" x14ac:dyDescent="0.25">
      <c r="B739" s="58" t="str">
        <f>Tabla1[[#This Row],[nudo inicial]]</f>
        <v>N394</v>
      </c>
      <c r="C739" s="58" t="str">
        <f>Tabla1[[#This Row],[nudo final]]</f>
        <v>N395</v>
      </c>
      <c r="D739" s="51">
        <f>Tabla1[[#This Row],[longitud]]</f>
        <v>34.67</v>
      </c>
      <c r="E739" s="51" t="str">
        <f>Tabla1[[#This Row],[diametro]]</f>
        <v>2"</v>
      </c>
      <c r="F739" s="51" t="str">
        <f>Tabla1[[#This Row],[material]]</f>
        <v>PVC</v>
      </c>
      <c r="G73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739" s="52" t="str">
        <f>IF(Tabla1[[#This Row],[5]]="TPD",Tabla1[[#This Row],[6]],"")</f>
        <v/>
      </c>
      <c r="I739" s="52" t="str">
        <f>IF(OR(Tabla1[[#This Row],[5]]="TPD"),Tabla1[[#This Row],[7]],"")</f>
        <v/>
      </c>
      <c r="J739" s="52">
        <f>IF(Tabla15[[#This Row],[2]]="",0,VLOOKUP(TRAMOS!$H$2,Tabla5[#All],3,FALSE)*Tabla15[[#This Row],[3]])</f>
        <v>0</v>
      </c>
      <c r="K739" s="52" t="str">
        <f>IF(Tabla1[[#This Row],[5]]="TPL",Tabla1[[#This Row],[6]],"")</f>
        <v>3"</v>
      </c>
      <c r="L739" s="52">
        <f>IF(OR(Tabla1[[#This Row],[5]]="TPL"),Tabla1[[#This Row],[7]],"")</f>
        <v>1</v>
      </c>
      <c r="M739" s="52">
        <f>IF(Tabla15[[#This Row],[5]]="",0,VLOOKUP(TRAMOS!$K$2,Tabla5[#All],3,FALSE)*Tabla15[[#This Row],[6]])</f>
        <v>0.9</v>
      </c>
      <c r="N73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3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39" s="52">
        <f>IF(Tabla15[[#This Row],[8]]="",0,VLOOKUP(TRAMOS!$H$2,Tabla5[#All],3,FALSE)*Tabla15[[#This Row],[9]])</f>
        <v>0</v>
      </c>
      <c r="Q73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3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39" s="52">
        <f>IF(Tabla15[[#This Row],[11]]="",0,VLOOKUP(TRAMOS!$Q$2,Tabla5[#All],3,FALSE)*Tabla15[[#This Row],[12]])</f>
        <v>0</v>
      </c>
      <c r="T73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739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73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73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3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3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3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3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39" s="52">
        <f>IF(Tabla15[[#This Row],[20]]="",0,VLOOKUP("VRP",Tabla5[#All],3,FALSE)*Tabla15[[#This Row],[21]])</f>
        <v>0</v>
      </c>
      <c r="AC73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3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39" s="52">
        <f>IF(Tabla15[[#This Row],[23]]="",0,VLOOKUP("VC",Tabla5[#All],3,FALSE)*Tabla15[[#This Row],[24]])</f>
        <v>0</v>
      </c>
      <c r="AF73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3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39" s="52">
        <f>IF(Tabla15[[#This Row],[26]]="",0,VLOOKUP(TRAMOS!$K$2,Tabla5[#All],3,FALSE)*Tabla15[[#This Row],[27]])</f>
        <v>0</v>
      </c>
      <c r="AI73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3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3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3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3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3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3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740" spans="2:41" x14ac:dyDescent="0.25">
      <c r="B740" s="58" t="str">
        <f>Tabla1[[#This Row],[nudo inicial]]</f>
        <v>N395</v>
      </c>
      <c r="C740" s="58" t="str">
        <f>Tabla1[[#This Row],[nudo final]]</f>
        <v>TP255</v>
      </c>
      <c r="D740" s="51">
        <f>Tabla1[[#This Row],[longitud]]</f>
        <v>42.9</v>
      </c>
      <c r="E740" s="51" t="str">
        <f>Tabla1[[#This Row],[diametro]]</f>
        <v>2"</v>
      </c>
      <c r="F740" s="51" t="str">
        <f>Tabla1[[#This Row],[material]]</f>
        <v>PVC</v>
      </c>
      <c r="G74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740" s="52" t="str">
        <f>IF(Tabla1[[#This Row],[5]]="TPD",Tabla1[[#This Row],[6]],"")</f>
        <v/>
      </c>
      <c r="I740" s="52" t="str">
        <f>IF(OR(Tabla1[[#This Row],[5]]="TPD"),Tabla1[[#This Row],[7]],"")</f>
        <v/>
      </c>
      <c r="J740" s="52">
        <f>IF(Tabla15[[#This Row],[2]]="",0,VLOOKUP(TRAMOS!$H$2,Tabla5[#All],3,FALSE)*Tabla15[[#This Row],[3]])</f>
        <v>0</v>
      </c>
      <c r="K740" s="52" t="str">
        <f>IF(Tabla1[[#This Row],[5]]="TPL",Tabla1[[#This Row],[6]],"")</f>
        <v>2"</v>
      </c>
      <c r="L740" s="52">
        <f>IF(OR(Tabla1[[#This Row],[5]]="TPL"),Tabla1[[#This Row],[7]],"")</f>
        <v>1</v>
      </c>
      <c r="M740" s="52">
        <f>IF(Tabla15[[#This Row],[5]]="",0,VLOOKUP(TRAMOS!$K$2,Tabla5[#All],3,FALSE)*Tabla15[[#This Row],[6]])</f>
        <v>0.9</v>
      </c>
      <c r="N74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4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40" s="52">
        <f>IF(Tabla15[[#This Row],[8]]="",0,VLOOKUP(TRAMOS!$H$2,Tabla5[#All],3,FALSE)*Tabla15[[#This Row],[9]])</f>
        <v>0</v>
      </c>
      <c r="Q74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4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40" s="52">
        <f>IF(Tabla15[[#This Row],[11]]="",0,VLOOKUP(TRAMOS!$Q$2,Tabla5[#All],3,FALSE)*Tabla15[[#This Row],[12]])</f>
        <v>0</v>
      </c>
      <c r="T74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4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4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4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4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4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4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4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40" s="52">
        <f>IF(Tabla15[[#This Row],[20]]="",0,VLOOKUP("VRP",Tabla5[#All],3,FALSE)*Tabla15[[#This Row],[21]])</f>
        <v>0</v>
      </c>
      <c r="AC74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4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40" s="52">
        <f>IF(Tabla15[[#This Row],[23]]="",0,VLOOKUP("VC",Tabla5[#All],3,FALSE)*Tabla15[[#This Row],[24]])</f>
        <v>0</v>
      </c>
      <c r="AF74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4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40" s="52">
        <f>IF(Tabla15[[#This Row],[26]]="",0,VLOOKUP(TRAMOS!$K$2,Tabla5[#All],3,FALSE)*Tabla15[[#This Row],[27]])</f>
        <v>0</v>
      </c>
      <c r="AI74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4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4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4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4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740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74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741" spans="2:41" x14ac:dyDescent="0.25">
      <c r="B741" s="58" t="str">
        <f>Tabla1[[#This Row],[nudo inicial]]</f>
        <v>N395</v>
      </c>
      <c r="C741" s="58" t="str">
        <f>Tabla1[[#This Row],[nudo final]]</f>
        <v>TP256</v>
      </c>
      <c r="D741" s="51">
        <f>Tabla1[[#This Row],[longitud]]</f>
        <v>81</v>
      </c>
      <c r="E741" s="51" t="str">
        <f>Tabla1[[#This Row],[diametro]]</f>
        <v>2"</v>
      </c>
      <c r="F741" s="51" t="str">
        <f>Tabla1[[#This Row],[material]]</f>
        <v>PVC</v>
      </c>
      <c r="G74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741" s="52" t="str">
        <f>IF(Tabla1[[#This Row],[5]]="TPD",Tabla1[[#This Row],[6]],"")</f>
        <v>2"</v>
      </c>
      <c r="I741" s="52">
        <f>IF(OR(Tabla1[[#This Row],[5]]="TPD"),Tabla1[[#This Row],[7]],"")</f>
        <v>1</v>
      </c>
      <c r="J741" s="52">
        <f>IF(Tabla15[[#This Row],[2]]="",0,VLOOKUP(TRAMOS!$H$2,Tabla5[#All],3,FALSE)*Tabla15[[#This Row],[3]])</f>
        <v>0.15</v>
      </c>
      <c r="K741" s="52" t="str">
        <f>IF(Tabla1[[#This Row],[5]]="TPL",Tabla1[[#This Row],[6]],"")</f>
        <v/>
      </c>
      <c r="L741" s="52" t="str">
        <f>IF(OR(Tabla1[[#This Row],[5]]="TPL"),Tabla1[[#This Row],[7]],"")</f>
        <v/>
      </c>
      <c r="M741" s="52">
        <f>IF(Tabla15[[#This Row],[5]]="",0,VLOOKUP(TRAMOS!$K$2,Tabla5[#All],3,FALSE)*Tabla15[[#This Row],[6]])</f>
        <v>0</v>
      </c>
      <c r="N74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4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41" s="52">
        <f>IF(Tabla15[[#This Row],[8]]="",0,VLOOKUP(TRAMOS!$H$2,Tabla5[#All],3,FALSE)*Tabla15[[#This Row],[9]])</f>
        <v>0</v>
      </c>
      <c r="Q74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4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41" s="52">
        <f>IF(Tabla15[[#This Row],[11]]="",0,VLOOKUP(TRAMOS!$Q$2,Tabla5[#All],3,FALSE)*Tabla15[[#This Row],[12]])</f>
        <v>0</v>
      </c>
      <c r="T74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4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4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4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4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4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4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4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41" s="52">
        <f>IF(Tabla15[[#This Row],[20]]="",0,VLOOKUP("VRP",Tabla5[#All],3,FALSE)*Tabla15[[#This Row],[21]])</f>
        <v>0</v>
      </c>
      <c r="AC74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4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41" s="52">
        <f>IF(Tabla15[[#This Row],[23]]="",0,VLOOKUP("VC",Tabla5[#All],3,FALSE)*Tabla15[[#This Row],[24]])</f>
        <v>0</v>
      </c>
      <c r="AF74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4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41" s="52">
        <f>IF(Tabla15[[#This Row],[26]]="",0,VLOOKUP(TRAMOS!$K$2,Tabla5[#All],3,FALSE)*Tabla15[[#This Row],[27]])</f>
        <v>0</v>
      </c>
      <c r="AI74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4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4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4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4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741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74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742" spans="2:41" x14ac:dyDescent="0.25">
      <c r="B742" s="58" t="str">
        <f>Tabla1[[#This Row],[nudo inicial]]</f>
        <v>N394</v>
      </c>
      <c r="C742" s="58" t="str">
        <f>Tabla1[[#This Row],[nudo final]]</f>
        <v>N396</v>
      </c>
      <c r="D742" s="51">
        <f>Tabla1[[#This Row],[longitud]]</f>
        <v>49.18</v>
      </c>
      <c r="E742" s="51" t="str">
        <f>Tabla1[[#This Row],[diametro]]</f>
        <v>3"</v>
      </c>
      <c r="F742" s="51" t="str">
        <f>Tabla1[[#This Row],[material]]</f>
        <v>PVC</v>
      </c>
      <c r="G74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742" s="52" t="str">
        <f>IF(Tabla1[[#This Row],[5]]="TPD",Tabla1[[#This Row],[6]],"")</f>
        <v>3"</v>
      </c>
      <c r="I742" s="52">
        <f>IF(OR(Tabla1[[#This Row],[5]]="TPD"),Tabla1[[#This Row],[7]],"")</f>
        <v>1</v>
      </c>
      <c r="J742" s="52">
        <f>IF(Tabla15[[#This Row],[2]]="",0,VLOOKUP(TRAMOS!$H$2,Tabla5[#All],3,FALSE)*Tabla15[[#This Row],[3]])</f>
        <v>0.15</v>
      </c>
      <c r="K742" s="52" t="str">
        <f>IF(Tabla1[[#This Row],[5]]="TPL",Tabla1[[#This Row],[6]],"")</f>
        <v/>
      </c>
      <c r="L742" s="52" t="str">
        <f>IF(OR(Tabla1[[#This Row],[5]]="TPL"),Tabla1[[#This Row],[7]],"")</f>
        <v/>
      </c>
      <c r="M742" s="52">
        <f>IF(Tabla15[[#This Row],[5]]="",0,VLOOKUP(TRAMOS!$K$2,Tabla5[#All],3,FALSE)*Tabla15[[#This Row],[6]])</f>
        <v>0</v>
      </c>
      <c r="N74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4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42" s="52">
        <f>IF(Tabla15[[#This Row],[8]]="",0,VLOOKUP(TRAMOS!$H$2,Tabla5[#All],3,FALSE)*Tabla15[[#This Row],[9]])</f>
        <v>0</v>
      </c>
      <c r="Q74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4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42" s="52">
        <f>IF(Tabla15[[#This Row],[11]]="",0,VLOOKUP(TRAMOS!$Q$2,Tabla5[#All],3,FALSE)*Tabla15[[#This Row],[12]])</f>
        <v>0</v>
      </c>
      <c r="T74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4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4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4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4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4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4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4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42" s="52">
        <f>IF(Tabla15[[#This Row],[20]]="",0,VLOOKUP("VRP",Tabla5[#All],3,FALSE)*Tabla15[[#This Row],[21]])</f>
        <v>0</v>
      </c>
      <c r="AC74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742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742" s="52">
        <f>IF(Tabla15[[#This Row],[23]]="",0,VLOOKUP("VC",Tabla5[#All],3,FALSE)*Tabla15[[#This Row],[24]])</f>
        <v>0.25</v>
      </c>
      <c r="AF74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4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42" s="52">
        <f>IF(Tabla15[[#This Row],[26]]="",0,VLOOKUP(TRAMOS!$K$2,Tabla5[#All],3,FALSE)*Tabla15[[#This Row],[27]])</f>
        <v>0</v>
      </c>
      <c r="AI74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4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4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4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4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4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4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0.4</v>
      </c>
    </row>
    <row r="743" spans="2:41" x14ac:dyDescent="0.25">
      <c r="B743" s="58" t="str">
        <f>Tabla1[[#This Row],[nudo inicial]]</f>
        <v>N344</v>
      </c>
      <c r="C743" s="58" t="str">
        <f>Tabla1[[#This Row],[nudo final]]</f>
        <v>N397</v>
      </c>
      <c r="D743" s="51">
        <f>Tabla1[[#This Row],[longitud]]</f>
        <v>68.349999999999994</v>
      </c>
      <c r="E743" s="51" t="str">
        <f>Tabla1[[#This Row],[diametro]]</f>
        <v>8"</v>
      </c>
      <c r="F743" s="51" t="str">
        <f>Tabla1[[#This Row],[material]]</f>
        <v>HF</v>
      </c>
      <c r="G74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743" s="52" t="str">
        <f>IF(Tabla1[[#This Row],[5]]="TPD",Tabla1[[#This Row],[6]],"")</f>
        <v>8"</v>
      </c>
      <c r="I743" s="52">
        <f>IF(OR(Tabla1[[#This Row],[5]]="TPD"),Tabla1[[#This Row],[7]],"")</f>
        <v>1</v>
      </c>
      <c r="J743" s="52">
        <f>IF(Tabla15[[#This Row],[2]]="",0,VLOOKUP(TRAMOS!$H$2,Tabla5[#All],3,FALSE)*Tabla15[[#This Row],[3]])</f>
        <v>0.15</v>
      </c>
      <c r="K743" s="52" t="str">
        <f>IF(Tabla1[[#This Row],[5]]="TPL",Tabla1[[#This Row],[6]],"")</f>
        <v/>
      </c>
      <c r="L743" s="52" t="str">
        <f>IF(OR(Tabla1[[#This Row],[5]]="TPL"),Tabla1[[#This Row],[7]],"")</f>
        <v/>
      </c>
      <c r="M743" s="52">
        <f>IF(Tabla15[[#This Row],[5]]="",0,VLOOKUP(TRAMOS!$K$2,Tabla5[#All],3,FALSE)*Tabla15[[#This Row],[6]])</f>
        <v>0</v>
      </c>
      <c r="N74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4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43" s="52">
        <f>IF(Tabla15[[#This Row],[8]]="",0,VLOOKUP(TRAMOS!$H$2,Tabla5[#All],3,FALSE)*Tabla15[[#This Row],[9]])</f>
        <v>0</v>
      </c>
      <c r="Q74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4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43" s="52">
        <f>IF(Tabla15[[#This Row],[11]]="",0,VLOOKUP(TRAMOS!$Q$2,Tabla5[#All],3,FALSE)*Tabla15[[#This Row],[12]])</f>
        <v>0</v>
      </c>
      <c r="T74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4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4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4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4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4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4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4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43" s="52">
        <f>IF(Tabla15[[#This Row],[20]]="",0,VLOOKUP("VRP",Tabla5[#All],3,FALSE)*Tabla15[[#This Row],[21]])</f>
        <v>0</v>
      </c>
      <c r="AC74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8"</v>
      </c>
      <c r="AD743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743" s="52">
        <f>IF(Tabla15[[#This Row],[23]]="",0,VLOOKUP("VC",Tabla5[#All],3,FALSE)*Tabla15[[#This Row],[24]])</f>
        <v>0.25</v>
      </c>
      <c r="AF74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4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43" s="52">
        <f>IF(Tabla15[[#This Row],[26]]="",0,VLOOKUP(TRAMOS!$K$2,Tabla5[#All],3,FALSE)*Tabla15[[#This Row],[27]])</f>
        <v>0</v>
      </c>
      <c r="AI74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4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4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4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4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4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4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0.4</v>
      </c>
    </row>
    <row r="744" spans="2:41" x14ac:dyDescent="0.25">
      <c r="B744" s="58" t="str">
        <f>Tabla1[[#This Row],[nudo inicial]]</f>
        <v>N397</v>
      </c>
      <c r="C744" s="58" t="str">
        <f>Tabla1[[#This Row],[nudo final]]</f>
        <v>N398</v>
      </c>
      <c r="D744" s="51">
        <f>Tabla1[[#This Row],[longitud]]</f>
        <v>28.64</v>
      </c>
      <c r="E744" s="51" t="str">
        <f>Tabla1[[#This Row],[diametro]]</f>
        <v>2"</v>
      </c>
      <c r="F744" s="51" t="str">
        <f>Tabla1[[#This Row],[material]]</f>
        <v>PVC</v>
      </c>
      <c r="G74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744" s="52" t="str">
        <f>IF(Tabla1[[#This Row],[5]]="TPD",Tabla1[[#This Row],[6]],"")</f>
        <v/>
      </c>
      <c r="I744" s="52" t="str">
        <f>IF(OR(Tabla1[[#This Row],[5]]="TPD"),Tabla1[[#This Row],[7]],"")</f>
        <v/>
      </c>
      <c r="J744" s="52">
        <f>IF(Tabla15[[#This Row],[2]]="",0,VLOOKUP(TRAMOS!$H$2,Tabla5[#All],3,FALSE)*Tabla15[[#This Row],[3]])</f>
        <v>0</v>
      </c>
      <c r="K744" s="52" t="str">
        <f>IF(Tabla1[[#This Row],[5]]="TPL",Tabla1[[#This Row],[6]],"")</f>
        <v>8"</v>
      </c>
      <c r="L744" s="52">
        <f>IF(OR(Tabla1[[#This Row],[5]]="TPL"),Tabla1[[#This Row],[7]],"")</f>
        <v>1</v>
      </c>
      <c r="M744" s="52">
        <f>IF(Tabla15[[#This Row],[5]]="",0,VLOOKUP(TRAMOS!$K$2,Tabla5[#All],3,FALSE)*Tabla15[[#This Row],[6]])</f>
        <v>0.9</v>
      </c>
      <c r="N74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4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44" s="52">
        <f>IF(Tabla15[[#This Row],[8]]="",0,VLOOKUP(TRAMOS!$H$2,Tabla5[#All],3,FALSE)*Tabla15[[#This Row],[9]])</f>
        <v>0</v>
      </c>
      <c r="Q74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4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44" s="52">
        <f>IF(Tabla15[[#This Row],[11]]="",0,VLOOKUP(TRAMOS!$Q$2,Tabla5[#All],3,FALSE)*Tabla15[[#This Row],[12]])</f>
        <v>0</v>
      </c>
      <c r="T74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744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74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0.45</v>
      </c>
      <c r="W74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4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4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4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4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44" s="52">
        <f>IF(Tabla15[[#This Row],[20]]="",0,VLOOKUP("VRP",Tabla5[#All],3,FALSE)*Tabla15[[#This Row],[21]])</f>
        <v>0</v>
      </c>
      <c r="AC74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4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44" s="52">
        <f>IF(Tabla15[[#This Row],[23]]="",0,VLOOKUP("VC",Tabla5[#All],3,FALSE)*Tabla15[[#This Row],[24]])</f>
        <v>0</v>
      </c>
      <c r="AF74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4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44" s="52">
        <f>IF(Tabla15[[#This Row],[26]]="",0,VLOOKUP(TRAMOS!$K$2,Tabla5[#All],3,FALSE)*Tabla15[[#This Row],[27]])</f>
        <v>0</v>
      </c>
      <c r="AI74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4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4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4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4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4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4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1.35</v>
      </c>
    </row>
    <row r="745" spans="2:41" x14ac:dyDescent="0.25">
      <c r="B745" s="58" t="str">
        <f>Tabla1[[#This Row],[nudo inicial]]</f>
        <v>N398</v>
      </c>
      <c r="C745" s="58" t="str">
        <f>Tabla1[[#This Row],[nudo final]]</f>
        <v>TP257</v>
      </c>
      <c r="D745" s="51">
        <f>Tabla1[[#This Row],[longitud]]</f>
        <v>22.6</v>
      </c>
      <c r="E745" s="51" t="str">
        <f>Tabla1[[#This Row],[diametro]]</f>
        <v>1"</v>
      </c>
      <c r="F745" s="51" t="str">
        <f>Tabla1[[#This Row],[material]]</f>
        <v>PVC</v>
      </c>
      <c r="G74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745" s="52" t="str">
        <f>IF(Tabla1[[#This Row],[5]]="TPD",Tabla1[[#This Row],[6]],"")</f>
        <v/>
      </c>
      <c r="I745" s="52" t="str">
        <f>IF(OR(Tabla1[[#This Row],[5]]="TPD"),Tabla1[[#This Row],[7]],"")</f>
        <v/>
      </c>
      <c r="J745" s="52">
        <f>IF(Tabla15[[#This Row],[2]]="",0,VLOOKUP(TRAMOS!$H$2,Tabla5[#All],3,FALSE)*Tabla15[[#This Row],[3]])</f>
        <v>0</v>
      </c>
      <c r="K745" s="52" t="str">
        <f>IF(Tabla1[[#This Row],[5]]="TPL",Tabla1[[#This Row],[6]],"")</f>
        <v>2"</v>
      </c>
      <c r="L745" s="52">
        <f>IF(OR(Tabla1[[#This Row],[5]]="TPL"),Tabla1[[#This Row],[7]],"")</f>
        <v>1</v>
      </c>
      <c r="M745" s="52">
        <f>IF(Tabla15[[#This Row],[5]]="",0,VLOOKUP(TRAMOS!$K$2,Tabla5[#All],3,FALSE)*Tabla15[[#This Row],[6]])</f>
        <v>0.9</v>
      </c>
      <c r="N74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4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45" s="52">
        <f>IF(Tabla15[[#This Row],[8]]="",0,VLOOKUP(TRAMOS!$H$2,Tabla5[#All],3,FALSE)*Tabla15[[#This Row],[9]])</f>
        <v>0</v>
      </c>
      <c r="Q74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4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45" s="52">
        <f>IF(Tabla15[[#This Row],[11]]="",0,VLOOKUP(TRAMOS!$Q$2,Tabla5[#All],3,FALSE)*Tabla15[[#This Row],[12]])</f>
        <v>0</v>
      </c>
      <c r="T74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1"</v>
      </c>
      <c r="U745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74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74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4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4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4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4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45" s="52">
        <f>IF(Tabla15[[#This Row],[20]]="",0,VLOOKUP("VRP",Tabla5[#All],3,FALSE)*Tabla15[[#This Row],[21]])</f>
        <v>0</v>
      </c>
      <c r="AC74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4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45" s="52">
        <f>IF(Tabla15[[#This Row],[23]]="",0,VLOOKUP("VC",Tabla5[#All],3,FALSE)*Tabla15[[#This Row],[24]])</f>
        <v>0</v>
      </c>
      <c r="AF74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4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45" s="52">
        <f>IF(Tabla15[[#This Row],[26]]="",0,VLOOKUP(TRAMOS!$K$2,Tabla5[#All],3,FALSE)*Tabla15[[#This Row],[27]])</f>
        <v>0</v>
      </c>
      <c r="AI74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4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4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4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4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1"</v>
      </c>
      <c r="AN745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74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1.27</v>
      </c>
    </row>
    <row r="746" spans="2:41" x14ac:dyDescent="0.25">
      <c r="B746" s="58" t="str">
        <f>Tabla1[[#This Row],[nudo inicial]]</f>
        <v>N398</v>
      </c>
      <c r="C746" s="58" t="str">
        <f>Tabla1[[#This Row],[nudo final]]</f>
        <v>TP258</v>
      </c>
      <c r="D746" s="51">
        <f>Tabla1[[#This Row],[longitud]]</f>
        <v>38.93</v>
      </c>
      <c r="E746" s="51" t="str">
        <f>Tabla1[[#This Row],[diametro]]</f>
        <v>2"</v>
      </c>
      <c r="F746" s="51" t="str">
        <f>Tabla1[[#This Row],[material]]</f>
        <v>PVC</v>
      </c>
      <c r="G74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746" s="52" t="str">
        <f>IF(Tabla1[[#This Row],[5]]="TPD",Tabla1[[#This Row],[6]],"")</f>
        <v>2"</v>
      </c>
      <c r="I746" s="52">
        <f>IF(OR(Tabla1[[#This Row],[5]]="TPD"),Tabla1[[#This Row],[7]],"")</f>
        <v>1</v>
      </c>
      <c r="J746" s="52">
        <f>IF(Tabla15[[#This Row],[2]]="",0,VLOOKUP(TRAMOS!$H$2,Tabla5[#All],3,FALSE)*Tabla15[[#This Row],[3]])</f>
        <v>0.15</v>
      </c>
      <c r="K746" s="52" t="str">
        <f>IF(Tabla1[[#This Row],[5]]="TPL",Tabla1[[#This Row],[6]],"")</f>
        <v/>
      </c>
      <c r="L746" s="52" t="str">
        <f>IF(OR(Tabla1[[#This Row],[5]]="TPL"),Tabla1[[#This Row],[7]],"")</f>
        <v/>
      </c>
      <c r="M746" s="52">
        <f>IF(Tabla15[[#This Row],[5]]="",0,VLOOKUP(TRAMOS!$K$2,Tabla5[#All],3,FALSE)*Tabla15[[#This Row],[6]])</f>
        <v>0</v>
      </c>
      <c r="N74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4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46" s="52">
        <f>IF(Tabla15[[#This Row],[8]]="",0,VLOOKUP(TRAMOS!$H$2,Tabla5[#All],3,FALSE)*Tabla15[[#This Row],[9]])</f>
        <v>0</v>
      </c>
      <c r="Q74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4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46" s="52">
        <f>IF(Tabla15[[#This Row],[11]]="",0,VLOOKUP(TRAMOS!$Q$2,Tabla5[#All],3,FALSE)*Tabla15[[#This Row],[12]])</f>
        <v>0</v>
      </c>
      <c r="T74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4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4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4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4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4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4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4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46" s="52">
        <f>IF(Tabla15[[#This Row],[20]]="",0,VLOOKUP("VRP",Tabla5[#All],3,FALSE)*Tabla15[[#This Row],[21]])</f>
        <v>0</v>
      </c>
      <c r="AC74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4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46" s="52">
        <f>IF(Tabla15[[#This Row],[23]]="",0,VLOOKUP("VC",Tabla5[#All],3,FALSE)*Tabla15[[#This Row],[24]])</f>
        <v>0</v>
      </c>
      <c r="AF74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4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46" s="52">
        <f>IF(Tabla15[[#This Row],[26]]="",0,VLOOKUP(TRAMOS!$K$2,Tabla5[#All],3,FALSE)*Tabla15[[#This Row],[27]])</f>
        <v>0</v>
      </c>
      <c r="AI74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4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4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4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4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74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74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747" spans="2:41" x14ac:dyDescent="0.25">
      <c r="B747" s="58" t="str">
        <f>Tabla1[[#This Row],[nudo inicial]]</f>
        <v>N397</v>
      </c>
      <c r="C747" s="58" t="str">
        <f>Tabla1[[#This Row],[nudo final]]</f>
        <v>N396</v>
      </c>
      <c r="D747" s="51">
        <f>Tabla1[[#This Row],[longitud]]</f>
        <v>64.650000000000006</v>
      </c>
      <c r="E747" s="51" t="str">
        <f>Tabla1[[#This Row],[diametro]]</f>
        <v>8"</v>
      </c>
      <c r="F747" s="51" t="str">
        <f>Tabla1[[#This Row],[material]]</f>
        <v>HF</v>
      </c>
      <c r="G74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747" s="52" t="str">
        <f>IF(Tabla1[[#This Row],[5]]="TPD",Tabla1[[#This Row],[6]],"")</f>
        <v>8"</v>
      </c>
      <c r="I747" s="52">
        <f>IF(OR(Tabla1[[#This Row],[5]]="TPD"),Tabla1[[#This Row],[7]],"")</f>
        <v>1</v>
      </c>
      <c r="J747" s="52">
        <f>IF(Tabla15[[#This Row],[2]]="",0,VLOOKUP(TRAMOS!$H$2,Tabla5[#All],3,FALSE)*Tabla15[[#This Row],[3]])</f>
        <v>0.15</v>
      </c>
      <c r="K747" s="52" t="str">
        <f>IF(Tabla1[[#This Row],[5]]="TPL",Tabla1[[#This Row],[6]],"")</f>
        <v/>
      </c>
      <c r="L747" s="52" t="str">
        <f>IF(OR(Tabla1[[#This Row],[5]]="TPL"),Tabla1[[#This Row],[7]],"")</f>
        <v/>
      </c>
      <c r="M747" s="52">
        <f>IF(Tabla15[[#This Row],[5]]="",0,VLOOKUP(TRAMOS!$K$2,Tabla5[#All],3,FALSE)*Tabla15[[#This Row],[6]])</f>
        <v>0</v>
      </c>
      <c r="N74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4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47" s="52">
        <f>IF(Tabla15[[#This Row],[8]]="",0,VLOOKUP(TRAMOS!$H$2,Tabla5[#All],3,FALSE)*Tabla15[[#This Row],[9]])</f>
        <v>0</v>
      </c>
      <c r="Q74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4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47" s="52">
        <f>IF(Tabla15[[#This Row],[11]]="",0,VLOOKUP(TRAMOS!$Q$2,Tabla5[#All],3,FALSE)*Tabla15[[#This Row],[12]])</f>
        <v>0</v>
      </c>
      <c r="T74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4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4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4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4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4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4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4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47" s="52">
        <f>IF(Tabla15[[#This Row],[20]]="",0,VLOOKUP("VRP",Tabla5[#All],3,FALSE)*Tabla15[[#This Row],[21]])</f>
        <v>0</v>
      </c>
      <c r="AC74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4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47" s="52">
        <f>IF(Tabla15[[#This Row],[23]]="",0,VLOOKUP("VC",Tabla5[#All],3,FALSE)*Tabla15[[#This Row],[24]])</f>
        <v>0</v>
      </c>
      <c r="AF74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4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47" s="52">
        <f>IF(Tabla15[[#This Row],[26]]="",0,VLOOKUP(TRAMOS!$K$2,Tabla5[#All],3,FALSE)*Tabla15[[#This Row],[27]])</f>
        <v>0</v>
      </c>
      <c r="AI74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4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4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4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4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4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4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748" spans="2:41" x14ac:dyDescent="0.25">
      <c r="B748" s="58" t="str">
        <f>Tabla1[[#This Row],[nudo inicial]]</f>
        <v>N45</v>
      </c>
      <c r="C748" s="58" t="str">
        <f>Tabla1[[#This Row],[nudo final]]</f>
        <v>T. PICAPIEDRA</v>
      </c>
      <c r="D748" s="51">
        <f>Tabla1[[#This Row],[longitud]]</f>
        <v>1306.5</v>
      </c>
      <c r="E748" s="51" t="str">
        <f>Tabla1[[#This Row],[diametro]]</f>
        <v>6"</v>
      </c>
      <c r="F748" s="51" t="str">
        <f>Tabla1[[#This Row],[material]]</f>
        <v>PVC</v>
      </c>
      <c r="G74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748" s="52" t="str">
        <f>IF(Tabla1[[#This Row],[5]]="TPD",Tabla1[[#This Row],[6]],"")</f>
        <v>6"</v>
      </c>
      <c r="I748" s="52">
        <f>IF(OR(Tabla1[[#This Row],[5]]="TPD"),Tabla1[[#This Row],[7]],"")</f>
        <v>1</v>
      </c>
      <c r="J748" s="52">
        <f>IF(Tabla15[[#This Row],[2]]="",0,VLOOKUP(TRAMOS!$H$2,Tabla5[#All],3,FALSE)*Tabla15[[#This Row],[3]])</f>
        <v>0.15</v>
      </c>
      <c r="K748" s="52" t="str">
        <f>IF(Tabla1[[#This Row],[5]]="TPL",Tabla1[[#This Row],[6]],"")</f>
        <v/>
      </c>
      <c r="L748" s="52" t="str">
        <f>IF(OR(Tabla1[[#This Row],[5]]="TPL"),Tabla1[[#This Row],[7]],"")</f>
        <v/>
      </c>
      <c r="M748" s="52">
        <f>IF(Tabla15[[#This Row],[5]]="",0,VLOOKUP(TRAMOS!$K$2,Tabla5[#All],3,FALSE)*Tabla15[[#This Row],[6]])</f>
        <v>0</v>
      </c>
      <c r="N74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4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48" s="52">
        <f>IF(Tabla15[[#This Row],[8]]="",0,VLOOKUP(TRAMOS!$H$2,Tabla5[#All],3,FALSE)*Tabla15[[#This Row],[9]])</f>
        <v>0</v>
      </c>
      <c r="Q74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6"</v>
      </c>
      <c r="R748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748" s="52">
        <f>IF(Tabla15[[#This Row],[11]]="",0,VLOOKUP(TRAMOS!$Q$2,Tabla5[#All],3,FALSE)*Tabla15[[#This Row],[12]])</f>
        <v>0.9</v>
      </c>
      <c r="T74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4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4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4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4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4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4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4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48" s="52">
        <f>IF(Tabla15[[#This Row],[20]]="",0,VLOOKUP("VRP",Tabla5[#All],3,FALSE)*Tabla15[[#This Row],[21]])</f>
        <v>0</v>
      </c>
      <c r="AC74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4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48" s="52">
        <f>IF(Tabla15[[#This Row],[23]]="",0,VLOOKUP("VC",Tabla5[#All],3,FALSE)*Tabla15[[#This Row],[24]])</f>
        <v>0</v>
      </c>
      <c r="AF74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4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48" s="52">
        <f>IF(Tabla15[[#This Row],[26]]="",0,VLOOKUP(TRAMOS!$K$2,Tabla5[#All],3,FALSE)*Tabla15[[#This Row],[27]])</f>
        <v>0</v>
      </c>
      <c r="AI74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4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4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4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4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4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4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749" spans="2:41" x14ac:dyDescent="0.25">
      <c r="B749" s="58" t="str">
        <f>Tabla1[[#This Row],[nudo inicial]]</f>
        <v>T. PICAPIEDRA</v>
      </c>
      <c r="C749" s="58" t="str">
        <f>Tabla1[[#This Row],[nudo final]]</f>
        <v>T. ANIMES</v>
      </c>
      <c r="D749" s="51">
        <f>Tabla1[[#This Row],[longitud]]</f>
        <v>216.8</v>
      </c>
      <c r="E749" s="51" t="str">
        <f>Tabla1[[#This Row],[diametro]]</f>
        <v>8"</v>
      </c>
      <c r="F749" s="51" t="str">
        <f>Tabla1[[#This Row],[material]]</f>
        <v>PVC</v>
      </c>
      <c r="G74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749" s="52" t="str">
        <f>IF(Tabla1[[#This Row],[5]]="TPD",Tabla1[[#This Row],[6]],"")</f>
        <v/>
      </c>
      <c r="I749" s="52" t="str">
        <f>IF(OR(Tabla1[[#This Row],[5]]="TPD"),Tabla1[[#This Row],[7]],"")</f>
        <v/>
      </c>
      <c r="J749" s="52">
        <f>IF(Tabla15[[#This Row],[2]]="",0,VLOOKUP(TRAMOS!$H$2,Tabla5[#All],3,FALSE)*Tabla15[[#This Row],[3]])</f>
        <v>0</v>
      </c>
      <c r="K749" s="52" t="str">
        <f>IF(Tabla1[[#This Row],[5]]="TPL",Tabla1[[#This Row],[6]],"")</f>
        <v/>
      </c>
      <c r="L749" s="52" t="str">
        <f>IF(OR(Tabla1[[#This Row],[5]]="TPL"),Tabla1[[#This Row],[7]],"")</f>
        <v/>
      </c>
      <c r="M749" s="52">
        <f>IF(Tabla15[[#This Row],[5]]="",0,VLOOKUP(TRAMOS!$K$2,Tabla5[#All],3,FALSE)*Tabla15[[#This Row],[6]])</f>
        <v>0</v>
      </c>
      <c r="N74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4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49" s="52">
        <f>IF(Tabla15[[#This Row],[8]]="",0,VLOOKUP(TRAMOS!$H$2,Tabla5[#All],3,FALSE)*Tabla15[[#This Row],[9]])</f>
        <v>0</v>
      </c>
      <c r="Q74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8"</v>
      </c>
      <c r="R749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2</v>
      </c>
      <c r="S749" s="52">
        <f>IF(Tabla15[[#This Row],[11]]="",0,VLOOKUP(TRAMOS!$Q$2,Tabla5[#All],3,FALSE)*Tabla15[[#This Row],[12]])</f>
        <v>1.8</v>
      </c>
      <c r="T74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4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4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4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4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4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4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4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49" s="52">
        <f>IF(Tabla15[[#This Row],[20]]="",0,VLOOKUP("VRP",Tabla5[#All],3,FALSE)*Tabla15[[#This Row],[21]])</f>
        <v>0</v>
      </c>
      <c r="AC74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4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49" s="52">
        <f>IF(Tabla15[[#This Row],[23]]="",0,VLOOKUP("VC",Tabla5[#All],3,FALSE)*Tabla15[[#This Row],[24]])</f>
        <v>0</v>
      </c>
      <c r="AF74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4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49" s="52">
        <f>IF(Tabla15[[#This Row],[26]]="",0,VLOOKUP(TRAMOS!$K$2,Tabla5[#All],3,FALSE)*Tabla15[[#This Row],[27]])</f>
        <v>0</v>
      </c>
      <c r="AI74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4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4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4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4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4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4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1.8</v>
      </c>
    </row>
    <row r="750" spans="2:41" x14ac:dyDescent="0.25">
      <c r="B750" s="58" t="str">
        <f>Tabla1[[#This Row],[nudo inicial]]</f>
        <v>T. ANIMES</v>
      </c>
      <c r="C750" s="58" t="str">
        <f>Tabla1[[#This Row],[nudo final]]</f>
        <v>T. SANTA MARTA</v>
      </c>
      <c r="D750" s="51">
        <f>Tabla1[[#This Row],[longitud]]</f>
        <v>506.71</v>
      </c>
      <c r="E750" s="51" t="str">
        <f>Tabla1[[#This Row],[diametro]]</f>
        <v>10"</v>
      </c>
      <c r="F750" s="51" t="str">
        <f>Tabla1[[#This Row],[material]]</f>
        <v>PVC</v>
      </c>
      <c r="G75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750" s="52" t="str">
        <f>IF(Tabla1[[#This Row],[5]]="TPD",Tabla1[[#This Row],[6]],"")</f>
        <v/>
      </c>
      <c r="I750" s="52" t="str">
        <f>IF(OR(Tabla1[[#This Row],[5]]="TPD"),Tabla1[[#This Row],[7]],"")</f>
        <v/>
      </c>
      <c r="J750" s="52">
        <f>IF(Tabla15[[#This Row],[2]]="",0,VLOOKUP(TRAMOS!$H$2,Tabla5[#All],3,FALSE)*Tabla15[[#This Row],[3]])</f>
        <v>0</v>
      </c>
      <c r="K750" s="52" t="str">
        <f>IF(Tabla1[[#This Row],[5]]="TPL",Tabla1[[#This Row],[6]],"")</f>
        <v/>
      </c>
      <c r="L750" s="52" t="str">
        <f>IF(OR(Tabla1[[#This Row],[5]]="TPL"),Tabla1[[#This Row],[7]],"")</f>
        <v/>
      </c>
      <c r="M750" s="52">
        <f>IF(Tabla15[[#This Row],[5]]="",0,VLOOKUP(TRAMOS!$K$2,Tabla5[#All],3,FALSE)*Tabla15[[#This Row],[6]])</f>
        <v>0</v>
      </c>
      <c r="N75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5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50" s="52">
        <f>IF(Tabla15[[#This Row],[8]]="",0,VLOOKUP(TRAMOS!$H$2,Tabla5[#All],3,FALSE)*Tabla15[[#This Row],[9]])</f>
        <v>0</v>
      </c>
      <c r="Q75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10"</v>
      </c>
      <c r="R750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3</v>
      </c>
      <c r="S750" s="52">
        <f>IF(Tabla15[[#This Row],[11]]="",0,VLOOKUP(TRAMOS!$Q$2,Tabla5[#All],3,FALSE)*Tabla15[[#This Row],[12]])</f>
        <v>2.7</v>
      </c>
      <c r="T75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5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5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5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5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5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5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5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50" s="52">
        <f>IF(Tabla15[[#This Row],[20]]="",0,VLOOKUP("VRP",Tabla5[#All],3,FALSE)*Tabla15[[#This Row],[21]])</f>
        <v>0</v>
      </c>
      <c r="AC75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5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50" s="52">
        <f>IF(Tabla15[[#This Row],[23]]="",0,VLOOKUP("VC",Tabla5[#All],3,FALSE)*Tabla15[[#This Row],[24]])</f>
        <v>0</v>
      </c>
      <c r="AF75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5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50" s="52">
        <f>IF(Tabla15[[#This Row],[26]]="",0,VLOOKUP(TRAMOS!$K$2,Tabla5[#All],3,FALSE)*Tabla15[[#This Row],[27]])</f>
        <v>0</v>
      </c>
      <c r="AI75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5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5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5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5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5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5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2.7</v>
      </c>
    </row>
    <row r="751" spans="2:41" x14ac:dyDescent="0.25">
      <c r="B751" s="58" t="str">
        <f>Tabla1[[#This Row],[nudo inicial]]</f>
        <v>T. ANIMES</v>
      </c>
      <c r="C751" s="58" t="str">
        <f>Tabla1[[#This Row],[nudo final]]</f>
        <v>N399</v>
      </c>
      <c r="D751" s="51">
        <f>Tabla1[[#This Row],[longitud]]</f>
        <v>66.67</v>
      </c>
      <c r="E751" s="51" t="str">
        <f>Tabla1[[#This Row],[diametro]]</f>
        <v>6"</v>
      </c>
      <c r="F751" s="51" t="str">
        <f>Tabla1[[#This Row],[material]]</f>
        <v>PVC</v>
      </c>
      <c r="G75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751" s="52" t="str">
        <f>IF(Tabla1[[#This Row],[5]]="TPD",Tabla1[[#This Row],[6]],"")</f>
        <v/>
      </c>
      <c r="I751" s="52" t="str">
        <f>IF(OR(Tabla1[[#This Row],[5]]="TPD"),Tabla1[[#This Row],[7]],"")</f>
        <v/>
      </c>
      <c r="J751" s="52">
        <f>IF(Tabla15[[#This Row],[2]]="",0,VLOOKUP(TRAMOS!$H$2,Tabla5[#All],3,FALSE)*Tabla15[[#This Row],[3]])</f>
        <v>0</v>
      </c>
      <c r="K751" s="52" t="str">
        <f>IF(Tabla1[[#This Row],[5]]="TPL",Tabla1[[#This Row],[6]],"")</f>
        <v/>
      </c>
      <c r="L751" s="52" t="str">
        <f>IF(OR(Tabla1[[#This Row],[5]]="TPL"),Tabla1[[#This Row],[7]],"")</f>
        <v/>
      </c>
      <c r="M751" s="52">
        <f>IF(Tabla15[[#This Row],[5]]="",0,VLOOKUP(TRAMOS!$K$2,Tabla5[#All],3,FALSE)*Tabla15[[#This Row],[6]])</f>
        <v>0</v>
      </c>
      <c r="N75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5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51" s="52">
        <f>IF(Tabla15[[#This Row],[8]]="",0,VLOOKUP(TRAMOS!$H$2,Tabla5[#All],3,FALSE)*Tabla15[[#This Row],[9]])</f>
        <v>0</v>
      </c>
      <c r="Q75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6"</v>
      </c>
      <c r="R751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751" s="52">
        <f>IF(Tabla15[[#This Row],[11]]="",0,VLOOKUP(TRAMOS!$Q$2,Tabla5[#All],3,FALSE)*Tabla15[[#This Row],[12]])</f>
        <v>0.9</v>
      </c>
      <c r="T75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5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5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5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5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5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5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5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51" s="52">
        <f>IF(Tabla15[[#This Row],[20]]="",0,VLOOKUP("VRP",Tabla5[#All],3,FALSE)*Tabla15[[#This Row],[21]])</f>
        <v>0</v>
      </c>
      <c r="AC75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6"</v>
      </c>
      <c r="AD751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751" s="52">
        <f>IF(Tabla15[[#This Row],[23]]="",0,VLOOKUP("VC",Tabla5[#All],3,FALSE)*Tabla15[[#This Row],[24]])</f>
        <v>0.25</v>
      </c>
      <c r="AF75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5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51" s="52">
        <f>IF(Tabla15[[#This Row],[26]]="",0,VLOOKUP(TRAMOS!$K$2,Tabla5[#All],3,FALSE)*Tabla15[[#This Row],[27]])</f>
        <v>0</v>
      </c>
      <c r="AI75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5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5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5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5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5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5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1.1499999999999999</v>
      </c>
    </row>
    <row r="752" spans="2:41" x14ac:dyDescent="0.25">
      <c r="B752" s="58" t="str">
        <f>Tabla1[[#This Row],[nudo inicial]]</f>
        <v>N399</v>
      </c>
      <c r="C752" s="58" t="str">
        <f>Tabla1[[#This Row],[nudo final]]</f>
        <v>N400</v>
      </c>
      <c r="D752" s="51">
        <f>Tabla1[[#This Row],[longitud]]</f>
        <v>194.37</v>
      </c>
      <c r="E752" s="51" t="str">
        <f>Tabla1[[#This Row],[diametro]]</f>
        <v>4"</v>
      </c>
      <c r="F752" s="51" t="str">
        <f>Tabla1[[#This Row],[material]]</f>
        <v>PVC</v>
      </c>
      <c r="G75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752" s="52" t="str">
        <f>IF(Tabla1[[#This Row],[5]]="TPD",Tabla1[[#This Row],[6]],"")</f>
        <v/>
      </c>
      <c r="I752" s="52" t="str">
        <f>IF(OR(Tabla1[[#This Row],[5]]="TPD"),Tabla1[[#This Row],[7]],"")</f>
        <v/>
      </c>
      <c r="J752" s="52">
        <f>IF(Tabla15[[#This Row],[2]]="",0,VLOOKUP(TRAMOS!$H$2,Tabla5[#All],3,FALSE)*Tabla15[[#This Row],[3]])</f>
        <v>0</v>
      </c>
      <c r="K752" s="52" t="str">
        <f>IF(Tabla1[[#This Row],[5]]="TPL",Tabla1[[#This Row],[6]],"")</f>
        <v>6"</v>
      </c>
      <c r="L752" s="52">
        <f>IF(OR(Tabla1[[#This Row],[5]]="TPL"),Tabla1[[#This Row],[7]],"")</f>
        <v>1</v>
      </c>
      <c r="M752" s="52">
        <f>IF(Tabla15[[#This Row],[5]]="",0,VLOOKUP(TRAMOS!$K$2,Tabla5[#All],3,FALSE)*Tabla15[[#This Row],[6]])</f>
        <v>0.9</v>
      </c>
      <c r="N75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5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52" s="52">
        <f>IF(Tabla15[[#This Row],[8]]="",0,VLOOKUP(TRAMOS!$H$2,Tabla5[#All],3,FALSE)*Tabla15[[#This Row],[9]])</f>
        <v>0</v>
      </c>
      <c r="Q75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5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52" s="52">
        <f>IF(Tabla15[[#This Row],[11]]="",0,VLOOKUP(TRAMOS!$Q$2,Tabla5[#All],3,FALSE)*Tabla15[[#This Row],[12]])</f>
        <v>0</v>
      </c>
      <c r="T75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4"</v>
      </c>
      <c r="U752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75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75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5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5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5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5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52" s="52">
        <f>IF(Tabla15[[#This Row],[20]]="",0,VLOOKUP("VRP",Tabla5[#All],3,FALSE)*Tabla15[[#This Row],[21]])</f>
        <v>0</v>
      </c>
      <c r="AC75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4"</v>
      </c>
      <c r="AD752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752" s="52">
        <f>IF(Tabla15[[#This Row],[23]]="",0,VLOOKUP("VC",Tabla5[#All],3,FALSE)*Tabla15[[#This Row],[24]])</f>
        <v>0.25</v>
      </c>
      <c r="AF75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5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52" s="52">
        <f>IF(Tabla15[[#This Row],[26]]="",0,VLOOKUP(TRAMOS!$K$2,Tabla5[#All],3,FALSE)*Tabla15[[#This Row],[27]])</f>
        <v>0</v>
      </c>
      <c r="AI75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5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5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5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5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5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5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1.365</v>
      </c>
    </row>
    <row r="753" spans="2:41" x14ac:dyDescent="0.25">
      <c r="B753" s="58" t="str">
        <f>Tabla1[[#This Row],[nudo inicial]]</f>
        <v>N400</v>
      </c>
      <c r="C753" s="58" t="str">
        <f>Tabla1[[#This Row],[nudo final]]</f>
        <v>TP259</v>
      </c>
      <c r="D753" s="51">
        <f>Tabla1[[#This Row],[longitud]]</f>
        <v>16.41</v>
      </c>
      <c r="E753" s="51" t="str">
        <f>Tabla1[[#This Row],[diametro]]</f>
        <v>4"</v>
      </c>
      <c r="F753" s="51" t="str">
        <f>Tabla1[[#This Row],[material]]</f>
        <v>PVC</v>
      </c>
      <c r="G75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753" s="52" t="str">
        <f>IF(Tabla1[[#This Row],[5]]="TPD",Tabla1[[#This Row],[6]],"")</f>
        <v>4"</v>
      </c>
      <c r="I753" s="52">
        <f>IF(OR(Tabla1[[#This Row],[5]]="TPD"),Tabla1[[#This Row],[7]],"")</f>
        <v>1</v>
      </c>
      <c r="J753" s="52">
        <f>IF(Tabla15[[#This Row],[2]]="",0,VLOOKUP(TRAMOS!$H$2,Tabla5[#All],3,FALSE)*Tabla15[[#This Row],[3]])</f>
        <v>0.15</v>
      </c>
      <c r="K753" s="52" t="str">
        <f>IF(Tabla1[[#This Row],[5]]="TPL",Tabla1[[#This Row],[6]],"")</f>
        <v/>
      </c>
      <c r="L753" s="52" t="str">
        <f>IF(OR(Tabla1[[#This Row],[5]]="TPL"),Tabla1[[#This Row],[7]],"")</f>
        <v/>
      </c>
      <c r="M753" s="52">
        <f>IF(Tabla15[[#This Row],[5]]="",0,VLOOKUP(TRAMOS!$K$2,Tabla5[#All],3,FALSE)*Tabla15[[#This Row],[6]])</f>
        <v>0</v>
      </c>
      <c r="N75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5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53" s="52">
        <f>IF(Tabla15[[#This Row],[8]]="",0,VLOOKUP(TRAMOS!$H$2,Tabla5[#All],3,FALSE)*Tabla15[[#This Row],[9]])</f>
        <v>0</v>
      </c>
      <c r="Q75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5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53" s="52">
        <f>IF(Tabla15[[#This Row],[11]]="",0,VLOOKUP(TRAMOS!$Q$2,Tabla5[#All],3,FALSE)*Tabla15[[#This Row],[12]])</f>
        <v>0</v>
      </c>
      <c r="T75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5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5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5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5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5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5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5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53" s="52">
        <f>IF(Tabla15[[#This Row],[20]]="",0,VLOOKUP("VRP",Tabla5[#All],3,FALSE)*Tabla15[[#This Row],[21]])</f>
        <v>0</v>
      </c>
      <c r="AC75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5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53" s="52">
        <f>IF(Tabla15[[#This Row],[23]]="",0,VLOOKUP("VC",Tabla5[#All],3,FALSE)*Tabla15[[#This Row],[24]])</f>
        <v>0</v>
      </c>
      <c r="AF75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5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53" s="52">
        <f>IF(Tabla15[[#This Row],[26]]="",0,VLOOKUP(TRAMOS!$K$2,Tabla5[#All],3,FALSE)*Tabla15[[#This Row],[27]])</f>
        <v>0</v>
      </c>
      <c r="AI75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5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5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5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5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4"</v>
      </c>
      <c r="AN753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75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754" spans="2:41" x14ac:dyDescent="0.25">
      <c r="B754" s="58" t="str">
        <f>Tabla1[[#This Row],[nudo inicial]]</f>
        <v>N400</v>
      </c>
      <c r="C754" s="58" t="str">
        <f>Tabla1[[#This Row],[nudo final]]</f>
        <v>TP260</v>
      </c>
      <c r="D754" s="51">
        <f>Tabla1[[#This Row],[longitud]]</f>
        <v>185.07</v>
      </c>
      <c r="E754" s="51" t="str">
        <f>Tabla1[[#This Row],[diametro]]</f>
        <v>2"</v>
      </c>
      <c r="F754" s="51" t="str">
        <f>Tabla1[[#This Row],[material]]</f>
        <v>PVC</v>
      </c>
      <c r="G75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754" s="52" t="str">
        <f>IF(Tabla1[[#This Row],[5]]="TPD",Tabla1[[#This Row],[6]],"")</f>
        <v/>
      </c>
      <c r="I754" s="52" t="str">
        <f>IF(OR(Tabla1[[#This Row],[5]]="TPD"),Tabla1[[#This Row],[7]],"")</f>
        <v/>
      </c>
      <c r="J754" s="52">
        <f>IF(Tabla15[[#This Row],[2]]="",0,VLOOKUP(TRAMOS!$H$2,Tabla5[#All],3,FALSE)*Tabla15[[#This Row],[3]])</f>
        <v>0</v>
      </c>
      <c r="K754" s="52" t="str">
        <f>IF(Tabla1[[#This Row],[5]]="TPL",Tabla1[[#This Row],[6]],"")</f>
        <v>4"</v>
      </c>
      <c r="L754" s="52">
        <f>IF(OR(Tabla1[[#This Row],[5]]="TPL"),Tabla1[[#This Row],[7]],"")</f>
        <v>1</v>
      </c>
      <c r="M754" s="52">
        <f>IF(Tabla15[[#This Row],[5]]="",0,VLOOKUP(TRAMOS!$K$2,Tabla5[#All],3,FALSE)*Tabla15[[#This Row],[6]])</f>
        <v>0.9</v>
      </c>
      <c r="N75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5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54" s="52">
        <f>IF(Tabla15[[#This Row],[8]]="",0,VLOOKUP(TRAMOS!$H$2,Tabla5[#All],3,FALSE)*Tabla15[[#This Row],[9]])</f>
        <v>0</v>
      </c>
      <c r="Q75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5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54" s="52">
        <f>IF(Tabla15[[#This Row],[11]]="",0,VLOOKUP(TRAMOS!$Q$2,Tabla5[#All],3,FALSE)*Tabla15[[#This Row],[12]])</f>
        <v>0</v>
      </c>
      <c r="T75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754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75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75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5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5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5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5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54" s="52">
        <f>IF(Tabla15[[#This Row],[20]]="",0,VLOOKUP("VRP",Tabla5[#All],3,FALSE)*Tabla15[[#This Row],[21]])</f>
        <v>0</v>
      </c>
      <c r="AC75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5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54" s="52">
        <f>IF(Tabla15[[#This Row],[23]]="",0,VLOOKUP("VC",Tabla5[#All],3,FALSE)*Tabla15[[#This Row],[24]])</f>
        <v>0</v>
      </c>
      <c r="AF75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5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54" s="52">
        <f>IF(Tabla15[[#This Row],[26]]="",0,VLOOKUP(TRAMOS!$K$2,Tabla5[#All],3,FALSE)*Tabla15[[#This Row],[27]])</f>
        <v>0</v>
      </c>
      <c r="AI75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5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5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5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5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754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75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1.27</v>
      </c>
    </row>
    <row r="755" spans="2:41" x14ac:dyDescent="0.25">
      <c r="B755" s="58" t="str">
        <f>Tabla1[[#This Row],[nudo inicial]]</f>
        <v>N399</v>
      </c>
      <c r="C755" s="58" t="str">
        <f>Tabla1[[#This Row],[nudo final]]</f>
        <v>N401</v>
      </c>
      <c r="D755" s="51">
        <f>Tabla1[[#This Row],[longitud]]</f>
        <v>3.87</v>
      </c>
      <c r="E755" s="51" t="str">
        <f>Tabla1[[#This Row],[diametro]]</f>
        <v>6"</v>
      </c>
      <c r="F755" s="51" t="str">
        <f>Tabla1[[#This Row],[material]]</f>
        <v>PVC</v>
      </c>
      <c r="G75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755" s="52" t="str">
        <f>IF(Tabla1[[#This Row],[5]]="TPD",Tabla1[[#This Row],[6]],"")</f>
        <v>6"</v>
      </c>
      <c r="I755" s="52">
        <f>IF(OR(Tabla1[[#This Row],[5]]="TPD"),Tabla1[[#This Row],[7]],"")</f>
        <v>1</v>
      </c>
      <c r="J755" s="52">
        <f>IF(Tabla15[[#This Row],[2]]="",0,VLOOKUP(TRAMOS!$H$2,Tabla5[#All],3,FALSE)*Tabla15[[#This Row],[3]])</f>
        <v>0.15</v>
      </c>
      <c r="K755" s="52" t="str">
        <f>IF(Tabla1[[#This Row],[5]]="TPL",Tabla1[[#This Row],[6]],"")</f>
        <v/>
      </c>
      <c r="L755" s="52" t="str">
        <f>IF(OR(Tabla1[[#This Row],[5]]="TPL"),Tabla1[[#This Row],[7]],"")</f>
        <v/>
      </c>
      <c r="M755" s="52">
        <f>IF(Tabla15[[#This Row],[5]]="",0,VLOOKUP(TRAMOS!$K$2,Tabla5[#All],3,FALSE)*Tabla15[[#This Row],[6]])</f>
        <v>0</v>
      </c>
      <c r="N75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5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55" s="52">
        <f>IF(Tabla15[[#This Row],[8]]="",0,VLOOKUP(TRAMOS!$H$2,Tabla5[#All],3,FALSE)*Tabla15[[#This Row],[9]])</f>
        <v>0</v>
      </c>
      <c r="Q75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5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55" s="52">
        <f>IF(Tabla15[[#This Row],[11]]="",0,VLOOKUP(TRAMOS!$Q$2,Tabla5[#All],3,FALSE)*Tabla15[[#This Row],[12]])</f>
        <v>0</v>
      </c>
      <c r="T75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5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5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5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5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5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5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5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55" s="52">
        <f>IF(Tabla15[[#This Row],[20]]="",0,VLOOKUP("VRP",Tabla5[#All],3,FALSE)*Tabla15[[#This Row],[21]])</f>
        <v>0</v>
      </c>
      <c r="AC75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5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55" s="52">
        <f>IF(Tabla15[[#This Row],[23]]="",0,VLOOKUP("VC",Tabla5[#All],3,FALSE)*Tabla15[[#This Row],[24]])</f>
        <v>0</v>
      </c>
      <c r="AF75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5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55" s="52">
        <f>IF(Tabla15[[#This Row],[26]]="",0,VLOOKUP(TRAMOS!$K$2,Tabla5[#All],3,FALSE)*Tabla15[[#This Row],[27]])</f>
        <v>0</v>
      </c>
      <c r="AI75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5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5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5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5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5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5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756" spans="2:41" x14ac:dyDescent="0.25">
      <c r="B756" s="58" t="str">
        <f>Tabla1[[#This Row],[nudo inicial]]</f>
        <v>N401</v>
      </c>
      <c r="C756" s="58" t="str">
        <f>Tabla1[[#This Row],[nudo final]]</f>
        <v>N402</v>
      </c>
      <c r="D756" s="51">
        <f>Tabla1[[#This Row],[longitud]]</f>
        <v>182.22</v>
      </c>
      <c r="E756" s="51" t="str">
        <f>Tabla1[[#This Row],[diametro]]</f>
        <v>4"</v>
      </c>
      <c r="F756" s="51" t="str">
        <f>Tabla1[[#This Row],[material]]</f>
        <v>PVC</v>
      </c>
      <c r="G75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756" s="52" t="str">
        <f>IF(Tabla1[[#This Row],[5]]="TPD",Tabla1[[#This Row],[6]],"")</f>
        <v/>
      </c>
      <c r="I756" s="52" t="str">
        <f>IF(OR(Tabla1[[#This Row],[5]]="TPD"),Tabla1[[#This Row],[7]],"")</f>
        <v/>
      </c>
      <c r="J756" s="52">
        <f>IF(Tabla15[[#This Row],[2]]="",0,VLOOKUP(TRAMOS!$H$2,Tabla5[#All],3,FALSE)*Tabla15[[#This Row],[3]])</f>
        <v>0</v>
      </c>
      <c r="K756" s="52" t="str">
        <f>IF(Tabla1[[#This Row],[5]]="TPL",Tabla1[[#This Row],[6]],"")</f>
        <v>6"</v>
      </c>
      <c r="L756" s="52">
        <f>IF(OR(Tabla1[[#This Row],[5]]="TPL"),Tabla1[[#This Row],[7]],"")</f>
        <v>1</v>
      </c>
      <c r="M756" s="52">
        <f>IF(Tabla15[[#This Row],[5]]="",0,VLOOKUP(TRAMOS!$K$2,Tabla5[#All],3,FALSE)*Tabla15[[#This Row],[6]])</f>
        <v>0.9</v>
      </c>
      <c r="N75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5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56" s="52">
        <f>IF(Tabla15[[#This Row],[8]]="",0,VLOOKUP(TRAMOS!$H$2,Tabla5[#All],3,FALSE)*Tabla15[[#This Row],[9]])</f>
        <v>0</v>
      </c>
      <c r="Q75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5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56" s="52">
        <f>IF(Tabla15[[#This Row],[11]]="",0,VLOOKUP(TRAMOS!$Q$2,Tabla5[#All],3,FALSE)*Tabla15[[#This Row],[12]])</f>
        <v>0</v>
      </c>
      <c r="T75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4"</v>
      </c>
      <c r="U756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75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75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5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5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5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5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56" s="52">
        <f>IF(Tabla15[[#This Row],[20]]="",0,VLOOKUP("VRP",Tabla5[#All],3,FALSE)*Tabla15[[#This Row],[21]])</f>
        <v>0</v>
      </c>
      <c r="AC75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5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56" s="52">
        <f>IF(Tabla15[[#This Row],[23]]="",0,VLOOKUP("VC",Tabla5[#All],3,FALSE)*Tabla15[[#This Row],[24]])</f>
        <v>0</v>
      </c>
      <c r="AF75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5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56" s="52">
        <f>IF(Tabla15[[#This Row],[26]]="",0,VLOOKUP(TRAMOS!$K$2,Tabla5[#All],3,FALSE)*Tabla15[[#This Row],[27]])</f>
        <v>0</v>
      </c>
      <c r="AI75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5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5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5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5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5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5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757" spans="2:41" x14ac:dyDescent="0.25">
      <c r="B757" s="58" t="str">
        <f>Tabla1[[#This Row],[nudo inicial]]</f>
        <v>N402</v>
      </c>
      <c r="C757" s="58" t="str">
        <f>Tabla1[[#This Row],[nudo final]]</f>
        <v>N403</v>
      </c>
      <c r="D757" s="51">
        <f>Tabla1[[#This Row],[longitud]]</f>
        <v>329.73</v>
      </c>
      <c r="E757" s="51" t="str">
        <f>Tabla1[[#This Row],[diametro]]</f>
        <v>3"</v>
      </c>
      <c r="F757" s="51" t="str">
        <f>Tabla1[[#This Row],[material]]</f>
        <v>PVC</v>
      </c>
      <c r="G75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757" s="52" t="str">
        <f>IF(Tabla1[[#This Row],[5]]="TPD",Tabla1[[#This Row],[6]],"")</f>
        <v/>
      </c>
      <c r="I757" s="52" t="str">
        <f>IF(OR(Tabla1[[#This Row],[5]]="TPD"),Tabla1[[#This Row],[7]],"")</f>
        <v/>
      </c>
      <c r="J757" s="52">
        <f>IF(Tabla15[[#This Row],[2]]="",0,VLOOKUP(TRAMOS!$H$2,Tabla5[#All],3,FALSE)*Tabla15[[#This Row],[3]])</f>
        <v>0</v>
      </c>
      <c r="K757" s="52" t="str">
        <f>IF(Tabla1[[#This Row],[5]]="TPL",Tabla1[[#This Row],[6]],"")</f>
        <v>4"</v>
      </c>
      <c r="L757" s="52">
        <f>IF(OR(Tabla1[[#This Row],[5]]="TPL"),Tabla1[[#This Row],[7]],"")</f>
        <v>1</v>
      </c>
      <c r="M757" s="52">
        <f>IF(Tabla15[[#This Row],[5]]="",0,VLOOKUP(TRAMOS!$K$2,Tabla5[#All],3,FALSE)*Tabla15[[#This Row],[6]])</f>
        <v>0.9</v>
      </c>
      <c r="N75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5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57" s="52">
        <f>IF(Tabla15[[#This Row],[8]]="",0,VLOOKUP(TRAMOS!$H$2,Tabla5[#All],3,FALSE)*Tabla15[[#This Row],[9]])</f>
        <v>0</v>
      </c>
      <c r="Q75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5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57" s="52">
        <f>IF(Tabla15[[#This Row],[11]]="",0,VLOOKUP(TRAMOS!$Q$2,Tabla5[#All],3,FALSE)*Tabla15[[#This Row],[12]])</f>
        <v>0</v>
      </c>
      <c r="T75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757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75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0.13850000000000007</v>
      </c>
      <c r="W75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5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5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5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5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57" s="52">
        <f>IF(Tabla15[[#This Row],[20]]="",0,VLOOKUP("VRP",Tabla5[#All],3,FALSE)*Tabla15[[#This Row],[21]])</f>
        <v>0</v>
      </c>
      <c r="AC75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5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57" s="52">
        <f>IF(Tabla15[[#This Row],[23]]="",0,VLOOKUP("VC",Tabla5[#All],3,FALSE)*Tabla15[[#This Row],[24]])</f>
        <v>0</v>
      </c>
      <c r="AF75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5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57" s="52">
        <f>IF(Tabla15[[#This Row],[26]]="",0,VLOOKUP(TRAMOS!$K$2,Tabla5[#All],3,FALSE)*Tabla15[[#This Row],[27]])</f>
        <v>0</v>
      </c>
      <c r="AI75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5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5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5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5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5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5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1.0385</v>
      </c>
    </row>
    <row r="758" spans="2:41" x14ac:dyDescent="0.25">
      <c r="B758" s="58" t="str">
        <f>Tabla1[[#This Row],[nudo inicial]]</f>
        <v>N403</v>
      </c>
      <c r="C758" s="58" t="str">
        <f>Tabla1[[#This Row],[nudo final]]</f>
        <v>N404</v>
      </c>
      <c r="D758" s="51">
        <f>Tabla1[[#This Row],[longitud]]</f>
        <v>55.27</v>
      </c>
      <c r="E758" s="51" t="str">
        <f>Tabla1[[#This Row],[diametro]]</f>
        <v>2"</v>
      </c>
      <c r="F758" s="51" t="str">
        <f>Tabla1[[#This Row],[material]]</f>
        <v>PVC</v>
      </c>
      <c r="G75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758" s="52" t="str">
        <f>IF(Tabla1[[#This Row],[5]]="TPD",Tabla1[[#This Row],[6]],"")</f>
        <v/>
      </c>
      <c r="I758" s="52" t="str">
        <f>IF(OR(Tabla1[[#This Row],[5]]="TPD"),Tabla1[[#This Row],[7]],"")</f>
        <v/>
      </c>
      <c r="J758" s="52">
        <f>IF(Tabla15[[#This Row],[2]]="",0,VLOOKUP(TRAMOS!$H$2,Tabla5[#All],3,FALSE)*Tabla15[[#This Row],[3]])</f>
        <v>0</v>
      </c>
      <c r="K758" s="52" t="str">
        <f>IF(Tabla1[[#This Row],[5]]="TPL",Tabla1[[#This Row],[6]],"")</f>
        <v>3"</v>
      </c>
      <c r="L758" s="52">
        <f>IF(OR(Tabla1[[#This Row],[5]]="TPL"),Tabla1[[#This Row],[7]],"")</f>
        <v>1</v>
      </c>
      <c r="M758" s="52">
        <f>IF(Tabla15[[#This Row],[5]]="",0,VLOOKUP(TRAMOS!$K$2,Tabla5[#All],3,FALSE)*Tabla15[[#This Row],[6]])</f>
        <v>0.9</v>
      </c>
      <c r="N75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5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58" s="52">
        <f>IF(Tabla15[[#This Row],[8]]="",0,VLOOKUP(TRAMOS!$H$2,Tabla5[#All],3,FALSE)*Tabla15[[#This Row],[9]])</f>
        <v>0</v>
      </c>
      <c r="Q75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5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58" s="52">
        <f>IF(Tabla15[[#This Row],[11]]="",0,VLOOKUP(TRAMOS!$Q$2,Tabla5[#All],3,FALSE)*Tabla15[[#This Row],[12]])</f>
        <v>0</v>
      </c>
      <c r="T75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758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75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75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5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5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5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5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58" s="52">
        <f>IF(Tabla15[[#This Row],[20]]="",0,VLOOKUP("VRP",Tabla5[#All],3,FALSE)*Tabla15[[#This Row],[21]])</f>
        <v>0</v>
      </c>
      <c r="AC75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5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58" s="52">
        <f>IF(Tabla15[[#This Row],[23]]="",0,VLOOKUP("VC",Tabla5[#All],3,FALSE)*Tabla15[[#This Row],[24]])</f>
        <v>0</v>
      </c>
      <c r="AF75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5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58" s="52">
        <f>IF(Tabla15[[#This Row],[26]]="",0,VLOOKUP(TRAMOS!$K$2,Tabla5[#All],3,FALSE)*Tabla15[[#This Row],[27]])</f>
        <v>0</v>
      </c>
      <c r="AI75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5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5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5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5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5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5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759" spans="2:41" x14ac:dyDescent="0.25">
      <c r="B759" s="58" t="str">
        <f>Tabla1[[#This Row],[nudo inicial]]</f>
        <v>N404</v>
      </c>
      <c r="C759" s="58" t="str">
        <f>Tabla1[[#This Row],[nudo final]]</f>
        <v>TP261</v>
      </c>
      <c r="D759" s="51">
        <f>Tabla1[[#This Row],[longitud]]</f>
        <v>34.46</v>
      </c>
      <c r="E759" s="51" t="str">
        <f>Tabla1[[#This Row],[diametro]]</f>
        <v>2"</v>
      </c>
      <c r="F759" s="51" t="str">
        <f>Tabla1[[#This Row],[material]]</f>
        <v>PVC</v>
      </c>
      <c r="G75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759" s="52" t="str">
        <f>IF(Tabla1[[#This Row],[5]]="TPD",Tabla1[[#This Row],[6]],"")</f>
        <v/>
      </c>
      <c r="I759" s="52" t="str">
        <f>IF(OR(Tabla1[[#This Row],[5]]="TPD"),Tabla1[[#This Row],[7]],"")</f>
        <v/>
      </c>
      <c r="J759" s="52">
        <f>IF(Tabla15[[#This Row],[2]]="",0,VLOOKUP(TRAMOS!$H$2,Tabla5[#All],3,FALSE)*Tabla15[[#This Row],[3]])</f>
        <v>0</v>
      </c>
      <c r="K759" s="52" t="str">
        <f>IF(Tabla1[[#This Row],[5]]="TPL",Tabla1[[#This Row],[6]],"")</f>
        <v>2"</v>
      </c>
      <c r="L759" s="52">
        <f>IF(OR(Tabla1[[#This Row],[5]]="TPL"),Tabla1[[#This Row],[7]],"")</f>
        <v>1</v>
      </c>
      <c r="M759" s="52">
        <f>IF(Tabla15[[#This Row],[5]]="",0,VLOOKUP(TRAMOS!$K$2,Tabla5[#All],3,FALSE)*Tabla15[[#This Row],[6]])</f>
        <v>0.9</v>
      </c>
      <c r="N75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5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59" s="52">
        <f>IF(Tabla15[[#This Row],[8]]="",0,VLOOKUP(TRAMOS!$H$2,Tabla5[#All],3,FALSE)*Tabla15[[#This Row],[9]])</f>
        <v>0</v>
      </c>
      <c r="Q75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5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59" s="52">
        <f>IF(Tabla15[[#This Row],[11]]="",0,VLOOKUP(TRAMOS!$Q$2,Tabla5[#All],3,FALSE)*Tabla15[[#This Row],[12]])</f>
        <v>0</v>
      </c>
      <c r="T75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5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5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5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5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5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5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5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59" s="52">
        <f>IF(Tabla15[[#This Row],[20]]="",0,VLOOKUP("VRP",Tabla5[#All],3,FALSE)*Tabla15[[#This Row],[21]])</f>
        <v>0</v>
      </c>
      <c r="AC75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5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59" s="52">
        <f>IF(Tabla15[[#This Row],[23]]="",0,VLOOKUP("VC",Tabla5[#All],3,FALSE)*Tabla15[[#This Row],[24]])</f>
        <v>0</v>
      </c>
      <c r="AF75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5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59" s="52">
        <f>IF(Tabla15[[#This Row],[26]]="",0,VLOOKUP(TRAMOS!$K$2,Tabla5[#All],3,FALSE)*Tabla15[[#This Row],[27]])</f>
        <v>0</v>
      </c>
      <c r="AI75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5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5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5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5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759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75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760" spans="2:41" x14ac:dyDescent="0.25">
      <c r="B760" s="58" t="str">
        <f>Tabla1[[#This Row],[nudo inicial]]</f>
        <v>N404</v>
      </c>
      <c r="C760" s="58" t="str">
        <f>Tabla1[[#This Row],[nudo final]]</f>
        <v>TP262</v>
      </c>
      <c r="D760" s="51">
        <f>Tabla1[[#This Row],[longitud]]</f>
        <v>29.61</v>
      </c>
      <c r="E760" s="51" t="str">
        <f>Tabla1[[#This Row],[diametro]]</f>
        <v>2"</v>
      </c>
      <c r="F760" s="51" t="str">
        <f>Tabla1[[#This Row],[material]]</f>
        <v>PVC</v>
      </c>
      <c r="G76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760" s="52" t="str">
        <f>IF(Tabla1[[#This Row],[5]]="TPD",Tabla1[[#This Row],[6]],"")</f>
        <v>2"</v>
      </c>
      <c r="I760" s="52">
        <f>IF(OR(Tabla1[[#This Row],[5]]="TPD"),Tabla1[[#This Row],[7]],"")</f>
        <v>1</v>
      </c>
      <c r="J760" s="52">
        <f>IF(Tabla15[[#This Row],[2]]="",0,VLOOKUP(TRAMOS!$H$2,Tabla5[#All],3,FALSE)*Tabla15[[#This Row],[3]])</f>
        <v>0.15</v>
      </c>
      <c r="K760" s="52" t="str">
        <f>IF(Tabla1[[#This Row],[5]]="TPL",Tabla1[[#This Row],[6]],"")</f>
        <v/>
      </c>
      <c r="L760" s="52" t="str">
        <f>IF(OR(Tabla1[[#This Row],[5]]="TPL"),Tabla1[[#This Row],[7]],"")</f>
        <v/>
      </c>
      <c r="M760" s="52">
        <f>IF(Tabla15[[#This Row],[5]]="",0,VLOOKUP(TRAMOS!$K$2,Tabla5[#All],3,FALSE)*Tabla15[[#This Row],[6]])</f>
        <v>0</v>
      </c>
      <c r="N76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6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60" s="52">
        <f>IF(Tabla15[[#This Row],[8]]="",0,VLOOKUP(TRAMOS!$H$2,Tabla5[#All],3,FALSE)*Tabla15[[#This Row],[9]])</f>
        <v>0</v>
      </c>
      <c r="Q76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6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60" s="52">
        <f>IF(Tabla15[[#This Row],[11]]="",0,VLOOKUP(TRAMOS!$Q$2,Tabla5[#All],3,FALSE)*Tabla15[[#This Row],[12]])</f>
        <v>0</v>
      </c>
      <c r="T76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6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6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6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6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6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6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6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60" s="52">
        <f>IF(Tabla15[[#This Row],[20]]="",0,VLOOKUP("VRP",Tabla5[#All],3,FALSE)*Tabla15[[#This Row],[21]])</f>
        <v>0</v>
      </c>
      <c r="AC76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6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60" s="52">
        <f>IF(Tabla15[[#This Row],[23]]="",0,VLOOKUP("VC",Tabla5[#All],3,FALSE)*Tabla15[[#This Row],[24]])</f>
        <v>0</v>
      </c>
      <c r="AF76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6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60" s="52">
        <f>IF(Tabla15[[#This Row],[26]]="",0,VLOOKUP(TRAMOS!$K$2,Tabla5[#All],3,FALSE)*Tabla15[[#This Row],[27]])</f>
        <v>0</v>
      </c>
      <c r="AI76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6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6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6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6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760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76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761" spans="2:41" x14ac:dyDescent="0.25">
      <c r="B761" s="58" t="str">
        <f>Tabla1[[#This Row],[nudo inicial]]</f>
        <v>N403</v>
      </c>
      <c r="C761" s="58" t="str">
        <f>Tabla1[[#This Row],[nudo final]]</f>
        <v>N405</v>
      </c>
      <c r="D761" s="51">
        <f>Tabla1[[#This Row],[longitud]]</f>
        <v>18.71</v>
      </c>
      <c r="E761" s="51" t="str">
        <f>Tabla1[[#This Row],[diametro]]</f>
        <v>3"</v>
      </c>
      <c r="F761" s="51" t="str">
        <f>Tabla1[[#This Row],[material]]</f>
        <v>PVC</v>
      </c>
      <c r="G76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761" s="52" t="str">
        <f>IF(Tabla1[[#This Row],[5]]="TPD",Tabla1[[#This Row],[6]],"")</f>
        <v>3"</v>
      </c>
      <c r="I761" s="52">
        <f>IF(OR(Tabla1[[#This Row],[5]]="TPD"),Tabla1[[#This Row],[7]],"")</f>
        <v>1</v>
      </c>
      <c r="J761" s="52">
        <f>IF(Tabla15[[#This Row],[2]]="",0,VLOOKUP(TRAMOS!$H$2,Tabla5[#All],3,FALSE)*Tabla15[[#This Row],[3]])</f>
        <v>0.15</v>
      </c>
      <c r="K761" s="52" t="str">
        <f>IF(Tabla1[[#This Row],[5]]="TPL",Tabla1[[#This Row],[6]],"")</f>
        <v/>
      </c>
      <c r="L761" s="52" t="str">
        <f>IF(OR(Tabla1[[#This Row],[5]]="TPL"),Tabla1[[#This Row],[7]],"")</f>
        <v/>
      </c>
      <c r="M761" s="52">
        <f>IF(Tabla15[[#This Row],[5]]="",0,VLOOKUP(TRAMOS!$K$2,Tabla5[#All],3,FALSE)*Tabla15[[#This Row],[6]])</f>
        <v>0</v>
      </c>
      <c r="N76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6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61" s="52">
        <f>IF(Tabla15[[#This Row],[8]]="",0,VLOOKUP(TRAMOS!$H$2,Tabla5[#All],3,FALSE)*Tabla15[[#This Row],[9]])</f>
        <v>0</v>
      </c>
      <c r="Q76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6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61" s="52">
        <f>IF(Tabla15[[#This Row],[11]]="",0,VLOOKUP(TRAMOS!$Q$2,Tabla5[#All],3,FALSE)*Tabla15[[#This Row],[12]])</f>
        <v>0</v>
      </c>
      <c r="T76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6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6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6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6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6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6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6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61" s="52">
        <f>IF(Tabla15[[#This Row],[20]]="",0,VLOOKUP("VRP",Tabla5[#All],3,FALSE)*Tabla15[[#This Row],[21]])</f>
        <v>0</v>
      </c>
      <c r="AC76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6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61" s="52">
        <f>IF(Tabla15[[#This Row],[23]]="",0,VLOOKUP("VC",Tabla5[#All],3,FALSE)*Tabla15[[#This Row],[24]])</f>
        <v>0</v>
      </c>
      <c r="AF76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6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61" s="52">
        <f>IF(Tabla15[[#This Row],[26]]="",0,VLOOKUP(TRAMOS!$K$2,Tabla5[#All],3,FALSE)*Tabla15[[#This Row],[27]])</f>
        <v>0</v>
      </c>
      <c r="AI76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6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6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6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6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6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6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762" spans="2:41" x14ac:dyDescent="0.25">
      <c r="B762" s="58" t="str">
        <f>Tabla1[[#This Row],[nudo inicial]]</f>
        <v>N405</v>
      </c>
      <c r="C762" s="58" t="str">
        <f>Tabla1[[#This Row],[nudo final]]</f>
        <v>N406</v>
      </c>
      <c r="D762" s="51">
        <f>Tabla1[[#This Row],[longitud]]</f>
        <v>63.6</v>
      </c>
      <c r="E762" s="51" t="str">
        <f>Tabla1[[#This Row],[diametro]]</f>
        <v>2"</v>
      </c>
      <c r="F762" s="51" t="str">
        <f>Tabla1[[#This Row],[material]]</f>
        <v>PVC</v>
      </c>
      <c r="G76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762" s="52" t="str">
        <f>IF(Tabla1[[#This Row],[5]]="TPD",Tabla1[[#This Row],[6]],"")</f>
        <v/>
      </c>
      <c r="I762" s="52" t="str">
        <f>IF(OR(Tabla1[[#This Row],[5]]="TPD"),Tabla1[[#This Row],[7]],"")</f>
        <v/>
      </c>
      <c r="J762" s="52">
        <f>IF(Tabla15[[#This Row],[2]]="",0,VLOOKUP(TRAMOS!$H$2,Tabla5[#All],3,FALSE)*Tabla15[[#This Row],[3]])</f>
        <v>0</v>
      </c>
      <c r="K762" s="52" t="str">
        <f>IF(Tabla1[[#This Row],[5]]="TPL",Tabla1[[#This Row],[6]],"")</f>
        <v/>
      </c>
      <c r="L762" s="52" t="str">
        <f>IF(OR(Tabla1[[#This Row],[5]]="TPL"),Tabla1[[#This Row],[7]],"")</f>
        <v/>
      </c>
      <c r="M762" s="52">
        <f>IF(Tabla15[[#This Row],[5]]="",0,VLOOKUP(TRAMOS!$K$2,Tabla5[#All],3,FALSE)*Tabla15[[#This Row],[6]])</f>
        <v>0</v>
      </c>
      <c r="N76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6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62" s="52">
        <f>IF(Tabla15[[#This Row],[8]]="",0,VLOOKUP(TRAMOS!$H$2,Tabla5[#All],3,FALSE)*Tabla15[[#This Row],[9]])</f>
        <v>0</v>
      </c>
      <c r="Q76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6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62" s="52">
        <f>IF(Tabla15[[#This Row],[11]]="",0,VLOOKUP(TRAMOS!$Q$2,Tabla5[#All],3,FALSE)*Tabla15[[#This Row],[12]])</f>
        <v>0</v>
      </c>
      <c r="T76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762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76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76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6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6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6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6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62" s="52">
        <f>IF(Tabla15[[#This Row],[20]]="",0,VLOOKUP("VRP",Tabla5[#All],3,FALSE)*Tabla15[[#This Row],[21]])</f>
        <v>0</v>
      </c>
      <c r="AC76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6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62" s="52">
        <f>IF(Tabla15[[#This Row],[23]]="",0,VLOOKUP("VC",Tabla5[#All],3,FALSE)*Tabla15[[#This Row],[24]])</f>
        <v>0</v>
      </c>
      <c r="AF76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6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62" s="52">
        <f>IF(Tabla15[[#This Row],[26]]="",0,VLOOKUP(TRAMOS!$K$2,Tabla5[#All],3,FALSE)*Tabla15[[#This Row],[27]])</f>
        <v>0</v>
      </c>
      <c r="AI76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6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6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6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6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6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6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0.21500000000000002</v>
      </c>
    </row>
    <row r="763" spans="2:41" x14ac:dyDescent="0.25">
      <c r="B763" s="58" t="str">
        <f>Tabla1[[#This Row],[nudo inicial]]</f>
        <v>N406</v>
      </c>
      <c r="C763" s="58" t="str">
        <f>Tabla1[[#This Row],[nudo final]]</f>
        <v>TP263</v>
      </c>
      <c r="D763" s="51">
        <f>Tabla1[[#This Row],[longitud]]</f>
        <v>48.45</v>
      </c>
      <c r="E763" s="51" t="str">
        <f>Tabla1[[#This Row],[diametro]]</f>
        <v>2"</v>
      </c>
      <c r="F763" s="51" t="str">
        <f>Tabla1[[#This Row],[material]]</f>
        <v>PVC</v>
      </c>
      <c r="G76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763" s="52" t="str">
        <f>IF(Tabla1[[#This Row],[5]]="TPD",Tabla1[[#This Row],[6]],"")</f>
        <v/>
      </c>
      <c r="I763" s="52" t="str">
        <f>IF(OR(Tabla1[[#This Row],[5]]="TPD"),Tabla1[[#This Row],[7]],"")</f>
        <v/>
      </c>
      <c r="J763" s="52">
        <f>IF(Tabla15[[#This Row],[2]]="",0,VLOOKUP(TRAMOS!$H$2,Tabla5[#All],3,FALSE)*Tabla15[[#This Row],[3]])</f>
        <v>0</v>
      </c>
      <c r="K763" s="52" t="str">
        <f>IF(Tabla1[[#This Row],[5]]="TPL",Tabla1[[#This Row],[6]],"")</f>
        <v>2"</v>
      </c>
      <c r="L763" s="52">
        <f>IF(OR(Tabla1[[#This Row],[5]]="TPL"),Tabla1[[#This Row],[7]],"")</f>
        <v>1</v>
      </c>
      <c r="M763" s="52">
        <f>IF(Tabla15[[#This Row],[5]]="",0,VLOOKUP(TRAMOS!$K$2,Tabla5[#All],3,FALSE)*Tabla15[[#This Row],[6]])</f>
        <v>0.9</v>
      </c>
      <c r="N76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6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63" s="52">
        <f>IF(Tabla15[[#This Row],[8]]="",0,VLOOKUP(TRAMOS!$H$2,Tabla5[#All],3,FALSE)*Tabla15[[#This Row],[9]])</f>
        <v>0</v>
      </c>
      <c r="Q76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6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63" s="52">
        <f>IF(Tabla15[[#This Row],[11]]="",0,VLOOKUP(TRAMOS!$Q$2,Tabla5[#All],3,FALSE)*Tabla15[[#This Row],[12]])</f>
        <v>0</v>
      </c>
      <c r="T76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6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6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6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6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6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6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6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63" s="52">
        <f>IF(Tabla15[[#This Row],[20]]="",0,VLOOKUP("VRP",Tabla5[#All],3,FALSE)*Tabla15[[#This Row],[21]])</f>
        <v>0</v>
      </c>
      <c r="AC76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6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63" s="52">
        <f>IF(Tabla15[[#This Row],[23]]="",0,VLOOKUP("VC",Tabla5[#All],3,FALSE)*Tabla15[[#This Row],[24]])</f>
        <v>0</v>
      </c>
      <c r="AF76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6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63" s="52">
        <f>IF(Tabla15[[#This Row],[26]]="",0,VLOOKUP(TRAMOS!$K$2,Tabla5[#All],3,FALSE)*Tabla15[[#This Row],[27]])</f>
        <v>0</v>
      </c>
      <c r="AI76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6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6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6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6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763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76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764" spans="2:41" x14ac:dyDescent="0.25">
      <c r="B764" s="58" t="str">
        <f>Tabla1[[#This Row],[nudo inicial]]</f>
        <v>N406</v>
      </c>
      <c r="C764" s="58" t="str">
        <f>Tabla1[[#This Row],[nudo final]]</f>
        <v>TP264</v>
      </c>
      <c r="D764" s="51">
        <f>Tabla1[[#This Row],[longitud]]</f>
        <v>17.11</v>
      </c>
      <c r="E764" s="51" t="str">
        <f>Tabla1[[#This Row],[diametro]]</f>
        <v>2"</v>
      </c>
      <c r="F764" s="51" t="str">
        <f>Tabla1[[#This Row],[material]]</f>
        <v>PVC</v>
      </c>
      <c r="G76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764" s="52" t="str">
        <f>IF(Tabla1[[#This Row],[5]]="TPD",Tabla1[[#This Row],[6]],"")</f>
        <v>2"</v>
      </c>
      <c r="I764" s="52">
        <f>IF(OR(Tabla1[[#This Row],[5]]="TPD"),Tabla1[[#This Row],[7]],"")</f>
        <v>1</v>
      </c>
      <c r="J764" s="52">
        <f>IF(Tabla15[[#This Row],[2]]="",0,VLOOKUP(TRAMOS!$H$2,Tabla5[#All],3,FALSE)*Tabla15[[#This Row],[3]])</f>
        <v>0.15</v>
      </c>
      <c r="K764" s="52" t="str">
        <f>IF(Tabla1[[#This Row],[5]]="TPL",Tabla1[[#This Row],[6]],"")</f>
        <v/>
      </c>
      <c r="L764" s="52" t="str">
        <f>IF(OR(Tabla1[[#This Row],[5]]="TPL"),Tabla1[[#This Row],[7]],"")</f>
        <v/>
      </c>
      <c r="M764" s="52">
        <f>IF(Tabla15[[#This Row],[5]]="",0,VLOOKUP(TRAMOS!$K$2,Tabla5[#All],3,FALSE)*Tabla15[[#This Row],[6]])</f>
        <v>0</v>
      </c>
      <c r="N76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6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64" s="52">
        <f>IF(Tabla15[[#This Row],[8]]="",0,VLOOKUP(TRAMOS!$H$2,Tabla5[#All],3,FALSE)*Tabla15[[#This Row],[9]])</f>
        <v>0</v>
      </c>
      <c r="Q76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6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64" s="52">
        <f>IF(Tabla15[[#This Row],[11]]="",0,VLOOKUP(TRAMOS!$Q$2,Tabla5[#All],3,FALSE)*Tabla15[[#This Row],[12]])</f>
        <v>0</v>
      </c>
      <c r="T76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6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6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6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6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6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6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6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64" s="52">
        <f>IF(Tabla15[[#This Row],[20]]="",0,VLOOKUP("VRP",Tabla5[#All],3,FALSE)*Tabla15[[#This Row],[21]])</f>
        <v>0</v>
      </c>
      <c r="AC76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6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64" s="52">
        <f>IF(Tabla15[[#This Row],[23]]="",0,VLOOKUP("VC",Tabla5[#All],3,FALSE)*Tabla15[[#This Row],[24]])</f>
        <v>0</v>
      </c>
      <c r="AF76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6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64" s="52">
        <f>IF(Tabla15[[#This Row],[26]]="",0,VLOOKUP(TRAMOS!$K$2,Tabla5[#All],3,FALSE)*Tabla15[[#This Row],[27]])</f>
        <v>0</v>
      </c>
      <c r="AI76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6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6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6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6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764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76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765" spans="2:41" x14ac:dyDescent="0.25">
      <c r="B765" s="58" t="str">
        <f>Tabla1[[#This Row],[nudo inicial]]</f>
        <v>N402</v>
      </c>
      <c r="C765" s="58" t="str">
        <f>Tabla1[[#This Row],[nudo final]]</f>
        <v>CQ5</v>
      </c>
      <c r="D765" s="51">
        <f>Tabla1[[#This Row],[longitud]]</f>
        <v>43.17</v>
      </c>
      <c r="E765" s="51" t="str">
        <f>Tabla1[[#This Row],[diametro]]</f>
        <v>4"</v>
      </c>
      <c r="F765" s="51" t="str">
        <f>Tabla1[[#This Row],[material]]</f>
        <v>PVC</v>
      </c>
      <c r="G76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765" s="52" t="str">
        <f>IF(Tabla1[[#This Row],[5]]="TPD",Tabla1[[#This Row],[6]],"")</f>
        <v>4"</v>
      </c>
      <c r="I765" s="52">
        <f>IF(OR(Tabla1[[#This Row],[5]]="TPD"),Tabla1[[#This Row],[7]],"")</f>
        <v>1</v>
      </c>
      <c r="J765" s="52">
        <f>IF(Tabla15[[#This Row],[2]]="",0,VLOOKUP(TRAMOS!$H$2,Tabla5[#All],3,FALSE)*Tabla15[[#This Row],[3]])</f>
        <v>0.15</v>
      </c>
      <c r="K765" s="52" t="str">
        <f>IF(Tabla1[[#This Row],[5]]="TPL",Tabla1[[#This Row],[6]],"")</f>
        <v/>
      </c>
      <c r="L765" s="52" t="str">
        <f>IF(OR(Tabla1[[#This Row],[5]]="TPL"),Tabla1[[#This Row],[7]],"")</f>
        <v/>
      </c>
      <c r="M765" s="52">
        <f>IF(Tabla15[[#This Row],[5]]="",0,VLOOKUP(TRAMOS!$K$2,Tabla5[#All],3,FALSE)*Tabla15[[#This Row],[6]])</f>
        <v>0</v>
      </c>
      <c r="N76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6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65" s="52">
        <f>IF(Tabla15[[#This Row],[8]]="",0,VLOOKUP(TRAMOS!$H$2,Tabla5[#All],3,FALSE)*Tabla15[[#This Row],[9]])</f>
        <v>0</v>
      </c>
      <c r="Q76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4"</v>
      </c>
      <c r="R765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765" s="52">
        <f>IF(Tabla15[[#This Row],[11]]="",0,VLOOKUP(TRAMOS!$Q$2,Tabla5[#All],3,FALSE)*Tabla15[[#This Row],[12]])</f>
        <v>0.9</v>
      </c>
      <c r="T76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6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6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6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6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6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6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6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65" s="52">
        <f>IF(Tabla15[[#This Row],[20]]="",0,VLOOKUP("VRP",Tabla5[#All],3,FALSE)*Tabla15[[#This Row],[21]])</f>
        <v>0</v>
      </c>
      <c r="AC76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6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65" s="52">
        <f>IF(Tabla15[[#This Row],[23]]="",0,VLOOKUP("VC",Tabla5[#All],3,FALSE)*Tabla15[[#This Row],[24]])</f>
        <v>0</v>
      </c>
      <c r="AF76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6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65" s="52">
        <f>IF(Tabla15[[#This Row],[26]]="",0,VLOOKUP(TRAMOS!$K$2,Tabla5[#All],3,FALSE)*Tabla15[[#This Row],[27]])</f>
        <v>0</v>
      </c>
      <c r="AI76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6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6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6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6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6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6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766" spans="2:41" x14ac:dyDescent="0.25">
      <c r="B766" s="58" t="str">
        <f>Tabla1[[#This Row],[nudo inicial]]</f>
        <v>CQ5</v>
      </c>
      <c r="C766" s="58" t="str">
        <f>Tabla1[[#This Row],[nudo final]]</f>
        <v>N407</v>
      </c>
      <c r="D766" s="51">
        <f>Tabla1[[#This Row],[longitud]]</f>
        <v>147.97</v>
      </c>
      <c r="E766" s="51" t="str">
        <f>Tabla1[[#This Row],[diametro]]</f>
        <v>3"</v>
      </c>
      <c r="F766" s="51" t="str">
        <f>Tabla1[[#This Row],[material]]</f>
        <v>PVC</v>
      </c>
      <c r="G76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766" s="52" t="str">
        <f>IF(Tabla1[[#This Row],[5]]="TPD",Tabla1[[#This Row],[6]],"")</f>
        <v/>
      </c>
      <c r="I766" s="52" t="str">
        <f>IF(OR(Tabla1[[#This Row],[5]]="TPD"),Tabla1[[#This Row],[7]],"")</f>
        <v/>
      </c>
      <c r="J766" s="52">
        <f>IF(Tabla15[[#This Row],[2]]="",0,VLOOKUP(TRAMOS!$H$2,Tabla5[#All],3,FALSE)*Tabla15[[#This Row],[3]])</f>
        <v>0</v>
      </c>
      <c r="K766" s="52" t="str">
        <f>IF(Tabla1[[#This Row],[5]]="TPL",Tabla1[[#This Row],[6]],"")</f>
        <v/>
      </c>
      <c r="L766" s="52" t="str">
        <f>IF(OR(Tabla1[[#This Row],[5]]="TPL"),Tabla1[[#This Row],[7]],"")</f>
        <v/>
      </c>
      <c r="M766" s="52">
        <f>IF(Tabla15[[#This Row],[5]]="",0,VLOOKUP(TRAMOS!$K$2,Tabla5[#All],3,FALSE)*Tabla15[[#This Row],[6]])</f>
        <v>0</v>
      </c>
      <c r="N76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6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66" s="52">
        <f>IF(Tabla15[[#This Row],[8]]="",0,VLOOKUP(TRAMOS!$H$2,Tabla5[#All],3,FALSE)*Tabla15[[#This Row],[9]])</f>
        <v>0</v>
      </c>
      <c r="Q76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3"</v>
      </c>
      <c r="R766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766" s="52">
        <f>IF(Tabla15[[#This Row],[11]]="",0,VLOOKUP(TRAMOS!$Q$2,Tabla5[#All],3,FALSE)*Tabla15[[#This Row],[12]])</f>
        <v>0.9</v>
      </c>
      <c r="T76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6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6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6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6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6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6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6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66" s="52">
        <f>IF(Tabla15[[#This Row],[20]]="",0,VLOOKUP("VRP",Tabla5[#All],3,FALSE)*Tabla15[[#This Row],[21]])</f>
        <v>0</v>
      </c>
      <c r="AC76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6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66" s="52">
        <f>IF(Tabla15[[#This Row],[23]]="",0,VLOOKUP("VC",Tabla5[#All],3,FALSE)*Tabla15[[#This Row],[24]])</f>
        <v>0</v>
      </c>
      <c r="AF76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6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66" s="52">
        <f>IF(Tabla15[[#This Row],[26]]="",0,VLOOKUP(TRAMOS!$K$2,Tabla5[#All],3,FALSE)*Tabla15[[#This Row],[27]])</f>
        <v>0</v>
      </c>
      <c r="AI76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6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6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6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6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6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6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767" spans="2:41" x14ac:dyDescent="0.25">
      <c r="B767" s="58" t="str">
        <f>Tabla1[[#This Row],[nudo inicial]]</f>
        <v>N407</v>
      </c>
      <c r="C767" s="58" t="str">
        <f>Tabla1[[#This Row],[nudo final]]</f>
        <v>N408</v>
      </c>
      <c r="D767" s="51">
        <f>Tabla1[[#This Row],[longitud]]</f>
        <v>131.71</v>
      </c>
      <c r="E767" s="51" t="str">
        <f>Tabla1[[#This Row],[diametro]]</f>
        <v>3"</v>
      </c>
      <c r="F767" s="51" t="str">
        <f>Tabla1[[#This Row],[material]]</f>
        <v>PVC</v>
      </c>
      <c r="G76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767" s="52" t="str">
        <f>IF(Tabla1[[#This Row],[5]]="TPD",Tabla1[[#This Row],[6]],"")</f>
        <v/>
      </c>
      <c r="I767" s="52" t="str">
        <f>IF(OR(Tabla1[[#This Row],[5]]="TPD"),Tabla1[[#This Row],[7]],"")</f>
        <v/>
      </c>
      <c r="J767" s="52">
        <f>IF(Tabla15[[#This Row],[2]]="",0,VLOOKUP(TRAMOS!$H$2,Tabla5[#All],3,FALSE)*Tabla15[[#This Row],[3]])</f>
        <v>0</v>
      </c>
      <c r="K767" s="52" t="str">
        <f>IF(Tabla1[[#This Row],[5]]="TPL",Tabla1[[#This Row],[6]],"")</f>
        <v>3"</v>
      </c>
      <c r="L767" s="52">
        <f>IF(OR(Tabla1[[#This Row],[5]]="TPL"),Tabla1[[#This Row],[7]],"")</f>
        <v>1</v>
      </c>
      <c r="M767" s="52">
        <f>IF(Tabla15[[#This Row],[5]]="",0,VLOOKUP(TRAMOS!$K$2,Tabla5[#All],3,FALSE)*Tabla15[[#This Row],[6]])</f>
        <v>0.9</v>
      </c>
      <c r="N76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6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67" s="52">
        <f>IF(Tabla15[[#This Row],[8]]="",0,VLOOKUP(TRAMOS!$H$2,Tabla5[#All],3,FALSE)*Tabla15[[#This Row],[9]])</f>
        <v>0</v>
      </c>
      <c r="Q76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6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67" s="52">
        <f>IF(Tabla15[[#This Row],[11]]="",0,VLOOKUP(TRAMOS!$Q$2,Tabla5[#All],3,FALSE)*Tabla15[[#This Row],[12]])</f>
        <v>0</v>
      </c>
      <c r="T76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6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6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6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6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6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6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6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67" s="52">
        <f>IF(Tabla15[[#This Row],[20]]="",0,VLOOKUP("VRP",Tabla5[#All],3,FALSE)*Tabla15[[#This Row],[21]])</f>
        <v>0</v>
      </c>
      <c r="AC76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6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67" s="52">
        <f>IF(Tabla15[[#This Row],[23]]="",0,VLOOKUP("VC",Tabla5[#All],3,FALSE)*Tabla15[[#This Row],[24]])</f>
        <v>0</v>
      </c>
      <c r="AF76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6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67" s="52">
        <f>IF(Tabla15[[#This Row],[26]]="",0,VLOOKUP(TRAMOS!$K$2,Tabla5[#All],3,FALSE)*Tabla15[[#This Row],[27]])</f>
        <v>0</v>
      </c>
      <c r="AI76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6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6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6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6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6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6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768" spans="2:41" x14ac:dyDescent="0.25">
      <c r="B768" s="58" t="str">
        <f>Tabla1[[#This Row],[nudo inicial]]</f>
        <v>N407</v>
      </c>
      <c r="C768" s="58" t="str">
        <f>Tabla1[[#This Row],[nudo final]]</f>
        <v>N409</v>
      </c>
      <c r="D768" s="51">
        <f>Tabla1[[#This Row],[longitud]]</f>
        <v>53.86</v>
      </c>
      <c r="E768" s="51" t="str">
        <f>Tabla1[[#This Row],[diametro]]</f>
        <v>3"</v>
      </c>
      <c r="F768" s="51" t="str">
        <f>Tabla1[[#This Row],[material]]</f>
        <v>PVC</v>
      </c>
      <c r="G76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768" s="52" t="str">
        <f>IF(Tabla1[[#This Row],[5]]="TPD",Tabla1[[#This Row],[6]],"")</f>
        <v>3"</v>
      </c>
      <c r="I768" s="52">
        <f>IF(OR(Tabla1[[#This Row],[5]]="TPD"),Tabla1[[#This Row],[7]],"")</f>
        <v>1</v>
      </c>
      <c r="J768" s="52">
        <f>IF(Tabla15[[#This Row],[2]]="",0,VLOOKUP(TRAMOS!$H$2,Tabla5[#All],3,FALSE)*Tabla15[[#This Row],[3]])</f>
        <v>0.15</v>
      </c>
      <c r="K768" s="52" t="str">
        <f>IF(Tabla1[[#This Row],[5]]="TPL",Tabla1[[#This Row],[6]],"")</f>
        <v/>
      </c>
      <c r="L768" s="52" t="str">
        <f>IF(OR(Tabla1[[#This Row],[5]]="TPL"),Tabla1[[#This Row],[7]],"")</f>
        <v/>
      </c>
      <c r="M768" s="52">
        <f>IF(Tabla15[[#This Row],[5]]="",0,VLOOKUP(TRAMOS!$K$2,Tabla5[#All],3,FALSE)*Tabla15[[#This Row],[6]])</f>
        <v>0</v>
      </c>
      <c r="N76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6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68" s="52">
        <f>IF(Tabla15[[#This Row],[8]]="",0,VLOOKUP(TRAMOS!$H$2,Tabla5[#All],3,FALSE)*Tabla15[[#This Row],[9]])</f>
        <v>0</v>
      </c>
      <c r="Q76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6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68" s="52">
        <f>IF(Tabla15[[#This Row],[11]]="",0,VLOOKUP(TRAMOS!$Q$2,Tabla5[#All],3,FALSE)*Tabla15[[#This Row],[12]])</f>
        <v>0</v>
      </c>
      <c r="T76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6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6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6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6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6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6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6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68" s="52">
        <f>IF(Tabla15[[#This Row],[20]]="",0,VLOOKUP("VRP",Tabla5[#All],3,FALSE)*Tabla15[[#This Row],[21]])</f>
        <v>0</v>
      </c>
      <c r="AC76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6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68" s="52">
        <f>IF(Tabla15[[#This Row],[23]]="",0,VLOOKUP("VC",Tabla5[#All],3,FALSE)*Tabla15[[#This Row],[24]])</f>
        <v>0</v>
      </c>
      <c r="AF76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6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68" s="52">
        <f>IF(Tabla15[[#This Row],[26]]="",0,VLOOKUP(TRAMOS!$K$2,Tabla5[#All],3,FALSE)*Tabla15[[#This Row],[27]])</f>
        <v>0</v>
      </c>
      <c r="AI76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6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6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6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6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6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6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769" spans="2:41" x14ac:dyDescent="0.25">
      <c r="B769" s="58" t="str">
        <f>Tabla1[[#This Row],[nudo inicial]]</f>
        <v>N409</v>
      </c>
      <c r="C769" s="58" t="str">
        <f>Tabla1[[#This Row],[nudo final]]</f>
        <v>N410</v>
      </c>
      <c r="D769" s="51">
        <f>Tabla1[[#This Row],[longitud]]</f>
        <v>191.93</v>
      </c>
      <c r="E769" s="51" t="str">
        <f>Tabla1[[#This Row],[diametro]]</f>
        <v>3"</v>
      </c>
      <c r="F769" s="51" t="str">
        <f>Tabla1[[#This Row],[material]]</f>
        <v>PVC</v>
      </c>
      <c r="G76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769" s="52" t="str">
        <f>IF(Tabla1[[#This Row],[5]]="TPD",Tabla1[[#This Row],[6]],"")</f>
        <v/>
      </c>
      <c r="I769" s="52" t="str">
        <f>IF(OR(Tabla1[[#This Row],[5]]="TPD"),Tabla1[[#This Row],[7]],"")</f>
        <v/>
      </c>
      <c r="J769" s="52">
        <f>IF(Tabla15[[#This Row],[2]]="",0,VLOOKUP(TRAMOS!$H$2,Tabla5[#All],3,FALSE)*Tabla15[[#This Row],[3]])</f>
        <v>0</v>
      </c>
      <c r="K769" s="52" t="str">
        <f>IF(Tabla1[[#This Row],[5]]="TPL",Tabla1[[#This Row],[6]],"")</f>
        <v>3"</v>
      </c>
      <c r="L769" s="52">
        <f>IF(OR(Tabla1[[#This Row],[5]]="TPL"),Tabla1[[#This Row],[7]],"")</f>
        <v>1</v>
      </c>
      <c r="M769" s="52">
        <f>IF(Tabla15[[#This Row],[5]]="",0,VLOOKUP(TRAMOS!$K$2,Tabla5[#All],3,FALSE)*Tabla15[[#This Row],[6]])</f>
        <v>0.9</v>
      </c>
      <c r="N76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6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69" s="52">
        <f>IF(Tabla15[[#This Row],[8]]="",0,VLOOKUP(TRAMOS!$H$2,Tabla5[#All],3,FALSE)*Tabla15[[#This Row],[9]])</f>
        <v>0</v>
      </c>
      <c r="Q76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3"</v>
      </c>
      <c r="R769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769" s="52">
        <f>IF(Tabla15[[#This Row],[11]]="",0,VLOOKUP(TRAMOS!$Q$2,Tabla5[#All],3,FALSE)*Tabla15[[#This Row],[12]])</f>
        <v>0.9</v>
      </c>
      <c r="T76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6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6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6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6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6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6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6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69" s="52">
        <f>IF(Tabla15[[#This Row],[20]]="",0,VLOOKUP("VRP",Tabla5[#All],3,FALSE)*Tabla15[[#This Row],[21]])</f>
        <v>0</v>
      </c>
      <c r="AC76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6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69" s="52">
        <f>IF(Tabla15[[#This Row],[23]]="",0,VLOOKUP("VC",Tabla5[#All],3,FALSE)*Tabla15[[#This Row],[24]])</f>
        <v>0</v>
      </c>
      <c r="AF76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6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69" s="52">
        <f>IF(Tabla15[[#This Row],[26]]="",0,VLOOKUP(TRAMOS!$K$2,Tabla5[#All],3,FALSE)*Tabla15[[#This Row],[27]])</f>
        <v>0</v>
      </c>
      <c r="AI76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6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6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6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6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6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6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1.8</v>
      </c>
    </row>
    <row r="770" spans="2:41" x14ac:dyDescent="0.25">
      <c r="B770" s="58" t="str">
        <f>Tabla1[[#This Row],[nudo inicial]]</f>
        <v>N410</v>
      </c>
      <c r="C770" s="58" t="str">
        <f>Tabla1[[#This Row],[nudo final]]</f>
        <v>TP265</v>
      </c>
      <c r="D770" s="51">
        <f>Tabla1[[#This Row],[longitud]]</f>
        <v>39.61</v>
      </c>
      <c r="E770" s="51" t="str">
        <f>Tabla1[[#This Row],[diametro]]</f>
        <v>1"</v>
      </c>
      <c r="F770" s="51" t="str">
        <f>Tabla1[[#This Row],[material]]</f>
        <v>PVC</v>
      </c>
      <c r="G77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770" s="52" t="str">
        <f>IF(Tabla1[[#This Row],[5]]="TPD",Tabla1[[#This Row],[6]],"")</f>
        <v/>
      </c>
      <c r="I770" s="52" t="str">
        <f>IF(OR(Tabla1[[#This Row],[5]]="TPD"),Tabla1[[#This Row],[7]],"")</f>
        <v/>
      </c>
      <c r="J770" s="52">
        <f>IF(Tabla15[[#This Row],[2]]="",0,VLOOKUP(TRAMOS!$H$2,Tabla5[#All],3,FALSE)*Tabla15[[#This Row],[3]])</f>
        <v>0</v>
      </c>
      <c r="K770" s="52" t="str">
        <f>IF(Tabla1[[#This Row],[5]]="TPL",Tabla1[[#This Row],[6]],"")</f>
        <v>3"</v>
      </c>
      <c r="L770" s="52">
        <f>IF(OR(Tabla1[[#This Row],[5]]="TPL"),Tabla1[[#This Row],[7]],"")</f>
        <v>1</v>
      </c>
      <c r="M770" s="52">
        <f>IF(Tabla15[[#This Row],[5]]="",0,VLOOKUP(TRAMOS!$K$2,Tabla5[#All],3,FALSE)*Tabla15[[#This Row],[6]])</f>
        <v>0.9</v>
      </c>
      <c r="N77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7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70" s="52">
        <f>IF(Tabla15[[#This Row],[8]]="",0,VLOOKUP(TRAMOS!$H$2,Tabla5[#All],3,FALSE)*Tabla15[[#This Row],[9]])</f>
        <v>0</v>
      </c>
      <c r="Q77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7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70" s="52">
        <f>IF(Tabla15[[#This Row],[11]]="",0,VLOOKUP(TRAMOS!$Q$2,Tabla5[#All],3,FALSE)*Tabla15[[#This Row],[12]])</f>
        <v>0</v>
      </c>
      <c r="T77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1"</v>
      </c>
      <c r="U770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77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0.43</v>
      </c>
      <c r="W77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7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7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7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7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70" s="52">
        <f>IF(Tabla15[[#This Row],[20]]="",0,VLOOKUP("VRP",Tabla5[#All],3,FALSE)*Tabla15[[#This Row],[21]])</f>
        <v>0</v>
      </c>
      <c r="AC77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7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70" s="52">
        <f>IF(Tabla15[[#This Row],[23]]="",0,VLOOKUP("VC",Tabla5[#All],3,FALSE)*Tabla15[[#This Row],[24]])</f>
        <v>0</v>
      </c>
      <c r="AF77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7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70" s="52">
        <f>IF(Tabla15[[#This Row],[26]]="",0,VLOOKUP(TRAMOS!$K$2,Tabla5[#All],3,FALSE)*Tabla15[[#This Row],[27]])</f>
        <v>0</v>
      </c>
      <c r="AI77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7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7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7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7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1"</v>
      </c>
      <c r="AN770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77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1.33</v>
      </c>
    </row>
    <row r="771" spans="2:41" x14ac:dyDescent="0.25">
      <c r="B771" s="58" t="str">
        <f>Tabla1[[#This Row],[nudo inicial]]</f>
        <v>N410</v>
      </c>
      <c r="C771" s="58" t="str">
        <f>Tabla1[[#This Row],[nudo final]]</f>
        <v>N411</v>
      </c>
      <c r="D771" s="51">
        <f>Tabla1[[#This Row],[longitud]]</f>
        <v>140.85</v>
      </c>
      <c r="E771" s="51" t="str">
        <f>Tabla1[[#This Row],[diametro]]</f>
        <v>3"</v>
      </c>
      <c r="F771" s="51" t="str">
        <f>Tabla1[[#This Row],[material]]</f>
        <v>PVC</v>
      </c>
      <c r="G77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771" s="52" t="str">
        <f>IF(Tabla1[[#This Row],[5]]="TPD",Tabla1[[#This Row],[6]],"")</f>
        <v>3"</v>
      </c>
      <c r="I771" s="52">
        <f>IF(OR(Tabla1[[#This Row],[5]]="TPD"),Tabla1[[#This Row],[7]],"")</f>
        <v>1</v>
      </c>
      <c r="J771" s="52">
        <f>IF(Tabla15[[#This Row],[2]]="",0,VLOOKUP(TRAMOS!$H$2,Tabla5[#All],3,FALSE)*Tabla15[[#This Row],[3]])</f>
        <v>0.15</v>
      </c>
      <c r="K771" s="52" t="str">
        <f>IF(Tabla1[[#This Row],[5]]="TPL",Tabla1[[#This Row],[6]],"")</f>
        <v/>
      </c>
      <c r="L771" s="52" t="str">
        <f>IF(OR(Tabla1[[#This Row],[5]]="TPL"),Tabla1[[#This Row],[7]],"")</f>
        <v/>
      </c>
      <c r="M771" s="52">
        <f>IF(Tabla15[[#This Row],[5]]="",0,VLOOKUP(TRAMOS!$K$2,Tabla5[#All],3,FALSE)*Tabla15[[#This Row],[6]])</f>
        <v>0</v>
      </c>
      <c r="N77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7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71" s="52">
        <f>IF(Tabla15[[#This Row],[8]]="",0,VLOOKUP(TRAMOS!$H$2,Tabla5[#All],3,FALSE)*Tabla15[[#This Row],[9]])</f>
        <v>0</v>
      </c>
      <c r="Q77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7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71" s="52">
        <f>IF(Tabla15[[#This Row],[11]]="",0,VLOOKUP(TRAMOS!$Q$2,Tabla5[#All],3,FALSE)*Tabla15[[#This Row],[12]])</f>
        <v>0</v>
      </c>
      <c r="T77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7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7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7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7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7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7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7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71" s="52">
        <f>IF(Tabla15[[#This Row],[20]]="",0,VLOOKUP("VRP",Tabla5[#All],3,FALSE)*Tabla15[[#This Row],[21]])</f>
        <v>0</v>
      </c>
      <c r="AC77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7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71" s="52">
        <f>IF(Tabla15[[#This Row],[23]]="",0,VLOOKUP("VC",Tabla5[#All],3,FALSE)*Tabla15[[#This Row],[24]])</f>
        <v>0</v>
      </c>
      <c r="AF77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7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71" s="52">
        <f>IF(Tabla15[[#This Row],[26]]="",0,VLOOKUP(TRAMOS!$K$2,Tabla5[#All],3,FALSE)*Tabla15[[#This Row],[27]])</f>
        <v>0</v>
      </c>
      <c r="AI77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7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7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7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7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7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7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772" spans="2:41" x14ac:dyDescent="0.25">
      <c r="B772" s="58" t="str">
        <f>Tabla1[[#This Row],[nudo inicial]]</f>
        <v>N411</v>
      </c>
      <c r="C772" s="58" t="str">
        <f>Tabla1[[#This Row],[nudo final]]</f>
        <v>TP266</v>
      </c>
      <c r="D772" s="51">
        <f>Tabla1[[#This Row],[longitud]]</f>
        <v>28.99</v>
      </c>
      <c r="E772" s="51" t="str">
        <f>Tabla1[[#This Row],[diametro]]</f>
        <v>1"</v>
      </c>
      <c r="F772" s="51" t="str">
        <f>Tabla1[[#This Row],[material]]</f>
        <v>PVC</v>
      </c>
      <c r="G77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772" s="52" t="str">
        <f>IF(Tabla1[[#This Row],[5]]="TPD",Tabla1[[#This Row],[6]],"")</f>
        <v/>
      </c>
      <c r="I772" s="52" t="str">
        <f>IF(OR(Tabla1[[#This Row],[5]]="TPD"),Tabla1[[#This Row],[7]],"")</f>
        <v/>
      </c>
      <c r="J772" s="52">
        <f>IF(Tabla15[[#This Row],[2]]="",0,VLOOKUP(TRAMOS!$H$2,Tabla5[#All],3,FALSE)*Tabla15[[#This Row],[3]])</f>
        <v>0</v>
      </c>
      <c r="K772" s="52" t="str">
        <f>IF(Tabla1[[#This Row],[5]]="TPL",Tabla1[[#This Row],[6]],"")</f>
        <v>3"</v>
      </c>
      <c r="L772" s="52">
        <f>IF(OR(Tabla1[[#This Row],[5]]="TPL"),Tabla1[[#This Row],[7]],"")</f>
        <v>1</v>
      </c>
      <c r="M772" s="52">
        <f>IF(Tabla15[[#This Row],[5]]="",0,VLOOKUP(TRAMOS!$K$2,Tabla5[#All],3,FALSE)*Tabla15[[#This Row],[6]])</f>
        <v>0.9</v>
      </c>
      <c r="N77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7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72" s="52">
        <f>IF(Tabla15[[#This Row],[8]]="",0,VLOOKUP(TRAMOS!$H$2,Tabla5[#All],3,FALSE)*Tabla15[[#This Row],[9]])</f>
        <v>0</v>
      </c>
      <c r="Q77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7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72" s="52">
        <f>IF(Tabla15[[#This Row],[11]]="",0,VLOOKUP(TRAMOS!$Q$2,Tabla5[#All],3,FALSE)*Tabla15[[#This Row],[12]])</f>
        <v>0</v>
      </c>
      <c r="T77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1"</v>
      </c>
      <c r="U772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77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0.43</v>
      </c>
      <c r="W77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7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7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7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7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72" s="52">
        <f>IF(Tabla15[[#This Row],[20]]="",0,VLOOKUP("VRP",Tabla5[#All],3,FALSE)*Tabla15[[#This Row],[21]])</f>
        <v>0</v>
      </c>
      <c r="AC77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7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72" s="52">
        <f>IF(Tabla15[[#This Row],[23]]="",0,VLOOKUP("VC",Tabla5[#All],3,FALSE)*Tabla15[[#This Row],[24]])</f>
        <v>0</v>
      </c>
      <c r="AF77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7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72" s="52">
        <f>IF(Tabla15[[#This Row],[26]]="",0,VLOOKUP(TRAMOS!$K$2,Tabla5[#All],3,FALSE)*Tabla15[[#This Row],[27]])</f>
        <v>0</v>
      </c>
      <c r="AI77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7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7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7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7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1"</v>
      </c>
      <c r="AN772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77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1.33</v>
      </c>
    </row>
    <row r="773" spans="2:41" x14ac:dyDescent="0.25">
      <c r="B773" s="58" t="str">
        <f>Tabla1[[#This Row],[nudo inicial]]</f>
        <v>N411</v>
      </c>
      <c r="C773" s="58" t="str">
        <f>Tabla1[[#This Row],[nudo final]]</f>
        <v>N412</v>
      </c>
      <c r="D773" s="51">
        <f>Tabla1[[#This Row],[longitud]]</f>
        <v>93.35</v>
      </c>
      <c r="E773" s="51" t="str">
        <f>Tabla1[[#This Row],[diametro]]</f>
        <v>3"</v>
      </c>
      <c r="F773" s="51" t="str">
        <f>Tabla1[[#This Row],[material]]</f>
        <v>PVC</v>
      </c>
      <c r="G77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773" s="52" t="str">
        <f>IF(Tabla1[[#This Row],[5]]="TPD",Tabla1[[#This Row],[6]],"")</f>
        <v>3"</v>
      </c>
      <c r="I773" s="52">
        <f>IF(OR(Tabla1[[#This Row],[5]]="TPD"),Tabla1[[#This Row],[7]],"")</f>
        <v>1</v>
      </c>
      <c r="J773" s="52">
        <f>IF(Tabla15[[#This Row],[2]]="",0,VLOOKUP(TRAMOS!$H$2,Tabla5[#All],3,FALSE)*Tabla15[[#This Row],[3]])</f>
        <v>0.15</v>
      </c>
      <c r="K773" s="52" t="str">
        <f>IF(Tabla1[[#This Row],[5]]="TPL",Tabla1[[#This Row],[6]],"")</f>
        <v/>
      </c>
      <c r="L773" s="52" t="str">
        <f>IF(OR(Tabla1[[#This Row],[5]]="TPL"),Tabla1[[#This Row],[7]],"")</f>
        <v/>
      </c>
      <c r="M773" s="52">
        <f>IF(Tabla15[[#This Row],[5]]="",0,VLOOKUP(TRAMOS!$K$2,Tabla5[#All],3,FALSE)*Tabla15[[#This Row],[6]])</f>
        <v>0</v>
      </c>
      <c r="N77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7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73" s="52">
        <f>IF(Tabla15[[#This Row],[8]]="",0,VLOOKUP(TRAMOS!$H$2,Tabla5[#All],3,FALSE)*Tabla15[[#This Row],[9]])</f>
        <v>0</v>
      </c>
      <c r="Q77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3"</v>
      </c>
      <c r="R773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773" s="52">
        <f>IF(Tabla15[[#This Row],[11]]="",0,VLOOKUP(TRAMOS!$Q$2,Tabla5[#All],3,FALSE)*Tabla15[[#This Row],[12]])</f>
        <v>0.9</v>
      </c>
      <c r="T77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7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7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7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7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7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7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7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73" s="52">
        <f>IF(Tabla15[[#This Row],[20]]="",0,VLOOKUP("VRP",Tabla5[#All],3,FALSE)*Tabla15[[#This Row],[21]])</f>
        <v>0</v>
      </c>
      <c r="AC77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7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73" s="52">
        <f>IF(Tabla15[[#This Row],[23]]="",0,VLOOKUP("VC",Tabla5[#All],3,FALSE)*Tabla15[[#This Row],[24]])</f>
        <v>0</v>
      </c>
      <c r="AF77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7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73" s="52">
        <f>IF(Tabla15[[#This Row],[26]]="",0,VLOOKUP(TRAMOS!$K$2,Tabla5[#All],3,FALSE)*Tabla15[[#This Row],[27]])</f>
        <v>0</v>
      </c>
      <c r="AI77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7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7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7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7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7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7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774" spans="2:41" x14ac:dyDescent="0.25">
      <c r="B774" s="58" t="str">
        <f>Tabla1[[#This Row],[nudo inicial]]</f>
        <v>N412</v>
      </c>
      <c r="C774" s="58" t="str">
        <f>Tabla1[[#This Row],[nudo final]]</f>
        <v>TP267</v>
      </c>
      <c r="D774" s="51">
        <f>Tabla1[[#This Row],[longitud]]</f>
        <v>26.29</v>
      </c>
      <c r="E774" s="51" t="str">
        <f>Tabla1[[#This Row],[diametro]]</f>
        <v>2"</v>
      </c>
      <c r="F774" s="51" t="str">
        <f>Tabla1[[#This Row],[material]]</f>
        <v>PVC</v>
      </c>
      <c r="G77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774" s="52" t="str">
        <f>IF(Tabla1[[#This Row],[5]]="TPD",Tabla1[[#This Row],[6]],"")</f>
        <v/>
      </c>
      <c r="I774" s="52" t="str">
        <f>IF(OR(Tabla1[[#This Row],[5]]="TPD"),Tabla1[[#This Row],[7]],"")</f>
        <v/>
      </c>
      <c r="J774" s="52">
        <f>IF(Tabla15[[#This Row],[2]]="",0,VLOOKUP(TRAMOS!$H$2,Tabla5[#All],3,FALSE)*Tabla15[[#This Row],[3]])</f>
        <v>0</v>
      </c>
      <c r="K774" s="52" t="str">
        <f>IF(Tabla1[[#This Row],[5]]="TPL",Tabla1[[#This Row],[6]],"")</f>
        <v>3"</v>
      </c>
      <c r="L774" s="52">
        <f>IF(OR(Tabla1[[#This Row],[5]]="TPL"),Tabla1[[#This Row],[7]],"")</f>
        <v>1</v>
      </c>
      <c r="M774" s="52">
        <f>IF(Tabla15[[#This Row],[5]]="",0,VLOOKUP(TRAMOS!$K$2,Tabla5[#All],3,FALSE)*Tabla15[[#This Row],[6]])</f>
        <v>0.9</v>
      </c>
      <c r="N77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7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74" s="52">
        <f>IF(Tabla15[[#This Row],[8]]="",0,VLOOKUP(TRAMOS!$H$2,Tabla5[#All],3,FALSE)*Tabla15[[#This Row],[9]])</f>
        <v>0</v>
      </c>
      <c r="Q77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7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74" s="52">
        <f>IF(Tabla15[[#This Row],[11]]="",0,VLOOKUP(TRAMOS!$Q$2,Tabla5[#All],3,FALSE)*Tabla15[[#This Row],[12]])</f>
        <v>0</v>
      </c>
      <c r="T77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774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77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77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7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7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7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7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74" s="52">
        <f>IF(Tabla15[[#This Row],[20]]="",0,VLOOKUP("VRP",Tabla5[#All],3,FALSE)*Tabla15[[#This Row],[21]])</f>
        <v>0</v>
      </c>
      <c r="AC77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7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74" s="52">
        <f>IF(Tabla15[[#This Row],[23]]="",0,VLOOKUP("VC",Tabla5[#All],3,FALSE)*Tabla15[[#This Row],[24]])</f>
        <v>0</v>
      </c>
      <c r="AF77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7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74" s="52">
        <f>IF(Tabla15[[#This Row],[26]]="",0,VLOOKUP(TRAMOS!$K$2,Tabla5[#All],3,FALSE)*Tabla15[[#This Row],[27]])</f>
        <v>0</v>
      </c>
      <c r="AI77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7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7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7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7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774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77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775" spans="2:41" x14ac:dyDescent="0.25">
      <c r="B775" s="58" t="str">
        <f>Tabla1[[#This Row],[nudo inicial]]</f>
        <v>N412</v>
      </c>
      <c r="C775" s="58" t="str">
        <f>Tabla1[[#This Row],[nudo final]]</f>
        <v>N413</v>
      </c>
      <c r="D775" s="51">
        <f>Tabla1[[#This Row],[longitud]]</f>
        <v>162.81</v>
      </c>
      <c r="E775" s="51" t="str">
        <f>Tabla1[[#This Row],[diametro]]</f>
        <v>3"</v>
      </c>
      <c r="F775" s="51" t="str">
        <f>Tabla1[[#This Row],[material]]</f>
        <v>PVC</v>
      </c>
      <c r="G77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775" s="52" t="str">
        <f>IF(Tabla1[[#This Row],[5]]="TPD",Tabla1[[#This Row],[6]],"")</f>
        <v>3"</v>
      </c>
      <c r="I775" s="52">
        <f>IF(OR(Tabla1[[#This Row],[5]]="TPD"),Tabla1[[#This Row],[7]],"")</f>
        <v>1</v>
      </c>
      <c r="J775" s="52">
        <f>IF(Tabla15[[#This Row],[2]]="",0,VLOOKUP(TRAMOS!$H$2,Tabla5[#All],3,FALSE)*Tabla15[[#This Row],[3]])</f>
        <v>0.15</v>
      </c>
      <c r="K775" s="52" t="str">
        <f>IF(Tabla1[[#This Row],[5]]="TPL",Tabla1[[#This Row],[6]],"")</f>
        <v/>
      </c>
      <c r="L775" s="52" t="str">
        <f>IF(OR(Tabla1[[#This Row],[5]]="TPL"),Tabla1[[#This Row],[7]],"")</f>
        <v/>
      </c>
      <c r="M775" s="52">
        <f>IF(Tabla15[[#This Row],[5]]="",0,VLOOKUP(TRAMOS!$K$2,Tabla5[#All],3,FALSE)*Tabla15[[#This Row],[6]])</f>
        <v>0</v>
      </c>
      <c r="N77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7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75" s="52">
        <f>IF(Tabla15[[#This Row],[8]]="",0,VLOOKUP(TRAMOS!$H$2,Tabla5[#All],3,FALSE)*Tabla15[[#This Row],[9]])</f>
        <v>0</v>
      </c>
      <c r="Q77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3"</v>
      </c>
      <c r="R775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775" s="52">
        <f>IF(Tabla15[[#This Row],[11]]="",0,VLOOKUP(TRAMOS!$Q$2,Tabla5[#All],3,FALSE)*Tabla15[[#This Row],[12]])</f>
        <v>0.9</v>
      </c>
      <c r="T77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7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7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7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7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7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7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7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75" s="52">
        <f>IF(Tabla15[[#This Row],[20]]="",0,VLOOKUP("VRP",Tabla5[#All],3,FALSE)*Tabla15[[#This Row],[21]])</f>
        <v>0</v>
      </c>
      <c r="AC77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7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75" s="52">
        <f>IF(Tabla15[[#This Row],[23]]="",0,VLOOKUP("VC",Tabla5[#All],3,FALSE)*Tabla15[[#This Row],[24]])</f>
        <v>0</v>
      </c>
      <c r="AF77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7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75" s="52">
        <f>IF(Tabla15[[#This Row],[26]]="",0,VLOOKUP(TRAMOS!$K$2,Tabla5[#All],3,FALSE)*Tabla15[[#This Row],[27]])</f>
        <v>0</v>
      </c>
      <c r="AI77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7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7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7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7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7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7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776" spans="2:41" x14ac:dyDescent="0.25">
      <c r="B776" s="58" t="str">
        <f>Tabla1[[#This Row],[nudo inicial]]</f>
        <v>N413</v>
      </c>
      <c r="C776" s="58" t="str">
        <f>Tabla1[[#This Row],[nudo final]]</f>
        <v>TP268</v>
      </c>
      <c r="D776" s="51">
        <f>Tabla1[[#This Row],[longitud]]</f>
        <v>177.76</v>
      </c>
      <c r="E776" s="51" t="str">
        <f>Tabla1[[#This Row],[diametro]]</f>
        <v>2"</v>
      </c>
      <c r="F776" s="51" t="str">
        <f>Tabla1[[#This Row],[material]]</f>
        <v>PVC</v>
      </c>
      <c r="G77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776" s="52" t="str">
        <f>IF(Tabla1[[#This Row],[5]]="TPD",Tabla1[[#This Row],[6]],"")</f>
        <v/>
      </c>
      <c r="I776" s="52" t="str">
        <f>IF(OR(Tabla1[[#This Row],[5]]="TPD"),Tabla1[[#This Row],[7]],"")</f>
        <v/>
      </c>
      <c r="J776" s="52">
        <f>IF(Tabla15[[#This Row],[2]]="",0,VLOOKUP(TRAMOS!$H$2,Tabla5[#All],3,FALSE)*Tabla15[[#This Row],[3]])</f>
        <v>0</v>
      </c>
      <c r="K776" s="52" t="str">
        <f>IF(Tabla1[[#This Row],[5]]="TPL",Tabla1[[#This Row],[6]],"")</f>
        <v>3"</v>
      </c>
      <c r="L776" s="52">
        <f>IF(OR(Tabla1[[#This Row],[5]]="TPL"),Tabla1[[#This Row],[7]],"")</f>
        <v>1</v>
      </c>
      <c r="M776" s="52">
        <f>IF(Tabla15[[#This Row],[5]]="",0,VLOOKUP(TRAMOS!$K$2,Tabla5[#All],3,FALSE)*Tabla15[[#This Row],[6]])</f>
        <v>0.9</v>
      </c>
      <c r="N77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7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76" s="52">
        <f>IF(Tabla15[[#This Row],[8]]="",0,VLOOKUP(TRAMOS!$H$2,Tabla5[#All],3,FALSE)*Tabla15[[#This Row],[9]])</f>
        <v>0</v>
      </c>
      <c r="Q77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7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76" s="52">
        <f>IF(Tabla15[[#This Row],[11]]="",0,VLOOKUP(TRAMOS!$Q$2,Tabla5[#All],3,FALSE)*Tabla15[[#This Row],[12]])</f>
        <v>0</v>
      </c>
      <c r="T77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776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77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77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7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7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7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7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76" s="52">
        <f>IF(Tabla15[[#This Row],[20]]="",0,VLOOKUP("VRP",Tabla5[#All],3,FALSE)*Tabla15[[#This Row],[21]])</f>
        <v>0</v>
      </c>
      <c r="AC77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7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76" s="52">
        <f>IF(Tabla15[[#This Row],[23]]="",0,VLOOKUP("VC",Tabla5[#All],3,FALSE)*Tabla15[[#This Row],[24]])</f>
        <v>0</v>
      </c>
      <c r="AF77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7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76" s="52">
        <f>IF(Tabla15[[#This Row],[26]]="",0,VLOOKUP(TRAMOS!$K$2,Tabla5[#All],3,FALSE)*Tabla15[[#This Row],[27]])</f>
        <v>0</v>
      </c>
      <c r="AI77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7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7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7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7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77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77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777" spans="2:41" x14ac:dyDescent="0.25">
      <c r="B777" s="58" t="str">
        <f>Tabla1[[#This Row],[nudo inicial]]</f>
        <v>N413</v>
      </c>
      <c r="C777" s="58" t="str">
        <f>Tabla1[[#This Row],[nudo final]]</f>
        <v>N414</v>
      </c>
      <c r="D777" s="51">
        <f>Tabla1[[#This Row],[longitud]]</f>
        <v>65.31</v>
      </c>
      <c r="E777" s="51" t="str">
        <f>Tabla1[[#This Row],[diametro]]</f>
        <v>3"</v>
      </c>
      <c r="F777" s="51" t="str">
        <f>Tabla1[[#This Row],[material]]</f>
        <v>PVC</v>
      </c>
      <c r="G77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777" s="52" t="str">
        <f>IF(Tabla1[[#This Row],[5]]="TPD",Tabla1[[#This Row],[6]],"")</f>
        <v>3"</v>
      </c>
      <c r="I777" s="52">
        <f>IF(OR(Tabla1[[#This Row],[5]]="TPD"),Tabla1[[#This Row],[7]],"")</f>
        <v>1</v>
      </c>
      <c r="J777" s="52">
        <f>IF(Tabla15[[#This Row],[2]]="",0,VLOOKUP(TRAMOS!$H$2,Tabla5[#All],3,FALSE)*Tabla15[[#This Row],[3]])</f>
        <v>0.15</v>
      </c>
      <c r="K777" s="52" t="str">
        <f>IF(Tabla1[[#This Row],[5]]="TPL",Tabla1[[#This Row],[6]],"")</f>
        <v/>
      </c>
      <c r="L777" s="52" t="str">
        <f>IF(OR(Tabla1[[#This Row],[5]]="TPL"),Tabla1[[#This Row],[7]],"")</f>
        <v/>
      </c>
      <c r="M777" s="52">
        <f>IF(Tabla15[[#This Row],[5]]="",0,VLOOKUP(TRAMOS!$K$2,Tabla5[#All],3,FALSE)*Tabla15[[#This Row],[6]])</f>
        <v>0</v>
      </c>
      <c r="N77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7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77" s="52">
        <f>IF(Tabla15[[#This Row],[8]]="",0,VLOOKUP(TRAMOS!$H$2,Tabla5[#All],3,FALSE)*Tabla15[[#This Row],[9]])</f>
        <v>0</v>
      </c>
      <c r="Q77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7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77" s="52">
        <f>IF(Tabla15[[#This Row],[11]]="",0,VLOOKUP(TRAMOS!$Q$2,Tabla5[#All],3,FALSE)*Tabla15[[#This Row],[12]])</f>
        <v>0</v>
      </c>
      <c r="T77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7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7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7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7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7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7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7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77" s="52">
        <f>IF(Tabla15[[#This Row],[20]]="",0,VLOOKUP("VRP",Tabla5[#All],3,FALSE)*Tabla15[[#This Row],[21]])</f>
        <v>0</v>
      </c>
      <c r="AC77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7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77" s="52">
        <f>IF(Tabla15[[#This Row],[23]]="",0,VLOOKUP("VC",Tabla5[#All],3,FALSE)*Tabla15[[#This Row],[24]])</f>
        <v>0</v>
      </c>
      <c r="AF77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7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77" s="52">
        <f>IF(Tabla15[[#This Row],[26]]="",0,VLOOKUP(TRAMOS!$K$2,Tabla5[#All],3,FALSE)*Tabla15[[#This Row],[27]])</f>
        <v>0</v>
      </c>
      <c r="AI77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7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7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7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7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7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7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778" spans="2:41" x14ac:dyDescent="0.25">
      <c r="B778" s="58" t="str">
        <f>Tabla1[[#This Row],[nudo inicial]]</f>
        <v>N414</v>
      </c>
      <c r="C778" s="58" t="str">
        <f>Tabla1[[#This Row],[nudo final]]</f>
        <v>TP269</v>
      </c>
      <c r="D778" s="51">
        <f>Tabla1[[#This Row],[longitud]]</f>
        <v>24.58</v>
      </c>
      <c r="E778" s="51" t="str">
        <f>Tabla1[[#This Row],[diametro]]</f>
        <v>1"</v>
      </c>
      <c r="F778" s="51" t="str">
        <f>Tabla1[[#This Row],[material]]</f>
        <v>PVC</v>
      </c>
      <c r="G77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778" s="52" t="str">
        <f>IF(Tabla1[[#This Row],[5]]="TPD",Tabla1[[#This Row],[6]],"")</f>
        <v/>
      </c>
      <c r="I778" s="52" t="str">
        <f>IF(OR(Tabla1[[#This Row],[5]]="TPD"),Tabla1[[#This Row],[7]],"")</f>
        <v/>
      </c>
      <c r="J778" s="52">
        <f>IF(Tabla15[[#This Row],[2]]="",0,VLOOKUP(TRAMOS!$H$2,Tabla5[#All],3,FALSE)*Tabla15[[#This Row],[3]])</f>
        <v>0</v>
      </c>
      <c r="K778" s="52" t="str">
        <f>IF(Tabla1[[#This Row],[5]]="TPL",Tabla1[[#This Row],[6]],"")</f>
        <v>3"</v>
      </c>
      <c r="L778" s="52">
        <f>IF(OR(Tabla1[[#This Row],[5]]="TPL"),Tabla1[[#This Row],[7]],"")</f>
        <v>1</v>
      </c>
      <c r="M778" s="52">
        <f>IF(Tabla15[[#This Row],[5]]="",0,VLOOKUP(TRAMOS!$K$2,Tabla5[#All],3,FALSE)*Tabla15[[#This Row],[6]])</f>
        <v>0.9</v>
      </c>
      <c r="N77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7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78" s="52">
        <f>IF(Tabla15[[#This Row],[8]]="",0,VLOOKUP(TRAMOS!$H$2,Tabla5[#All],3,FALSE)*Tabla15[[#This Row],[9]])</f>
        <v>0</v>
      </c>
      <c r="Q77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7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78" s="52">
        <f>IF(Tabla15[[#This Row],[11]]="",0,VLOOKUP(TRAMOS!$Q$2,Tabla5[#All],3,FALSE)*Tabla15[[#This Row],[12]])</f>
        <v>0</v>
      </c>
      <c r="T77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1"</v>
      </c>
      <c r="U778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77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0.43</v>
      </c>
      <c r="W77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7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7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7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7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78" s="52">
        <f>IF(Tabla15[[#This Row],[20]]="",0,VLOOKUP("VRP",Tabla5[#All],3,FALSE)*Tabla15[[#This Row],[21]])</f>
        <v>0</v>
      </c>
      <c r="AC77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7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78" s="52">
        <f>IF(Tabla15[[#This Row],[23]]="",0,VLOOKUP("VC",Tabla5[#All],3,FALSE)*Tabla15[[#This Row],[24]])</f>
        <v>0</v>
      </c>
      <c r="AF77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7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78" s="52">
        <f>IF(Tabla15[[#This Row],[26]]="",0,VLOOKUP(TRAMOS!$K$2,Tabla5[#All],3,FALSE)*Tabla15[[#This Row],[27]])</f>
        <v>0</v>
      </c>
      <c r="AI77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7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7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7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7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1"</v>
      </c>
      <c r="AN778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77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1.33</v>
      </c>
    </row>
    <row r="779" spans="2:41" x14ac:dyDescent="0.25">
      <c r="B779" s="58" t="str">
        <f>Tabla1[[#This Row],[nudo inicial]]</f>
        <v>N414</v>
      </c>
      <c r="C779" s="58" t="str">
        <f>Tabla1[[#This Row],[nudo final]]</f>
        <v>N415</v>
      </c>
      <c r="D779" s="51">
        <f>Tabla1[[#This Row],[longitud]]</f>
        <v>44.95</v>
      </c>
      <c r="E779" s="51" t="str">
        <f>Tabla1[[#This Row],[diametro]]</f>
        <v>3"</v>
      </c>
      <c r="F779" s="51" t="str">
        <f>Tabla1[[#This Row],[material]]</f>
        <v>PVC</v>
      </c>
      <c r="G77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779" s="52" t="str">
        <f>IF(Tabla1[[#This Row],[5]]="TPD",Tabla1[[#This Row],[6]],"")</f>
        <v>3"</v>
      </c>
      <c r="I779" s="52">
        <f>IF(OR(Tabla1[[#This Row],[5]]="TPD"),Tabla1[[#This Row],[7]],"")</f>
        <v>1</v>
      </c>
      <c r="J779" s="52">
        <f>IF(Tabla15[[#This Row],[2]]="",0,VLOOKUP(TRAMOS!$H$2,Tabla5[#All],3,FALSE)*Tabla15[[#This Row],[3]])</f>
        <v>0.15</v>
      </c>
      <c r="K779" s="52" t="str">
        <f>IF(Tabla1[[#This Row],[5]]="TPL",Tabla1[[#This Row],[6]],"")</f>
        <v/>
      </c>
      <c r="L779" s="52" t="str">
        <f>IF(OR(Tabla1[[#This Row],[5]]="TPL"),Tabla1[[#This Row],[7]],"")</f>
        <v/>
      </c>
      <c r="M779" s="52">
        <f>IF(Tabla15[[#This Row],[5]]="",0,VLOOKUP(TRAMOS!$K$2,Tabla5[#All],3,FALSE)*Tabla15[[#This Row],[6]])</f>
        <v>0</v>
      </c>
      <c r="N77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7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79" s="52">
        <f>IF(Tabla15[[#This Row],[8]]="",0,VLOOKUP(TRAMOS!$H$2,Tabla5[#All],3,FALSE)*Tabla15[[#This Row],[9]])</f>
        <v>0</v>
      </c>
      <c r="Q77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7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79" s="52">
        <f>IF(Tabla15[[#This Row],[11]]="",0,VLOOKUP(TRAMOS!$Q$2,Tabla5[#All],3,FALSE)*Tabla15[[#This Row],[12]])</f>
        <v>0</v>
      </c>
      <c r="T77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7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7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7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7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7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7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7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79" s="52">
        <f>IF(Tabla15[[#This Row],[20]]="",0,VLOOKUP("VRP",Tabla5[#All],3,FALSE)*Tabla15[[#This Row],[21]])</f>
        <v>0</v>
      </c>
      <c r="AC77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779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779" s="52">
        <f>IF(Tabla15[[#This Row],[23]]="",0,VLOOKUP("VC",Tabla5[#All],3,FALSE)*Tabla15[[#This Row],[24]])</f>
        <v>0.25</v>
      </c>
      <c r="AF77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7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79" s="52">
        <f>IF(Tabla15[[#This Row],[26]]="",0,VLOOKUP(TRAMOS!$K$2,Tabla5[#All],3,FALSE)*Tabla15[[#This Row],[27]])</f>
        <v>0</v>
      </c>
      <c r="AI77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7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7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7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7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7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7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0.4</v>
      </c>
    </row>
    <row r="780" spans="2:41" x14ac:dyDescent="0.25">
      <c r="B780" s="58" t="str">
        <f>Tabla1[[#This Row],[nudo inicial]]</f>
        <v>N409</v>
      </c>
      <c r="C780" s="58" t="str">
        <f>Tabla1[[#This Row],[nudo final]]</f>
        <v>N416</v>
      </c>
      <c r="D780" s="51">
        <f>Tabla1[[#This Row],[longitud]]</f>
        <v>2.4</v>
      </c>
      <c r="E780" s="51" t="str">
        <f>Tabla1[[#This Row],[diametro]]</f>
        <v>3"</v>
      </c>
      <c r="F780" s="51" t="str">
        <f>Tabla1[[#This Row],[material]]</f>
        <v>PVC</v>
      </c>
      <c r="G78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780" s="52" t="str">
        <f>IF(Tabla1[[#This Row],[5]]="TPD",Tabla1[[#This Row],[6]],"")</f>
        <v>3"</v>
      </c>
      <c r="I780" s="52">
        <f>IF(OR(Tabla1[[#This Row],[5]]="TPD"),Tabla1[[#This Row],[7]],"")</f>
        <v>1</v>
      </c>
      <c r="J780" s="52">
        <f>IF(Tabla15[[#This Row],[2]]="",0,VLOOKUP(TRAMOS!$H$2,Tabla5[#All],3,FALSE)*Tabla15[[#This Row],[3]])</f>
        <v>0.15</v>
      </c>
      <c r="K780" s="52" t="str">
        <f>IF(Tabla1[[#This Row],[5]]="TPL",Tabla1[[#This Row],[6]],"")</f>
        <v/>
      </c>
      <c r="L780" s="52" t="str">
        <f>IF(OR(Tabla1[[#This Row],[5]]="TPL"),Tabla1[[#This Row],[7]],"")</f>
        <v/>
      </c>
      <c r="M780" s="52">
        <f>IF(Tabla15[[#This Row],[5]]="",0,VLOOKUP(TRAMOS!$K$2,Tabla5[#All],3,FALSE)*Tabla15[[#This Row],[6]])</f>
        <v>0</v>
      </c>
      <c r="N78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8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80" s="52">
        <f>IF(Tabla15[[#This Row],[8]]="",0,VLOOKUP(TRAMOS!$H$2,Tabla5[#All],3,FALSE)*Tabla15[[#This Row],[9]])</f>
        <v>0</v>
      </c>
      <c r="Q78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8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80" s="52">
        <f>IF(Tabla15[[#This Row],[11]]="",0,VLOOKUP(TRAMOS!$Q$2,Tabla5[#All],3,FALSE)*Tabla15[[#This Row],[12]])</f>
        <v>0</v>
      </c>
      <c r="T78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8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8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8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8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8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8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8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80" s="52">
        <f>IF(Tabla15[[#This Row],[20]]="",0,VLOOKUP("VRP",Tabla5[#All],3,FALSE)*Tabla15[[#This Row],[21]])</f>
        <v>0</v>
      </c>
      <c r="AC78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8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80" s="52">
        <f>IF(Tabla15[[#This Row],[23]]="",0,VLOOKUP("VC",Tabla5[#All],3,FALSE)*Tabla15[[#This Row],[24]])</f>
        <v>0</v>
      </c>
      <c r="AF78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8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80" s="52">
        <f>IF(Tabla15[[#This Row],[26]]="",0,VLOOKUP(TRAMOS!$K$2,Tabla5[#All],3,FALSE)*Tabla15[[#This Row],[27]])</f>
        <v>0</v>
      </c>
      <c r="AI78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8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8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8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8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8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8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781" spans="2:41" x14ac:dyDescent="0.25">
      <c r="B781" s="58" t="str">
        <f>Tabla1[[#This Row],[nudo inicial]]</f>
        <v>N416</v>
      </c>
      <c r="C781" s="58" t="str">
        <f>Tabla1[[#This Row],[nudo final]]</f>
        <v>N408</v>
      </c>
      <c r="D781" s="51">
        <f>Tabla1[[#This Row],[longitud]]</f>
        <v>102.42</v>
      </c>
      <c r="E781" s="51" t="str">
        <f>Tabla1[[#This Row],[diametro]]</f>
        <v>3"</v>
      </c>
      <c r="F781" s="51" t="str">
        <f>Tabla1[[#This Row],[material]]</f>
        <v>PVC</v>
      </c>
      <c r="G78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781" s="52" t="str">
        <f>IF(Tabla1[[#This Row],[5]]="TPD",Tabla1[[#This Row],[6]],"")</f>
        <v/>
      </c>
      <c r="I781" s="52" t="str">
        <f>IF(OR(Tabla1[[#This Row],[5]]="TPD"),Tabla1[[#This Row],[7]],"")</f>
        <v/>
      </c>
      <c r="J781" s="52">
        <f>IF(Tabla15[[#This Row],[2]]="",0,VLOOKUP(TRAMOS!$H$2,Tabla5[#All],3,FALSE)*Tabla15[[#This Row],[3]])</f>
        <v>0</v>
      </c>
      <c r="K781" s="52" t="str">
        <f>IF(Tabla1[[#This Row],[5]]="TPL",Tabla1[[#This Row],[6]],"")</f>
        <v>3"</v>
      </c>
      <c r="L781" s="52">
        <f>IF(OR(Tabla1[[#This Row],[5]]="TPL"),Tabla1[[#This Row],[7]],"")</f>
        <v>1</v>
      </c>
      <c r="M781" s="52">
        <f>IF(Tabla15[[#This Row],[5]]="",0,VLOOKUP(TRAMOS!$K$2,Tabla5[#All],3,FALSE)*Tabla15[[#This Row],[6]])</f>
        <v>0.9</v>
      </c>
      <c r="N78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8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81" s="52">
        <f>IF(Tabla15[[#This Row],[8]]="",0,VLOOKUP(TRAMOS!$H$2,Tabla5[#All],3,FALSE)*Tabla15[[#This Row],[9]])</f>
        <v>0</v>
      </c>
      <c r="Q78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8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81" s="52">
        <f>IF(Tabla15[[#This Row],[11]]="",0,VLOOKUP(TRAMOS!$Q$2,Tabla5[#All],3,FALSE)*Tabla15[[#This Row],[12]])</f>
        <v>0</v>
      </c>
      <c r="T78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8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8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8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8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8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8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8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81" s="52">
        <f>IF(Tabla15[[#This Row],[20]]="",0,VLOOKUP("VRP",Tabla5[#All],3,FALSE)*Tabla15[[#This Row],[21]])</f>
        <v>0</v>
      </c>
      <c r="AC78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8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81" s="52">
        <f>IF(Tabla15[[#This Row],[23]]="",0,VLOOKUP("VC",Tabla5[#All],3,FALSE)*Tabla15[[#This Row],[24]])</f>
        <v>0</v>
      </c>
      <c r="AF78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8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81" s="52">
        <f>IF(Tabla15[[#This Row],[26]]="",0,VLOOKUP(TRAMOS!$K$2,Tabla5[#All],3,FALSE)*Tabla15[[#This Row],[27]])</f>
        <v>0</v>
      </c>
      <c r="AI78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8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8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8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8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8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8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782" spans="2:41" x14ac:dyDescent="0.25">
      <c r="B782" s="58" t="str">
        <f>Tabla1[[#This Row],[nudo inicial]]</f>
        <v>N416</v>
      </c>
      <c r="C782" s="58" t="str">
        <f>Tabla1[[#This Row],[nudo final]]</f>
        <v>N417</v>
      </c>
      <c r="D782" s="51">
        <f>Tabla1[[#This Row],[longitud]]</f>
        <v>58.18</v>
      </c>
      <c r="E782" s="51" t="str">
        <f>Tabla1[[#This Row],[diametro]]</f>
        <v>3"</v>
      </c>
      <c r="F782" s="51" t="str">
        <f>Tabla1[[#This Row],[material]]</f>
        <v>PVC</v>
      </c>
      <c r="G78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782" s="52" t="str">
        <f>IF(Tabla1[[#This Row],[5]]="TPD",Tabla1[[#This Row],[6]],"")</f>
        <v>3"</v>
      </c>
      <c r="I782" s="52">
        <f>IF(OR(Tabla1[[#This Row],[5]]="TPD"),Tabla1[[#This Row],[7]],"")</f>
        <v>1</v>
      </c>
      <c r="J782" s="52">
        <f>IF(Tabla15[[#This Row],[2]]="",0,VLOOKUP(TRAMOS!$H$2,Tabla5[#All],3,FALSE)*Tabla15[[#This Row],[3]])</f>
        <v>0.15</v>
      </c>
      <c r="K782" s="52" t="str">
        <f>IF(Tabla1[[#This Row],[5]]="TPL",Tabla1[[#This Row],[6]],"")</f>
        <v/>
      </c>
      <c r="L782" s="52" t="str">
        <f>IF(OR(Tabla1[[#This Row],[5]]="TPL"),Tabla1[[#This Row],[7]],"")</f>
        <v/>
      </c>
      <c r="M782" s="52">
        <f>IF(Tabla15[[#This Row],[5]]="",0,VLOOKUP(TRAMOS!$K$2,Tabla5[#All],3,FALSE)*Tabla15[[#This Row],[6]])</f>
        <v>0</v>
      </c>
      <c r="N78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8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82" s="52">
        <f>IF(Tabla15[[#This Row],[8]]="",0,VLOOKUP(TRAMOS!$H$2,Tabla5[#All],3,FALSE)*Tabla15[[#This Row],[9]])</f>
        <v>0</v>
      </c>
      <c r="Q78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8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82" s="52">
        <f>IF(Tabla15[[#This Row],[11]]="",0,VLOOKUP(TRAMOS!$Q$2,Tabla5[#All],3,FALSE)*Tabla15[[#This Row],[12]])</f>
        <v>0</v>
      </c>
      <c r="T78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8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8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8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8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8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8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8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82" s="52">
        <f>IF(Tabla15[[#This Row],[20]]="",0,VLOOKUP("VRP",Tabla5[#All],3,FALSE)*Tabla15[[#This Row],[21]])</f>
        <v>0</v>
      </c>
      <c r="AC78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782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782" s="52">
        <f>IF(Tabla15[[#This Row],[23]]="",0,VLOOKUP("VC",Tabla5[#All],3,FALSE)*Tabla15[[#This Row],[24]])</f>
        <v>0.25</v>
      </c>
      <c r="AF78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8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82" s="52">
        <f>IF(Tabla15[[#This Row],[26]]="",0,VLOOKUP(TRAMOS!$K$2,Tabla5[#All],3,FALSE)*Tabla15[[#This Row],[27]])</f>
        <v>0</v>
      </c>
      <c r="AI78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8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8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8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8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8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8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0.4</v>
      </c>
    </row>
    <row r="783" spans="2:41" x14ac:dyDescent="0.25">
      <c r="B783" s="58" t="str">
        <f>Tabla1[[#This Row],[nudo inicial]]</f>
        <v>N417</v>
      </c>
      <c r="C783" s="58" t="str">
        <f>Tabla1[[#This Row],[nudo final]]</f>
        <v>N418</v>
      </c>
      <c r="D783" s="51">
        <f>Tabla1[[#This Row],[longitud]]</f>
        <v>128.81</v>
      </c>
      <c r="E783" s="51" t="str">
        <f>Tabla1[[#This Row],[diametro]]</f>
        <v>3"</v>
      </c>
      <c r="F783" s="51" t="str">
        <f>Tabla1[[#This Row],[material]]</f>
        <v>PVC</v>
      </c>
      <c r="G78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783" s="52" t="str">
        <f>IF(Tabla1[[#This Row],[5]]="TPD",Tabla1[[#This Row],[6]],"")</f>
        <v/>
      </c>
      <c r="I783" s="52" t="str">
        <f>IF(OR(Tabla1[[#This Row],[5]]="TPD"),Tabla1[[#This Row],[7]],"")</f>
        <v/>
      </c>
      <c r="J783" s="52">
        <f>IF(Tabla15[[#This Row],[2]]="",0,VLOOKUP(TRAMOS!$H$2,Tabla5[#All],3,FALSE)*Tabla15[[#This Row],[3]])</f>
        <v>0</v>
      </c>
      <c r="K783" s="52" t="str">
        <f>IF(Tabla1[[#This Row],[5]]="TPL",Tabla1[[#This Row],[6]],"")</f>
        <v>3"</v>
      </c>
      <c r="L783" s="52">
        <f>IF(OR(Tabla1[[#This Row],[5]]="TPL"),Tabla1[[#This Row],[7]],"")</f>
        <v>1</v>
      </c>
      <c r="M783" s="52">
        <f>IF(Tabla15[[#This Row],[5]]="",0,VLOOKUP(TRAMOS!$K$2,Tabla5[#All],3,FALSE)*Tabla15[[#This Row],[6]])</f>
        <v>0.9</v>
      </c>
      <c r="N78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8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83" s="52">
        <f>IF(Tabla15[[#This Row],[8]]="",0,VLOOKUP(TRAMOS!$H$2,Tabla5[#All],3,FALSE)*Tabla15[[#This Row],[9]])</f>
        <v>0</v>
      </c>
      <c r="Q78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8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83" s="52">
        <f>IF(Tabla15[[#This Row],[11]]="",0,VLOOKUP(TRAMOS!$Q$2,Tabla5[#All],3,FALSE)*Tabla15[[#This Row],[12]])</f>
        <v>0</v>
      </c>
      <c r="T78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8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8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8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8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8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8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8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83" s="52">
        <f>IF(Tabla15[[#This Row],[20]]="",0,VLOOKUP("VRP",Tabla5[#All],3,FALSE)*Tabla15[[#This Row],[21]])</f>
        <v>0</v>
      </c>
      <c r="AC78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8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83" s="52">
        <f>IF(Tabla15[[#This Row],[23]]="",0,VLOOKUP("VC",Tabla5[#All],3,FALSE)*Tabla15[[#This Row],[24]])</f>
        <v>0</v>
      </c>
      <c r="AF78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8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83" s="52">
        <f>IF(Tabla15[[#This Row],[26]]="",0,VLOOKUP(TRAMOS!$K$2,Tabla5[#All],3,FALSE)*Tabla15[[#This Row],[27]])</f>
        <v>0</v>
      </c>
      <c r="AI78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8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8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8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8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8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8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784" spans="2:41" x14ac:dyDescent="0.25">
      <c r="B784" s="58" t="str">
        <f>Tabla1[[#This Row],[nudo inicial]]</f>
        <v>N418</v>
      </c>
      <c r="C784" s="58" t="str">
        <f>Tabla1[[#This Row],[nudo final]]</f>
        <v>N419</v>
      </c>
      <c r="D784" s="51">
        <f>Tabla1[[#This Row],[longitud]]</f>
        <v>73.81</v>
      </c>
      <c r="E784" s="51" t="str">
        <f>Tabla1[[#This Row],[diametro]]</f>
        <v>2"</v>
      </c>
      <c r="F784" s="51" t="str">
        <f>Tabla1[[#This Row],[material]]</f>
        <v>PVC</v>
      </c>
      <c r="G78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784" s="52" t="str">
        <f>IF(Tabla1[[#This Row],[5]]="TPD",Tabla1[[#This Row],[6]],"")</f>
        <v/>
      </c>
      <c r="I784" s="52" t="str">
        <f>IF(OR(Tabla1[[#This Row],[5]]="TPD"),Tabla1[[#This Row],[7]],"")</f>
        <v/>
      </c>
      <c r="J784" s="52">
        <f>IF(Tabla15[[#This Row],[2]]="",0,VLOOKUP(TRAMOS!$H$2,Tabla5[#All],3,FALSE)*Tabla15[[#This Row],[3]])</f>
        <v>0</v>
      </c>
      <c r="K784" s="52" t="str">
        <f>IF(Tabla1[[#This Row],[5]]="TPL",Tabla1[[#This Row],[6]],"")</f>
        <v>3"</v>
      </c>
      <c r="L784" s="52">
        <f>IF(OR(Tabla1[[#This Row],[5]]="TPL"),Tabla1[[#This Row],[7]],"")</f>
        <v>1</v>
      </c>
      <c r="M784" s="52">
        <f>IF(Tabla15[[#This Row],[5]]="",0,VLOOKUP(TRAMOS!$K$2,Tabla5[#All],3,FALSE)*Tabla15[[#This Row],[6]])</f>
        <v>0.9</v>
      </c>
      <c r="N78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8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84" s="52">
        <f>IF(Tabla15[[#This Row],[8]]="",0,VLOOKUP(TRAMOS!$H$2,Tabla5[#All],3,FALSE)*Tabla15[[#This Row],[9]])</f>
        <v>0</v>
      </c>
      <c r="Q78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8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84" s="52">
        <f>IF(Tabla15[[#This Row],[11]]="",0,VLOOKUP(TRAMOS!$Q$2,Tabla5[#All],3,FALSE)*Tabla15[[#This Row],[12]])</f>
        <v>0</v>
      </c>
      <c r="T78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784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78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78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8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8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8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8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84" s="52">
        <f>IF(Tabla15[[#This Row],[20]]="",0,VLOOKUP("VRP",Tabla5[#All],3,FALSE)*Tabla15[[#This Row],[21]])</f>
        <v>0</v>
      </c>
      <c r="AC78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8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84" s="52">
        <f>IF(Tabla15[[#This Row],[23]]="",0,VLOOKUP("VC",Tabla5[#All],3,FALSE)*Tabla15[[#This Row],[24]])</f>
        <v>0</v>
      </c>
      <c r="AF78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8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84" s="52">
        <f>IF(Tabla15[[#This Row],[26]]="",0,VLOOKUP(TRAMOS!$K$2,Tabla5[#All],3,FALSE)*Tabla15[[#This Row],[27]])</f>
        <v>0</v>
      </c>
      <c r="AI78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8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8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8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8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8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8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785" spans="2:41" x14ac:dyDescent="0.25">
      <c r="B785" s="58" t="str">
        <f>Tabla1[[#This Row],[nudo inicial]]</f>
        <v>N419</v>
      </c>
      <c r="C785" s="58" t="str">
        <f>Tabla1[[#This Row],[nudo final]]</f>
        <v>TP270</v>
      </c>
      <c r="D785" s="51">
        <f>Tabla1[[#This Row],[longitud]]</f>
        <v>5.54</v>
      </c>
      <c r="E785" s="51" t="str">
        <f>Tabla1[[#This Row],[diametro]]</f>
        <v>2"</v>
      </c>
      <c r="F785" s="51" t="str">
        <f>Tabla1[[#This Row],[material]]</f>
        <v>PVC</v>
      </c>
      <c r="G78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785" s="52" t="str">
        <f>IF(Tabla1[[#This Row],[5]]="TPD",Tabla1[[#This Row],[6]],"")</f>
        <v>2"</v>
      </c>
      <c r="I785" s="52">
        <f>IF(OR(Tabla1[[#This Row],[5]]="TPD"),Tabla1[[#This Row],[7]],"")</f>
        <v>1</v>
      </c>
      <c r="J785" s="52">
        <f>IF(Tabla15[[#This Row],[2]]="",0,VLOOKUP(TRAMOS!$H$2,Tabla5[#All],3,FALSE)*Tabla15[[#This Row],[3]])</f>
        <v>0.15</v>
      </c>
      <c r="K785" s="52" t="str">
        <f>IF(Tabla1[[#This Row],[5]]="TPL",Tabla1[[#This Row],[6]],"")</f>
        <v/>
      </c>
      <c r="L785" s="52" t="str">
        <f>IF(OR(Tabla1[[#This Row],[5]]="TPL"),Tabla1[[#This Row],[7]],"")</f>
        <v/>
      </c>
      <c r="M785" s="52">
        <f>IF(Tabla15[[#This Row],[5]]="",0,VLOOKUP(TRAMOS!$K$2,Tabla5[#All],3,FALSE)*Tabla15[[#This Row],[6]])</f>
        <v>0</v>
      </c>
      <c r="N78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8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85" s="52">
        <f>IF(Tabla15[[#This Row],[8]]="",0,VLOOKUP(TRAMOS!$H$2,Tabla5[#All],3,FALSE)*Tabla15[[#This Row],[9]])</f>
        <v>0</v>
      </c>
      <c r="Q78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8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85" s="52">
        <f>IF(Tabla15[[#This Row],[11]]="",0,VLOOKUP(TRAMOS!$Q$2,Tabla5[#All],3,FALSE)*Tabla15[[#This Row],[12]])</f>
        <v>0</v>
      </c>
      <c r="T78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8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8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8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8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8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8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8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85" s="52">
        <f>IF(Tabla15[[#This Row],[20]]="",0,VLOOKUP("VRP",Tabla5[#All],3,FALSE)*Tabla15[[#This Row],[21]])</f>
        <v>0</v>
      </c>
      <c r="AC78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8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85" s="52">
        <f>IF(Tabla15[[#This Row],[23]]="",0,VLOOKUP("VC",Tabla5[#All],3,FALSE)*Tabla15[[#This Row],[24]])</f>
        <v>0</v>
      </c>
      <c r="AF78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8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85" s="52">
        <f>IF(Tabla15[[#This Row],[26]]="",0,VLOOKUP(TRAMOS!$K$2,Tabla5[#All],3,FALSE)*Tabla15[[#This Row],[27]])</f>
        <v>0</v>
      </c>
      <c r="AI78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8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8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8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8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785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78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786" spans="2:41" x14ac:dyDescent="0.25">
      <c r="B786" s="58" t="str">
        <f>Tabla1[[#This Row],[nudo inicial]]</f>
        <v>N419</v>
      </c>
      <c r="C786" s="58" t="str">
        <f>Tabla1[[#This Row],[nudo final]]</f>
        <v>TP271</v>
      </c>
      <c r="D786" s="51">
        <f>Tabla1[[#This Row],[longitud]]</f>
        <v>86.11</v>
      </c>
      <c r="E786" s="51" t="str">
        <f>Tabla1[[#This Row],[diametro]]</f>
        <v>2"</v>
      </c>
      <c r="F786" s="51" t="str">
        <f>Tabla1[[#This Row],[material]]</f>
        <v>PVC</v>
      </c>
      <c r="G78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786" s="52" t="str">
        <f>IF(Tabla1[[#This Row],[5]]="TPD",Tabla1[[#This Row],[6]],"")</f>
        <v/>
      </c>
      <c r="I786" s="52" t="str">
        <f>IF(OR(Tabla1[[#This Row],[5]]="TPD"),Tabla1[[#This Row],[7]],"")</f>
        <v/>
      </c>
      <c r="J786" s="52">
        <f>IF(Tabla15[[#This Row],[2]]="",0,VLOOKUP(TRAMOS!$H$2,Tabla5[#All],3,FALSE)*Tabla15[[#This Row],[3]])</f>
        <v>0</v>
      </c>
      <c r="K786" s="52" t="str">
        <f>IF(Tabla1[[#This Row],[5]]="TPL",Tabla1[[#This Row],[6]],"")</f>
        <v>2"</v>
      </c>
      <c r="L786" s="52">
        <f>IF(OR(Tabla1[[#This Row],[5]]="TPL"),Tabla1[[#This Row],[7]],"")</f>
        <v>1</v>
      </c>
      <c r="M786" s="52">
        <f>IF(Tabla15[[#This Row],[5]]="",0,VLOOKUP(TRAMOS!$K$2,Tabla5[#All],3,FALSE)*Tabla15[[#This Row],[6]])</f>
        <v>0.9</v>
      </c>
      <c r="N78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8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86" s="52">
        <f>IF(Tabla15[[#This Row],[8]]="",0,VLOOKUP(TRAMOS!$H$2,Tabla5[#All],3,FALSE)*Tabla15[[#This Row],[9]])</f>
        <v>0</v>
      </c>
      <c r="Q78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8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86" s="52">
        <f>IF(Tabla15[[#This Row],[11]]="",0,VLOOKUP(TRAMOS!$Q$2,Tabla5[#All],3,FALSE)*Tabla15[[#This Row],[12]])</f>
        <v>0</v>
      </c>
      <c r="T78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8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8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8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8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8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8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8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86" s="52">
        <f>IF(Tabla15[[#This Row],[20]]="",0,VLOOKUP("VRP",Tabla5[#All],3,FALSE)*Tabla15[[#This Row],[21]])</f>
        <v>0</v>
      </c>
      <c r="AC78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8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86" s="52">
        <f>IF(Tabla15[[#This Row],[23]]="",0,VLOOKUP("VC",Tabla5[#All],3,FALSE)*Tabla15[[#This Row],[24]])</f>
        <v>0</v>
      </c>
      <c r="AF78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8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86" s="52">
        <f>IF(Tabla15[[#This Row],[26]]="",0,VLOOKUP(TRAMOS!$K$2,Tabla5[#All],3,FALSE)*Tabla15[[#This Row],[27]])</f>
        <v>0</v>
      </c>
      <c r="AI78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8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8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8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8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78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78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787" spans="2:41" x14ac:dyDescent="0.25">
      <c r="B787" s="58" t="str">
        <f>Tabla1[[#This Row],[nudo inicial]]</f>
        <v>N418</v>
      </c>
      <c r="C787" s="58" t="str">
        <f>Tabla1[[#This Row],[nudo final]]</f>
        <v>N420</v>
      </c>
      <c r="D787" s="51">
        <f>Tabla1[[#This Row],[longitud]]</f>
        <v>158.13999999999999</v>
      </c>
      <c r="E787" s="51" t="str">
        <f>Tabla1[[#This Row],[diametro]]</f>
        <v>3"</v>
      </c>
      <c r="F787" s="51" t="str">
        <f>Tabla1[[#This Row],[material]]</f>
        <v>PVC</v>
      </c>
      <c r="G78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787" s="52" t="str">
        <f>IF(Tabla1[[#This Row],[5]]="TPD",Tabla1[[#This Row],[6]],"")</f>
        <v>3"</v>
      </c>
      <c r="I787" s="52">
        <f>IF(OR(Tabla1[[#This Row],[5]]="TPD"),Tabla1[[#This Row],[7]],"")</f>
        <v>1</v>
      </c>
      <c r="J787" s="52">
        <f>IF(Tabla15[[#This Row],[2]]="",0,VLOOKUP(TRAMOS!$H$2,Tabla5[#All],3,FALSE)*Tabla15[[#This Row],[3]])</f>
        <v>0.15</v>
      </c>
      <c r="K787" s="52" t="str">
        <f>IF(Tabla1[[#This Row],[5]]="TPL",Tabla1[[#This Row],[6]],"")</f>
        <v/>
      </c>
      <c r="L787" s="52" t="str">
        <f>IF(OR(Tabla1[[#This Row],[5]]="TPL"),Tabla1[[#This Row],[7]],"")</f>
        <v/>
      </c>
      <c r="M787" s="52">
        <f>IF(Tabla15[[#This Row],[5]]="",0,VLOOKUP(TRAMOS!$K$2,Tabla5[#All],3,FALSE)*Tabla15[[#This Row],[6]])</f>
        <v>0</v>
      </c>
      <c r="N78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8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87" s="52">
        <f>IF(Tabla15[[#This Row],[8]]="",0,VLOOKUP(TRAMOS!$H$2,Tabla5[#All],3,FALSE)*Tabla15[[#This Row],[9]])</f>
        <v>0</v>
      </c>
      <c r="Q78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8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87" s="52">
        <f>IF(Tabla15[[#This Row],[11]]="",0,VLOOKUP(TRAMOS!$Q$2,Tabla5[#All],3,FALSE)*Tabla15[[#This Row],[12]])</f>
        <v>0</v>
      </c>
      <c r="T78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8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8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8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8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8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8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8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87" s="52">
        <f>IF(Tabla15[[#This Row],[20]]="",0,VLOOKUP("VRP",Tabla5[#All],3,FALSE)*Tabla15[[#This Row],[21]])</f>
        <v>0</v>
      </c>
      <c r="AC78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8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87" s="52">
        <f>IF(Tabla15[[#This Row],[23]]="",0,VLOOKUP("VC",Tabla5[#All],3,FALSE)*Tabla15[[#This Row],[24]])</f>
        <v>0</v>
      </c>
      <c r="AF78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8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87" s="52">
        <f>IF(Tabla15[[#This Row],[26]]="",0,VLOOKUP(TRAMOS!$K$2,Tabla5[#All],3,FALSE)*Tabla15[[#This Row],[27]])</f>
        <v>0</v>
      </c>
      <c r="AI787" s="52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>0</v>
      </c>
      <c r="AJ787" s="52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>1</v>
      </c>
      <c r="AK78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8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8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8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8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788" spans="2:41" x14ac:dyDescent="0.25">
      <c r="B788" s="58" t="str">
        <f>Tabla1[[#This Row],[nudo inicial]]</f>
        <v>N420</v>
      </c>
      <c r="C788" s="58" t="str">
        <f>Tabla1[[#This Row],[nudo final]]</f>
        <v>N421</v>
      </c>
      <c r="D788" s="51">
        <f>Tabla1[[#This Row],[longitud]]</f>
        <v>132.43</v>
      </c>
      <c r="E788" s="51" t="str">
        <f>Tabla1[[#This Row],[diametro]]</f>
        <v>2"</v>
      </c>
      <c r="F788" s="51" t="str">
        <f>Tabla1[[#This Row],[material]]</f>
        <v>PVC</v>
      </c>
      <c r="G78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788" s="52" t="str">
        <f>IF(Tabla1[[#This Row],[5]]="TPD",Tabla1[[#This Row],[6]],"")</f>
        <v/>
      </c>
      <c r="I788" s="52" t="str">
        <f>IF(OR(Tabla1[[#This Row],[5]]="TPD"),Tabla1[[#This Row],[7]],"")</f>
        <v/>
      </c>
      <c r="J788" s="52">
        <f>IF(Tabla15[[#This Row],[2]]="",0,VLOOKUP(TRAMOS!$H$2,Tabla5[#All],3,FALSE)*Tabla15[[#This Row],[3]])</f>
        <v>0</v>
      </c>
      <c r="K788" s="52" t="str">
        <f>IF(Tabla1[[#This Row],[5]]="TPL",Tabla1[[#This Row],[6]],"")</f>
        <v/>
      </c>
      <c r="L788" s="52" t="str">
        <f>IF(OR(Tabla1[[#This Row],[5]]="TPL"),Tabla1[[#This Row],[7]],"")</f>
        <v/>
      </c>
      <c r="M788" s="52">
        <f>IF(Tabla15[[#This Row],[5]]="",0,VLOOKUP(TRAMOS!$K$2,Tabla5[#All],3,FALSE)*Tabla15[[#This Row],[6]])</f>
        <v>0</v>
      </c>
      <c r="N78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8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88" s="52">
        <f>IF(Tabla15[[#This Row],[8]]="",0,VLOOKUP(TRAMOS!$H$2,Tabla5[#All],3,FALSE)*Tabla15[[#This Row],[9]])</f>
        <v>0</v>
      </c>
      <c r="Q78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8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88" s="52">
        <f>IF(Tabla15[[#This Row],[11]]="",0,VLOOKUP(TRAMOS!$Q$2,Tabla5[#All],3,FALSE)*Tabla15[[#This Row],[12]])</f>
        <v>0</v>
      </c>
      <c r="T78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788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78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78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8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8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8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8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88" s="52">
        <f>IF(Tabla15[[#This Row],[20]]="",0,VLOOKUP("VRP",Tabla5[#All],3,FALSE)*Tabla15[[#This Row],[21]])</f>
        <v>0</v>
      </c>
      <c r="AC78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8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88" s="52">
        <f>IF(Tabla15[[#This Row],[23]]="",0,VLOOKUP("VC",Tabla5[#All],3,FALSE)*Tabla15[[#This Row],[24]])</f>
        <v>0</v>
      </c>
      <c r="AF78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8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88" s="52">
        <f>IF(Tabla15[[#This Row],[26]]="",0,VLOOKUP(TRAMOS!$K$2,Tabla5[#All],3,FALSE)*Tabla15[[#This Row],[27]])</f>
        <v>0</v>
      </c>
      <c r="AI78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8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8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8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8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8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8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0.21500000000000002</v>
      </c>
    </row>
    <row r="789" spans="2:41" x14ac:dyDescent="0.25">
      <c r="B789" s="58" t="str">
        <f>Tabla1[[#This Row],[nudo inicial]]</f>
        <v>N421</v>
      </c>
      <c r="C789" s="58" t="str">
        <f>Tabla1[[#This Row],[nudo final]]</f>
        <v>N415</v>
      </c>
      <c r="D789" s="51">
        <f>Tabla1[[#This Row],[longitud]]</f>
        <v>43.97</v>
      </c>
      <c r="E789" s="51" t="str">
        <f>Tabla1[[#This Row],[diametro]]</f>
        <v>2"</v>
      </c>
      <c r="F789" s="51" t="str">
        <f>Tabla1[[#This Row],[material]]</f>
        <v>PVC</v>
      </c>
      <c r="G78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789" s="52" t="str">
        <f>IF(Tabla1[[#This Row],[5]]="TPD",Tabla1[[#This Row],[6]],"")</f>
        <v/>
      </c>
      <c r="I789" s="52" t="str">
        <f>IF(OR(Tabla1[[#This Row],[5]]="TPD"),Tabla1[[#This Row],[7]],"")</f>
        <v/>
      </c>
      <c r="J789" s="52">
        <f>IF(Tabla15[[#This Row],[2]]="",0,VLOOKUP(TRAMOS!$H$2,Tabla5[#All],3,FALSE)*Tabla15[[#This Row],[3]])</f>
        <v>0</v>
      </c>
      <c r="K789" s="52" t="str">
        <f>IF(Tabla1[[#This Row],[5]]="TPL",Tabla1[[#This Row],[6]],"")</f>
        <v>3"</v>
      </c>
      <c r="L789" s="52">
        <f>IF(OR(Tabla1[[#This Row],[5]]="TPL"),Tabla1[[#This Row],[7]],"")</f>
        <v>1</v>
      </c>
      <c r="M789" s="52">
        <f>IF(Tabla15[[#This Row],[5]]="",0,VLOOKUP(TRAMOS!$K$2,Tabla5[#All],3,FALSE)*Tabla15[[#This Row],[6]])</f>
        <v>0.9</v>
      </c>
      <c r="N78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8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89" s="52">
        <f>IF(Tabla15[[#This Row],[8]]="",0,VLOOKUP(TRAMOS!$H$2,Tabla5[#All],3,FALSE)*Tabla15[[#This Row],[9]])</f>
        <v>0</v>
      </c>
      <c r="Q78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8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89" s="52">
        <f>IF(Tabla15[[#This Row],[11]]="",0,VLOOKUP(TRAMOS!$Q$2,Tabla5[#All],3,FALSE)*Tabla15[[#This Row],[12]])</f>
        <v>0</v>
      </c>
      <c r="T78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789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78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78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8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8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8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8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89" s="52">
        <f>IF(Tabla15[[#This Row],[20]]="",0,VLOOKUP("VRP",Tabla5[#All],3,FALSE)*Tabla15[[#This Row],[21]])</f>
        <v>0</v>
      </c>
      <c r="AC78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8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89" s="52">
        <f>IF(Tabla15[[#This Row],[23]]="",0,VLOOKUP("VC",Tabla5[#All],3,FALSE)*Tabla15[[#This Row],[24]])</f>
        <v>0</v>
      </c>
      <c r="AF78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8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89" s="52">
        <f>IF(Tabla15[[#This Row],[26]]="",0,VLOOKUP(TRAMOS!$K$2,Tabla5[#All],3,FALSE)*Tabla15[[#This Row],[27]])</f>
        <v>0</v>
      </c>
      <c r="AI78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8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8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8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8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8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8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790" spans="2:41" x14ac:dyDescent="0.25">
      <c r="B790" s="58" t="str">
        <f>Tabla1[[#This Row],[nudo inicial]]</f>
        <v>N421</v>
      </c>
      <c r="C790" s="58" t="str">
        <f>Tabla1[[#This Row],[nudo final]]</f>
        <v>N422</v>
      </c>
      <c r="D790" s="51">
        <f>Tabla1[[#This Row],[longitud]]</f>
        <v>6.15</v>
      </c>
      <c r="E790" s="51" t="str">
        <f>Tabla1[[#This Row],[diametro]]</f>
        <v>2"</v>
      </c>
      <c r="F790" s="51" t="str">
        <f>Tabla1[[#This Row],[material]]</f>
        <v>PVC</v>
      </c>
      <c r="G79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790" s="52" t="str">
        <f>IF(Tabla1[[#This Row],[5]]="TPD",Tabla1[[#This Row],[6]],"")</f>
        <v>2"</v>
      </c>
      <c r="I790" s="52">
        <f>IF(OR(Tabla1[[#This Row],[5]]="TPD"),Tabla1[[#This Row],[7]],"")</f>
        <v>1</v>
      </c>
      <c r="J790" s="52">
        <f>IF(Tabla15[[#This Row],[2]]="",0,VLOOKUP(TRAMOS!$H$2,Tabla5[#All],3,FALSE)*Tabla15[[#This Row],[3]])</f>
        <v>0.15</v>
      </c>
      <c r="K790" s="52" t="str">
        <f>IF(Tabla1[[#This Row],[5]]="TPL",Tabla1[[#This Row],[6]],"")</f>
        <v/>
      </c>
      <c r="L790" s="52" t="str">
        <f>IF(OR(Tabla1[[#This Row],[5]]="TPL"),Tabla1[[#This Row],[7]],"")</f>
        <v/>
      </c>
      <c r="M790" s="52">
        <f>IF(Tabla15[[#This Row],[5]]="",0,VLOOKUP(TRAMOS!$K$2,Tabla5[#All],3,FALSE)*Tabla15[[#This Row],[6]])</f>
        <v>0</v>
      </c>
      <c r="N79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9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90" s="52">
        <f>IF(Tabla15[[#This Row],[8]]="",0,VLOOKUP(TRAMOS!$H$2,Tabla5[#All],3,FALSE)*Tabla15[[#This Row],[9]])</f>
        <v>0</v>
      </c>
      <c r="Q79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9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90" s="52">
        <f>IF(Tabla15[[#This Row],[11]]="",0,VLOOKUP(TRAMOS!$Q$2,Tabla5[#All],3,FALSE)*Tabla15[[#This Row],[12]])</f>
        <v>0</v>
      </c>
      <c r="T79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9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9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9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9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9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9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9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90" s="52">
        <f>IF(Tabla15[[#This Row],[20]]="",0,VLOOKUP("VRP",Tabla5[#All],3,FALSE)*Tabla15[[#This Row],[21]])</f>
        <v>0</v>
      </c>
      <c r="AC79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9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90" s="52">
        <f>IF(Tabla15[[#This Row],[23]]="",0,VLOOKUP("VC",Tabla5[#All],3,FALSE)*Tabla15[[#This Row],[24]])</f>
        <v>0</v>
      </c>
      <c r="AF79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9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90" s="52">
        <f>IF(Tabla15[[#This Row],[26]]="",0,VLOOKUP(TRAMOS!$K$2,Tabla5[#All],3,FALSE)*Tabla15[[#This Row],[27]])</f>
        <v>0</v>
      </c>
      <c r="AI79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9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9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9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9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9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9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791" spans="2:41" x14ac:dyDescent="0.25">
      <c r="B791" s="58" t="str">
        <f>Tabla1[[#This Row],[nudo inicial]]</f>
        <v>N422</v>
      </c>
      <c r="C791" s="58" t="str">
        <f>Tabla1[[#This Row],[nudo final]]</f>
        <v>TP272</v>
      </c>
      <c r="D791" s="51">
        <f>Tabla1[[#This Row],[longitud]]</f>
        <v>31.26</v>
      </c>
      <c r="E791" s="51" t="str">
        <f>Tabla1[[#This Row],[diametro]]</f>
        <v>2"</v>
      </c>
      <c r="F791" s="51" t="str">
        <f>Tabla1[[#This Row],[material]]</f>
        <v>PVC</v>
      </c>
      <c r="G79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791" s="52" t="str">
        <f>IF(Tabla1[[#This Row],[5]]="TPD",Tabla1[[#This Row],[6]],"")</f>
        <v/>
      </c>
      <c r="I791" s="52" t="str">
        <f>IF(OR(Tabla1[[#This Row],[5]]="TPD"),Tabla1[[#This Row],[7]],"")</f>
        <v/>
      </c>
      <c r="J791" s="52">
        <f>IF(Tabla15[[#This Row],[2]]="",0,VLOOKUP(TRAMOS!$H$2,Tabla5[#All],3,FALSE)*Tabla15[[#This Row],[3]])</f>
        <v>0</v>
      </c>
      <c r="K791" s="52" t="str">
        <f>IF(Tabla1[[#This Row],[5]]="TPL",Tabla1[[#This Row],[6]],"")</f>
        <v/>
      </c>
      <c r="L791" s="52" t="str">
        <f>IF(OR(Tabla1[[#This Row],[5]]="TPL"),Tabla1[[#This Row],[7]],"")</f>
        <v/>
      </c>
      <c r="M791" s="52">
        <f>IF(Tabla15[[#This Row],[5]]="",0,VLOOKUP(TRAMOS!$K$2,Tabla5[#All],3,FALSE)*Tabla15[[#This Row],[6]])</f>
        <v>0</v>
      </c>
      <c r="N79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9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91" s="52">
        <f>IF(Tabla15[[#This Row],[8]]="",0,VLOOKUP(TRAMOS!$H$2,Tabla5[#All],3,FALSE)*Tabla15[[#This Row],[9]])</f>
        <v>0</v>
      </c>
      <c r="Q79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9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91" s="52">
        <f>IF(Tabla15[[#This Row],[11]]="",0,VLOOKUP(TRAMOS!$Q$2,Tabla5[#All],3,FALSE)*Tabla15[[#This Row],[12]])</f>
        <v>0</v>
      </c>
      <c r="T79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9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9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9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9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9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9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9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91" s="52">
        <f>IF(Tabla15[[#This Row],[20]]="",0,VLOOKUP("VRP",Tabla5[#All],3,FALSE)*Tabla15[[#This Row],[21]])</f>
        <v>0</v>
      </c>
      <c r="AC79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9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91" s="52">
        <f>IF(Tabla15[[#This Row],[23]]="",0,VLOOKUP("VC",Tabla5[#All],3,FALSE)*Tabla15[[#This Row],[24]])</f>
        <v>0</v>
      </c>
      <c r="AF79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>2"</v>
      </c>
      <c r="AG791" s="52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>1</v>
      </c>
      <c r="AH791" s="52">
        <f>IF(Tabla15[[#This Row],[26]]="",0,VLOOKUP(TRAMOS!$K$2,Tabla5[#All],3,FALSE)*Tabla15[[#This Row],[27]])</f>
        <v>0.9</v>
      </c>
      <c r="AI79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9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9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9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9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791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79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792" spans="2:41" x14ac:dyDescent="0.25">
      <c r="B792" s="58" t="str">
        <f>Tabla1[[#This Row],[nudo inicial]]</f>
        <v>N422</v>
      </c>
      <c r="C792" s="58" t="str">
        <f>Tabla1[[#This Row],[nudo final]]</f>
        <v>N423</v>
      </c>
      <c r="D792" s="51">
        <f>Tabla1[[#This Row],[longitud]]</f>
        <v>43.16</v>
      </c>
      <c r="E792" s="51" t="str">
        <f>Tabla1[[#This Row],[diametro]]</f>
        <v>2"</v>
      </c>
      <c r="F792" s="51" t="str">
        <f>Tabla1[[#This Row],[material]]</f>
        <v>PVC</v>
      </c>
      <c r="G79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792" s="52" t="str">
        <f>IF(Tabla1[[#This Row],[5]]="TPD",Tabla1[[#This Row],[6]],"")</f>
        <v/>
      </c>
      <c r="I792" s="52" t="str">
        <f>IF(OR(Tabla1[[#This Row],[5]]="TPD"),Tabla1[[#This Row],[7]],"")</f>
        <v/>
      </c>
      <c r="J792" s="52">
        <f>IF(Tabla15[[#This Row],[2]]="",0,VLOOKUP(TRAMOS!$H$2,Tabla5[#All],3,FALSE)*Tabla15[[#This Row],[3]])</f>
        <v>0</v>
      </c>
      <c r="K792" s="52" t="str">
        <f>IF(Tabla1[[#This Row],[5]]="TPL",Tabla1[[#This Row],[6]],"")</f>
        <v/>
      </c>
      <c r="L792" s="52" t="str">
        <f>IF(OR(Tabla1[[#This Row],[5]]="TPL"),Tabla1[[#This Row],[7]],"")</f>
        <v/>
      </c>
      <c r="M792" s="52">
        <f>IF(Tabla15[[#This Row],[5]]="",0,VLOOKUP(TRAMOS!$K$2,Tabla5[#All],3,FALSE)*Tabla15[[#This Row],[6]])</f>
        <v>0</v>
      </c>
      <c r="N79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9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92" s="52">
        <f>IF(Tabla15[[#This Row],[8]]="",0,VLOOKUP(TRAMOS!$H$2,Tabla5[#All],3,FALSE)*Tabla15[[#This Row],[9]])</f>
        <v>0</v>
      </c>
      <c r="Q79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9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92" s="52">
        <f>IF(Tabla15[[#This Row],[11]]="",0,VLOOKUP(TRAMOS!$Q$2,Tabla5[#All],3,FALSE)*Tabla15[[#This Row],[12]])</f>
        <v>0</v>
      </c>
      <c r="T79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9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9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9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9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9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9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9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92" s="52">
        <f>IF(Tabla15[[#This Row],[20]]="",0,VLOOKUP("VRP",Tabla5[#All],3,FALSE)*Tabla15[[#This Row],[21]])</f>
        <v>0</v>
      </c>
      <c r="AC79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9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92" s="52">
        <f>IF(Tabla15[[#This Row],[23]]="",0,VLOOKUP("VC",Tabla5[#All],3,FALSE)*Tabla15[[#This Row],[24]])</f>
        <v>0</v>
      </c>
      <c r="AF79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9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92" s="52">
        <f>IF(Tabla15[[#This Row],[26]]="",0,VLOOKUP(TRAMOS!$K$2,Tabla5[#All],3,FALSE)*Tabla15[[#This Row],[27]])</f>
        <v>0</v>
      </c>
      <c r="AI79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9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9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9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9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9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9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</v>
      </c>
    </row>
    <row r="793" spans="2:41" x14ac:dyDescent="0.25">
      <c r="B793" s="58" t="str">
        <f>Tabla1[[#This Row],[nudo inicial]]</f>
        <v>N423</v>
      </c>
      <c r="C793" s="58" t="str">
        <f>Tabla1[[#This Row],[nudo final]]</f>
        <v>TP273</v>
      </c>
      <c r="D793" s="51">
        <f>Tabla1[[#This Row],[longitud]]</f>
        <v>28.77</v>
      </c>
      <c r="E793" s="51" t="str">
        <f>Tabla1[[#This Row],[diametro]]</f>
        <v>2"</v>
      </c>
      <c r="F793" s="51" t="str">
        <f>Tabla1[[#This Row],[material]]</f>
        <v>PVC</v>
      </c>
      <c r="G79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793" s="52" t="str">
        <f>IF(Tabla1[[#This Row],[5]]="TPD",Tabla1[[#This Row],[6]],"")</f>
        <v/>
      </c>
      <c r="I793" s="52" t="str">
        <f>IF(OR(Tabla1[[#This Row],[5]]="TPD"),Tabla1[[#This Row],[7]],"")</f>
        <v/>
      </c>
      <c r="J793" s="52">
        <f>IF(Tabla15[[#This Row],[2]]="",0,VLOOKUP(TRAMOS!$H$2,Tabla5[#All],3,FALSE)*Tabla15[[#This Row],[3]])</f>
        <v>0</v>
      </c>
      <c r="K793" s="52" t="str">
        <f>IF(Tabla1[[#This Row],[5]]="TPL",Tabla1[[#This Row],[6]],"")</f>
        <v>2"</v>
      </c>
      <c r="L793" s="52">
        <f>IF(OR(Tabla1[[#This Row],[5]]="TPL"),Tabla1[[#This Row],[7]],"")</f>
        <v>1</v>
      </c>
      <c r="M793" s="52">
        <f>IF(Tabla15[[#This Row],[5]]="",0,VLOOKUP(TRAMOS!$K$2,Tabla5[#All],3,FALSE)*Tabla15[[#This Row],[6]])</f>
        <v>0.9</v>
      </c>
      <c r="N79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9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93" s="52">
        <f>IF(Tabla15[[#This Row],[8]]="",0,VLOOKUP(TRAMOS!$H$2,Tabla5[#All],3,FALSE)*Tabla15[[#This Row],[9]])</f>
        <v>0</v>
      </c>
      <c r="Q79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9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93" s="52">
        <f>IF(Tabla15[[#This Row],[11]]="",0,VLOOKUP(TRAMOS!$Q$2,Tabla5[#All],3,FALSE)*Tabla15[[#This Row],[12]])</f>
        <v>0</v>
      </c>
      <c r="T79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9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9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9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9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9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9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9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93" s="52">
        <f>IF(Tabla15[[#This Row],[20]]="",0,VLOOKUP("VRP",Tabla5[#All],3,FALSE)*Tabla15[[#This Row],[21]])</f>
        <v>0</v>
      </c>
      <c r="AC79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9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93" s="52">
        <f>IF(Tabla15[[#This Row],[23]]="",0,VLOOKUP("VC",Tabla5[#All],3,FALSE)*Tabla15[[#This Row],[24]])</f>
        <v>0</v>
      </c>
      <c r="AF79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9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93" s="52">
        <f>IF(Tabla15[[#This Row],[26]]="",0,VLOOKUP(TRAMOS!$K$2,Tabla5[#All],3,FALSE)*Tabla15[[#This Row],[27]])</f>
        <v>0</v>
      </c>
      <c r="AI79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9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9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9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9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793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79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794" spans="2:41" x14ac:dyDescent="0.25">
      <c r="B794" s="58" t="str">
        <f>Tabla1[[#This Row],[nudo inicial]]</f>
        <v>N423</v>
      </c>
      <c r="C794" s="58" t="str">
        <f>Tabla1[[#This Row],[nudo final]]</f>
        <v>N424</v>
      </c>
      <c r="D794" s="51">
        <f>Tabla1[[#This Row],[longitud]]</f>
        <v>1.66</v>
      </c>
      <c r="E794" s="51" t="str">
        <f>Tabla1[[#This Row],[diametro]]</f>
        <v>2"</v>
      </c>
      <c r="F794" s="51" t="str">
        <f>Tabla1[[#This Row],[material]]</f>
        <v>PVC</v>
      </c>
      <c r="G79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794" s="52" t="str">
        <f>IF(Tabla1[[#This Row],[5]]="TPD",Tabla1[[#This Row],[6]],"")</f>
        <v>2"</v>
      </c>
      <c r="I794" s="52">
        <f>IF(OR(Tabla1[[#This Row],[5]]="TPD"),Tabla1[[#This Row],[7]],"")</f>
        <v>1</v>
      </c>
      <c r="J794" s="52">
        <f>IF(Tabla15[[#This Row],[2]]="",0,VLOOKUP(TRAMOS!$H$2,Tabla5[#All],3,FALSE)*Tabla15[[#This Row],[3]])</f>
        <v>0.15</v>
      </c>
      <c r="K794" s="52" t="str">
        <f>IF(Tabla1[[#This Row],[5]]="TPL",Tabla1[[#This Row],[6]],"")</f>
        <v/>
      </c>
      <c r="L794" s="52" t="str">
        <f>IF(OR(Tabla1[[#This Row],[5]]="TPL"),Tabla1[[#This Row],[7]],"")</f>
        <v/>
      </c>
      <c r="M794" s="52">
        <f>IF(Tabla15[[#This Row],[5]]="",0,VLOOKUP(TRAMOS!$K$2,Tabla5[#All],3,FALSE)*Tabla15[[#This Row],[6]])</f>
        <v>0</v>
      </c>
      <c r="N79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9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94" s="52">
        <f>IF(Tabla15[[#This Row],[8]]="",0,VLOOKUP(TRAMOS!$H$2,Tabla5[#All],3,FALSE)*Tabla15[[#This Row],[9]])</f>
        <v>0</v>
      </c>
      <c r="Q79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9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94" s="52">
        <f>IF(Tabla15[[#This Row],[11]]="",0,VLOOKUP(TRAMOS!$Q$2,Tabla5[#All],3,FALSE)*Tabla15[[#This Row],[12]])</f>
        <v>0</v>
      </c>
      <c r="T79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9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9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9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9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9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9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9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94" s="52">
        <f>IF(Tabla15[[#This Row],[20]]="",0,VLOOKUP("VRP",Tabla5[#All],3,FALSE)*Tabla15[[#This Row],[21]])</f>
        <v>0</v>
      </c>
      <c r="AC79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9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94" s="52">
        <f>IF(Tabla15[[#This Row],[23]]="",0,VLOOKUP("VC",Tabla5[#All],3,FALSE)*Tabla15[[#This Row],[24]])</f>
        <v>0</v>
      </c>
      <c r="AF79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9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94" s="52">
        <f>IF(Tabla15[[#This Row],[26]]="",0,VLOOKUP(TRAMOS!$K$2,Tabla5[#All],3,FALSE)*Tabla15[[#This Row],[27]])</f>
        <v>0</v>
      </c>
      <c r="AI79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9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9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9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9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9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9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795" spans="2:41" x14ac:dyDescent="0.25">
      <c r="B795" s="58" t="str">
        <f>Tabla1[[#This Row],[nudo inicial]]</f>
        <v>N424</v>
      </c>
      <c r="C795" s="58" t="str">
        <f>Tabla1[[#This Row],[nudo final]]</f>
        <v>N425</v>
      </c>
      <c r="D795" s="51">
        <f>Tabla1[[#This Row],[longitud]]</f>
        <v>133.32</v>
      </c>
      <c r="E795" s="51" t="str">
        <f>Tabla1[[#This Row],[diametro]]</f>
        <v>4"</v>
      </c>
      <c r="F795" s="51" t="str">
        <f>Tabla1[[#This Row],[material]]</f>
        <v>HF</v>
      </c>
      <c r="G79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795" s="52" t="str">
        <f>IF(Tabla1[[#This Row],[5]]="TPD",Tabla1[[#This Row],[6]],"")</f>
        <v/>
      </c>
      <c r="I795" s="52" t="str">
        <f>IF(OR(Tabla1[[#This Row],[5]]="TPD"),Tabla1[[#This Row],[7]],"")</f>
        <v/>
      </c>
      <c r="J795" s="52">
        <f>IF(Tabla15[[#This Row],[2]]="",0,VLOOKUP(TRAMOS!$H$2,Tabla5[#All],3,FALSE)*Tabla15[[#This Row],[3]])</f>
        <v>0</v>
      </c>
      <c r="K795" s="52" t="str">
        <f>IF(Tabla1[[#This Row],[5]]="TPL",Tabla1[[#This Row],[6]],"")</f>
        <v>2"</v>
      </c>
      <c r="L795" s="52">
        <f>IF(OR(Tabla1[[#This Row],[5]]="TPL"),Tabla1[[#This Row],[7]],"")</f>
        <v>1</v>
      </c>
      <c r="M795" s="52">
        <f>IF(Tabla15[[#This Row],[5]]="",0,VLOOKUP(TRAMOS!$K$2,Tabla5[#All],3,FALSE)*Tabla15[[#This Row],[6]])</f>
        <v>0.9</v>
      </c>
      <c r="N79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9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95" s="52">
        <f>IF(Tabla15[[#This Row],[8]]="",0,VLOOKUP(TRAMOS!$H$2,Tabla5[#All],3,FALSE)*Tabla15[[#This Row],[9]])</f>
        <v>0</v>
      </c>
      <c r="Q79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9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95" s="52">
        <f>IF(Tabla15[[#This Row],[11]]="",0,VLOOKUP(TRAMOS!$Q$2,Tabla5[#All],3,FALSE)*Tabla15[[#This Row],[12]])</f>
        <v>0</v>
      </c>
      <c r="T79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9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9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9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>4"</v>
      </c>
      <c r="X795" s="52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>1</v>
      </c>
      <c r="Y79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0.68</v>
      </c>
      <c r="Z79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9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95" s="52">
        <f>IF(Tabla15[[#This Row],[20]]="",0,VLOOKUP("VRP",Tabla5[#All],3,FALSE)*Tabla15[[#This Row],[21]])</f>
        <v>0</v>
      </c>
      <c r="AC79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9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95" s="52">
        <f>IF(Tabla15[[#This Row],[23]]="",0,VLOOKUP("VC",Tabla5[#All],3,FALSE)*Tabla15[[#This Row],[24]])</f>
        <v>0</v>
      </c>
      <c r="AF79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9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95" s="52">
        <f>IF(Tabla15[[#This Row],[26]]="",0,VLOOKUP(TRAMOS!$K$2,Tabla5[#All],3,FALSE)*Tabla15[[#This Row],[27]])</f>
        <v>0</v>
      </c>
      <c r="AI79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9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9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9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9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9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9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1.58</v>
      </c>
    </row>
    <row r="796" spans="2:41" x14ac:dyDescent="0.25">
      <c r="B796" s="58" t="str">
        <f>Tabla1[[#This Row],[nudo inicial]]</f>
        <v>N425</v>
      </c>
      <c r="C796" s="58" t="str">
        <f>Tabla1[[#This Row],[nudo final]]</f>
        <v>TP274</v>
      </c>
      <c r="D796" s="51">
        <f>Tabla1[[#This Row],[longitud]]</f>
        <v>46.65</v>
      </c>
      <c r="E796" s="51" t="str">
        <f>Tabla1[[#This Row],[diametro]]</f>
        <v>1"</v>
      </c>
      <c r="F796" s="51" t="str">
        <f>Tabla1[[#This Row],[material]]</f>
        <v>PVC</v>
      </c>
      <c r="G79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796" s="52" t="str">
        <f>IF(Tabla1[[#This Row],[5]]="TPD",Tabla1[[#This Row],[6]],"")</f>
        <v/>
      </c>
      <c r="I796" s="52" t="str">
        <f>IF(OR(Tabla1[[#This Row],[5]]="TPD"),Tabla1[[#This Row],[7]],"")</f>
        <v/>
      </c>
      <c r="J796" s="52">
        <f>IF(Tabla15[[#This Row],[2]]="",0,VLOOKUP(TRAMOS!$H$2,Tabla5[#All],3,FALSE)*Tabla15[[#This Row],[3]])</f>
        <v>0</v>
      </c>
      <c r="K796" s="52" t="str">
        <f>IF(Tabla1[[#This Row],[5]]="TPL",Tabla1[[#This Row],[6]],"")</f>
        <v>4"</v>
      </c>
      <c r="L796" s="52">
        <f>IF(OR(Tabla1[[#This Row],[5]]="TPL"),Tabla1[[#This Row],[7]],"")</f>
        <v>1</v>
      </c>
      <c r="M796" s="52">
        <f>IF(Tabla15[[#This Row],[5]]="",0,VLOOKUP(TRAMOS!$K$2,Tabla5[#All],3,FALSE)*Tabla15[[#This Row],[6]])</f>
        <v>0.9</v>
      </c>
      <c r="N79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9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96" s="52">
        <f>IF(Tabla15[[#This Row],[8]]="",0,VLOOKUP(TRAMOS!$H$2,Tabla5[#All],3,FALSE)*Tabla15[[#This Row],[9]])</f>
        <v>0</v>
      </c>
      <c r="Q79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9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96" s="52">
        <f>IF(Tabla15[[#This Row],[11]]="",0,VLOOKUP(TRAMOS!$Q$2,Tabla5[#All],3,FALSE)*Tabla15[[#This Row],[12]])</f>
        <v>0</v>
      </c>
      <c r="T79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1"</v>
      </c>
      <c r="U796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79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0.45</v>
      </c>
      <c r="W79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9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9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9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9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96" s="52">
        <f>IF(Tabla15[[#This Row],[20]]="",0,VLOOKUP("VRP",Tabla5[#All],3,FALSE)*Tabla15[[#This Row],[21]])</f>
        <v>0</v>
      </c>
      <c r="AC79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9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96" s="52">
        <f>IF(Tabla15[[#This Row],[23]]="",0,VLOOKUP("VC",Tabla5[#All],3,FALSE)*Tabla15[[#This Row],[24]])</f>
        <v>0</v>
      </c>
      <c r="AF79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9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96" s="52">
        <f>IF(Tabla15[[#This Row],[26]]="",0,VLOOKUP(TRAMOS!$K$2,Tabla5[#All],3,FALSE)*Tabla15[[#This Row],[27]])</f>
        <v>0</v>
      </c>
      <c r="AI79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9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9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9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9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1"</v>
      </c>
      <c r="AN79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79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1.35</v>
      </c>
    </row>
    <row r="797" spans="2:41" x14ac:dyDescent="0.25">
      <c r="B797" s="58" t="str">
        <f>Tabla1[[#This Row],[nudo inicial]]</f>
        <v>N425</v>
      </c>
      <c r="C797" s="58" t="str">
        <f>Tabla1[[#This Row],[nudo final]]</f>
        <v>TP275</v>
      </c>
      <c r="D797" s="51">
        <f>Tabla1[[#This Row],[longitud]]</f>
        <v>31.51</v>
      </c>
      <c r="E797" s="51" t="str">
        <f>Tabla1[[#This Row],[diametro]]</f>
        <v>1"</v>
      </c>
      <c r="F797" s="51" t="str">
        <f>Tabla1[[#This Row],[material]]</f>
        <v>PVC</v>
      </c>
      <c r="G79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797" s="52" t="str">
        <f>IF(Tabla1[[#This Row],[5]]="TPD",Tabla1[[#This Row],[6]],"")</f>
        <v/>
      </c>
      <c r="I797" s="52" t="str">
        <f>IF(OR(Tabla1[[#This Row],[5]]="TPD"),Tabla1[[#This Row],[7]],"")</f>
        <v/>
      </c>
      <c r="J797" s="52">
        <f>IF(Tabla15[[#This Row],[2]]="",0,VLOOKUP(TRAMOS!$H$2,Tabla5[#All],3,FALSE)*Tabla15[[#This Row],[3]])</f>
        <v>0</v>
      </c>
      <c r="K797" s="52" t="str">
        <f>IF(Tabla1[[#This Row],[5]]="TPL",Tabla1[[#This Row],[6]],"")</f>
        <v>4"</v>
      </c>
      <c r="L797" s="52">
        <f>IF(OR(Tabla1[[#This Row],[5]]="TPL"),Tabla1[[#This Row],[7]],"")</f>
        <v>1</v>
      </c>
      <c r="M797" s="52">
        <f>IF(Tabla15[[#This Row],[5]]="",0,VLOOKUP(TRAMOS!$K$2,Tabla5[#All],3,FALSE)*Tabla15[[#This Row],[6]])</f>
        <v>0.9</v>
      </c>
      <c r="N79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9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97" s="52">
        <f>IF(Tabla15[[#This Row],[8]]="",0,VLOOKUP(TRAMOS!$H$2,Tabla5[#All],3,FALSE)*Tabla15[[#This Row],[9]])</f>
        <v>0</v>
      </c>
      <c r="Q79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9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97" s="52">
        <f>IF(Tabla15[[#This Row],[11]]="",0,VLOOKUP(TRAMOS!$Q$2,Tabla5[#All],3,FALSE)*Tabla15[[#This Row],[12]])</f>
        <v>0</v>
      </c>
      <c r="T79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1"</v>
      </c>
      <c r="U797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79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0.45</v>
      </c>
      <c r="W79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9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9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9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9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97" s="52">
        <f>IF(Tabla15[[#This Row],[20]]="",0,VLOOKUP("VRP",Tabla5[#All],3,FALSE)*Tabla15[[#This Row],[21]])</f>
        <v>0</v>
      </c>
      <c r="AC79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9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97" s="52">
        <f>IF(Tabla15[[#This Row],[23]]="",0,VLOOKUP("VC",Tabla5[#All],3,FALSE)*Tabla15[[#This Row],[24]])</f>
        <v>0</v>
      </c>
      <c r="AF79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9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97" s="52">
        <f>IF(Tabla15[[#This Row],[26]]="",0,VLOOKUP(TRAMOS!$K$2,Tabla5[#All],3,FALSE)*Tabla15[[#This Row],[27]])</f>
        <v>0</v>
      </c>
      <c r="AI79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9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9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9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9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1"</v>
      </c>
      <c r="AN797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79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1.35</v>
      </c>
    </row>
    <row r="798" spans="2:41" x14ac:dyDescent="0.25">
      <c r="B798" s="58" t="str">
        <f>Tabla1[[#This Row],[nudo inicial]]</f>
        <v>N424</v>
      </c>
      <c r="C798" s="58" t="str">
        <f>Tabla1[[#This Row],[nudo final]]</f>
        <v>N426</v>
      </c>
      <c r="D798" s="51">
        <f>Tabla1[[#This Row],[longitud]]</f>
        <v>40.869999999999997</v>
      </c>
      <c r="E798" s="51" t="str">
        <f>Tabla1[[#This Row],[diametro]]</f>
        <v>2"</v>
      </c>
      <c r="F798" s="51" t="str">
        <f>Tabla1[[#This Row],[material]]</f>
        <v>PVC</v>
      </c>
      <c r="G79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798" s="52" t="str">
        <f>IF(Tabla1[[#This Row],[5]]="TPD",Tabla1[[#This Row],[6]],"")</f>
        <v>2"</v>
      </c>
      <c r="I798" s="52">
        <f>IF(OR(Tabla1[[#This Row],[5]]="TPD"),Tabla1[[#This Row],[7]],"")</f>
        <v>1</v>
      </c>
      <c r="J798" s="52">
        <f>IF(Tabla15[[#This Row],[2]]="",0,VLOOKUP(TRAMOS!$H$2,Tabla5[#All],3,FALSE)*Tabla15[[#This Row],[3]])</f>
        <v>0.15</v>
      </c>
      <c r="K798" s="52" t="str">
        <f>IF(Tabla1[[#This Row],[5]]="TPL",Tabla1[[#This Row],[6]],"")</f>
        <v/>
      </c>
      <c r="L798" s="52" t="str">
        <f>IF(OR(Tabla1[[#This Row],[5]]="TPL"),Tabla1[[#This Row],[7]],"")</f>
        <v/>
      </c>
      <c r="M798" s="52">
        <f>IF(Tabla15[[#This Row],[5]]="",0,VLOOKUP(TRAMOS!$K$2,Tabla5[#All],3,FALSE)*Tabla15[[#This Row],[6]])</f>
        <v>0</v>
      </c>
      <c r="N79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9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98" s="52">
        <f>IF(Tabla15[[#This Row],[8]]="",0,VLOOKUP(TRAMOS!$H$2,Tabla5[#All],3,FALSE)*Tabla15[[#This Row],[9]])</f>
        <v>0</v>
      </c>
      <c r="Q79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9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98" s="52">
        <f>IF(Tabla15[[#This Row],[11]]="",0,VLOOKUP(TRAMOS!$Q$2,Tabla5[#All],3,FALSE)*Tabla15[[#This Row],[12]])</f>
        <v>0</v>
      </c>
      <c r="T79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9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9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9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79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79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79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9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98" s="52">
        <f>IF(Tabla15[[#This Row],[20]]="",0,VLOOKUP("VRP",Tabla5[#All],3,FALSE)*Tabla15[[#This Row],[21]])</f>
        <v>0</v>
      </c>
      <c r="AC79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9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98" s="52">
        <f>IF(Tabla15[[#This Row],[23]]="",0,VLOOKUP("VC",Tabla5[#All],3,FALSE)*Tabla15[[#This Row],[24]])</f>
        <v>0</v>
      </c>
      <c r="AF79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9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98" s="52">
        <f>IF(Tabla15[[#This Row],[26]]="",0,VLOOKUP(TRAMOS!$K$2,Tabla5[#All],3,FALSE)*Tabla15[[#This Row],[27]])</f>
        <v>0</v>
      </c>
      <c r="AI79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9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9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9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9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79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79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799" spans="2:41" x14ac:dyDescent="0.25">
      <c r="B799" s="58" t="str">
        <f>Tabla1[[#This Row],[nudo inicial]]</f>
        <v>N426</v>
      </c>
      <c r="C799" s="58" t="str">
        <f>Tabla1[[#This Row],[nudo final]]</f>
        <v>TP276</v>
      </c>
      <c r="D799" s="51">
        <f>Tabla1[[#This Row],[longitud]]</f>
        <v>54.42</v>
      </c>
      <c r="E799" s="51" t="str">
        <f>Tabla1[[#This Row],[diametro]]</f>
        <v>4"</v>
      </c>
      <c r="F799" s="51" t="str">
        <f>Tabla1[[#This Row],[material]]</f>
        <v>PVC</v>
      </c>
      <c r="G79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799" s="52" t="str">
        <f>IF(Tabla1[[#This Row],[5]]="TPD",Tabla1[[#This Row],[6]],"")</f>
        <v/>
      </c>
      <c r="I799" s="52" t="str">
        <f>IF(OR(Tabla1[[#This Row],[5]]="TPD"),Tabla1[[#This Row],[7]],"")</f>
        <v/>
      </c>
      <c r="J799" s="52">
        <f>IF(Tabla15[[#This Row],[2]]="",0,VLOOKUP(TRAMOS!$H$2,Tabla5[#All],3,FALSE)*Tabla15[[#This Row],[3]])</f>
        <v>0</v>
      </c>
      <c r="K799" s="52" t="str">
        <f>IF(Tabla1[[#This Row],[5]]="TPL",Tabla1[[#This Row],[6]],"")</f>
        <v>2"</v>
      </c>
      <c r="L799" s="52">
        <f>IF(OR(Tabla1[[#This Row],[5]]="TPL"),Tabla1[[#This Row],[7]],"")</f>
        <v>1</v>
      </c>
      <c r="M799" s="52">
        <f>IF(Tabla15[[#This Row],[5]]="",0,VLOOKUP(TRAMOS!$K$2,Tabla5[#All],3,FALSE)*Tabla15[[#This Row],[6]])</f>
        <v>0.9</v>
      </c>
      <c r="N79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79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799" s="52">
        <f>IF(Tabla15[[#This Row],[8]]="",0,VLOOKUP(TRAMOS!$H$2,Tabla5[#All],3,FALSE)*Tabla15[[#This Row],[9]])</f>
        <v>0</v>
      </c>
      <c r="Q79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79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799" s="52">
        <f>IF(Tabla15[[#This Row],[11]]="",0,VLOOKUP(TRAMOS!$Q$2,Tabla5[#All],3,FALSE)*Tabla15[[#This Row],[12]])</f>
        <v>0</v>
      </c>
      <c r="T79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79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79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79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>4"</v>
      </c>
      <c r="X799" s="52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>1</v>
      </c>
      <c r="Y79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0.68</v>
      </c>
      <c r="Z79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79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799" s="52">
        <f>IF(Tabla15[[#This Row],[20]]="",0,VLOOKUP("VRP",Tabla5[#All],3,FALSE)*Tabla15[[#This Row],[21]])</f>
        <v>0</v>
      </c>
      <c r="AC79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79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799" s="52">
        <f>IF(Tabla15[[#This Row],[23]]="",0,VLOOKUP("VC",Tabla5[#All],3,FALSE)*Tabla15[[#This Row],[24]])</f>
        <v>0</v>
      </c>
      <c r="AF79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79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799" s="52">
        <f>IF(Tabla15[[#This Row],[26]]="",0,VLOOKUP(TRAMOS!$K$2,Tabla5[#All],3,FALSE)*Tabla15[[#This Row],[27]])</f>
        <v>0</v>
      </c>
      <c r="AI79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79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79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79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79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4"</v>
      </c>
      <c r="AN799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79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1.58</v>
      </c>
    </row>
    <row r="800" spans="2:41" x14ac:dyDescent="0.25">
      <c r="B800" s="58" t="str">
        <f>Tabla1[[#This Row],[nudo inicial]]</f>
        <v>N426</v>
      </c>
      <c r="C800" s="58" t="str">
        <f>Tabla1[[#This Row],[nudo final]]</f>
        <v>TP277</v>
      </c>
      <c r="D800" s="51">
        <f>Tabla1[[#This Row],[longitud]]</f>
        <v>788.75</v>
      </c>
      <c r="E800" s="51" t="str">
        <f>Tabla1[[#This Row],[diametro]]</f>
        <v>2"</v>
      </c>
      <c r="F800" s="51" t="str">
        <f>Tabla1[[#This Row],[material]]</f>
        <v>PVC</v>
      </c>
      <c r="G80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800" s="52" t="str">
        <f>IF(Tabla1[[#This Row],[5]]="TPD",Tabla1[[#This Row],[6]],"")</f>
        <v>2"</v>
      </c>
      <c r="I800" s="52">
        <f>IF(OR(Tabla1[[#This Row],[5]]="TPD"),Tabla1[[#This Row],[7]],"")</f>
        <v>1</v>
      </c>
      <c r="J800" s="52">
        <f>IF(Tabla15[[#This Row],[2]]="",0,VLOOKUP(TRAMOS!$H$2,Tabla5[#All],3,FALSE)*Tabla15[[#This Row],[3]])</f>
        <v>0.15</v>
      </c>
      <c r="K800" s="52" t="str">
        <f>IF(Tabla1[[#This Row],[5]]="TPL",Tabla1[[#This Row],[6]],"")</f>
        <v/>
      </c>
      <c r="L800" s="52" t="str">
        <f>IF(OR(Tabla1[[#This Row],[5]]="TPL"),Tabla1[[#This Row],[7]],"")</f>
        <v/>
      </c>
      <c r="M800" s="52">
        <f>IF(Tabla15[[#This Row],[5]]="",0,VLOOKUP(TRAMOS!$K$2,Tabla5[#All],3,FALSE)*Tabla15[[#This Row],[6]])</f>
        <v>0</v>
      </c>
      <c r="N80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0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00" s="52">
        <f>IF(Tabla15[[#This Row],[8]]="",0,VLOOKUP(TRAMOS!$H$2,Tabla5[#All],3,FALSE)*Tabla15[[#This Row],[9]])</f>
        <v>0</v>
      </c>
      <c r="Q80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800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800" s="52">
        <f>IF(Tabla15[[#This Row],[11]]="",0,VLOOKUP(TRAMOS!$Q$2,Tabla5[#All],3,FALSE)*Tabla15[[#This Row],[12]])</f>
        <v>0.9</v>
      </c>
      <c r="T80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0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0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0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0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0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0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0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00" s="52">
        <f>IF(Tabla15[[#This Row],[20]]="",0,VLOOKUP("VRP",Tabla5[#All],3,FALSE)*Tabla15[[#This Row],[21]])</f>
        <v>0</v>
      </c>
      <c r="AC80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0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00" s="52">
        <f>IF(Tabla15[[#This Row],[23]]="",0,VLOOKUP("VC",Tabla5[#All],3,FALSE)*Tabla15[[#This Row],[24]])</f>
        <v>0</v>
      </c>
      <c r="AF80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0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00" s="52">
        <f>IF(Tabla15[[#This Row],[26]]="",0,VLOOKUP(TRAMOS!$K$2,Tabla5[#All],3,FALSE)*Tabla15[[#This Row],[27]])</f>
        <v>0</v>
      </c>
      <c r="AI80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0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0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0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0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800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80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801" spans="2:41" x14ac:dyDescent="0.25">
      <c r="B801" s="58" t="str">
        <f>Tabla1[[#This Row],[nudo inicial]]</f>
        <v>N417</v>
      </c>
      <c r="C801" s="58" t="str">
        <f>Tabla1[[#This Row],[nudo final]]</f>
        <v>N427</v>
      </c>
      <c r="D801" s="51">
        <f>Tabla1[[#This Row],[longitud]]</f>
        <v>22.33</v>
      </c>
      <c r="E801" s="51" t="str">
        <f>Tabla1[[#This Row],[diametro]]</f>
        <v>3"</v>
      </c>
      <c r="F801" s="51" t="str">
        <f>Tabla1[[#This Row],[material]]</f>
        <v>PVC</v>
      </c>
      <c r="G80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801" s="52" t="str">
        <f>IF(Tabla1[[#This Row],[5]]="TPD",Tabla1[[#This Row],[6]],"")</f>
        <v/>
      </c>
      <c r="I801" s="52" t="str">
        <f>IF(OR(Tabla1[[#This Row],[5]]="TPD"),Tabla1[[#This Row],[7]],"")</f>
        <v/>
      </c>
      <c r="J801" s="52">
        <f>IF(Tabla15[[#This Row],[2]]="",0,VLOOKUP(TRAMOS!$H$2,Tabla5[#All],3,FALSE)*Tabla15[[#This Row],[3]])</f>
        <v>0</v>
      </c>
      <c r="K801" s="52" t="str">
        <f>IF(Tabla1[[#This Row],[5]]="TPL",Tabla1[[#This Row],[6]],"")</f>
        <v>3"</v>
      </c>
      <c r="L801" s="52">
        <f>IF(OR(Tabla1[[#This Row],[5]]="TPL"),Tabla1[[#This Row],[7]],"")</f>
        <v>1</v>
      </c>
      <c r="M801" s="52">
        <f>IF(Tabla15[[#This Row],[5]]="",0,VLOOKUP(TRAMOS!$K$2,Tabla5[#All],3,FALSE)*Tabla15[[#This Row],[6]])</f>
        <v>0.9</v>
      </c>
      <c r="N80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0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01" s="52">
        <f>IF(Tabla15[[#This Row],[8]]="",0,VLOOKUP(TRAMOS!$H$2,Tabla5[#All],3,FALSE)*Tabla15[[#This Row],[9]])</f>
        <v>0</v>
      </c>
      <c r="Q80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0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01" s="52">
        <f>IF(Tabla15[[#This Row],[11]]="",0,VLOOKUP(TRAMOS!$Q$2,Tabla5[#All],3,FALSE)*Tabla15[[#This Row],[12]])</f>
        <v>0</v>
      </c>
      <c r="T80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0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0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0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0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0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0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0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01" s="52">
        <f>IF(Tabla15[[#This Row],[20]]="",0,VLOOKUP("VRP",Tabla5[#All],3,FALSE)*Tabla15[[#This Row],[21]])</f>
        <v>0</v>
      </c>
      <c r="AC80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0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01" s="52">
        <f>IF(Tabla15[[#This Row],[23]]="",0,VLOOKUP("VC",Tabla5[#All],3,FALSE)*Tabla15[[#This Row],[24]])</f>
        <v>0</v>
      </c>
      <c r="AF80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0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01" s="52">
        <f>IF(Tabla15[[#This Row],[26]]="",0,VLOOKUP(TRAMOS!$K$2,Tabla5[#All],3,FALSE)*Tabla15[[#This Row],[27]])</f>
        <v>0</v>
      </c>
      <c r="AI80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0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0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0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0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0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0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802" spans="2:41" x14ac:dyDescent="0.25">
      <c r="B802" s="58" t="str">
        <f>Tabla1[[#This Row],[nudo inicial]]</f>
        <v>N427</v>
      </c>
      <c r="C802" s="58" t="str">
        <f>Tabla1[[#This Row],[nudo final]]</f>
        <v>N428</v>
      </c>
      <c r="D802" s="51">
        <f>Tabla1[[#This Row],[longitud]]</f>
        <v>63.54</v>
      </c>
      <c r="E802" s="51" t="str">
        <f>Tabla1[[#This Row],[diametro]]</f>
        <v>2"</v>
      </c>
      <c r="F802" s="51" t="str">
        <f>Tabla1[[#This Row],[material]]</f>
        <v>PVC</v>
      </c>
      <c r="G80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802" s="52" t="str">
        <f>IF(Tabla1[[#This Row],[5]]="TPD",Tabla1[[#This Row],[6]],"")</f>
        <v/>
      </c>
      <c r="I802" s="52" t="str">
        <f>IF(OR(Tabla1[[#This Row],[5]]="TPD"),Tabla1[[#This Row],[7]],"")</f>
        <v/>
      </c>
      <c r="J802" s="52">
        <f>IF(Tabla15[[#This Row],[2]]="",0,VLOOKUP(TRAMOS!$H$2,Tabla5[#All],3,FALSE)*Tabla15[[#This Row],[3]])</f>
        <v>0</v>
      </c>
      <c r="K802" s="52" t="str">
        <f>IF(Tabla1[[#This Row],[5]]="TPL",Tabla1[[#This Row],[6]],"")</f>
        <v>3"</v>
      </c>
      <c r="L802" s="52">
        <f>IF(OR(Tabla1[[#This Row],[5]]="TPL"),Tabla1[[#This Row],[7]],"")</f>
        <v>1</v>
      </c>
      <c r="M802" s="52">
        <f>IF(Tabla15[[#This Row],[5]]="",0,VLOOKUP(TRAMOS!$K$2,Tabla5[#All],3,FALSE)*Tabla15[[#This Row],[6]])</f>
        <v>0.9</v>
      </c>
      <c r="N80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0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02" s="52">
        <f>IF(Tabla15[[#This Row],[8]]="",0,VLOOKUP(TRAMOS!$H$2,Tabla5[#All],3,FALSE)*Tabla15[[#This Row],[9]])</f>
        <v>0</v>
      </c>
      <c r="Q80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0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02" s="52">
        <f>IF(Tabla15[[#This Row],[11]]="",0,VLOOKUP(TRAMOS!$Q$2,Tabla5[#All],3,FALSE)*Tabla15[[#This Row],[12]])</f>
        <v>0</v>
      </c>
      <c r="T80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802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80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80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0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0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0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0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02" s="52">
        <f>IF(Tabla15[[#This Row],[20]]="",0,VLOOKUP("VRP",Tabla5[#All],3,FALSE)*Tabla15[[#This Row],[21]])</f>
        <v>0</v>
      </c>
      <c r="AC80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0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02" s="52">
        <f>IF(Tabla15[[#This Row],[23]]="",0,VLOOKUP("VC",Tabla5[#All],3,FALSE)*Tabla15[[#This Row],[24]])</f>
        <v>0</v>
      </c>
      <c r="AF80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0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02" s="52">
        <f>IF(Tabla15[[#This Row],[26]]="",0,VLOOKUP(TRAMOS!$K$2,Tabla5[#All],3,FALSE)*Tabla15[[#This Row],[27]])</f>
        <v>0</v>
      </c>
      <c r="AI80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0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0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0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0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0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0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803" spans="2:41" x14ac:dyDescent="0.25">
      <c r="B803" s="58" t="str">
        <f>Tabla1[[#This Row],[nudo inicial]]</f>
        <v>N428</v>
      </c>
      <c r="C803" s="58" t="str">
        <f>Tabla1[[#This Row],[nudo final]]</f>
        <v>TP278</v>
      </c>
      <c r="D803" s="51">
        <f>Tabla1[[#This Row],[longitud]]</f>
        <v>14.03</v>
      </c>
      <c r="E803" s="51" t="str">
        <f>Tabla1[[#This Row],[diametro]]</f>
        <v>2"</v>
      </c>
      <c r="F803" s="51" t="str">
        <f>Tabla1[[#This Row],[material]]</f>
        <v>PVC</v>
      </c>
      <c r="G80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803" s="52" t="str">
        <f>IF(Tabla1[[#This Row],[5]]="TPD",Tabla1[[#This Row],[6]],"")</f>
        <v>2"</v>
      </c>
      <c r="I803" s="52">
        <f>IF(OR(Tabla1[[#This Row],[5]]="TPD"),Tabla1[[#This Row],[7]],"")</f>
        <v>1</v>
      </c>
      <c r="J803" s="52">
        <f>IF(Tabla15[[#This Row],[2]]="",0,VLOOKUP(TRAMOS!$H$2,Tabla5[#All],3,FALSE)*Tabla15[[#This Row],[3]])</f>
        <v>0.15</v>
      </c>
      <c r="K803" s="52" t="str">
        <f>IF(Tabla1[[#This Row],[5]]="TPL",Tabla1[[#This Row],[6]],"")</f>
        <v/>
      </c>
      <c r="L803" s="52" t="str">
        <f>IF(OR(Tabla1[[#This Row],[5]]="TPL"),Tabla1[[#This Row],[7]],"")</f>
        <v/>
      </c>
      <c r="M803" s="52">
        <f>IF(Tabla15[[#This Row],[5]]="",0,VLOOKUP(TRAMOS!$K$2,Tabla5[#All],3,FALSE)*Tabla15[[#This Row],[6]])</f>
        <v>0</v>
      </c>
      <c r="N80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0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03" s="52">
        <f>IF(Tabla15[[#This Row],[8]]="",0,VLOOKUP(TRAMOS!$H$2,Tabla5[#All],3,FALSE)*Tabla15[[#This Row],[9]])</f>
        <v>0</v>
      </c>
      <c r="Q80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0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03" s="52">
        <f>IF(Tabla15[[#This Row],[11]]="",0,VLOOKUP(TRAMOS!$Q$2,Tabla5[#All],3,FALSE)*Tabla15[[#This Row],[12]])</f>
        <v>0</v>
      </c>
      <c r="T80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0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0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0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0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0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0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0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03" s="52">
        <f>IF(Tabla15[[#This Row],[20]]="",0,VLOOKUP("VRP",Tabla5[#All],3,FALSE)*Tabla15[[#This Row],[21]])</f>
        <v>0</v>
      </c>
      <c r="AC80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0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03" s="52">
        <f>IF(Tabla15[[#This Row],[23]]="",0,VLOOKUP("VC",Tabla5[#All],3,FALSE)*Tabla15[[#This Row],[24]])</f>
        <v>0</v>
      </c>
      <c r="AF80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0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03" s="52">
        <f>IF(Tabla15[[#This Row],[26]]="",0,VLOOKUP(TRAMOS!$K$2,Tabla5[#All],3,FALSE)*Tabla15[[#This Row],[27]])</f>
        <v>0</v>
      </c>
      <c r="AI80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0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0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0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0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803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80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804" spans="2:41" x14ac:dyDescent="0.25">
      <c r="B804" s="58" t="str">
        <f>Tabla1[[#This Row],[nudo inicial]]</f>
        <v>N428</v>
      </c>
      <c r="C804" s="58" t="str">
        <f>Tabla1[[#This Row],[nudo final]]</f>
        <v>TP279</v>
      </c>
      <c r="D804" s="51">
        <f>Tabla1[[#This Row],[longitud]]</f>
        <v>83.56</v>
      </c>
      <c r="E804" s="51" t="str">
        <f>Tabla1[[#This Row],[diametro]]</f>
        <v>2"</v>
      </c>
      <c r="F804" s="51" t="str">
        <f>Tabla1[[#This Row],[material]]</f>
        <v>PVC</v>
      </c>
      <c r="G80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804" s="52" t="str">
        <f>IF(Tabla1[[#This Row],[5]]="TPD",Tabla1[[#This Row],[6]],"")</f>
        <v/>
      </c>
      <c r="I804" s="52" t="str">
        <f>IF(OR(Tabla1[[#This Row],[5]]="TPD"),Tabla1[[#This Row],[7]],"")</f>
        <v/>
      </c>
      <c r="J804" s="52">
        <f>IF(Tabla15[[#This Row],[2]]="",0,VLOOKUP(TRAMOS!$H$2,Tabla5[#All],3,FALSE)*Tabla15[[#This Row],[3]])</f>
        <v>0</v>
      </c>
      <c r="K804" s="52" t="str">
        <f>IF(Tabla1[[#This Row],[5]]="TPL",Tabla1[[#This Row],[6]],"")</f>
        <v>2"</v>
      </c>
      <c r="L804" s="52">
        <f>IF(OR(Tabla1[[#This Row],[5]]="TPL"),Tabla1[[#This Row],[7]],"")</f>
        <v>1</v>
      </c>
      <c r="M804" s="52">
        <f>IF(Tabla15[[#This Row],[5]]="",0,VLOOKUP(TRAMOS!$K$2,Tabla5[#All],3,FALSE)*Tabla15[[#This Row],[6]])</f>
        <v>0.9</v>
      </c>
      <c r="N80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0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04" s="52">
        <f>IF(Tabla15[[#This Row],[8]]="",0,VLOOKUP(TRAMOS!$H$2,Tabla5[#All],3,FALSE)*Tabla15[[#This Row],[9]])</f>
        <v>0</v>
      </c>
      <c r="Q80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804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804" s="52">
        <f>IF(Tabla15[[#This Row],[11]]="",0,VLOOKUP(TRAMOS!$Q$2,Tabla5[#All],3,FALSE)*Tabla15[[#This Row],[12]])</f>
        <v>0.9</v>
      </c>
      <c r="T80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0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0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0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0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0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0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0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04" s="52">
        <f>IF(Tabla15[[#This Row],[20]]="",0,VLOOKUP("VRP",Tabla5[#All],3,FALSE)*Tabla15[[#This Row],[21]])</f>
        <v>0</v>
      </c>
      <c r="AC80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0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04" s="52">
        <f>IF(Tabla15[[#This Row],[23]]="",0,VLOOKUP("VC",Tabla5[#All],3,FALSE)*Tabla15[[#This Row],[24]])</f>
        <v>0</v>
      </c>
      <c r="AF80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0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04" s="52">
        <f>IF(Tabla15[[#This Row],[26]]="",0,VLOOKUP(TRAMOS!$K$2,Tabla5[#All],3,FALSE)*Tabla15[[#This Row],[27]])</f>
        <v>0</v>
      </c>
      <c r="AI80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0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0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0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0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804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80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1.8</v>
      </c>
    </row>
    <row r="805" spans="2:41" x14ac:dyDescent="0.25">
      <c r="B805" s="58" t="str">
        <f>Tabla1[[#This Row],[nudo inicial]]</f>
        <v>N427</v>
      </c>
      <c r="C805" s="58" t="str">
        <f>Tabla1[[#This Row],[nudo final]]</f>
        <v>N429</v>
      </c>
      <c r="D805" s="51">
        <f>Tabla1[[#This Row],[longitud]]</f>
        <v>34.729999999999997</v>
      </c>
      <c r="E805" s="51" t="str">
        <f>Tabla1[[#This Row],[diametro]]</f>
        <v>3"</v>
      </c>
      <c r="F805" s="51" t="str">
        <f>Tabla1[[#This Row],[material]]</f>
        <v>PVC</v>
      </c>
      <c r="G80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805" s="52" t="str">
        <f>IF(Tabla1[[#This Row],[5]]="TPD",Tabla1[[#This Row],[6]],"")</f>
        <v>3"</v>
      </c>
      <c r="I805" s="52">
        <f>IF(OR(Tabla1[[#This Row],[5]]="TPD"),Tabla1[[#This Row],[7]],"")</f>
        <v>1</v>
      </c>
      <c r="J805" s="52">
        <f>IF(Tabla15[[#This Row],[2]]="",0,VLOOKUP(TRAMOS!$H$2,Tabla5[#All],3,FALSE)*Tabla15[[#This Row],[3]])</f>
        <v>0.15</v>
      </c>
      <c r="K805" s="52" t="str">
        <f>IF(Tabla1[[#This Row],[5]]="TPL",Tabla1[[#This Row],[6]],"")</f>
        <v/>
      </c>
      <c r="L805" s="52" t="str">
        <f>IF(OR(Tabla1[[#This Row],[5]]="TPL"),Tabla1[[#This Row],[7]],"")</f>
        <v/>
      </c>
      <c r="M805" s="52">
        <f>IF(Tabla15[[#This Row],[5]]="",0,VLOOKUP(TRAMOS!$K$2,Tabla5[#All],3,FALSE)*Tabla15[[#This Row],[6]])</f>
        <v>0</v>
      </c>
      <c r="N80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0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05" s="52">
        <f>IF(Tabla15[[#This Row],[8]]="",0,VLOOKUP(TRAMOS!$H$2,Tabla5[#All],3,FALSE)*Tabla15[[#This Row],[9]])</f>
        <v>0</v>
      </c>
      <c r="Q80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0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05" s="52">
        <f>IF(Tabla15[[#This Row],[11]]="",0,VLOOKUP(TRAMOS!$Q$2,Tabla5[#All],3,FALSE)*Tabla15[[#This Row],[12]])</f>
        <v>0</v>
      </c>
      <c r="T80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0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0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0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0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0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0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0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05" s="52">
        <f>IF(Tabla15[[#This Row],[20]]="",0,VLOOKUP("VRP",Tabla5[#All],3,FALSE)*Tabla15[[#This Row],[21]])</f>
        <v>0</v>
      </c>
      <c r="AC80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0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05" s="52">
        <f>IF(Tabla15[[#This Row],[23]]="",0,VLOOKUP("VC",Tabla5[#All],3,FALSE)*Tabla15[[#This Row],[24]])</f>
        <v>0</v>
      </c>
      <c r="AF80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0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05" s="52">
        <f>IF(Tabla15[[#This Row],[26]]="",0,VLOOKUP(TRAMOS!$K$2,Tabla5[#All],3,FALSE)*Tabla15[[#This Row],[27]])</f>
        <v>0</v>
      </c>
      <c r="AI80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0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0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0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0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0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0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806" spans="2:41" x14ac:dyDescent="0.25">
      <c r="B806" s="58" t="str">
        <f>Tabla1[[#This Row],[nudo inicial]]</f>
        <v>N429</v>
      </c>
      <c r="C806" s="58" t="str">
        <f>Tabla1[[#This Row],[nudo final]]</f>
        <v>N430</v>
      </c>
      <c r="D806" s="51">
        <f>Tabla1[[#This Row],[longitud]]</f>
        <v>54.8</v>
      </c>
      <c r="E806" s="51" t="str">
        <f>Tabla1[[#This Row],[diametro]]</f>
        <v>2"</v>
      </c>
      <c r="F806" s="51" t="str">
        <f>Tabla1[[#This Row],[material]]</f>
        <v>PVC</v>
      </c>
      <c r="G80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806" s="52" t="str">
        <f>IF(Tabla1[[#This Row],[5]]="TPD",Tabla1[[#This Row],[6]],"")</f>
        <v/>
      </c>
      <c r="I806" s="52" t="str">
        <f>IF(OR(Tabla1[[#This Row],[5]]="TPD"),Tabla1[[#This Row],[7]],"")</f>
        <v/>
      </c>
      <c r="J806" s="52">
        <f>IF(Tabla15[[#This Row],[2]]="",0,VLOOKUP(TRAMOS!$H$2,Tabla5[#All],3,FALSE)*Tabla15[[#This Row],[3]])</f>
        <v>0</v>
      </c>
      <c r="K806" s="52" t="str">
        <f>IF(Tabla1[[#This Row],[5]]="TPL",Tabla1[[#This Row],[6]],"")</f>
        <v>3"</v>
      </c>
      <c r="L806" s="52">
        <f>IF(OR(Tabla1[[#This Row],[5]]="TPL"),Tabla1[[#This Row],[7]],"")</f>
        <v>1</v>
      </c>
      <c r="M806" s="52">
        <f>IF(Tabla15[[#This Row],[5]]="",0,VLOOKUP(TRAMOS!$K$2,Tabla5[#All],3,FALSE)*Tabla15[[#This Row],[6]])</f>
        <v>0.9</v>
      </c>
      <c r="N80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0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06" s="52">
        <f>IF(Tabla15[[#This Row],[8]]="",0,VLOOKUP(TRAMOS!$H$2,Tabla5[#All],3,FALSE)*Tabla15[[#This Row],[9]])</f>
        <v>0</v>
      </c>
      <c r="Q80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0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06" s="52">
        <f>IF(Tabla15[[#This Row],[11]]="",0,VLOOKUP(TRAMOS!$Q$2,Tabla5[#All],3,FALSE)*Tabla15[[#This Row],[12]])</f>
        <v>0</v>
      </c>
      <c r="T80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806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80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80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0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0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0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0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06" s="52">
        <f>IF(Tabla15[[#This Row],[20]]="",0,VLOOKUP("VRP",Tabla5[#All],3,FALSE)*Tabla15[[#This Row],[21]])</f>
        <v>0</v>
      </c>
      <c r="AC80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0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06" s="52">
        <f>IF(Tabla15[[#This Row],[23]]="",0,VLOOKUP("VC",Tabla5[#All],3,FALSE)*Tabla15[[#This Row],[24]])</f>
        <v>0</v>
      </c>
      <c r="AF80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0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06" s="52">
        <f>IF(Tabla15[[#This Row],[26]]="",0,VLOOKUP(TRAMOS!$K$2,Tabla5[#All],3,FALSE)*Tabla15[[#This Row],[27]])</f>
        <v>0</v>
      </c>
      <c r="AI80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0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0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0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0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0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0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807" spans="2:41" x14ac:dyDescent="0.25">
      <c r="B807" s="58" t="str">
        <f>Tabla1[[#This Row],[nudo inicial]]</f>
        <v>N430</v>
      </c>
      <c r="C807" s="58" t="str">
        <f>Tabla1[[#This Row],[nudo final]]</f>
        <v>TP280</v>
      </c>
      <c r="D807" s="51">
        <f>Tabla1[[#This Row],[longitud]]</f>
        <v>32.159999999999997</v>
      </c>
      <c r="E807" s="51" t="str">
        <f>Tabla1[[#This Row],[diametro]]</f>
        <v>2"</v>
      </c>
      <c r="F807" s="51" t="str">
        <f>Tabla1[[#This Row],[material]]</f>
        <v>PVC</v>
      </c>
      <c r="G80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807" s="52" t="str">
        <f>IF(Tabla1[[#This Row],[5]]="TPD",Tabla1[[#This Row],[6]],"")</f>
        <v>2"</v>
      </c>
      <c r="I807" s="52">
        <f>IF(OR(Tabla1[[#This Row],[5]]="TPD"),Tabla1[[#This Row],[7]],"")</f>
        <v>1</v>
      </c>
      <c r="J807" s="52">
        <f>IF(Tabla15[[#This Row],[2]]="",0,VLOOKUP(TRAMOS!$H$2,Tabla5[#All],3,FALSE)*Tabla15[[#This Row],[3]])</f>
        <v>0.15</v>
      </c>
      <c r="K807" s="52" t="str">
        <f>IF(Tabla1[[#This Row],[5]]="TPL",Tabla1[[#This Row],[6]],"")</f>
        <v/>
      </c>
      <c r="L807" s="52" t="str">
        <f>IF(OR(Tabla1[[#This Row],[5]]="TPL"),Tabla1[[#This Row],[7]],"")</f>
        <v/>
      </c>
      <c r="M807" s="52">
        <f>IF(Tabla15[[#This Row],[5]]="",0,VLOOKUP(TRAMOS!$K$2,Tabla5[#All],3,FALSE)*Tabla15[[#This Row],[6]])</f>
        <v>0</v>
      </c>
      <c r="N80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0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07" s="52">
        <f>IF(Tabla15[[#This Row],[8]]="",0,VLOOKUP(TRAMOS!$H$2,Tabla5[#All],3,FALSE)*Tabla15[[#This Row],[9]])</f>
        <v>0</v>
      </c>
      <c r="Q80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0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07" s="52">
        <f>IF(Tabla15[[#This Row],[11]]="",0,VLOOKUP(TRAMOS!$Q$2,Tabla5[#All],3,FALSE)*Tabla15[[#This Row],[12]])</f>
        <v>0</v>
      </c>
      <c r="T80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0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0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0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0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0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0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0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07" s="52">
        <f>IF(Tabla15[[#This Row],[20]]="",0,VLOOKUP("VRP",Tabla5[#All],3,FALSE)*Tabla15[[#This Row],[21]])</f>
        <v>0</v>
      </c>
      <c r="AC80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0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07" s="52">
        <f>IF(Tabla15[[#This Row],[23]]="",0,VLOOKUP("VC",Tabla5[#All],3,FALSE)*Tabla15[[#This Row],[24]])</f>
        <v>0</v>
      </c>
      <c r="AF80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0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07" s="52">
        <f>IF(Tabla15[[#This Row],[26]]="",0,VLOOKUP(TRAMOS!$K$2,Tabla5[#All],3,FALSE)*Tabla15[[#This Row],[27]])</f>
        <v>0</v>
      </c>
      <c r="AI80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0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0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0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0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807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80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808" spans="2:41" x14ac:dyDescent="0.25">
      <c r="B808" s="58" t="str">
        <f>Tabla1[[#This Row],[nudo inicial]]</f>
        <v>N208</v>
      </c>
      <c r="C808" s="58" t="str">
        <f>Tabla1[[#This Row],[nudo final]]</f>
        <v>N431</v>
      </c>
      <c r="D808" s="51">
        <f>Tabla1[[#This Row],[longitud]]</f>
        <v>63.49</v>
      </c>
      <c r="E808" s="51" t="str">
        <f>Tabla1[[#This Row],[diametro]]</f>
        <v>3"</v>
      </c>
      <c r="F808" s="51" t="str">
        <f>Tabla1[[#This Row],[material]]</f>
        <v>PVC</v>
      </c>
      <c r="G80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808" s="52" t="str">
        <f>IF(Tabla1[[#This Row],[5]]="TPD",Tabla1[[#This Row],[6]],"")</f>
        <v>3"</v>
      </c>
      <c r="I808" s="52">
        <f>IF(OR(Tabla1[[#This Row],[5]]="TPD"),Tabla1[[#This Row],[7]],"")</f>
        <v>1</v>
      </c>
      <c r="J808" s="52">
        <f>IF(Tabla15[[#This Row],[2]]="",0,VLOOKUP(TRAMOS!$H$2,Tabla5[#All],3,FALSE)*Tabla15[[#This Row],[3]])</f>
        <v>0.15</v>
      </c>
      <c r="K808" s="52" t="str">
        <f>IF(Tabla1[[#This Row],[5]]="TPL",Tabla1[[#This Row],[6]],"")</f>
        <v/>
      </c>
      <c r="L808" s="52" t="str">
        <f>IF(OR(Tabla1[[#This Row],[5]]="TPL"),Tabla1[[#This Row],[7]],"")</f>
        <v/>
      </c>
      <c r="M808" s="52">
        <f>IF(Tabla15[[#This Row],[5]]="",0,VLOOKUP(TRAMOS!$K$2,Tabla5[#All],3,FALSE)*Tabla15[[#This Row],[6]])</f>
        <v>0</v>
      </c>
      <c r="N80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0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08" s="52">
        <f>IF(Tabla15[[#This Row],[8]]="",0,VLOOKUP(TRAMOS!$H$2,Tabla5[#All],3,FALSE)*Tabla15[[#This Row],[9]])</f>
        <v>0</v>
      </c>
      <c r="Q80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0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08" s="52">
        <f>IF(Tabla15[[#This Row],[11]]="",0,VLOOKUP(TRAMOS!$Q$2,Tabla5[#All],3,FALSE)*Tabla15[[#This Row],[12]])</f>
        <v>0</v>
      </c>
      <c r="T80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0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0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0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0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0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0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0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08" s="52">
        <f>IF(Tabla15[[#This Row],[20]]="",0,VLOOKUP("VRP",Tabla5[#All],3,FALSE)*Tabla15[[#This Row],[21]])</f>
        <v>0</v>
      </c>
      <c r="AC80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808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808" s="52">
        <f>IF(Tabla15[[#This Row],[23]]="",0,VLOOKUP("VC",Tabla5[#All],3,FALSE)*Tabla15[[#This Row],[24]])</f>
        <v>0.25</v>
      </c>
      <c r="AF80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0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08" s="52">
        <f>IF(Tabla15[[#This Row],[26]]="",0,VLOOKUP(TRAMOS!$K$2,Tabla5[#All],3,FALSE)*Tabla15[[#This Row],[27]])</f>
        <v>0</v>
      </c>
      <c r="AI80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0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0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0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0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0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0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0.4</v>
      </c>
    </row>
    <row r="809" spans="2:41" x14ac:dyDescent="0.25">
      <c r="B809" s="58" t="str">
        <f>Tabla1[[#This Row],[nudo inicial]]</f>
        <v>N429</v>
      </c>
      <c r="C809" s="58" t="str">
        <f>Tabla1[[#This Row],[nudo final]]</f>
        <v>N431</v>
      </c>
      <c r="D809" s="51">
        <f>Tabla1[[#This Row],[longitud]]</f>
        <v>62.43</v>
      </c>
      <c r="E809" s="51" t="str">
        <f>Tabla1[[#This Row],[diametro]]</f>
        <v>3"</v>
      </c>
      <c r="F809" s="51" t="str">
        <f>Tabla1[[#This Row],[material]]</f>
        <v>PVC</v>
      </c>
      <c r="G80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809" s="52" t="str">
        <f>IF(Tabla1[[#This Row],[5]]="TPD",Tabla1[[#This Row],[6]],"")</f>
        <v>3"</v>
      </c>
      <c r="I809" s="52">
        <f>IF(OR(Tabla1[[#This Row],[5]]="TPD"),Tabla1[[#This Row],[7]],"")</f>
        <v>1</v>
      </c>
      <c r="J809" s="52">
        <f>IF(Tabla15[[#This Row],[2]]="",0,VLOOKUP(TRAMOS!$H$2,Tabla5[#All],3,FALSE)*Tabla15[[#This Row],[3]])</f>
        <v>0.15</v>
      </c>
      <c r="K809" s="52" t="str">
        <f>IF(Tabla1[[#This Row],[5]]="TPL",Tabla1[[#This Row],[6]],"")</f>
        <v/>
      </c>
      <c r="L809" s="52" t="str">
        <f>IF(OR(Tabla1[[#This Row],[5]]="TPL"),Tabla1[[#This Row],[7]],"")</f>
        <v/>
      </c>
      <c r="M809" s="52">
        <f>IF(Tabla15[[#This Row],[5]]="",0,VLOOKUP(TRAMOS!$K$2,Tabla5[#All],3,FALSE)*Tabla15[[#This Row],[6]])</f>
        <v>0</v>
      </c>
      <c r="N80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0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09" s="52">
        <f>IF(Tabla15[[#This Row],[8]]="",0,VLOOKUP(TRAMOS!$H$2,Tabla5[#All],3,FALSE)*Tabla15[[#This Row],[9]])</f>
        <v>0</v>
      </c>
      <c r="Q80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0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09" s="52">
        <f>IF(Tabla15[[#This Row],[11]]="",0,VLOOKUP(TRAMOS!$Q$2,Tabla5[#All],3,FALSE)*Tabla15[[#This Row],[12]])</f>
        <v>0</v>
      </c>
      <c r="T80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0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0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0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0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0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0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0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09" s="52">
        <f>IF(Tabla15[[#This Row],[20]]="",0,VLOOKUP("VRP",Tabla5[#All],3,FALSE)*Tabla15[[#This Row],[21]])</f>
        <v>0</v>
      </c>
      <c r="AC80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0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09" s="52">
        <f>IF(Tabla15[[#This Row],[23]]="",0,VLOOKUP("VC",Tabla5[#All],3,FALSE)*Tabla15[[#This Row],[24]])</f>
        <v>0</v>
      </c>
      <c r="AF80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0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09" s="52">
        <f>IF(Tabla15[[#This Row],[26]]="",0,VLOOKUP(TRAMOS!$K$2,Tabla5[#All],3,FALSE)*Tabla15[[#This Row],[27]])</f>
        <v>0</v>
      </c>
      <c r="AI80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0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0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0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0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0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0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810" spans="2:41" x14ac:dyDescent="0.25">
      <c r="B810" s="58" t="str">
        <f>Tabla1[[#This Row],[nudo inicial]]</f>
        <v>N431</v>
      </c>
      <c r="C810" s="58" t="str">
        <f>Tabla1[[#This Row],[nudo final]]</f>
        <v>N432</v>
      </c>
      <c r="D810" s="51">
        <f>Tabla1[[#This Row],[longitud]]</f>
        <v>40.39</v>
      </c>
      <c r="E810" s="51" t="str">
        <f>Tabla1[[#This Row],[diametro]]</f>
        <v>3"</v>
      </c>
      <c r="F810" s="51" t="str">
        <f>Tabla1[[#This Row],[material]]</f>
        <v>PVC</v>
      </c>
      <c r="G81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810" s="52" t="str">
        <f>IF(Tabla1[[#This Row],[5]]="TPD",Tabla1[[#This Row],[6]],"")</f>
        <v>3"</v>
      </c>
      <c r="I810" s="52">
        <f>IF(OR(Tabla1[[#This Row],[5]]="TPD"),Tabla1[[#This Row],[7]],"")</f>
        <v>1</v>
      </c>
      <c r="J810" s="52">
        <f>IF(Tabla15[[#This Row],[2]]="",0,VLOOKUP(TRAMOS!$H$2,Tabla5[#All],3,FALSE)*Tabla15[[#This Row],[3]])</f>
        <v>0.15</v>
      </c>
      <c r="K810" s="52" t="str">
        <f>IF(Tabla1[[#This Row],[5]]="TPL",Tabla1[[#This Row],[6]],"")</f>
        <v/>
      </c>
      <c r="L810" s="52" t="str">
        <f>IF(OR(Tabla1[[#This Row],[5]]="TPL"),Tabla1[[#This Row],[7]],"")</f>
        <v/>
      </c>
      <c r="M810" s="52">
        <f>IF(Tabla15[[#This Row],[5]]="",0,VLOOKUP(TRAMOS!$K$2,Tabla5[#All],3,FALSE)*Tabla15[[#This Row],[6]])</f>
        <v>0</v>
      </c>
      <c r="N81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1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10" s="52">
        <f>IF(Tabla15[[#This Row],[8]]="",0,VLOOKUP(TRAMOS!$H$2,Tabla5[#All],3,FALSE)*Tabla15[[#This Row],[9]])</f>
        <v>0</v>
      </c>
      <c r="Q81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1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10" s="52">
        <f>IF(Tabla15[[#This Row],[11]]="",0,VLOOKUP(TRAMOS!$Q$2,Tabla5[#All],3,FALSE)*Tabla15[[#This Row],[12]])</f>
        <v>0</v>
      </c>
      <c r="T81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1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1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1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1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1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1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1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10" s="52">
        <f>IF(Tabla15[[#This Row],[20]]="",0,VLOOKUP("VRP",Tabla5[#All],3,FALSE)*Tabla15[[#This Row],[21]])</f>
        <v>0</v>
      </c>
      <c r="AC81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1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10" s="52">
        <f>IF(Tabla15[[#This Row],[23]]="",0,VLOOKUP("VC",Tabla5[#All],3,FALSE)*Tabla15[[#This Row],[24]])</f>
        <v>0</v>
      </c>
      <c r="AF81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1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10" s="52">
        <f>IF(Tabla15[[#This Row],[26]]="",0,VLOOKUP(TRAMOS!$K$2,Tabla5[#All],3,FALSE)*Tabla15[[#This Row],[27]])</f>
        <v>0</v>
      </c>
      <c r="AI81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1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1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1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1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1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1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811" spans="2:41" x14ac:dyDescent="0.25">
      <c r="B811" s="58" t="str">
        <f>Tabla1[[#This Row],[nudo inicial]]</f>
        <v>N430</v>
      </c>
      <c r="C811" s="58" t="str">
        <f>Tabla1[[#This Row],[nudo final]]</f>
        <v>N432</v>
      </c>
      <c r="D811" s="51">
        <f>Tabla1[[#This Row],[longitud]]</f>
        <v>76.489999999999995</v>
      </c>
      <c r="E811" s="51" t="str">
        <f>Tabla1[[#This Row],[diametro]]</f>
        <v>2"</v>
      </c>
      <c r="F811" s="51" t="str">
        <f>Tabla1[[#This Row],[material]]</f>
        <v>PVC</v>
      </c>
      <c r="G81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811" s="52" t="str">
        <f>IF(Tabla1[[#This Row],[5]]="TPD",Tabla1[[#This Row],[6]],"")</f>
        <v/>
      </c>
      <c r="I811" s="52" t="str">
        <f>IF(OR(Tabla1[[#This Row],[5]]="TPD"),Tabla1[[#This Row],[7]],"")</f>
        <v/>
      </c>
      <c r="J811" s="52">
        <f>IF(Tabla15[[#This Row],[2]]="",0,VLOOKUP(TRAMOS!$H$2,Tabla5[#All],3,FALSE)*Tabla15[[#This Row],[3]])</f>
        <v>0</v>
      </c>
      <c r="K811" s="52" t="str">
        <f>IF(Tabla1[[#This Row],[5]]="TPL",Tabla1[[#This Row],[6]],"")</f>
        <v>2"</v>
      </c>
      <c r="L811" s="52">
        <f>IF(OR(Tabla1[[#This Row],[5]]="TPL"),Tabla1[[#This Row],[7]],"")</f>
        <v>1</v>
      </c>
      <c r="M811" s="52">
        <f>IF(Tabla15[[#This Row],[5]]="",0,VLOOKUP(TRAMOS!$K$2,Tabla5[#All],3,FALSE)*Tabla15[[#This Row],[6]])</f>
        <v>0.9</v>
      </c>
      <c r="N81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1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11" s="52">
        <f>IF(Tabla15[[#This Row],[8]]="",0,VLOOKUP(TRAMOS!$H$2,Tabla5[#All],3,FALSE)*Tabla15[[#This Row],[9]])</f>
        <v>0</v>
      </c>
      <c r="Q81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1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11" s="52">
        <f>IF(Tabla15[[#This Row],[11]]="",0,VLOOKUP(TRAMOS!$Q$2,Tabla5[#All],3,FALSE)*Tabla15[[#This Row],[12]])</f>
        <v>0</v>
      </c>
      <c r="T81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1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1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1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1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1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1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1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11" s="52">
        <f>IF(Tabla15[[#This Row],[20]]="",0,VLOOKUP("VRP",Tabla5[#All],3,FALSE)*Tabla15[[#This Row],[21]])</f>
        <v>0</v>
      </c>
      <c r="AC81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1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11" s="52">
        <f>IF(Tabla15[[#This Row],[23]]="",0,VLOOKUP("VC",Tabla5[#All],3,FALSE)*Tabla15[[#This Row],[24]])</f>
        <v>0</v>
      </c>
      <c r="AF81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1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11" s="52">
        <f>IF(Tabla15[[#This Row],[26]]="",0,VLOOKUP(TRAMOS!$K$2,Tabla5[#All],3,FALSE)*Tabla15[[#This Row],[27]])</f>
        <v>0</v>
      </c>
      <c r="AI81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1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1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1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1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1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1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812" spans="2:41" x14ac:dyDescent="0.25">
      <c r="B812" s="58" t="str">
        <f>Tabla1[[#This Row],[nudo inicial]]</f>
        <v>N432</v>
      </c>
      <c r="C812" s="58" t="str">
        <f>Tabla1[[#This Row],[nudo final]]</f>
        <v>TP281</v>
      </c>
      <c r="D812" s="51">
        <f>Tabla1[[#This Row],[longitud]]</f>
        <v>21.01</v>
      </c>
      <c r="E812" s="51" t="str">
        <f>Tabla1[[#This Row],[diametro]]</f>
        <v>3"</v>
      </c>
      <c r="F812" s="51" t="str">
        <f>Tabla1[[#This Row],[material]]</f>
        <v>PVC</v>
      </c>
      <c r="G81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812" s="52" t="str">
        <f>IF(Tabla1[[#This Row],[5]]="TPD",Tabla1[[#This Row],[6]],"")</f>
        <v>3"</v>
      </c>
      <c r="I812" s="52">
        <f>IF(OR(Tabla1[[#This Row],[5]]="TPD"),Tabla1[[#This Row],[7]],"")</f>
        <v>1</v>
      </c>
      <c r="J812" s="52">
        <f>IF(Tabla15[[#This Row],[2]]="",0,VLOOKUP(TRAMOS!$H$2,Tabla5[#All],3,FALSE)*Tabla15[[#This Row],[3]])</f>
        <v>0.15</v>
      </c>
      <c r="K812" s="52" t="str">
        <f>IF(Tabla1[[#This Row],[5]]="TPL",Tabla1[[#This Row],[6]],"")</f>
        <v/>
      </c>
      <c r="L812" s="52" t="str">
        <f>IF(OR(Tabla1[[#This Row],[5]]="TPL"),Tabla1[[#This Row],[7]],"")</f>
        <v/>
      </c>
      <c r="M812" s="52">
        <f>IF(Tabla15[[#This Row],[5]]="",0,VLOOKUP(TRAMOS!$K$2,Tabla5[#All],3,FALSE)*Tabla15[[#This Row],[6]])</f>
        <v>0</v>
      </c>
      <c r="N81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1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12" s="52">
        <f>IF(Tabla15[[#This Row],[8]]="",0,VLOOKUP(TRAMOS!$H$2,Tabla5[#All],3,FALSE)*Tabla15[[#This Row],[9]])</f>
        <v>0</v>
      </c>
      <c r="Q81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1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12" s="52">
        <f>IF(Tabla15[[#This Row],[11]]="",0,VLOOKUP(TRAMOS!$Q$2,Tabla5[#All],3,FALSE)*Tabla15[[#This Row],[12]])</f>
        <v>0</v>
      </c>
      <c r="T81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1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1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1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1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1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1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1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12" s="52">
        <f>IF(Tabla15[[#This Row],[20]]="",0,VLOOKUP("VRP",Tabla5[#All],3,FALSE)*Tabla15[[#This Row],[21]])</f>
        <v>0</v>
      </c>
      <c r="AC81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1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12" s="52">
        <f>IF(Tabla15[[#This Row],[23]]="",0,VLOOKUP("VC",Tabla5[#All],3,FALSE)*Tabla15[[#This Row],[24]])</f>
        <v>0</v>
      </c>
      <c r="AF81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1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12" s="52">
        <f>IF(Tabla15[[#This Row],[26]]="",0,VLOOKUP(TRAMOS!$K$2,Tabla5[#All],3,FALSE)*Tabla15[[#This Row],[27]])</f>
        <v>0</v>
      </c>
      <c r="AI81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1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1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1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1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812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81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813" spans="2:41" x14ac:dyDescent="0.25">
      <c r="B813" s="58" t="str">
        <f>Tabla1[[#This Row],[nudo inicial]]</f>
        <v>N342</v>
      </c>
      <c r="C813" s="58" t="str">
        <f>Tabla1[[#This Row],[nudo final]]</f>
        <v>N433</v>
      </c>
      <c r="D813" s="51">
        <f>Tabla1[[#This Row],[longitud]]</f>
        <v>301.77</v>
      </c>
      <c r="E813" s="51" t="str">
        <f>Tabla1[[#This Row],[diametro]]</f>
        <v>6"</v>
      </c>
      <c r="F813" s="51" t="str">
        <f>Tabla1[[#This Row],[material]]</f>
        <v>PVC</v>
      </c>
      <c r="G81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813" s="52" t="str">
        <f>IF(Tabla1[[#This Row],[5]]="TPD",Tabla1[[#This Row],[6]],"")</f>
        <v/>
      </c>
      <c r="I813" s="52" t="str">
        <f>IF(OR(Tabla1[[#This Row],[5]]="TPD"),Tabla1[[#This Row],[7]],"")</f>
        <v/>
      </c>
      <c r="J813" s="52">
        <f>IF(Tabla15[[#This Row],[2]]="",0,VLOOKUP(TRAMOS!$H$2,Tabla5[#All],3,FALSE)*Tabla15[[#This Row],[3]])</f>
        <v>0</v>
      </c>
      <c r="K813" s="52" t="str">
        <f>IF(Tabla1[[#This Row],[5]]="TPL",Tabla1[[#This Row],[6]],"")</f>
        <v>6"</v>
      </c>
      <c r="L813" s="52">
        <f>IF(OR(Tabla1[[#This Row],[5]]="TPL"),Tabla1[[#This Row],[7]],"")</f>
        <v>1</v>
      </c>
      <c r="M813" s="52">
        <f>IF(Tabla15[[#This Row],[5]]="",0,VLOOKUP(TRAMOS!$K$2,Tabla5[#All],3,FALSE)*Tabla15[[#This Row],[6]])</f>
        <v>0.9</v>
      </c>
      <c r="N81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1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13" s="52">
        <f>IF(Tabla15[[#This Row],[8]]="",0,VLOOKUP(TRAMOS!$H$2,Tabla5[#All],3,FALSE)*Tabla15[[#This Row],[9]])</f>
        <v>0</v>
      </c>
      <c r="Q81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6"</v>
      </c>
      <c r="R813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3</v>
      </c>
      <c r="S813" s="52">
        <f>IF(Tabla15[[#This Row],[11]]="",0,VLOOKUP(TRAMOS!$Q$2,Tabla5[#All],3,FALSE)*Tabla15[[#This Row],[12]])</f>
        <v>2.7</v>
      </c>
      <c r="T81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1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1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1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1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1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1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1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13" s="52">
        <f>IF(Tabla15[[#This Row],[20]]="",0,VLOOKUP("VRP",Tabla5[#All],3,FALSE)*Tabla15[[#This Row],[21]])</f>
        <v>0</v>
      </c>
      <c r="AC81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1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13" s="52">
        <f>IF(Tabla15[[#This Row],[23]]="",0,VLOOKUP("VC",Tabla5[#All],3,FALSE)*Tabla15[[#This Row],[24]])</f>
        <v>0</v>
      </c>
      <c r="AF81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1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13" s="52">
        <f>IF(Tabla15[[#This Row],[26]]="",0,VLOOKUP(TRAMOS!$K$2,Tabla5[#All],3,FALSE)*Tabla15[[#This Row],[27]])</f>
        <v>0</v>
      </c>
      <c r="AI81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1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1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1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1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1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1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3.6</v>
      </c>
    </row>
    <row r="814" spans="2:41" x14ac:dyDescent="0.25">
      <c r="B814" s="58" t="str">
        <f>Tabla1[[#This Row],[nudo inicial]]</f>
        <v>N433</v>
      </c>
      <c r="C814" s="58" t="str">
        <f>Tabla1[[#This Row],[nudo final]]</f>
        <v>N434</v>
      </c>
      <c r="D814" s="51">
        <f>Tabla1[[#This Row],[longitud]]</f>
        <v>7.7</v>
      </c>
      <c r="E814" s="51" t="str">
        <f>Tabla1[[#This Row],[diametro]]</f>
        <v>2"</v>
      </c>
      <c r="F814" s="51" t="str">
        <f>Tabla1[[#This Row],[material]]</f>
        <v>PVC</v>
      </c>
      <c r="G81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814" s="52" t="str">
        <f>IF(Tabla1[[#This Row],[5]]="TPD",Tabla1[[#This Row],[6]],"")</f>
        <v/>
      </c>
      <c r="I814" s="52" t="str">
        <f>IF(OR(Tabla1[[#This Row],[5]]="TPD"),Tabla1[[#This Row],[7]],"")</f>
        <v/>
      </c>
      <c r="J814" s="52">
        <f>IF(Tabla15[[#This Row],[2]]="",0,VLOOKUP(TRAMOS!$H$2,Tabla5[#All],3,FALSE)*Tabla15[[#This Row],[3]])</f>
        <v>0</v>
      </c>
      <c r="K814" s="52" t="str">
        <f>IF(Tabla1[[#This Row],[5]]="TPL",Tabla1[[#This Row],[6]],"")</f>
        <v>6"</v>
      </c>
      <c r="L814" s="52">
        <f>IF(OR(Tabla1[[#This Row],[5]]="TPL"),Tabla1[[#This Row],[7]],"")</f>
        <v>1</v>
      </c>
      <c r="M814" s="52">
        <f>IF(Tabla15[[#This Row],[5]]="",0,VLOOKUP(TRAMOS!$K$2,Tabla5[#All],3,FALSE)*Tabla15[[#This Row],[6]])</f>
        <v>0.9</v>
      </c>
      <c r="N81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1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14" s="52">
        <f>IF(Tabla15[[#This Row],[8]]="",0,VLOOKUP(TRAMOS!$H$2,Tabla5[#All],3,FALSE)*Tabla15[[#This Row],[9]])</f>
        <v>0</v>
      </c>
      <c r="Q81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1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14" s="52">
        <f>IF(Tabla15[[#This Row],[11]]="",0,VLOOKUP(TRAMOS!$Q$2,Tabla5[#All],3,FALSE)*Tabla15[[#This Row],[12]])</f>
        <v>0</v>
      </c>
      <c r="T81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814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81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0.43</v>
      </c>
      <c r="W81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1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1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1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1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14" s="52">
        <f>IF(Tabla15[[#This Row],[20]]="",0,VLOOKUP("VRP",Tabla5[#All],3,FALSE)*Tabla15[[#This Row],[21]])</f>
        <v>0</v>
      </c>
      <c r="AC81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1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14" s="52">
        <f>IF(Tabla15[[#This Row],[23]]="",0,VLOOKUP("VC",Tabla5[#All],3,FALSE)*Tabla15[[#This Row],[24]])</f>
        <v>0</v>
      </c>
      <c r="AF81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1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14" s="52">
        <f>IF(Tabla15[[#This Row],[26]]="",0,VLOOKUP(TRAMOS!$K$2,Tabla5[#All],3,FALSE)*Tabla15[[#This Row],[27]])</f>
        <v>0</v>
      </c>
      <c r="AI81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1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1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1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1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1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1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1.33</v>
      </c>
    </row>
    <row r="815" spans="2:41" x14ac:dyDescent="0.25">
      <c r="B815" s="58" t="str">
        <f>Tabla1[[#This Row],[nudo inicial]]</f>
        <v>N434</v>
      </c>
      <c r="C815" s="58" t="str">
        <f>Tabla1[[#This Row],[nudo final]]</f>
        <v>N435</v>
      </c>
      <c r="D815" s="51">
        <f>Tabla1[[#This Row],[longitud]]</f>
        <v>124.89</v>
      </c>
      <c r="E815" s="51" t="str">
        <f>Tabla1[[#This Row],[diametro]]</f>
        <v>2"</v>
      </c>
      <c r="F815" s="51" t="str">
        <f>Tabla1[[#This Row],[material]]</f>
        <v>PVC</v>
      </c>
      <c r="G81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815" s="52" t="str">
        <f>IF(Tabla1[[#This Row],[5]]="TPD",Tabla1[[#This Row],[6]],"")</f>
        <v/>
      </c>
      <c r="I815" s="52" t="str">
        <f>IF(OR(Tabla1[[#This Row],[5]]="TPD"),Tabla1[[#This Row],[7]],"")</f>
        <v/>
      </c>
      <c r="J815" s="52">
        <f>IF(Tabla15[[#This Row],[2]]="",0,VLOOKUP(TRAMOS!$H$2,Tabla5[#All],3,FALSE)*Tabla15[[#This Row],[3]])</f>
        <v>0</v>
      </c>
      <c r="K815" s="52" t="str">
        <f>IF(Tabla1[[#This Row],[5]]="TPL",Tabla1[[#This Row],[6]],"")</f>
        <v>2"</v>
      </c>
      <c r="L815" s="52">
        <f>IF(OR(Tabla1[[#This Row],[5]]="TPL"),Tabla1[[#This Row],[7]],"")</f>
        <v>1</v>
      </c>
      <c r="M815" s="52">
        <f>IF(Tabla15[[#This Row],[5]]="",0,VLOOKUP(TRAMOS!$K$2,Tabla5[#All],3,FALSE)*Tabla15[[#This Row],[6]])</f>
        <v>0.9</v>
      </c>
      <c r="N81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1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15" s="52">
        <f>IF(Tabla15[[#This Row],[8]]="",0,VLOOKUP(TRAMOS!$H$2,Tabla5[#All],3,FALSE)*Tabla15[[#This Row],[9]])</f>
        <v>0</v>
      </c>
      <c r="Q81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815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815" s="52">
        <f>IF(Tabla15[[#This Row],[11]]="",0,VLOOKUP(TRAMOS!$Q$2,Tabla5[#All],3,FALSE)*Tabla15[[#This Row],[12]])</f>
        <v>0.9</v>
      </c>
      <c r="T81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1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1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1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1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1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1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1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15" s="52">
        <f>IF(Tabla15[[#This Row],[20]]="",0,VLOOKUP("VRP",Tabla5[#All],3,FALSE)*Tabla15[[#This Row],[21]])</f>
        <v>0</v>
      </c>
      <c r="AC81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815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815" s="52">
        <f>IF(Tabla15[[#This Row],[23]]="",0,VLOOKUP("VC",Tabla5[#All],3,FALSE)*Tabla15[[#This Row],[24]])</f>
        <v>0.25</v>
      </c>
      <c r="AF81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1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15" s="52">
        <f>IF(Tabla15[[#This Row],[26]]="",0,VLOOKUP(TRAMOS!$K$2,Tabla5[#All],3,FALSE)*Tabla15[[#This Row],[27]])</f>
        <v>0</v>
      </c>
      <c r="AI81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1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1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1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1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1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1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2.0499999999999998</v>
      </c>
    </row>
    <row r="816" spans="2:41" x14ac:dyDescent="0.25">
      <c r="B816" s="58" t="str">
        <f>Tabla1[[#This Row],[nudo inicial]]</f>
        <v>N435</v>
      </c>
      <c r="C816" s="58" t="str">
        <f>Tabla1[[#This Row],[nudo final]]</f>
        <v>TP282</v>
      </c>
      <c r="D816" s="51">
        <f>Tabla1[[#This Row],[longitud]]</f>
        <v>22.06</v>
      </c>
      <c r="E816" s="51" t="str">
        <f>Tabla1[[#This Row],[diametro]]</f>
        <v>1"</v>
      </c>
      <c r="F816" s="51" t="str">
        <f>Tabla1[[#This Row],[material]]</f>
        <v>PVC</v>
      </c>
      <c r="G81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816" s="52" t="str">
        <f>IF(Tabla1[[#This Row],[5]]="TPD",Tabla1[[#This Row],[6]],"")</f>
        <v>2"</v>
      </c>
      <c r="I816" s="52">
        <f>IF(OR(Tabla1[[#This Row],[5]]="TPD"),Tabla1[[#This Row],[7]],"")</f>
        <v>1</v>
      </c>
      <c r="J816" s="52">
        <f>IF(Tabla15[[#This Row],[2]]="",0,VLOOKUP(TRAMOS!$H$2,Tabla5[#All],3,FALSE)*Tabla15[[#This Row],[3]])</f>
        <v>0.15</v>
      </c>
      <c r="K816" s="52" t="str">
        <f>IF(Tabla1[[#This Row],[5]]="TPL",Tabla1[[#This Row],[6]],"")</f>
        <v/>
      </c>
      <c r="L816" s="52" t="str">
        <f>IF(OR(Tabla1[[#This Row],[5]]="TPL"),Tabla1[[#This Row],[7]],"")</f>
        <v/>
      </c>
      <c r="M816" s="52">
        <f>IF(Tabla15[[#This Row],[5]]="",0,VLOOKUP(TRAMOS!$K$2,Tabla5[#All],3,FALSE)*Tabla15[[#This Row],[6]])</f>
        <v>0</v>
      </c>
      <c r="N81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1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16" s="52">
        <f>IF(Tabla15[[#This Row],[8]]="",0,VLOOKUP(TRAMOS!$H$2,Tabla5[#All],3,FALSE)*Tabla15[[#This Row],[9]])</f>
        <v>0</v>
      </c>
      <c r="Q81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1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16" s="52">
        <f>IF(Tabla15[[#This Row],[11]]="",0,VLOOKUP(TRAMOS!$Q$2,Tabla5[#All],3,FALSE)*Tabla15[[#This Row],[12]])</f>
        <v>0</v>
      </c>
      <c r="T81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1"</v>
      </c>
      <c r="U816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81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81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1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1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1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1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16" s="52">
        <f>IF(Tabla15[[#This Row],[20]]="",0,VLOOKUP("VRP",Tabla5[#All],3,FALSE)*Tabla15[[#This Row],[21]])</f>
        <v>0</v>
      </c>
      <c r="AC81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1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16" s="52">
        <f>IF(Tabla15[[#This Row],[23]]="",0,VLOOKUP("VC",Tabla5[#All],3,FALSE)*Tabla15[[#This Row],[24]])</f>
        <v>0</v>
      </c>
      <c r="AF81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1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16" s="52">
        <f>IF(Tabla15[[#This Row],[26]]="",0,VLOOKUP(TRAMOS!$K$2,Tabla5[#All],3,FALSE)*Tabla15[[#This Row],[27]])</f>
        <v>0</v>
      </c>
      <c r="AI81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1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1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1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1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1"</v>
      </c>
      <c r="AN81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81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0.52</v>
      </c>
    </row>
    <row r="817" spans="2:41" x14ac:dyDescent="0.25">
      <c r="B817" s="58" t="str">
        <f>Tabla1[[#This Row],[nudo inicial]]</f>
        <v>N435</v>
      </c>
      <c r="C817" s="58" t="str">
        <f>Tabla1[[#This Row],[nudo final]]</f>
        <v>TP283</v>
      </c>
      <c r="D817" s="51">
        <f>Tabla1[[#This Row],[longitud]]</f>
        <v>69.19</v>
      </c>
      <c r="E817" s="51" t="str">
        <f>Tabla1[[#This Row],[diametro]]</f>
        <v>3/4"</v>
      </c>
      <c r="F817" s="51" t="str">
        <f>Tabla1[[#This Row],[material]]</f>
        <v>PVC</v>
      </c>
      <c r="G81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817" s="52" t="str">
        <f>IF(Tabla1[[#This Row],[5]]="TPD",Tabla1[[#This Row],[6]],"")</f>
        <v/>
      </c>
      <c r="I817" s="52" t="str">
        <f>IF(OR(Tabla1[[#This Row],[5]]="TPD"),Tabla1[[#This Row],[7]],"")</f>
        <v/>
      </c>
      <c r="J817" s="52">
        <f>IF(Tabla15[[#This Row],[2]]="",0,VLOOKUP(TRAMOS!$H$2,Tabla5[#All],3,FALSE)*Tabla15[[#This Row],[3]])</f>
        <v>0</v>
      </c>
      <c r="K817" s="52" t="str">
        <f>IF(Tabla1[[#This Row],[5]]="TPL",Tabla1[[#This Row],[6]],"")</f>
        <v>2"</v>
      </c>
      <c r="L817" s="52">
        <f>IF(OR(Tabla1[[#This Row],[5]]="TPL"),Tabla1[[#This Row],[7]],"")</f>
        <v>1</v>
      </c>
      <c r="M817" s="52">
        <f>IF(Tabla15[[#This Row],[5]]="",0,VLOOKUP(TRAMOS!$K$2,Tabla5[#All],3,FALSE)*Tabla15[[#This Row],[6]])</f>
        <v>0.9</v>
      </c>
      <c r="N81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1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17" s="52">
        <f>IF(Tabla15[[#This Row],[8]]="",0,VLOOKUP(TRAMOS!$H$2,Tabla5[#All],3,FALSE)*Tabla15[[#This Row],[9]])</f>
        <v>0</v>
      </c>
      <c r="Q81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3/4"</v>
      </c>
      <c r="R817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817" s="52">
        <f>IF(Tabla15[[#This Row],[11]]="",0,VLOOKUP(TRAMOS!$Q$2,Tabla5[#All],3,FALSE)*Tabla15[[#This Row],[12]])</f>
        <v>0.9</v>
      </c>
      <c r="T81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3/4"</v>
      </c>
      <c r="U817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81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0.41679999999999995</v>
      </c>
      <c r="W81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1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1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1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1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17" s="52">
        <f>IF(Tabla15[[#This Row],[20]]="",0,VLOOKUP("VRP",Tabla5[#All],3,FALSE)*Tabla15[[#This Row],[21]])</f>
        <v>0</v>
      </c>
      <c r="AC81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1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17" s="52">
        <f>IF(Tabla15[[#This Row],[23]]="",0,VLOOKUP("VC",Tabla5[#All],3,FALSE)*Tabla15[[#This Row],[24]])</f>
        <v>0</v>
      </c>
      <c r="AF81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1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17" s="52">
        <f>IF(Tabla15[[#This Row],[26]]="",0,VLOOKUP(TRAMOS!$K$2,Tabla5[#All],3,FALSE)*Tabla15[[#This Row],[27]])</f>
        <v>0</v>
      </c>
      <c r="AI81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1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1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1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1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3/4"</v>
      </c>
      <c r="AN817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81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2.2168000000000001</v>
      </c>
    </row>
    <row r="818" spans="2:41" x14ac:dyDescent="0.25">
      <c r="B818" s="58" t="str">
        <f>Tabla1[[#This Row],[nudo inicial]]</f>
        <v>N434</v>
      </c>
      <c r="C818" s="58" t="str">
        <f>Tabla1[[#This Row],[nudo final]]</f>
        <v>N436</v>
      </c>
      <c r="D818" s="51">
        <f>Tabla1[[#This Row],[longitud]]</f>
        <v>14.16</v>
      </c>
      <c r="E818" s="51" t="str">
        <f>Tabla1[[#This Row],[diametro]]</f>
        <v>2"</v>
      </c>
      <c r="F818" s="51" t="str">
        <f>Tabla1[[#This Row],[material]]</f>
        <v>PVC</v>
      </c>
      <c r="G81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818" s="52" t="str">
        <f>IF(Tabla1[[#This Row],[5]]="TPD",Tabla1[[#This Row],[6]],"")</f>
        <v>2"</v>
      </c>
      <c r="I818" s="52">
        <f>IF(OR(Tabla1[[#This Row],[5]]="TPD"),Tabla1[[#This Row],[7]],"")</f>
        <v>1</v>
      </c>
      <c r="J818" s="52">
        <f>IF(Tabla15[[#This Row],[2]]="",0,VLOOKUP(TRAMOS!$H$2,Tabla5[#All],3,FALSE)*Tabla15[[#This Row],[3]])</f>
        <v>0.15</v>
      </c>
      <c r="K818" s="52" t="str">
        <f>IF(Tabla1[[#This Row],[5]]="TPL",Tabla1[[#This Row],[6]],"")</f>
        <v/>
      </c>
      <c r="L818" s="52" t="str">
        <f>IF(OR(Tabla1[[#This Row],[5]]="TPL"),Tabla1[[#This Row],[7]],"")</f>
        <v/>
      </c>
      <c r="M818" s="52">
        <f>IF(Tabla15[[#This Row],[5]]="",0,VLOOKUP(TRAMOS!$K$2,Tabla5[#All],3,FALSE)*Tabla15[[#This Row],[6]])</f>
        <v>0</v>
      </c>
      <c r="N81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1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18" s="52">
        <f>IF(Tabla15[[#This Row],[8]]="",0,VLOOKUP(TRAMOS!$H$2,Tabla5[#All],3,FALSE)*Tabla15[[#This Row],[9]])</f>
        <v>0</v>
      </c>
      <c r="Q81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1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18" s="52">
        <f>IF(Tabla15[[#This Row],[11]]="",0,VLOOKUP(TRAMOS!$Q$2,Tabla5[#All],3,FALSE)*Tabla15[[#This Row],[12]])</f>
        <v>0</v>
      </c>
      <c r="T81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1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1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1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1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1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1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1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18" s="52">
        <f>IF(Tabla15[[#This Row],[20]]="",0,VLOOKUP("VRP",Tabla5[#All],3,FALSE)*Tabla15[[#This Row],[21]])</f>
        <v>0</v>
      </c>
      <c r="AC81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1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18" s="52">
        <f>IF(Tabla15[[#This Row],[23]]="",0,VLOOKUP("VC",Tabla5[#All],3,FALSE)*Tabla15[[#This Row],[24]])</f>
        <v>0</v>
      </c>
      <c r="AF81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1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18" s="52">
        <f>IF(Tabla15[[#This Row],[26]]="",0,VLOOKUP(TRAMOS!$K$2,Tabla5[#All],3,FALSE)*Tabla15[[#This Row],[27]])</f>
        <v>0</v>
      </c>
      <c r="AI81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1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1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1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1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1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1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819" spans="2:41" x14ac:dyDescent="0.25">
      <c r="B819" s="58" t="str">
        <f>Tabla1[[#This Row],[nudo inicial]]</f>
        <v>N436</v>
      </c>
      <c r="C819" s="58" t="str">
        <f>Tabla1[[#This Row],[nudo final]]</f>
        <v>N437</v>
      </c>
      <c r="D819" s="51">
        <f>Tabla1[[#This Row],[longitud]]</f>
        <v>40.08</v>
      </c>
      <c r="E819" s="51" t="str">
        <f>Tabla1[[#This Row],[diametro]]</f>
        <v>2"</v>
      </c>
      <c r="F819" s="51" t="str">
        <f>Tabla1[[#This Row],[material]]</f>
        <v>HG</v>
      </c>
      <c r="G81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819" s="52" t="str">
        <f>IF(Tabla1[[#This Row],[5]]="TPD",Tabla1[[#This Row],[6]],"")</f>
        <v/>
      </c>
      <c r="I819" s="52" t="str">
        <f>IF(OR(Tabla1[[#This Row],[5]]="TPD"),Tabla1[[#This Row],[7]],"")</f>
        <v/>
      </c>
      <c r="J819" s="52">
        <f>IF(Tabla15[[#This Row],[2]]="",0,VLOOKUP(TRAMOS!$H$2,Tabla5[#All],3,FALSE)*Tabla15[[#This Row],[3]])</f>
        <v>0</v>
      </c>
      <c r="K819" s="52" t="str">
        <f>IF(Tabla1[[#This Row],[5]]="TPL",Tabla1[[#This Row],[6]],"")</f>
        <v/>
      </c>
      <c r="L819" s="52" t="str">
        <f>IF(OR(Tabla1[[#This Row],[5]]="TPL"),Tabla1[[#This Row],[7]],"")</f>
        <v/>
      </c>
      <c r="M819" s="52">
        <f>IF(Tabla15[[#This Row],[5]]="",0,VLOOKUP(TRAMOS!$K$2,Tabla5[#All],3,FALSE)*Tabla15[[#This Row],[6]])</f>
        <v>0</v>
      </c>
      <c r="N81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1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19" s="52">
        <f>IF(Tabla15[[#This Row],[8]]="",0,VLOOKUP(TRAMOS!$H$2,Tabla5[#All],3,FALSE)*Tabla15[[#This Row],[9]])</f>
        <v>0</v>
      </c>
      <c r="Q81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1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19" s="52">
        <f>IF(Tabla15[[#This Row],[11]]="",0,VLOOKUP(TRAMOS!$Q$2,Tabla5[#All],3,FALSE)*Tabla15[[#This Row],[12]])</f>
        <v>0</v>
      </c>
      <c r="T81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1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1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1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1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1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1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1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19" s="52">
        <f>IF(Tabla15[[#This Row],[20]]="",0,VLOOKUP("VRP",Tabla5[#All],3,FALSE)*Tabla15[[#This Row],[21]])</f>
        <v>0</v>
      </c>
      <c r="AC81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1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19" s="52">
        <f>IF(Tabla15[[#This Row],[23]]="",0,VLOOKUP("VC",Tabla5[#All],3,FALSE)*Tabla15[[#This Row],[24]])</f>
        <v>0</v>
      </c>
      <c r="AF81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1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19" s="52">
        <f>IF(Tabla15[[#This Row],[26]]="",0,VLOOKUP(TRAMOS!$K$2,Tabla5[#All],3,FALSE)*Tabla15[[#This Row],[27]])</f>
        <v>0</v>
      </c>
      <c r="AI81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1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1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1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1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1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1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</v>
      </c>
    </row>
    <row r="820" spans="2:41" x14ac:dyDescent="0.25">
      <c r="B820" s="58" t="str">
        <f>Tabla1[[#This Row],[nudo inicial]]</f>
        <v>N437</v>
      </c>
      <c r="C820" s="58" t="str">
        <f>Tabla1[[#This Row],[nudo final]]</f>
        <v>TP284</v>
      </c>
      <c r="D820" s="51">
        <f>Tabla1[[#This Row],[longitud]]</f>
        <v>36.86</v>
      </c>
      <c r="E820" s="51" t="str">
        <f>Tabla1[[#This Row],[diametro]]</f>
        <v>2"</v>
      </c>
      <c r="F820" s="51" t="str">
        <f>Tabla1[[#This Row],[material]]</f>
        <v>PVC</v>
      </c>
      <c r="G82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820" s="52" t="str">
        <f>IF(Tabla1[[#This Row],[5]]="TPD",Tabla1[[#This Row],[6]],"")</f>
        <v/>
      </c>
      <c r="I820" s="52" t="str">
        <f>IF(OR(Tabla1[[#This Row],[5]]="TPD"),Tabla1[[#This Row],[7]],"")</f>
        <v/>
      </c>
      <c r="J820" s="52">
        <f>IF(Tabla15[[#This Row],[2]]="",0,VLOOKUP(TRAMOS!$H$2,Tabla5[#All],3,FALSE)*Tabla15[[#This Row],[3]])</f>
        <v>0</v>
      </c>
      <c r="K820" s="52" t="str">
        <f>IF(Tabla1[[#This Row],[5]]="TPL",Tabla1[[#This Row],[6]],"")</f>
        <v>2"</v>
      </c>
      <c r="L820" s="52">
        <f>IF(OR(Tabla1[[#This Row],[5]]="TPL"),Tabla1[[#This Row],[7]],"")</f>
        <v>1</v>
      </c>
      <c r="M820" s="52">
        <f>IF(Tabla15[[#This Row],[5]]="",0,VLOOKUP(TRAMOS!$K$2,Tabla5[#All],3,FALSE)*Tabla15[[#This Row],[6]])</f>
        <v>0.9</v>
      </c>
      <c r="N82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2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20" s="52">
        <f>IF(Tabla15[[#This Row],[8]]="",0,VLOOKUP(TRAMOS!$H$2,Tabla5[#All],3,FALSE)*Tabla15[[#This Row],[9]])</f>
        <v>0</v>
      </c>
      <c r="Q82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2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20" s="52">
        <f>IF(Tabla15[[#This Row],[11]]="",0,VLOOKUP(TRAMOS!$Q$2,Tabla5[#All],3,FALSE)*Tabla15[[#This Row],[12]])</f>
        <v>0</v>
      </c>
      <c r="T82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2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2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2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2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2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2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2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20" s="52">
        <f>IF(Tabla15[[#This Row],[20]]="",0,VLOOKUP("VRP",Tabla5[#All],3,FALSE)*Tabla15[[#This Row],[21]])</f>
        <v>0</v>
      </c>
      <c r="AC82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2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20" s="52">
        <f>IF(Tabla15[[#This Row],[23]]="",0,VLOOKUP("VC",Tabla5[#All],3,FALSE)*Tabla15[[#This Row],[24]])</f>
        <v>0</v>
      </c>
      <c r="AF82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2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20" s="52">
        <f>IF(Tabla15[[#This Row],[26]]="",0,VLOOKUP(TRAMOS!$K$2,Tabla5[#All],3,FALSE)*Tabla15[[#This Row],[27]])</f>
        <v>0</v>
      </c>
      <c r="AI82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2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2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2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2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820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82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821" spans="2:41" x14ac:dyDescent="0.25">
      <c r="B821" s="58" t="str">
        <f>Tabla1[[#This Row],[nudo inicial]]</f>
        <v>N437</v>
      </c>
      <c r="C821" s="58" t="str">
        <f>Tabla1[[#This Row],[nudo final]]</f>
        <v>N438</v>
      </c>
      <c r="D821" s="51">
        <f>Tabla1[[#This Row],[longitud]]</f>
        <v>72.44</v>
      </c>
      <c r="E821" s="51" t="str">
        <f>Tabla1[[#This Row],[diametro]]</f>
        <v>2"</v>
      </c>
      <c r="F821" s="51" t="str">
        <f>Tabla1[[#This Row],[material]]</f>
        <v>HG</v>
      </c>
      <c r="G82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821" s="52" t="str">
        <f>IF(Tabla1[[#This Row],[5]]="TPD",Tabla1[[#This Row],[6]],"")</f>
        <v>2"</v>
      </c>
      <c r="I821" s="52">
        <f>IF(OR(Tabla1[[#This Row],[5]]="TPD"),Tabla1[[#This Row],[7]],"")</f>
        <v>1</v>
      </c>
      <c r="J821" s="52">
        <f>IF(Tabla15[[#This Row],[2]]="",0,VLOOKUP(TRAMOS!$H$2,Tabla5[#All],3,FALSE)*Tabla15[[#This Row],[3]])</f>
        <v>0.15</v>
      </c>
      <c r="K821" s="52" t="str">
        <f>IF(Tabla1[[#This Row],[5]]="TPL",Tabla1[[#This Row],[6]],"")</f>
        <v/>
      </c>
      <c r="L821" s="52" t="str">
        <f>IF(OR(Tabla1[[#This Row],[5]]="TPL"),Tabla1[[#This Row],[7]],"")</f>
        <v/>
      </c>
      <c r="M821" s="52">
        <f>IF(Tabla15[[#This Row],[5]]="",0,VLOOKUP(TRAMOS!$K$2,Tabla5[#All],3,FALSE)*Tabla15[[#This Row],[6]])</f>
        <v>0</v>
      </c>
      <c r="N82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2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21" s="52">
        <f>IF(Tabla15[[#This Row],[8]]="",0,VLOOKUP(TRAMOS!$H$2,Tabla5[#All],3,FALSE)*Tabla15[[#This Row],[9]])</f>
        <v>0</v>
      </c>
      <c r="Q82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2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21" s="52">
        <f>IF(Tabla15[[#This Row],[11]]="",0,VLOOKUP(TRAMOS!$Q$2,Tabla5[#All],3,FALSE)*Tabla15[[#This Row],[12]])</f>
        <v>0</v>
      </c>
      <c r="T82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2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2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2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2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2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2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2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21" s="52">
        <f>IF(Tabla15[[#This Row],[20]]="",0,VLOOKUP("VRP",Tabla5[#All],3,FALSE)*Tabla15[[#This Row],[21]])</f>
        <v>0</v>
      </c>
      <c r="AC82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2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21" s="52">
        <f>IF(Tabla15[[#This Row],[23]]="",0,VLOOKUP("VC",Tabla5[#All],3,FALSE)*Tabla15[[#This Row],[24]])</f>
        <v>0</v>
      </c>
      <c r="AF82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2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21" s="52">
        <f>IF(Tabla15[[#This Row],[26]]="",0,VLOOKUP(TRAMOS!$K$2,Tabla5[#All],3,FALSE)*Tabla15[[#This Row],[27]])</f>
        <v>0</v>
      </c>
      <c r="AI82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2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2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2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2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2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2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822" spans="2:41" x14ac:dyDescent="0.25">
      <c r="B822" s="58" t="str">
        <f>Tabla1[[#This Row],[nudo inicial]]</f>
        <v>N438</v>
      </c>
      <c r="C822" s="58" t="str">
        <f>Tabla1[[#This Row],[nudo final]]</f>
        <v>N439</v>
      </c>
      <c r="D822" s="51">
        <f>Tabla1[[#This Row],[longitud]]</f>
        <v>20.329999999999998</v>
      </c>
      <c r="E822" s="51" t="str">
        <f>Tabla1[[#This Row],[diametro]]</f>
        <v>2"</v>
      </c>
      <c r="F822" s="51" t="str">
        <f>Tabla1[[#This Row],[material]]</f>
        <v>HG</v>
      </c>
      <c r="G82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822" s="52" t="str">
        <f>IF(Tabla1[[#This Row],[5]]="TPD",Tabla1[[#This Row],[6]],"")</f>
        <v/>
      </c>
      <c r="I822" s="52" t="str">
        <f>IF(OR(Tabla1[[#This Row],[5]]="TPD"),Tabla1[[#This Row],[7]],"")</f>
        <v/>
      </c>
      <c r="J822" s="52">
        <f>IF(Tabla15[[#This Row],[2]]="",0,VLOOKUP(TRAMOS!$H$2,Tabla5[#All],3,FALSE)*Tabla15[[#This Row],[3]])</f>
        <v>0</v>
      </c>
      <c r="K822" s="52" t="str">
        <f>IF(Tabla1[[#This Row],[5]]="TPL",Tabla1[[#This Row],[6]],"")</f>
        <v>2"</v>
      </c>
      <c r="L822" s="52">
        <f>IF(OR(Tabla1[[#This Row],[5]]="TPL"),Tabla1[[#This Row],[7]],"")</f>
        <v>1</v>
      </c>
      <c r="M822" s="52">
        <f>IF(Tabla15[[#This Row],[5]]="",0,VLOOKUP(TRAMOS!$K$2,Tabla5[#All],3,FALSE)*Tabla15[[#This Row],[6]])</f>
        <v>0.9</v>
      </c>
      <c r="N82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2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22" s="52">
        <f>IF(Tabla15[[#This Row],[8]]="",0,VLOOKUP(TRAMOS!$H$2,Tabla5[#All],3,FALSE)*Tabla15[[#This Row],[9]])</f>
        <v>0</v>
      </c>
      <c r="Q82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2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22" s="52">
        <f>IF(Tabla15[[#This Row],[11]]="",0,VLOOKUP(TRAMOS!$Q$2,Tabla5[#All],3,FALSE)*Tabla15[[#This Row],[12]])</f>
        <v>0</v>
      </c>
      <c r="T82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2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2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2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2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2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2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2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22" s="52">
        <f>IF(Tabla15[[#This Row],[20]]="",0,VLOOKUP("VRP",Tabla5[#All],3,FALSE)*Tabla15[[#This Row],[21]])</f>
        <v>0</v>
      </c>
      <c r="AC82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2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22" s="52">
        <f>IF(Tabla15[[#This Row],[23]]="",0,VLOOKUP("VC",Tabla5[#All],3,FALSE)*Tabla15[[#This Row],[24]])</f>
        <v>0</v>
      </c>
      <c r="AF82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2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22" s="52">
        <f>IF(Tabla15[[#This Row],[26]]="",0,VLOOKUP(TRAMOS!$K$2,Tabla5[#All],3,FALSE)*Tabla15[[#This Row],[27]])</f>
        <v>0</v>
      </c>
      <c r="AI82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2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2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2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2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2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2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823" spans="2:41" x14ac:dyDescent="0.25">
      <c r="B823" s="58" t="str">
        <f>Tabla1[[#This Row],[nudo inicial]]</f>
        <v>N439</v>
      </c>
      <c r="C823" s="58" t="str">
        <f>Tabla1[[#This Row],[nudo final]]</f>
        <v>TP285</v>
      </c>
      <c r="D823" s="51">
        <f>Tabla1[[#This Row],[longitud]]</f>
        <v>29.1</v>
      </c>
      <c r="E823" s="51" t="str">
        <f>Tabla1[[#This Row],[diametro]]</f>
        <v>2"</v>
      </c>
      <c r="F823" s="51" t="str">
        <f>Tabla1[[#This Row],[material]]</f>
        <v>PVC</v>
      </c>
      <c r="G82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823" s="52" t="str">
        <f>IF(Tabla1[[#This Row],[5]]="TPD",Tabla1[[#This Row],[6]],"")</f>
        <v/>
      </c>
      <c r="I823" s="52" t="str">
        <f>IF(OR(Tabla1[[#This Row],[5]]="TPD"),Tabla1[[#This Row],[7]],"")</f>
        <v/>
      </c>
      <c r="J823" s="52">
        <f>IF(Tabla15[[#This Row],[2]]="",0,VLOOKUP(TRAMOS!$H$2,Tabla5[#All],3,FALSE)*Tabla15[[#This Row],[3]])</f>
        <v>0</v>
      </c>
      <c r="K823" s="52" t="str">
        <f>IF(Tabla1[[#This Row],[5]]="TPL",Tabla1[[#This Row],[6]],"")</f>
        <v/>
      </c>
      <c r="L823" s="52" t="str">
        <f>IF(OR(Tabla1[[#This Row],[5]]="TPL"),Tabla1[[#This Row],[7]],"")</f>
        <v/>
      </c>
      <c r="M823" s="52">
        <f>IF(Tabla15[[#This Row],[5]]="",0,VLOOKUP(TRAMOS!$K$2,Tabla5[#All],3,FALSE)*Tabla15[[#This Row],[6]])</f>
        <v>0</v>
      </c>
      <c r="N82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2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23" s="52">
        <f>IF(Tabla15[[#This Row],[8]]="",0,VLOOKUP(TRAMOS!$H$2,Tabla5[#All],3,FALSE)*Tabla15[[#This Row],[9]])</f>
        <v>0</v>
      </c>
      <c r="Q82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2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23" s="52">
        <f>IF(Tabla15[[#This Row],[11]]="",0,VLOOKUP(TRAMOS!$Q$2,Tabla5[#All],3,FALSE)*Tabla15[[#This Row],[12]])</f>
        <v>0</v>
      </c>
      <c r="T82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2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2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2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2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2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2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2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23" s="52">
        <f>IF(Tabla15[[#This Row],[20]]="",0,VLOOKUP("VRP",Tabla5[#All],3,FALSE)*Tabla15[[#This Row],[21]])</f>
        <v>0</v>
      </c>
      <c r="AC82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2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23" s="52">
        <f>IF(Tabla15[[#This Row],[23]]="",0,VLOOKUP("VC",Tabla5[#All],3,FALSE)*Tabla15[[#This Row],[24]])</f>
        <v>0</v>
      </c>
      <c r="AF82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2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23" s="52">
        <f>IF(Tabla15[[#This Row],[26]]="",0,VLOOKUP(TRAMOS!$K$2,Tabla5[#All],3,FALSE)*Tabla15[[#This Row],[27]])</f>
        <v>0</v>
      </c>
      <c r="AI82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2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2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2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2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823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82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</v>
      </c>
    </row>
    <row r="824" spans="2:41" x14ac:dyDescent="0.25">
      <c r="B824" s="58" t="str">
        <f>Tabla1[[#This Row],[nudo inicial]]</f>
        <v>N438</v>
      </c>
      <c r="C824" s="58" t="str">
        <f>Tabla1[[#This Row],[nudo final]]</f>
        <v>TP286</v>
      </c>
      <c r="D824" s="51">
        <f>Tabla1[[#This Row],[longitud]]</f>
        <v>57.63</v>
      </c>
      <c r="E824" s="51" t="str">
        <f>Tabla1[[#This Row],[diametro]]</f>
        <v>2"</v>
      </c>
      <c r="F824" s="51" t="str">
        <f>Tabla1[[#This Row],[material]]</f>
        <v>HG</v>
      </c>
      <c r="G82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824" s="52" t="str">
        <f>IF(Tabla1[[#This Row],[5]]="TPD",Tabla1[[#This Row],[6]],"")</f>
        <v>2"</v>
      </c>
      <c r="I824" s="52">
        <f>IF(OR(Tabla1[[#This Row],[5]]="TPD"),Tabla1[[#This Row],[7]],"")</f>
        <v>1</v>
      </c>
      <c r="J824" s="52">
        <f>IF(Tabla15[[#This Row],[2]]="",0,VLOOKUP(TRAMOS!$H$2,Tabla5[#All],3,FALSE)*Tabla15[[#This Row],[3]])</f>
        <v>0.15</v>
      </c>
      <c r="K824" s="52" t="str">
        <f>IF(Tabla1[[#This Row],[5]]="TPL",Tabla1[[#This Row],[6]],"")</f>
        <v/>
      </c>
      <c r="L824" s="52" t="str">
        <f>IF(OR(Tabla1[[#This Row],[5]]="TPL"),Tabla1[[#This Row],[7]],"")</f>
        <v/>
      </c>
      <c r="M824" s="52">
        <f>IF(Tabla15[[#This Row],[5]]="",0,VLOOKUP(TRAMOS!$K$2,Tabla5[#All],3,FALSE)*Tabla15[[#This Row],[6]])</f>
        <v>0</v>
      </c>
      <c r="N82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2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24" s="52">
        <f>IF(Tabla15[[#This Row],[8]]="",0,VLOOKUP(TRAMOS!$H$2,Tabla5[#All],3,FALSE)*Tabla15[[#This Row],[9]])</f>
        <v>0</v>
      </c>
      <c r="Q82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2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24" s="52">
        <f>IF(Tabla15[[#This Row],[11]]="",0,VLOOKUP(TRAMOS!$Q$2,Tabla5[#All],3,FALSE)*Tabla15[[#This Row],[12]])</f>
        <v>0</v>
      </c>
      <c r="T82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2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2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2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2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2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2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2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24" s="52">
        <f>IF(Tabla15[[#This Row],[20]]="",0,VLOOKUP("VRP",Tabla5[#All],3,FALSE)*Tabla15[[#This Row],[21]])</f>
        <v>0</v>
      </c>
      <c r="AC82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2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24" s="52">
        <f>IF(Tabla15[[#This Row],[23]]="",0,VLOOKUP("VC",Tabla5[#All],3,FALSE)*Tabla15[[#This Row],[24]])</f>
        <v>0</v>
      </c>
      <c r="AF82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2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24" s="52">
        <f>IF(Tabla15[[#This Row],[26]]="",0,VLOOKUP(TRAMOS!$K$2,Tabla5[#All],3,FALSE)*Tabla15[[#This Row],[27]])</f>
        <v>0</v>
      </c>
      <c r="AI82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2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2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2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2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824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82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825" spans="2:41" x14ac:dyDescent="0.25">
      <c r="B825" s="58" t="str">
        <f>Tabla1[[#This Row],[nudo inicial]]</f>
        <v>N433</v>
      </c>
      <c r="C825" s="58" t="str">
        <f>Tabla1[[#This Row],[nudo final]]</f>
        <v>N440</v>
      </c>
      <c r="D825" s="51">
        <f>Tabla1[[#This Row],[longitud]]</f>
        <v>24.31</v>
      </c>
      <c r="E825" s="51" t="str">
        <f>Tabla1[[#This Row],[diametro]]</f>
        <v>6"</v>
      </c>
      <c r="F825" s="51" t="str">
        <f>Tabla1[[#This Row],[material]]</f>
        <v>PVC</v>
      </c>
      <c r="G82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825" s="52" t="str">
        <f>IF(Tabla1[[#This Row],[5]]="TPD",Tabla1[[#This Row],[6]],"")</f>
        <v>6"</v>
      </c>
      <c r="I825" s="52">
        <f>IF(OR(Tabla1[[#This Row],[5]]="TPD"),Tabla1[[#This Row],[7]],"")</f>
        <v>1</v>
      </c>
      <c r="J825" s="52">
        <f>IF(Tabla15[[#This Row],[2]]="",0,VLOOKUP(TRAMOS!$H$2,Tabla5[#All],3,FALSE)*Tabla15[[#This Row],[3]])</f>
        <v>0.15</v>
      </c>
      <c r="K825" s="52" t="str">
        <f>IF(Tabla1[[#This Row],[5]]="TPL",Tabla1[[#This Row],[6]],"")</f>
        <v/>
      </c>
      <c r="L825" s="52" t="str">
        <f>IF(OR(Tabla1[[#This Row],[5]]="TPL"),Tabla1[[#This Row],[7]],"")</f>
        <v/>
      </c>
      <c r="M825" s="52">
        <f>IF(Tabla15[[#This Row],[5]]="",0,VLOOKUP(TRAMOS!$K$2,Tabla5[#All],3,FALSE)*Tabla15[[#This Row],[6]])</f>
        <v>0</v>
      </c>
      <c r="N82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2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25" s="52">
        <f>IF(Tabla15[[#This Row],[8]]="",0,VLOOKUP(TRAMOS!$H$2,Tabla5[#All],3,FALSE)*Tabla15[[#This Row],[9]])</f>
        <v>0</v>
      </c>
      <c r="Q82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2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25" s="52">
        <f>IF(Tabla15[[#This Row],[11]]="",0,VLOOKUP(TRAMOS!$Q$2,Tabla5[#All],3,FALSE)*Tabla15[[#This Row],[12]])</f>
        <v>0</v>
      </c>
      <c r="T82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2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2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2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2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2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2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2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25" s="52">
        <f>IF(Tabla15[[#This Row],[20]]="",0,VLOOKUP("VRP",Tabla5[#All],3,FALSE)*Tabla15[[#This Row],[21]])</f>
        <v>0</v>
      </c>
      <c r="AC82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6"</v>
      </c>
      <c r="AD825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2</v>
      </c>
      <c r="AE825" s="52">
        <f>IF(Tabla15[[#This Row],[23]]="",0,VLOOKUP("VC",Tabla5[#All],3,FALSE)*Tabla15[[#This Row],[24]])</f>
        <v>0.5</v>
      </c>
      <c r="AF82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2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25" s="52">
        <f>IF(Tabla15[[#This Row],[26]]="",0,VLOOKUP(TRAMOS!$K$2,Tabla5[#All],3,FALSE)*Tabla15[[#This Row],[27]])</f>
        <v>0</v>
      </c>
      <c r="AI82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2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2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2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2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2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2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0.65</v>
      </c>
    </row>
    <row r="826" spans="2:41" x14ac:dyDescent="0.25">
      <c r="B826" s="58" t="str">
        <f>Tabla1[[#This Row],[nudo inicial]]</f>
        <v>N440</v>
      </c>
      <c r="C826" s="58" t="str">
        <f>Tabla1[[#This Row],[nudo final]]</f>
        <v>N441</v>
      </c>
      <c r="D826" s="51">
        <f>Tabla1[[#This Row],[longitud]]</f>
        <v>80.73</v>
      </c>
      <c r="E826" s="51" t="str">
        <f>Tabla1[[#This Row],[diametro]]</f>
        <v>6"</v>
      </c>
      <c r="F826" s="51" t="str">
        <f>Tabla1[[#This Row],[material]]</f>
        <v>PVC</v>
      </c>
      <c r="G82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826" s="52" t="str">
        <f>IF(Tabla1[[#This Row],[5]]="TPD",Tabla1[[#This Row],[6]],"")</f>
        <v/>
      </c>
      <c r="I826" s="52" t="str">
        <f>IF(OR(Tabla1[[#This Row],[5]]="TPD"),Tabla1[[#This Row],[7]],"")</f>
        <v/>
      </c>
      <c r="J826" s="52">
        <f>IF(Tabla15[[#This Row],[2]]="",0,VLOOKUP(TRAMOS!$H$2,Tabla5[#All],3,FALSE)*Tabla15[[#This Row],[3]])</f>
        <v>0</v>
      </c>
      <c r="K826" s="52" t="str">
        <f>IF(Tabla1[[#This Row],[5]]="TPL",Tabla1[[#This Row],[6]],"")</f>
        <v>6"</v>
      </c>
      <c r="L826" s="52">
        <f>IF(OR(Tabla1[[#This Row],[5]]="TPL"),Tabla1[[#This Row],[7]],"")</f>
        <v>1</v>
      </c>
      <c r="M826" s="52">
        <f>IF(Tabla15[[#This Row],[5]]="",0,VLOOKUP(TRAMOS!$K$2,Tabla5[#All],3,FALSE)*Tabla15[[#This Row],[6]])</f>
        <v>0.9</v>
      </c>
      <c r="N82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2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26" s="52">
        <f>IF(Tabla15[[#This Row],[8]]="",0,VLOOKUP(TRAMOS!$H$2,Tabla5[#All],3,FALSE)*Tabla15[[#This Row],[9]])</f>
        <v>0</v>
      </c>
      <c r="Q82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2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26" s="52">
        <f>IF(Tabla15[[#This Row],[11]]="",0,VLOOKUP(TRAMOS!$Q$2,Tabla5[#All],3,FALSE)*Tabla15[[#This Row],[12]])</f>
        <v>0</v>
      </c>
      <c r="T82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2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2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2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2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2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2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2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26" s="52">
        <f>IF(Tabla15[[#This Row],[20]]="",0,VLOOKUP("VRP",Tabla5[#All],3,FALSE)*Tabla15[[#This Row],[21]])</f>
        <v>0</v>
      </c>
      <c r="AC82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2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26" s="52">
        <f>IF(Tabla15[[#This Row],[23]]="",0,VLOOKUP("VC",Tabla5[#All],3,FALSE)*Tabla15[[#This Row],[24]])</f>
        <v>0</v>
      </c>
      <c r="AF82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2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26" s="52">
        <f>IF(Tabla15[[#This Row],[26]]="",0,VLOOKUP(TRAMOS!$K$2,Tabla5[#All],3,FALSE)*Tabla15[[#This Row],[27]])</f>
        <v>0</v>
      </c>
      <c r="AI82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2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2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2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2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2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2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827" spans="2:41" x14ac:dyDescent="0.25">
      <c r="B827" s="58" t="str">
        <f>Tabla1[[#This Row],[nudo inicial]]</f>
        <v>N441</v>
      </c>
      <c r="C827" s="58" t="str">
        <f>Tabla1[[#This Row],[nudo final]]</f>
        <v>TP287</v>
      </c>
      <c r="D827" s="51">
        <f>Tabla1[[#This Row],[longitud]]</f>
        <v>21.5</v>
      </c>
      <c r="E827" s="51" t="str">
        <f>Tabla1[[#This Row],[diametro]]</f>
        <v>1"</v>
      </c>
      <c r="F827" s="51" t="str">
        <f>Tabla1[[#This Row],[material]]</f>
        <v>PVC</v>
      </c>
      <c r="G82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827" s="52" t="str">
        <f>IF(Tabla1[[#This Row],[5]]="TPD",Tabla1[[#This Row],[6]],"")</f>
        <v/>
      </c>
      <c r="I827" s="52" t="str">
        <f>IF(OR(Tabla1[[#This Row],[5]]="TPD"),Tabla1[[#This Row],[7]],"")</f>
        <v/>
      </c>
      <c r="J827" s="52">
        <f>IF(Tabla15[[#This Row],[2]]="",0,VLOOKUP(TRAMOS!$H$2,Tabla5[#All],3,FALSE)*Tabla15[[#This Row],[3]])</f>
        <v>0</v>
      </c>
      <c r="K827" s="52" t="str">
        <f>IF(Tabla1[[#This Row],[5]]="TPL",Tabla1[[#This Row],[6]],"")</f>
        <v/>
      </c>
      <c r="L827" s="52" t="str">
        <f>IF(OR(Tabla1[[#This Row],[5]]="TPL"),Tabla1[[#This Row],[7]],"")</f>
        <v/>
      </c>
      <c r="M827" s="52">
        <f>IF(Tabla15[[#This Row],[5]]="",0,VLOOKUP(TRAMOS!$K$2,Tabla5[#All],3,FALSE)*Tabla15[[#This Row],[6]])</f>
        <v>0</v>
      </c>
      <c r="N82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2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27" s="52">
        <f>IF(Tabla15[[#This Row],[8]]="",0,VLOOKUP(TRAMOS!$H$2,Tabla5[#All],3,FALSE)*Tabla15[[#This Row],[9]])</f>
        <v>0</v>
      </c>
      <c r="Q82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2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27" s="52">
        <f>IF(Tabla15[[#This Row],[11]]="",0,VLOOKUP(TRAMOS!$Q$2,Tabla5[#All],3,FALSE)*Tabla15[[#This Row],[12]])</f>
        <v>0</v>
      </c>
      <c r="T82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1"</v>
      </c>
      <c r="U827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82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0.46</v>
      </c>
      <c r="W82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2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2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2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2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27" s="52">
        <f>IF(Tabla15[[#This Row],[20]]="",0,VLOOKUP("VRP",Tabla5[#All],3,FALSE)*Tabla15[[#This Row],[21]])</f>
        <v>0</v>
      </c>
      <c r="AC82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2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27" s="52">
        <f>IF(Tabla15[[#This Row],[23]]="",0,VLOOKUP("VC",Tabla5[#All],3,FALSE)*Tabla15[[#This Row],[24]])</f>
        <v>0</v>
      </c>
      <c r="AF82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>6"</v>
      </c>
      <c r="AG827" s="52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>1</v>
      </c>
      <c r="AH827" s="52">
        <f>IF(Tabla15[[#This Row],[26]]="",0,VLOOKUP(TRAMOS!$K$2,Tabla5[#All],3,FALSE)*Tabla15[[#This Row],[27]])</f>
        <v>0.9</v>
      </c>
      <c r="AI82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2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2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2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2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1"</v>
      </c>
      <c r="AN827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82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1.36</v>
      </c>
    </row>
    <row r="828" spans="2:41" x14ac:dyDescent="0.25">
      <c r="B828" s="58" t="str">
        <f>Tabla1[[#This Row],[nudo inicial]]</f>
        <v>N441</v>
      </c>
      <c r="C828" s="58" t="str">
        <f>Tabla1[[#This Row],[nudo final]]</f>
        <v>N396</v>
      </c>
      <c r="D828" s="51">
        <f>Tabla1[[#This Row],[longitud]]</f>
        <v>64.08</v>
      </c>
      <c r="E828" s="51" t="str">
        <f>Tabla1[[#This Row],[diametro]]</f>
        <v>6"</v>
      </c>
      <c r="F828" s="51" t="str">
        <f>Tabla1[[#This Row],[material]]</f>
        <v>PVC</v>
      </c>
      <c r="G82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828" s="52" t="str">
        <f>IF(Tabla1[[#This Row],[5]]="TPD",Tabla1[[#This Row],[6]],"")</f>
        <v/>
      </c>
      <c r="I828" s="52" t="str">
        <f>IF(OR(Tabla1[[#This Row],[5]]="TPD"),Tabla1[[#This Row],[7]],"")</f>
        <v/>
      </c>
      <c r="J828" s="52">
        <f>IF(Tabla15[[#This Row],[2]]="",0,VLOOKUP(TRAMOS!$H$2,Tabla5[#All],3,FALSE)*Tabla15[[#This Row],[3]])</f>
        <v>0</v>
      </c>
      <c r="K828" s="52" t="str">
        <f>IF(Tabla1[[#This Row],[5]]="TPL",Tabla1[[#This Row],[6]],"")</f>
        <v/>
      </c>
      <c r="L828" s="52" t="str">
        <f>IF(OR(Tabla1[[#This Row],[5]]="TPL"),Tabla1[[#This Row],[7]],"")</f>
        <v/>
      </c>
      <c r="M828" s="52">
        <f>IF(Tabla15[[#This Row],[5]]="",0,VLOOKUP(TRAMOS!$K$2,Tabla5[#All],3,FALSE)*Tabla15[[#This Row],[6]])</f>
        <v>0</v>
      </c>
      <c r="N82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2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28" s="52">
        <f>IF(Tabla15[[#This Row],[8]]="",0,VLOOKUP(TRAMOS!$H$2,Tabla5[#All],3,FALSE)*Tabla15[[#This Row],[9]])</f>
        <v>0</v>
      </c>
      <c r="Q82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6"</v>
      </c>
      <c r="R828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828" s="52">
        <f>IF(Tabla15[[#This Row],[11]]="",0,VLOOKUP(TRAMOS!$Q$2,Tabla5[#All],3,FALSE)*Tabla15[[#This Row],[12]])</f>
        <v>0.9</v>
      </c>
      <c r="T82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2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2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2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2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2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2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2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28" s="52">
        <f>IF(Tabla15[[#This Row],[20]]="",0,VLOOKUP("VRP",Tabla5[#All],3,FALSE)*Tabla15[[#This Row],[21]])</f>
        <v>0</v>
      </c>
      <c r="AC82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2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28" s="52">
        <f>IF(Tabla15[[#This Row],[23]]="",0,VLOOKUP("VC",Tabla5[#All],3,FALSE)*Tabla15[[#This Row],[24]])</f>
        <v>0</v>
      </c>
      <c r="AF82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2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28" s="52">
        <f>IF(Tabla15[[#This Row],[26]]="",0,VLOOKUP(TRAMOS!$K$2,Tabla5[#All],3,FALSE)*Tabla15[[#This Row],[27]])</f>
        <v>0</v>
      </c>
      <c r="AI82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2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2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2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2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2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2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829" spans="2:41" x14ac:dyDescent="0.25">
      <c r="B829" s="58" t="str">
        <f>Tabla1[[#This Row],[nudo inicial]]</f>
        <v>N440</v>
      </c>
      <c r="C829" s="58" t="str">
        <f>Tabla1[[#This Row],[nudo final]]</f>
        <v>N442</v>
      </c>
      <c r="D829" s="51">
        <f>Tabla1[[#This Row],[longitud]]</f>
        <v>39.39</v>
      </c>
      <c r="E829" s="51" t="str">
        <f>Tabla1[[#This Row],[diametro]]</f>
        <v>6"</v>
      </c>
      <c r="F829" s="51" t="str">
        <f>Tabla1[[#This Row],[material]]</f>
        <v>PVC</v>
      </c>
      <c r="G82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829" s="52" t="str">
        <f>IF(Tabla1[[#This Row],[5]]="TPD",Tabla1[[#This Row],[6]],"")</f>
        <v>6"</v>
      </c>
      <c r="I829" s="52">
        <f>IF(OR(Tabla1[[#This Row],[5]]="TPD"),Tabla1[[#This Row],[7]],"")</f>
        <v>1</v>
      </c>
      <c r="J829" s="52">
        <f>IF(Tabla15[[#This Row],[2]]="",0,VLOOKUP(TRAMOS!$H$2,Tabla5[#All],3,FALSE)*Tabla15[[#This Row],[3]])</f>
        <v>0.15</v>
      </c>
      <c r="K829" s="52" t="str">
        <f>IF(Tabla1[[#This Row],[5]]="TPL",Tabla1[[#This Row],[6]],"")</f>
        <v/>
      </c>
      <c r="L829" s="52" t="str">
        <f>IF(OR(Tabla1[[#This Row],[5]]="TPL"),Tabla1[[#This Row],[7]],"")</f>
        <v/>
      </c>
      <c r="M829" s="52">
        <f>IF(Tabla15[[#This Row],[5]]="",0,VLOOKUP(TRAMOS!$K$2,Tabla5[#All],3,FALSE)*Tabla15[[#This Row],[6]])</f>
        <v>0</v>
      </c>
      <c r="N82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2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29" s="52">
        <f>IF(Tabla15[[#This Row],[8]]="",0,VLOOKUP(TRAMOS!$H$2,Tabla5[#All],3,FALSE)*Tabla15[[#This Row],[9]])</f>
        <v>0</v>
      </c>
      <c r="Q82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2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29" s="52">
        <f>IF(Tabla15[[#This Row],[11]]="",0,VLOOKUP(TRAMOS!$Q$2,Tabla5[#All],3,FALSE)*Tabla15[[#This Row],[12]])</f>
        <v>0</v>
      </c>
      <c r="T82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2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2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2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2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2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2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2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29" s="52">
        <f>IF(Tabla15[[#This Row],[20]]="",0,VLOOKUP("VRP",Tabla5[#All],3,FALSE)*Tabla15[[#This Row],[21]])</f>
        <v>0</v>
      </c>
      <c r="AC82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2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29" s="52">
        <f>IF(Tabla15[[#This Row],[23]]="",0,VLOOKUP("VC",Tabla5[#All],3,FALSE)*Tabla15[[#This Row],[24]])</f>
        <v>0</v>
      </c>
      <c r="AF82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2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29" s="52">
        <f>IF(Tabla15[[#This Row],[26]]="",0,VLOOKUP(TRAMOS!$K$2,Tabla5[#All],3,FALSE)*Tabla15[[#This Row],[27]])</f>
        <v>0</v>
      </c>
      <c r="AI82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2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2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2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2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2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2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830" spans="2:41" x14ac:dyDescent="0.25">
      <c r="B830" s="58" t="str">
        <f>Tabla1[[#This Row],[nudo inicial]]</f>
        <v>N442</v>
      </c>
      <c r="C830" s="58" t="str">
        <f>Tabla1[[#This Row],[nudo final]]</f>
        <v>TP288</v>
      </c>
      <c r="D830" s="51">
        <f>Tabla1[[#This Row],[longitud]]</f>
        <v>29.42</v>
      </c>
      <c r="E830" s="51" t="str">
        <f>Tabla1[[#This Row],[diametro]]</f>
        <v>1"</v>
      </c>
      <c r="F830" s="51" t="str">
        <f>Tabla1[[#This Row],[material]]</f>
        <v>PVC</v>
      </c>
      <c r="G83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830" s="52" t="str">
        <f>IF(Tabla1[[#This Row],[5]]="TPD",Tabla1[[#This Row],[6]],"")</f>
        <v/>
      </c>
      <c r="I830" s="52" t="str">
        <f>IF(OR(Tabla1[[#This Row],[5]]="TPD"),Tabla1[[#This Row],[7]],"")</f>
        <v/>
      </c>
      <c r="J830" s="52">
        <f>IF(Tabla15[[#This Row],[2]]="",0,VLOOKUP(TRAMOS!$H$2,Tabla5[#All],3,FALSE)*Tabla15[[#This Row],[3]])</f>
        <v>0</v>
      </c>
      <c r="K830" s="52" t="str">
        <f>IF(Tabla1[[#This Row],[5]]="TPL",Tabla1[[#This Row],[6]],"")</f>
        <v/>
      </c>
      <c r="L830" s="52" t="str">
        <f>IF(OR(Tabla1[[#This Row],[5]]="TPL"),Tabla1[[#This Row],[7]],"")</f>
        <v/>
      </c>
      <c r="M830" s="52">
        <f>IF(Tabla15[[#This Row],[5]]="",0,VLOOKUP(TRAMOS!$K$2,Tabla5[#All],3,FALSE)*Tabla15[[#This Row],[6]])</f>
        <v>0</v>
      </c>
      <c r="N83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3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30" s="52">
        <f>IF(Tabla15[[#This Row],[8]]="",0,VLOOKUP(TRAMOS!$H$2,Tabla5[#All],3,FALSE)*Tabla15[[#This Row],[9]])</f>
        <v>0</v>
      </c>
      <c r="Q83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3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30" s="52">
        <f>IF(Tabla15[[#This Row],[11]]="",0,VLOOKUP(TRAMOS!$Q$2,Tabla5[#All],3,FALSE)*Tabla15[[#This Row],[12]])</f>
        <v>0</v>
      </c>
      <c r="T83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1"</v>
      </c>
      <c r="U830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83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0.46</v>
      </c>
      <c r="W83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3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3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3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3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30" s="52">
        <f>IF(Tabla15[[#This Row],[20]]="",0,VLOOKUP("VRP",Tabla5[#All],3,FALSE)*Tabla15[[#This Row],[21]])</f>
        <v>0</v>
      </c>
      <c r="AC83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3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30" s="52">
        <f>IF(Tabla15[[#This Row],[23]]="",0,VLOOKUP("VC",Tabla5[#All],3,FALSE)*Tabla15[[#This Row],[24]])</f>
        <v>0</v>
      </c>
      <c r="AF83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>6"</v>
      </c>
      <c r="AG830" s="52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>1</v>
      </c>
      <c r="AH830" s="52">
        <f>IF(Tabla15[[#This Row],[26]]="",0,VLOOKUP(TRAMOS!$K$2,Tabla5[#All],3,FALSE)*Tabla15[[#This Row],[27]])</f>
        <v>0.9</v>
      </c>
      <c r="AI83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3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3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3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3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1"</v>
      </c>
      <c r="AN830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83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1.36</v>
      </c>
    </row>
    <row r="831" spans="2:41" x14ac:dyDescent="0.25">
      <c r="B831" s="58" t="str">
        <f>Tabla1[[#This Row],[nudo inicial]]</f>
        <v>N442</v>
      </c>
      <c r="C831" s="58" t="str">
        <f>Tabla1[[#This Row],[nudo final]]</f>
        <v>N443</v>
      </c>
      <c r="D831" s="51">
        <f>Tabla1[[#This Row],[longitud]]</f>
        <v>42.15</v>
      </c>
      <c r="E831" s="51" t="str">
        <f>Tabla1[[#This Row],[diametro]]</f>
        <v>6"</v>
      </c>
      <c r="F831" s="51" t="str">
        <f>Tabla1[[#This Row],[material]]</f>
        <v>PVC</v>
      </c>
      <c r="G83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831" s="52" t="str">
        <f>IF(Tabla1[[#This Row],[5]]="TPD",Tabla1[[#This Row],[6]],"")</f>
        <v/>
      </c>
      <c r="I831" s="52" t="str">
        <f>IF(OR(Tabla1[[#This Row],[5]]="TPD"),Tabla1[[#This Row],[7]],"")</f>
        <v/>
      </c>
      <c r="J831" s="52">
        <f>IF(Tabla15[[#This Row],[2]]="",0,VLOOKUP(TRAMOS!$H$2,Tabla5[#All],3,FALSE)*Tabla15[[#This Row],[3]])</f>
        <v>0</v>
      </c>
      <c r="K831" s="52" t="str">
        <f>IF(Tabla1[[#This Row],[5]]="TPL",Tabla1[[#This Row],[6]],"")</f>
        <v/>
      </c>
      <c r="L831" s="52" t="str">
        <f>IF(OR(Tabla1[[#This Row],[5]]="TPL"),Tabla1[[#This Row],[7]],"")</f>
        <v/>
      </c>
      <c r="M831" s="52">
        <f>IF(Tabla15[[#This Row],[5]]="",0,VLOOKUP(TRAMOS!$K$2,Tabla5[#All],3,FALSE)*Tabla15[[#This Row],[6]])</f>
        <v>0</v>
      </c>
      <c r="N83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3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31" s="52">
        <f>IF(Tabla15[[#This Row],[8]]="",0,VLOOKUP(TRAMOS!$H$2,Tabla5[#All],3,FALSE)*Tabla15[[#This Row],[9]])</f>
        <v>0</v>
      </c>
      <c r="Q83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3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31" s="52">
        <f>IF(Tabla15[[#This Row],[11]]="",0,VLOOKUP(TRAMOS!$Q$2,Tabla5[#All],3,FALSE)*Tabla15[[#This Row],[12]])</f>
        <v>0</v>
      </c>
      <c r="T83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3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3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3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3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3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3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3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31" s="52">
        <f>IF(Tabla15[[#This Row],[20]]="",0,VLOOKUP("VRP",Tabla5[#All],3,FALSE)*Tabla15[[#This Row],[21]])</f>
        <v>0</v>
      </c>
      <c r="AC83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3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31" s="52">
        <f>IF(Tabla15[[#This Row],[23]]="",0,VLOOKUP("VC",Tabla5[#All],3,FALSE)*Tabla15[[#This Row],[24]])</f>
        <v>0</v>
      </c>
      <c r="AF83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3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31" s="52">
        <f>IF(Tabla15[[#This Row],[26]]="",0,VLOOKUP(TRAMOS!$K$2,Tabla5[#All],3,FALSE)*Tabla15[[#This Row],[27]])</f>
        <v>0</v>
      </c>
      <c r="AI83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3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3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3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3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3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3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</v>
      </c>
    </row>
    <row r="832" spans="2:41" x14ac:dyDescent="0.25">
      <c r="B832" s="58" t="str">
        <f>Tabla1[[#This Row],[nudo inicial]]</f>
        <v>N443</v>
      </c>
      <c r="C832" s="58" t="str">
        <f>Tabla1[[#This Row],[nudo final]]</f>
        <v>TP289</v>
      </c>
      <c r="D832" s="51">
        <f>Tabla1[[#This Row],[longitud]]</f>
        <v>122.58</v>
      </c>
      <c r="E832" s="51" t="str">
        <f>Tabla1[[#This Row],[diametro]]</f>
        <v>3"</v>
      </c>
      <c r="F832" s="51" t="str">
        <f>Tabla1[[#This Row],[material]]</f>
        <v>PVC</v>
      </c>
      <c r="G83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832" s="52" t="str">
        <f>IF(Tabla1[[#This Row],[5]]="TPD",Tabla1[[#This Row],[6]],"")</f>
        <v/>
      </c>
      <c r="I832" s="52" t="str">
        <f>IF(OR(Tabla1[[#This Row],[5]]="TPD"),Tabla1[[#This Row],[7]],"")</f>
        <v/>
      </c>
      <c r="J832" s="52">
        <f>IF(Tabla15[[#This Row],[2]]="",0,VLOOKUP(TRAMOS!$H$2,Tabla5[#All],3,FALSE)*Tabla15[[#This Row],[3]])</f>
        <v>0</v>
      </c>
      <c r="K832" s="52" t="str">
        <f>IF(Tabla1[[#This Row],[5]]="TPL",Tabla1[[#This Row],[6]],"")</f>
        <v>6"</v>
      </c>
      <c r="L832" s="52">
        <f>IF(OR(Tabla1[[#This Row],[5]]="TPL"),Tabla1[[#This Row],[7]],"")</f>
        <v>1</v>
      </c>
      <c r="M832" s="52">
        <f>IF(Tabla15[[#This Row],[5]]="",0,VLOOKUP(TRAMOS!$K$2,Tabla5[#All],3,FALSE)*Tabla15[[#This Row],[6]])</f>
        <v>0.9</v>
      </c>
      <c r="N83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3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32" s="52">
        <f>IF(Tabla15[[#This Row],[8]]="",0,VLOOKUP(TRAMOS!$H$2,Tabla5[#All],3,FALSE)*Tabla15[[#This Row],[9]])</f>
        <v>0</v>
      </c>
      <c r="Q83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3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32" s="52">
        <f>IF(Tabla15[[#This Row],[11]]="",0,VLOOKUP(TRAMOS!$Q$2,Tabla5[#All],3,FALSE)*Tabla15[[#This Row],[12]])</f>
        <v>0</v>
      </c>
      <c r="T83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832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83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83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3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3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3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3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32" s="52">
        <f>IF(Tabla15[[#This Row],[20]]="",0,VLOOKUP("VRP",Tabla5[#All],3,FALSE)*Tabla15[[#This Row],[21]])</f>
        <v>0</v>
      </c>
      <c r="AC83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832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832" s="52">
        <f>IF(Tabla15[[#This Row],[23]]="",0,VLOOKUP("VC",Tabla5[#All],3,FALSE)*Tabla15[[#This Row],[24]])</f>
        <v>0.25</v>
      </c>
      <c r="AF83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3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32" s="52">
        <f>IF(Tabla15[[#This Row],[26]]="",0,VLOOKUP(TRAMOS!$K$2,Tabla5[#All],3,FALSE)*Tabla15[[#This Row],[27]])</f>
        <v>0</v>
      </c>
      <c r="AI83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3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3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3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3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832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83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1.52</v>
      </c>
    </row>
    <row r="833" spans="2:41" x14ac:dyDescent="0.25">
      <c r="B833" s="58" t="str">
        <f>Tabla1[[#This Row],[nudo inicial]]</f>
        <v>N443</v>
      </c>
      <c r="C833" s="58" t="str">
        <f>Tabla1[[#This Row],[nudo final]]</f>
        <v>N444</v>
      </c>
      <c r="D833" s="51">
        <f>Tabla1[[#This Row],[longitud]]</f>
        <v>77.239999999999995</v>
      </c>
      <c r="E833" s="51" t="str">
        <f>Tabla1[[#This Row],[diametro]]</f>
        <v>6"</v>
      </c>
      <c r="F833" s="51" t="str">
        <f>Tabla1[[#This Row],[material]]</f>
        <v>PVC</v>
      </c>
      <c r="G83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833" s="52" t="str">
        <f>IF(Tabla1[[#This Row],[5]]="TPD",Tabla1[[#This Row],[6]],"")</f>
        <v>6"</v>
      </c>
      <c r="I833" s="52">
        <f>IF(OR(Tabla1[[#This Row],[5]]="TPD"),Tabla1[[#This Row],[7]],"")</f>
        <v>1</v>
      </c>
      <c r="J833" s="52">
        <f>IF(Tabla15[[#This Row],[2]]="",0,VLOOKUP(TRAMOS!$H$2,Tabla5[#All],3,FALSE)*Tabla15[[#This Row],[3]])</f>
        <v>0.15</v>
      </c>
      <c r="K833" s="52" t="str">
        <f>IF(Tabla1[[#This Row],[5]]="TPL",Tabla1[[#This Row],[6]],"")</f>
        <v/>
      </c>
      <c r="L833" s="52" t="str">
        <f>IF(OR(Tabla1[[#This Row],[5]]="TPL"),Tabla1[[#This Row],[7]],"")</f>
        <v/>
      </c>
      <c r="M833" s="52">
        <f>IF(Tabla15[[#This Row],[5]]="",0,VLOOKUP(TRAMOS!$K$2,Tabla5[#All],3,FALSE)*Tabla15[[#This Row],[6]])</f>
        <v>0</v>
      </c>
      <c r="N83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3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33" s="52">
        <f>IF(Tabla15[[#This Row],[8]]="",0,VLOOKUP(TRAMOS!$H$2,Tabla5[#All],3,FALSE)*Tabla15[[#This Row],[9]])</f>
        <v>0</v>
      </c>
      <c r="Q83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3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33" s="52">
        <f>IF(Tabla15[[#This Row],[11]]="",0,VLOOKUP(TRAMOS!$Q$2,Tabla5[#All],3,FALSE)*Tabla15[[#This Row],[12]])</f>
        <v>0</v>
      </c>
      <c r="T83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3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3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3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3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3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3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3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33" s="52">
        <f>IF(Tabla15[[#This Row],[20]]="",0,VLOOKUP("VRP",Tabla5[#All],3,FALSE)*Tabla15[[#This Row],[21]])</f>
        <v>0</v>
      </c>
      <c r="AC83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3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33" s="52">
        <f>IF(Tabla15[[#This Row],[23]]="",0,VLOOKUP("VC",Tabla5[#All],3,FALSE)*Tabla15[[#This Row],[24]])</f>
        <v>0</v>
      </c>
      <c r="AF83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3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33" s="52">
        <f>IF(Tabla15[[#This Row],[26]]="",0,VLOOKUP(TRAMOS!$K$2,Tabla5[#All],3,FALSE)*Tabla15[[#This Row],[27]])</f>
        <v>0</v>
      </c>
      <c r="AI83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3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3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3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3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3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3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834" spans="2:41" x14ac:dyDescent="0.25">
      <c r="B834" s="58" t="str">
        <f>Tabla1[[#This Row],[nudo inicial]]</f>
        <v>N444</v>
      </c>
      <c r="C834" s="58" t="str">
        <f>Tabla1[[#This Row],[nudo final]]</f>
        <v>TP290</v>
      </c>
      <c r="D834" s="51">
        <f>Tabla1[[#This Row],[longitud]]</f>
        <v>135.13999999999999</v>
      </c>
      <c r="E834" s="51" t="str">
        <f>Tabla1[[#This Row],[diametro]]</f>
        <v>4"</v>
      </c>
      <c r="F834" s="51" t="str">
        <f>Tabla1[[#This Row],[material]]</f>
        <v>PVC</v>
      </c>
      <c r="G83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834" s="52" t="str">
        <f>IF(Tabla1[[#This Row],[5]]="TPD",Tabla1[[#This Row],[6]],"")</f>
        <v/>
      </c>
      <c r="I834" s="52" t="str">
        <f>IF(OR(Tabla1[[#This Row],[5]]="TPD"),Tabla1[[#This Row],[7]],"")</f>
        <v/>
      </c>
      <c r="J834" s="52">
        <f>IF(Tabla15[[#This Row],[2]]="",0,VLOOKUP(TRAMOS!$H$2,Tabla5[#All],3,FALSE)*Tabla15[[#This Row],[3]])</f>
        <v>0</v>
      </c>
      <c r="K834" s="52" t="str">
        <f>IF(Tabla1[[#This Row],[5]]="TPL",Tabla1[[#This Row],[6]],"")</f>
        <v>6"</v>
      </c>
      <c r="L834" s="52">
        <f>IF(OR(Tabla1[[#This Row],[5]]="TPL"),Tabla1[[#This Row],[7]],"")</f>
        <v>1</v>
      </c>
      <c r="M834" s="52">
        <f>IF(Tabla15[[#This Row],[5]]="",0,VLOOKUP(TRAMOS!$K$2,Tabla5[#All],3,FALSE)*Tabla15[[#This Row],[6]])</f>
        <v>0.9</v>
      </c>
      <c r="N83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3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34" s="52">
        <f>IF(Tabla15[[#This Row],[8]]="",0,VLOOKUP(TRAMOS!$H$2,Tabla5[#All],3,FALSE)*Tabla15[[#This Row],[9]])</f>
        <v>0</v>
      </c>
      <c r="Q83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4"</v>
      </c>
      <c r="R834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834" s="52">
        <f>IF(Tabla15[[#This Row],[11]]="",0,VLOOKUP(TRAMOS!$Q$2,Tabla5[#All],3,FALSE)*Tabla15[[#This Row],[12]])</f>
        <v>0.9</v>
      </c>
      <c r="T83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4"</v>
      </c>
      <c r="U834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83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83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3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3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3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3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34" s="52">
        <f>IF(Tabla15[[#This Row],[20]]="",0,VLOOKUP("VRP",Tabla5[#All],3,FALSE)*Tabla15[[#This Row],[21]])</f>
        <v>0</v>
      </c>
      <c r="AC83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3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34" s="52">
        <f>IF(Tabla15[[#This Row],[23]]="",0,VLOOKUP("VC",Tabla5[#All],3,FALSE)*Tabla15[[#This Row],[24]])</f>
        <v>0</v>
      </c>
      <c r="AF83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3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34" s="52">
        <f>IF(Tabla15[[#This Row],[26]]="",0,VLOOKUP(TRAMOS!$K$2,Tabla5[#All],3,FALSE)*Tabla15[[#This Row],[27]])</f>
        <v>0</v>
      </c>
      <c r="AI83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3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3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3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3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4"</v>
      </c>
      <c r="AN834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83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2.0150000000000001</v>
      </c>
    </row>
    <row r="835" spans="2:41" x14ac:dyDescent="0.25">
      <c r="B835" s="58" t="str">
        <f>Tabla1[[#This Row],[nudo inicial]]</f>
        <v>N444</v>
      </c>
      <c r="C835" s="58" t="str">
        <f>Tabla1[[#This Row],[nudo final]]</f>
        <v>N445</v>
      </c>
      <c r="D835" s="51">
        <f>Tabla1[[#This Row],[longitud]]</f>
        <v>81.92</v>
      </c>
      <c r="E835" s="51" t="str">
        <f>Tabla1[[#This Row],[diametro]]</f>
        <v>6"</v>
      </c>
      <c r="F835" s="51" t="str">
        <f>Tabla1[[#This Row],[material]]</f>
        <v>AC</v>
      </c>
      <c r="G83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835" s="52" t="str">
        <f>IF(Tabla1[[#This Row],[5]]="TPD",Tabla1[[#This Row],[6]],"")</f>
        <v>6"</v>
      </c>
      <c r="I835" s="52">
        <f>IF(OR(Tabla1[[#This Row],[5]]="TPD"),Tabla1[[#This Row],[7]],"")</f>
        <v>1</v>
      </c>
      <c r="J835" s="52">
        <f>IF(Tabla15[[#This Row],[2]]="",0,VLOOKUP(TRAMOS!$H$2,Tabla5[#All],3,FALSE)*Tabla15[[#This Row],[3]])</f>
        <v>0.15</v>
      </c>
      <c r="K835" s="52" t="str">
        <f>IF(Tabla1[[#This Row],[5]]="TPL",Tabla1[[#This Row],[6]],"")</f>
        <v/>
      </c>
      <c r="L835" s="52" t="str">
        <f>IF(OR(Tabla1[[#This Row],[5]]="TPL"),Tabla1[[#This Row],[7]],"")</f>
        <v/>
      </c>
      <c r="M835" s="52">
        <f>IF(Tabla15[[#This Row],[5]]="",0,VLOOKUP(TRAMOS!$K$2,Tabla5[#All],3,FALSE)*Tabla15[[#This Row],[6]])</f>
        <v>0</v>
      </c>
      <c r="N83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3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35" s="52">
        <f>IF(Tabla15[[#This Row],[8]]="",0,VLOOKUP(TRAMOS!$H$2,Tabla5[#All],3,FALSE)*Tabla15[[#This Row],[9]])</f>
        <v>0</v>
      </c>
      <c r="Q83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6"</v>
      </c>
      <c r="R835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2</v>
      </c>
      <c r="S835" s="52">
        <f>IF(Tabla15[[#This Row],[11]]="",0,VLOOKUP(TRAMOS!$Q$2,Tabla5[#All],3,FALSE)*Tabla15[[#This Row],[12]])</f>
        <v>1.8</v>
      </c>
      <c r="T83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3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3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3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3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3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3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3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35" s="52">
        <f>IF(Tabla15[[#This Row],[20]]="",0,VLOOKUP("VRP",Tabla5[#All],3,FALSE)*Tabla15[[#This Row],[21]])</f>
        <v>0</v>
      </c>
      <c r="AC83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6"</v>
      </c>
      <c r="AD835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835" s="52">
        <f>IF(Tabla15[[#This Row],[23]]="",0,VLOOKUP("VC",Tabla5[#All],3,FALSE)*Tabla15[[#This Row],[24]])</f>
        <v>0.25</v>
      </c>
      <c r="AF83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3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35" s="52">
        <f>IF(Tabla15[[#This Row],[26]]="",0,VLOOKUP(TRAMOS!$K$2,Tabla5[#All],3,FALSE)*Tabla15[[#This Row],[27]])</f>
        <v>0</v>
      </c>
      <c r="AI83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3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3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3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3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3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3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2.2000000000000002</v>
      </c>
    </row>
    <row r="836" spans="2:41" x14ac:dyDescent="0.25">
      <c r="B836" s="58" t="str">
        <f>Tabla1[[#This Row],[nudo inicial]]</f>
        <v>N445</v>
      </c>
      <c r="C836" s="58" t="str">
        <f>Tabla1[[#This Row],[nudo final]]</f>
        <v>TP291</v>
      </c>
      <c r="D836" s="51">
        <f>Tabla1[[#This Row],[longitud]]</f>
        <v>123.27</v>
      </c>
      <c r="E836" s="51" t="str">
        <f>Tabla1[[#This Row],[diametro]]</f>
        <v>1"</v>
      </c>
      <c r="F836" s="51" t="str">
        <f>Tabla1[[#This Row],[material]]</f>
        <v>PVC</v>
      </c>
      <c r="G83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836" s="52" t="str">
        <f>IF(Tabla1[[#This Row],[5]]="TPD",Tabla1[[#This Row],[6]],"")</f>
        <v/>
      </c>
      <c r="I836" s="52" t="str">
        <f>IF(OR(Tabla1[[#This Row],[5]]="TPD"),Tabla1[[#This Row],[7]],"")</f>
        <v/>
      </c>
      <c r="J836" s="52">
        <f>IF(Tabla15[[#This Row],[2]]="",0,VLOOKUP(TRAMOS!$H$2,Tabla5[#All],3,FALSE)*Tabla15[[#This Row],[3]])</f>
        <v>0</v>
      </c>
      <c r="K836" s="52" t="str">
        <f>IF(Tabla1[[#This Row],[5]]="TPL",Tabla1[[#This Row],[6]],"")</f>
        <v/>
      </c>
      <c r="L836" s="52" t="str">
        <f>IF(OR(Tabla1[[#This Row],[5]]="TPL"),Tabla1[[#This Row],[7]],"")</f>
        <v/>
      </c>
      <c r="M836" s="52">
        <f>IF(Tabla15[[#This Row],[5]]="",0,VLOOKUP(TRAMOS!$K$2,Tabla5[#All],3,FALSE)*Tabla15[[#This Row],[6]])</f>
        <v>0</v>
      </c>
      <c r="N83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3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36" s="52">
        <f>IF(Tabla15[[#This Row],[8]]="",0,VLOOKUP(TRAMOS!$H$2,Tabla5[#All],3,FALSE)*Tabla15[[#This Row],[9]])</f>
        <v>0</v>
      </c>
      <c r="Q83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3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36" s="52">
        <f>IF(Tabla15[[#This Row],[11]]="",0,VLOOKUP(TRAMOS!$Q$2,Tabla5[#All],3,FALSE)*Tabla15[[#This Row],[12]])</f>
        <v>0</v>
      </c>
      <c r="T83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1"</v>
      </c>
      <c r="U836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83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0.46</v>
      </c>
      <c r="W83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3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3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3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3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36" s="52">
        <f>IF(Tabla15[[#This Row],[20]]="",0,VLOOKUP("VRP",Tabla5[#All],3,FALSE)*Tabla15[[#This Row],[21]])</f>
        <v>0</v>
      </c>
      <c r="AC83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3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36" s="52">
        <f>IF(Tabla15[[#This Row],[23]]="",0,VLOOKUP("VC",Tabla5[#All],3,FALSE)*Tabla15[[#This Row],[24]])</f>
        <v>0</v>
      </c>
      <c r="AF83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>6"</v>
      </c>
      <c r="AG836" s="52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>1</v>
      </c>
      <c r="AH836" s="52">
        <f>IF(Tabla15[[#This Row],[26]]="",0,VLOOKUP(TRAMOS!$K$2,Tabla5[#All],3,FALSE)*Tabla15[[#This Row],[27]])</f>
        <v>0.9</v>
      </c>
      <c r="AI83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3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3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3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3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1"</v>
      </c>
      <c r="AN83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83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1.36</v>
      </c>
    </row>
    <row r="837" spans="2:41" x14ac:dyDescent="0.25">
      <c r="B837" s="58" t="str">
        <f>Tabla1[[#This Row],[nudo inicial]]</f>
        <v>N445</v>
      </c>
      <c r="C837" s="58" t="str">
        <f>Tabla1[[#This Row],[nudo final]]</f>
        <v>N446</v>
      </c>
      <c r="D837" s="51">
        <f>Tabla1[[#This Row],[longitud]]</f>
        <v>117.41</v>
      </c>
      <c r="E837" s="51" t="str">
        <f>Tabla1[[#This Row],[diametro]]</f>
        <v>6"</v>
      </c>
      <c r="F837" s="51" t="str">
        <f>Tabla1[[#This Row],[material]]</f>
        <v>AC</v>
      </c>
      <c r="G83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837" s="52" t="str">
        <f>IF(Tabla1[[#This Row],[5]]="TPD",Tabla1[[#This Row],[6]],"")</f>
        <v/>
      </c>
      <c r="I837" s="52" t="str">
        <f>IF(OR(Tabla1[[#This Row],[5]]="TPD"),Tabla1[[#This Row],[7]],"")</f>
        <v/>
      </c>
      <c r="J837" s="52">
        <f>IF(Tabla15[[#This Row],[2]]="",0,VLOOKUP(TRAMOS!$H$2,Tabla5[#All],3,FALSE)*Tabla15[[#This Row],[3]])</f>
        <v>0</v>
      </c>
      <c r="K837" s="52" t="str">
        <f>IF(Tabla1[[#This Row],[5]]="TPL",Tabla1[[#This Row],[6]],"")</f>
        <v/>
      </c>
      <c r="L837" s="52" t="str">
        <f>IF(OR(Tabla1[[#This Row],[5]]="TPL"),Tabla1[[#This Row],[7]],"")</f>
        <v/>
      </c>
      <c r="M837" s="52">
        <f>IF(Tabla15[[#This Row],[5]]="",0,VLOOKUP(TRAMOS!$K$2,Tabla5[#All],3,FALSE)*Tabla15[[#This Row],[6]])</f>
        <v>0</v>
      </c>
      <c r="N83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3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37" s="52">
        <f>IF(Tabla15[[#This Row],[8]]="",0,VLOOKUP(TRAMOS!$H$2,Tabla5[#All],3,FALSE)*Tabla15[[#This Row],[9]])</f>
        <v>0</v>
      </c>
      <c r="Q83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6"</v>
      </c>
      <c r="R837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5</v>
      </c>
      <c r="S837" s="52">
        <f>IF(Tabla15[[#This Row],[11]]="",0,VLOOKUP(TRAMOS!$Q$2,Tabla5[#All],3,FALSE)*Tabla15[[#This Row],[12]])</f>
        <v>4.5</v>
      </c>
      <c r="T83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3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3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3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3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3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3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3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37" s="52">
        <f>IF(Tabla15[[#This Row],[20]]="",0,VLOOKUP("VRP",Tabla5[#All],3,FALSE)*Tabla15[[#This Row],[21]])</f>
        <v>0</v>
      </c>
      <c r="AC83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3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37" s="52">
        <f>IF(Tabla15[[#This Row],[23]]="",0,VLOOKUP("VC",Tabla5[#All],3,FALSE)*Tabla15[[#This Row],[24]])</f>
        <v>0</v>
      </c>
      <c r="AF83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3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37" s="52">
        <f>IF(Tabla15[[#This Row],[26]]="",0,VLOOKUP(TRAMOS!$K$2,Tabla5[#All],3,FALSE)*Tabla15[[#This Row],[27]])</f>
        <v>0</v>
      </c>
      <c r="AI83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3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3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3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3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3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3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4.5</v>
      </c>
    </row>
    <row r="838" spans="2:41" x14ac:dyDescent="0.25">
      <c r="B838" s="58" t="str">
        <f>Tabla1[[#This Row],[nudo inicial]]</f>
        <v>N446</v>
      </c>
      <c r="C838" s="58" t="str">
        <f>Tabla1[[#This Row],[nudo final]]</f>
        <v>TP292</v>
      </c>
      <c r="D838" s="51">
        <f>Tabla1[[#This Row],[longitud]]</f>
        <v>92.49</v>
      </c>
      <c r="E838" s="51" t="str">
        <f>Tabla1[[#This Row],[diametro]]</f>
        <v>4"</v>
      </c>
      <c r="F838" s="51" t="str">
        <f>Tabla1[[#This Row],[material]]</f>
        <v>PVC</v>
      </c>
      <c r="G83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838" s="52" t="str">
        <f>IF(Tabla1[[#This Row],[5]]="TPD",Tabla1[[#This Row],[6]],"")</f>
        <v/>
      </c>
      <c r="I838" s="52" t="str">
        <f>IF(OR(Tabla1[[#This Row],[5]]="TPD"),Tabla1[[#This Row],[7]],"")</f>
        <v/>
      </c>
      <c r="J838" s="52">
        <f>IF(Tabla15[[#This Row],[2]]="",0,VLOOKUP(TRAMOS!$H$2,Tabla5[#All],3,FALSE)*Tabla15[[#This Row],[3]])</f>
        <v>0</v>
      </c>
      <c r="K838" s="52" t="str">
        <f>IF(Tabla1[[#This Row],[5]]="TPL",Tabla1[[#This Row],[6]],"")</f>
        <v/>
      </c>
      <c r="L838" s="52" t="str">
        <f>IF(OR(Tabla1[[#This Row],[5]]="TPL"),Tabla1[[#This Row],[7]],"")</f>
        <v/>
      </c>
      <c r="M838" s="52">
        <f>IF(Tabla15[[#This Row],[5]]="",0,VLOOKUP(TRAMOS!$K$2,Tabla5[#All],3,FALSE)*Tabla15[[#This Row],[6]])</f>
        <v>0</v>
      </c>
      <c r="N83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6"</v>
      </c>
      <c r="O838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838" s="52">
        <f>IF(Tabla15[[#This Row],[8]]="",0,VLOOKUP(TRAMOS!$H$2,Tabla5[#All],3,FALSE)*Tabla15[[#This Row],[9]])</f>
        <v>0.15</v>
      </c>
      <c r="Q83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4"</v>
      </c>
      <c r="R838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2</v>
      </c>
      <c r="S838" s="52">
        <f>IF(Tabla15[[#This Row],[11]]="",0,VLOOKUP(TRAMOS!$Q$2,Tabla5[#All],3,FALSE)*Tabla15[[#This Row],[12]])</f>
        <v>1.8</v>
      </c>
      <c r="T83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4"</v>
      </c>
      <c r="U838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83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83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3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3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3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3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38" s="52">
        <f>IF(Tabla15[[#This Row],[20]]="",0,VLOOKUP("VRP",Tabla5[#All],3,FALSE)*Tabla15[[#This Row],[21]])</f>
        <v>0</v>
      </c>
      <c r="AC83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3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38" s="52">
        <f>IF(Tabla15[[#This Row],[23]]="",0,VLOOKUP("VC",Tabla5[#All],3,FALSE)*Tabla15[[#This Row],[24]])</f>
        <v>0</v>
      </c>
      <c r="AF83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3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38" s="52">
        <f>IF(Tabla15[[#This Row],[26]]="",0,VLOOKUP(TRAMOS!$K$2,Tabla5[#All],3,FALSE)*Tabla15[[#This Row],[27]])</f>
        <v>0</v>
      </c>
      <c r="AI83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3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3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3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3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4"</v>
      </c>
      <c r="AN838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83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2.165</v>
      </c>
    </row>
    <row r="839" spans="2:41" x14ac:dyDescent="0.25">
      <c r="B839" s="58" t="str">
        <f>Tabla1[[#This Row],[nudo inicial]]</f>
        <v>N446</v>
      </c>
      <c r="C839" s="58" t="str">
        <f>Tabla1[[#This Row],[nudo final]]</f>
        <v>N447</v>
      </c>
      <c r="D839" s="51">
        <f>Tabla1[[#This Row],[longitud]]</f>
        <v>52.56</v>
      </c>
      <c r="E839" s="51" t="str">
        <f>Tabla1[[#This Row],[diametro]]</f>
        <v>1"</v>
      </c>
      <c r="F839" s="51" t="str">
        <f>Tabla1[[#This Row],[material]]</f>
        <v>PVC</v>
      </c>
      <c r="G83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839" s="52" t="str">
        <f>IF(Tabla1[[#This Row],[5]]="TPD",Tabla1[[#This Row],[6]],"")</f>
        <v/>
      </c>
      <c r="I839" s="52" t="str">
        <f>IF(OR(Tabla1[[#This Row],[5]]="TPD"),Tabla1[[#This Row],[7]],"")</f>
        <v/>
      </c>
      <c r="J839" s="52">
        <f>IF(Tabla15[[#This Row],[2]]="",0,VLOOKUP(TRAMOS!$H$2,Tabla5[#All],3,FALSE)*Tabla15[[#This Row],[3]])</f>
        <v>0</v>
      </c>
      <c r="K839" s="52" t="str">
        <f>IF(Tabla1[[#This Row],[5]]="TPL",Tabla1[[#This Row],[6]],"")</f>
        <v/>
      </c>
      <c r="L839" s="52" t="str">
        <f>IF(OR(Tabla1[[#This Row],[5]]="TPL"),Tabla1[[#This Row],[7]],"")</f>
        <v/>
      </c>
      <c r="M839" s="52">
        <f>IF(Tabla15[[#This Row],[5]]="",0,VLOOKUP(TRAMOS!$K$2,Tabla5[#All],3,FALSE)*Tabla15[[#This Row],[6]])</f>
        <v>0</v>
      </c>
      <c r="N83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6"</v>
      </c>
      <c r="O839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839" s="52">
        <f>IF(Tabla15[[#This Row],[8]]="",0,VLOOKUP(TRAMOS!$H$2,Tabla5[#All],3,FALSE)*Tabla15[[#This Row],[9]])</f>
        <v>0.15</v>
      </c>
      <c r="Q83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1"</v>
      </c>
      <c r="R839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839" s="52">
        <f>IF(Tabla15[[#This Row],[11]]="",0,VLOOKUP(TRAMOS!$Q$2,Tabla5[#All],3,FALSE)*Tabla15[[#This Row],[12]])</f>
        <v>0.9</v>
      </c>
      <c r="T83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1"</v>
      </c>
      <c r="U839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83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0.46</v>
      </c>
      <c r="W83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3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3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3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3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39" s="52">
        <f>IF(Tabla15[[#This Row],[20]]="",0,VLOOKUP("VRP",Tabla5[#All],3,FALSE)*Tabla15[[#This Row],[21]])</f>
        <v>0</v>
      </c>
      <c r="AC83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3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39" s="52">
        <f>IF(Tabla15[[#This Row],[23]]="",0,VLOOKUP("VC",Tabla5[#All],3,FALSE)*Tabla15[[#This Row],[24]])</f>
        <v>0</v>
      </c>
      <c r="AF83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3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39" s="52">
        <f>IF(Tabla15[[#This Row],[26]]="",0,VLOOKUP(TRAMOS!$K$2,Tabla5[#All],3,FALSE)*Tabla15[[#This Row],[27]])</f>
        <v>0</v>
      </c>
      <c r="AI83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3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3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3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3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3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3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1.51</v>
      </c>
    </row>
    <row r="840" spans="2:41" x14ac:dyDescent="0.25">
      <c r="B840" s="58" t="str">
        <f>Tabla1[[#This Row],[nudo inicial]]</f>
        <v>N447</v>
      </c>
      <c r="C840" s="58" t="str">
        <f>Tabla1[[#This Row],[nudo final]]</f>
        <v>TP293</v>
      </c>
      <c r="D840" s="51">
        <f>Tabla1[[#This Row],[longitud]]</f>
        <v>35.01</v>
      </c>
      <c r="E840" s="51" t="str">
        <f>Tabla1[[#This Row],[diametro]]</f>
        <v>1"</v>
      </c>
      <c r="F840" s="51" t="str">
        <f>Tabla1[[#This Row],[material]]</f>
        <v>PVC</v>
      </c>
      <c r="G84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1"</v>
      </c>
      <c r="H840" s="52" t="str">
        <f>IF(Tabla1[[#This Row],[5]]="TPD",Tabla1[[#This Row],[6]],"")</f>
        <v>1"</v>
      </c>
      <c r="I840" s="52">
        <f>IF(OR(Tabla1[[#This Row],[5]]="TPD"),Tabla1[[#This Row],[7]],"")</f>
        <v>1</v>
      </c>
      <c r="J840" s="52">
        <f>IF(Tabla15[[#This Row],[2]]="",0,VLOOKUP(TRAMOS!$H$2,Tabla5[#All],3,FALSE)*Tabla15[[#This Row],[3]])</f>
        <v>0.15</v>
      </c>
      <c r="K840" s="52" t="str">
        <f>IF(Tabla1[[#This Row],[5]]="TPL",Tabla1[[#This Row],[6]],"")</f>
        <v/>
      </c>
      <c r="L840" s="52" t="str">
        <f>IF(OR(Tabla1[[#This Row],[5]]="TPL"),Tabla1[[#This Row],[7]],"")</f>
        <v/>
      </c>
      <c r="M840" s="52">
        <f>IF(Tabla15[[#This Row],[5]]="",0,VLOOKUP(TRAMOS!$K$2,Tabla5[#All],3,FALSE)*Tabla15[[#This Row],[6]])</f>
        <v>0</v>
      </c>
      <c r="N84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4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40" s="52">
        <f>IF(Tabla15[[#This Row],[8]]="",0,VLOOKUP(TRAMOS!$H$2,Tabla5[#All],3,FALSE)*Tabla15[[#This Row],[9]])</f>
        <v>0</v>
      </c>
      <c r="Q84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4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40" s="52">
        <f>IF(Tabla15[[#This Row],[11]]="",0,VLOOKUP(TRAMOS!$Q$2,Tabla5[#All],3,FALSE)*Tabla15[[#This Row],[12]])</f>
        <v>0</v>
      </c>
      <c r="T84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4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4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4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4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4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4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4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40" s="52">
        <f>IF(Tabla15[[#This Row],[20]]="",0,VLOOKUP("VRP",Tabla5[#All],3,FALSE)*Tabla15[[#This Row],[21]])</f>
        <v>0</v>
      </c>
      <c r="AC84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4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40" s="52">
        <f>IF(Tabla15[[#This Row],[23]]="",0,VLOOKUP("VC",Tabla5[#All],3,FALSE)*Tabla15[[#This Row],[24]])</f>
        <v>0</v>
      </c>
      <c r="AF84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4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40" s="52">
        <f>IF(Tabla15[[#This Row],[26]]="",0,VLOOKUP(TRAMOS!$K$2,Tabla5[#All],3,FALSE)*Tabla15[[#This Row],[27]])</f>
        <v>0</v>
      </c>
      <c r="AI84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4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4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4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4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1"</v>
      </c>
      <c r="AN840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84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841" spans="2:41" x14ac:dyDescent="0.25">
      <c r="B841" s="58" t="str">
        <f>Tabla1[[#This Row],[nudo inicial]]</f>
        <v>N447</v>
      </c>
      <c r="C841" s="58" t="str">
        <f>Tabla1[[#This Row],[nudo final]]</f>
        <v>TP294</v>
      </c>
      <c r="D841" s="51">
        <f>Tabla1[[#This Row],[longitud]]</f>
        <v>53.71</v>
      </c>
      <c r="E841" s="51" t="str">
        <f>Tabla1[[#This Row],[diametro]]</f>
        <v>1"</v>
      </c>
      <c r="F841" s="51" t="str">
        <f>Tabla1[[#This Row],[material]]</f>
        <v>PVC</v>
      </c>
      <c r="G84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1"</v>
      </c>
      <c r="H841" s="52" t="str">
        <f>IF(Tabla1[[#This Row],[5]]="TPD",Tabla1[[#This Row],[6]],"")</f>
        <v/>
      </c>
      <c r="I841" s="52" t="str">
        <f>IF(OR(Tabla1[[#This Row],[5]]="TPD"),Tabla1[[#This Row],[7]],"")</f>
        <v/>
      </c>
      <c r="J841" s="52">
        <f>IF(Tabla15[[#This Row],[2]]="",0,VLOOKUP(TRAMOS!$H$2,Tabla5[#All],3,FALSE)*Tabla15[[#This Row],[3]])</f>
        <v>0</v>
      </c>
      <c r="K841" s="52" t="str">
        <f>IF(Tabla1[[#This Row],[5]]="TPL",Tabla1[[#This Row],[6]],"")</f>
        <v>1"</v>
      </c>
      <c r="L841" s="52">
        <f>IF(OR(Tabla1[[#This Row],[5]]="TPL"),Tabla1[[#This Row],[7]],"")</f>
        <v>1</v>
      </c>
      <c r="M841" s="52">
        <f>IF(Tabla15[[#This Row],[5]]="",0,VLOOKUP(TRAMOS!$K$2,Tabla5[#All],3,FALSE)*Tabla15[[#This Row],[6]])</f>
        <v>0.9</v>
      </c>
      <c r="N84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4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41" s="52">
        <f>IF(Tabla15[[#This Row],[8]]="",0,VLOOKUP(TRAMOS!$H$2,Tabla5[#All],3,FALSE)*Tabla15[[#This Row],[9]])</f>
        <v>0</v>
      </c>
      <c r="Q84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1"</v>
      </c>
      <c r="R841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841" s="52">
        <f>IF(Tabla15[[#This Row],[11]]="",0,VLOOKUP(TRAMOS!$Q$2,Tabla5[#All],3,FALSE)*Tabla15[[#This Row],[12]])</f>
        <v>0.9</v>
      </c>
      <c r="T84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4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4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4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4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4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4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4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41" s="52">
        <f>IF(Tabla15[[#This Row],[20]]="",0,VLOOKUP("VRP",Tabla5[#All],3,FALSE)*Tabla15[[#This Row],[21]])</f>
        <v>0</v>
      </c>
      <c r="AC84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4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41" s="52">
        <f>IF(Tabla15[[#This Row],[23]]="",0,VLOOKUP("VC",Tabla5[#All],3,FALSE)*Tabla15[[#This Row],[24]])</f>
        <v>0</v>
      </c>
      <c r="AF84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4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41" s="52">
        <f>IF(Tabla15[[#This Row],[26]]="",0,VLOOKUP(TRAMOS!$K$2,Tabla5[#All],3,FALSE)*Tabla15[[#This Row],[27]])</f>
        <v>0</v>
      </c>
      <c r="AI84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4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4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4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4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1"</v>
      </c>
      <c r="AN841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84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1.8</v>
      </c>
    </row>
    <row r="842" spans="2:41" x14ac:dyDescent="0.25">
      <c r="B842" s="58" t="str">
        <f>Tabla1[[#This Row],[nudo inicial]]</f>
        <v>N392</v>
      </c>
      <c r="C842" s="58" t="str">
        <f>Tabla1[[#This Row],[nudo final]]</f>
        <v>N448</v>
      </c>
      <c r="D842" s="51">
        <f>Tabla1[[#This Row],[longitud]]</f>
        <v>16.059999999999999</v>
      </c>
      <c r="E842" s="51" t="str">
        <f>Tabla1[[#This Row],[diametro]]</f>
        <v>2"</v>
      </c>
      <c r="F842" s="51" t="str">
        <f>Tabla1[[#This Row],[material]]</f>
        <v>HG</v>
      </c>
      <c r="G84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842" s="52" t="str">
        <f>IF(Tabla1[[#This Row],[5]]="TPD",Tabla1[[#This Row],[6]],"")</f>
        <v/>
      </c>
      <c r="I842" s="52" t="str">
        <f>IF(OR(Tabla1[[#This Row],[5]]="TPD"),Tabla1[[#This Row],[7]],"")</f>
        <v/>
      </c>
      <c r="J842" s="52">
        <f>IF(Tabla15[[#This Row],[2]]="",0,VLOOKUP(TRAMOS!$H$2,Tabla5[#All],3,FALSE)*Tabla15[[#This Row],[3]])</f>
        <v>0</v>
      </c>
      <c r="K842" s="52" t="str">
        <f>IF(Tabla1[[#This Row],[5]]="TPL",Tabla1[[#This Row],[6]],"")</f>
        <v/>
      </c>
      <c r="L842" s="52" t="str">
        <f>IF(OR(Tabla1[[#This Row],[5]]="TPL"),Tabla1[[#This Row],[7]],"")</f>
        <v/>
      </c>
      <c r="M842" s="52">
        <f>IF(Tabla15[[#This Row],[5]]="",0,VLOOKUP(TRAMOS!$K$2,Tabla5[#All],3,FALSE)*Tabla15[[#This Row],[6]])</f>
        <v>0</v>
      </c>
      <c r="N84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3"</v>
      </c>
      <c r="O842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842" s="52">
        <f>IF(Tabla15[[#This Row],[8]]="",0,VLOOKUP(TRAMOS!$H$2,Tabla5[#All],3,FALSE)*Tabla15[[#This Row],[9]])</f>
        <v>0.15</v>
      </c>
      <c r="Q84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4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42" s="52">
        <f>IF(Tabla15[[#This Row],[11]]="",0,VLOOKUP(TRAMOS!$Q$2,Tabla5[#All],3,FALSE)*Tabla15[[#This Row],[12]])</f>
        <v>0</v>
      </c>
      <c r="T84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842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84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84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4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4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4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4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42" s="52">
        <f>IF(Tabla15[[#This Row],[20]]="",0,VLOOKUP("VRP",Tabla5[#All],3,FALSE)*Tabla15[[#This Row],[21]])</f>
        <v>0</v>
      </c>
      <c r="AC84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4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42" s="52">
        <f>IF(Tabla15[[#This Row],[23]]="",0,VLOOKUP("VC",Tabla5[#All],3,FALSE)*Tabla15[[#This Row],[24]])</f>
        <v>0</v>
      </c>
      <c r="AF84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4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42" s="52">
        <f>IF(Tabla15[[#This Row],[26]]="",0,VLOOKUP(TRAMOS!$K$2,Tabla5[#All],3,FALSE)*Tabla15[[#This Row],[27]])</f>
        <v>0</v>
      </c>
      <c r="AI84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4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4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4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4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4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4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0.36499999999999999</v>
      </c>
    </row>
    <row r="843" spans="2:41" x14ac:dyDescent="0.25">
      <c r="B843" s="58" t="str">
        <f>Tabla1[[#This Row],[nudo inicial]]</f>
        <v>N448</v>
      </c>
      <c r="C843" s="58" t="str">
        <f>Tabla1[[#This Row],[nudo final]]</f>
        <v>N449</v>
      </c>
      <c r="D843" s="51">
        <f>Tabla1[[#This Row],[longitud]]</f>
        <v>294.63</v>
      </c>
      <c r="E843" s="51" t="str">
        <f>Tabla1[[#This Row],[diametro]]</f>
        <v>2"</v>
      </c>
      <c r="F843" s="51" t="str">
        <f>Tabla1[[#This Row],[material]]</f>
        <v>HG</v>
      </c>
      <c r="G84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843" s="52" t="str">
        <f>IF(Tabla1[[#This Row],[5]]="TPD",Tabla1[[#This Row],[6]],"")</f>
        <v/>
      </c>
      <c r="I843" s="52" t="str">
        <f>IF(OR(Tabla1[[#This Row],[5]]="TPD"),Tabla1[[#This Row],[7]],"")</f>
        <v/>
      </c>
      <c r="J843" s="52">
        <f>IF(Tabla15[[#This Row],[2]]="",0,VLOOKUP(TRAMOS!$H$2,Tabla5[#All],3,FALSE)*Tabla15[[#This Row],[3]])</f>
        <v>0</v>
      </c>
      <c r="K843" s="52" t="str">
        <f>IF(Tabla1[[#This Row],[5]]="TPL",Tabla1[[#This Row],[6]],"")</f>
        <v>2"</v>
      </c>
      <c r="L843" s="52">
        <f>IF(OR(Tabla1[[#This Row],[5]]="TPL"),Tabla1[[#This Row],[7]],"")</f>
        <v>1</v>
      </c>
      <c r="M843" s="52">
        <f>IF(Tabla15[[#This Row],[5]]="",0,VLOOKUP(TRAMOS!$K$2,Tabla5[#All],3,FALSE)*Tabla15[[#This Row],[6]])</f>
        <v>0.9</v>
      </c>
      <c r="N84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4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43" s="52">
        <f>IF(Tabla15[[#This Row],[8]]="",0,VLOOKUP(TRAMOS!$H$2,Tabla5[#All],3,FALSE)*Tabla15[[#This Row],[9]])</f>
        <v>0</v>
      </c>
      <c r="Q84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4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43" s="52">
        <f>IF(Tabla15[[#This Row],[11]]="",0,VLOOKUP(TRAMOS!$Q$2,Tabla5[#All],3,FALSE)*Tabla15[[#This Row],[12]])</f>
        <v>0</v>
      </c>
      <c r="T84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4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4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4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4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4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4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4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43" s="52">
        <f>IF(Tabla15[[#This Row],[20]]="",0,VLOOKUP("VRP",Tabla5[#All],3,FALSE)*Tabla15[[#This Row],[21]])</f>
        <v>0</v>
      </c>
      <c r="AC84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4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43" s="52">
        <f>IF(Tabla15[[#This Row],[23]]="",0,VLOOKUP("VC",Tabla5[#All],3,FALSE)*Tabla15[[#This Row],[24]])</f>
        <v>0</v>
      </c>
      <c r="AF84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4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43" s="52">
        <f>IF(Tabla15[[#This Row],[26]]="",0,VLOOKUP(TRAMOS!$K$2,Tabla5[#All],3,FALSE)*Tabla15[[#This Row],[27]])</f>
        <v>0</v>
      </c>
      <c r="AI84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4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4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4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4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4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4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844" spans="2:41" x14ac:dyDescent="0.25">
      <c r="B844" s="58" t="str">
        <f>Tabla1[[#This Row],[nudo inicial]]</f>
        <v>N449</v>
      </c>
      <c r="C844" s="58" t="str">
        <f>Tabla1[[#This Row],[nudo final]]</f>
        <v>TP295</v>
      </c>
      <c r="D844" s="51">
        <f>Tabla1[[#This Row],[longitud]]</f>
        <v>56.7</v>
      </c>
      <c r="E844" s="51" t="str">
        <f>Tabla1[[#This Row],[diametro]]</f>
        <v>1/2"</v>
      </c>
      <c r="F844" s="51" t="str">
        <f>Tabla1[[#This Row],[material]]</f>
        <v>HG</v>
      </c>
      <c r="G84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844" s="52" t="str">
        <f>IF(Tabla1[[#This Row],[5]]="TPD",Tabla1[[#This Row],[6]],"")</f>
        <v/>
      </c>
      <c r="I844" s="52" t="str">
        <f>IF(OR(Tabla1[[#This Row],[5]]="TPD"),Tabla1[[#This Row],[7]],"")</f>
        <v/>
      </c>
      <c r="J844" s="52">
        <f>IF(Tabla15[[#This Row],[2]]="",0,VLOOKUP(TRAMOS!$H$2,Tabla5[#All],3,FALSE)*Tabla15[[#This Row],[3]])</f>
        <v>0</v>
      </c>
      <c r="K844" s="52" t="str">
        <f>IF(Tabla1[[#This Row],[5]]="TPL",Tabla1[[#This Row],[6]],"")</f>
        <v/>
      </c>
      <c r="L844" s="52" t="str">
        <f>IF(OR(Tabla1[[#This Row],[5]]="TPL"),Tabla1[[#This Row],[7]],"")</f>
        <v/>
      </c>
      <c r="M844" s="52">
        <f>IF(Tabla15[[#This Row],[5]]="",0,VLOOKUP(TRAMOS!$K$2,Tabla5[#All],3,FALSE)*Tabla15[[#This Row],[6]])</f>
        <v>0</v>
      </c>
      <c r="N84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4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44" s="52">
        <f>IF(Tabla15[[#This Row],[8]]="",0,VLOOKUP(TRAMOS!$H$2,Tabla5[#All],3,FALSE)*Tabla15[[#This Row],[9]])</f>
        <v>0</v>
      </c>
      <c r="Q84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4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44" s="52">
        <f>IF(Tabla15[[#This Row],[11]]="",0,VLOOKUP(TRAMOS!$Q$2,Tabla5[#All],3,FALSE)*Tabla15[[#This Row],[12]])</f>
        <v>0</v>
      </c>
      <c r="T84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1/2"</v>
      </c>
      <c r="U844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84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0.45</v>
      </c>
      <c r="W84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4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4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4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4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44" s="52">
        <f>IF(Tabla15[[#This Row],[20]]="",0,VLOOKUP("VRP",Tabla5[#All],3,FALSE)*Tabla15[[#This Row],[21]])</f>
        <v>0</v>
      </c>
      <c r="AC84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4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44" s="52">
        <f>IF(Tabla15[[#This Row],[23]]="",0,VLOOKUP("VC",Tabla5[#All],3,FALSE)*Tabla15[[#This Row],[24]])</f>
        <v>0</v>
      </c>
      <c r="AF84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4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44" s="52">
        <f>IF(Tabla15[[#This Row],[26]]="",0,VLOOKUP(TRAMOS!$K$2,Tabla5[#All],3,FALSE)*Tabla15[[#This Row],[27]])</f>
        <v>0</v>
      </c>
      <c r="AI84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4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4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4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4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1/2"</v>
      </c>
      <c r="AN844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84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0.45</v>
      </c>
    </row>
    <row r="845" spans="2:41" x14ac:dyDescent="0.25">
      <c r="B845" s="58" t="str">
        <f>Tabla1[[#This Row],[nudo inicial]]</f>
        <v>N448</v>
      </c>
      <c r="C845" s="58" t="str">
        <f>Tabla1[[#This Row],[nudo final]]</f>
        <v>TP296</v>
      </c>
      <c r="D845" s="51">
        <f>Tabla1[[#This Row],[longitud]]</f>
        <v>249.69</v>
      </c>
      <c r="E845" s="51" t="str">
        <f>Tabla1[[#This Row],[diametro]]</f>
        <v>2"</v>
      </c>
      <c r="F845" s="51" t="str">
        <f>Tabla1[[#This Row],[material]]</f>
        <v>PVC</v>
      </c>
      <c r="G84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845" s="52" t="str">
        <f>IF(Tabla1[[#This Row],[5]]="TPD",Tabla1[[#This Row],[6]],"")</f>
        <v>2"</v>
      </c>
      <c r="I845" s="52">
        <f>IF(OR(Tabla1[[#This Row],[5]]="TPD"),Tabla1[[#This Row],[7]],"")</f>
        <v>1</v>
      </c>
      <c r="J845" s="52">
        <f>IF(Tabla15[[#This Row],[2]]="",0,VLOOKUP(TRAMOS!$H$2,Tabla5[#All],3,FALSE)*Tabla15[[#This Row],[3]])</f>
        <v>0.15</v>
      </c>
      <c r="K845" s="52" t="str">
        <f>IF(Tabla1[[#This Row],[5]]="TPL",Tabla1[[#This Row],[6]],"")</f>
        <v/>
      </c>
      <c r="L845" s="52" t="str">
        <f>IF(OR(Tabla1[[#This Row],[5]]="TPL"),Tabla1[[#This Row],[7]],"")</f>
        <v/>
      </c>
      <c r="M845" s="52">
        <f>IF(Tabla15[[#This Row],[5]]="",0,VLOOKUP(TRAMOS!$K$2,Tabla5[#All],3,FALSE)*Tabla15[[#This Row],[6]])</f>
        <v>0</v>
      </c>
      <c r="N84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4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45" s="52">
        <f>IF(Tabla15[[#This Row],[8]]="",0,VLOOKUP(TRAMOS!$H$2,Tabla5[#All],3,FALSE)*Tabla15[[#This Row],[9]])</f>
        <v>0</v>
      </c>
      <c r="Q84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4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45" s="52">
        <f>IF(Tabla15[[#This Row],[11]]="",0,VLOOKUP(TRAMOS!$Q$2,Tabla5[#All],3,FALSE)*Tabla15[[#This Row],[12]])</f>
        <v>0</v>
      </c>
      <c r="T84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4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4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4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4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4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4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4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45" s="52">
        <f>IF(Tabla15[[#This Row],[20]]="",0,VLOOKUP("VRP",Tabla5[#All],3,FALSE)*Tabla15[[#This Row],[21]])</f>
        <v>0</v>
      </c>
      <c r="AC84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4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45" s="52">
        <f>IF(Tabla15[[#This Row],[23]]="",0,VLOOKUP("VC",Tabla5[#All],3,FALSE)*Tabla15[[#This Row],[24]])</f>
        <v>0</v>
      </c>
      <c r="AF84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4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45" s="52">
        <f>IF(Tabla15[[#This Row],[26]]="",0,VLOOKUP(TRAMOS!$K$2,Tabla5[#All],3,FALSE)*Tabla15[[#This Row],[27]])</f>
        <v>0</v>
      </c>
      <c r="AI84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4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4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4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4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845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84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846" spans="2:41" x14ac:dyDescent="0.25">
      <c r="B846" s="58" t="str">
        <f>Tabla1[[#This Row],[nudo inicial]]</f>
        <v>T. PICAPIEDRA</v>
      </c>
      <c r="C846" s="58" t="str">
        <f>Tabla1[[#This Row],[nudo final]]</f>
        <v>N450</v>
      </c>
      <c r="D846" s="51">
        <f>Tabla1[[#This Row],[longitud]]</f>
        <v>155.16999999999999</v>
      </c>
      <c r="E846" s="51" t="str">
        <f>Tabla1[[#This Row],[diametro]]</f>
        <v>6"</v>
      </c>
      <c r="F846" s="51" t="str">
        <f>Tabla1[[#This Row],[material]]</f>
        <v>PVC</v>
      </c>
      <c r="G84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846" s="52" t="str">
        <f>IF(Tabla1[[#This Row],[5]]="TPD",Tabla1[[#This Row],[6]],"")</f>
        <v/>
      </c>
      <c r="I846" s="52" t="str">
        <f>IF(OR(Tabla1[[#This Row],[5]]="TPD"),Tabla1[[#This Row],[7]],"")</f>
        <v/>
      </c>
      <c r="J846" s="52">
        <f>IF(Tabla15[[#This Row],[2]]="",0,VLOOKUP(TRAMOS!$H$2,Tabla5[#All],3,FALSE)*Tabla15[[#This Row],[3]])</f>
        <v>0</v>
      </c>
      <c r="K846" s="52" t="str">
        <f>IF(Tabla1[[#This Row],[5]]="TPL",Tabla1[[#This Row],[6]],"")</f>
        <v/>
      </c>
      <c r="L846" s="52" t="str">
        <f>IF(OR(Tabla1[[#This Row],[5]]="TPL"),Tabla1[[#This Row],[7]],"")</f>
        <v/>
      </c>
      <c r="M846" s="52">
        <f>IF(Tabla15[[#This Row],[5]]="",0,VLOOKUP(TRAMOS!$K$2,Tabla5[#All],3,FALSE)*Tabla15[[#This Row],[6]])</f>
        <v>0</v>
      </c>
      <c r="N84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4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46" s="52">
        <f>IF(Tabla15[[#This Row],[8]]="",0,VLOOKUP(TRAMOS!$H$2,Tabla5[#All],3,FALSE)*Tabla15[[#This Row],[9]])</f>
        <v>0</v>
      </c>
      <c r="Q84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6"</v>
      </c>
      <c r="R846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2</v>
      </c>
      <c r="S846" s="52">
        <f>IF(Tabla15[[#This Row],[11]]="",0,VLOOKUP(TRAMOS!$Q$2,Tabla5[#All],3,FALSE)*Tabla15[[#This Row],[12]])</f>
        <v>1.8</v>
      </c>
      <c r="T84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4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4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4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4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4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4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4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46" s="52">
        <f>IF(Tabla15[[#This Row],[20]]="",0,VLOOKUP("VRP",Tabla5[#All],3,FALSE)*Tabla15[[#This Row],[21]])</f>
        <v>0</v>
      </c>
      <c r="AC84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4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46" s="52">
        <f>IF(Tabla15[[#This Row],[23]]="",0,VLOOKUP("VC",Tabla5[#All],3,FALSE)*Tabla15[[#This Row],[24]])</f>
        <v>0</v>
      </c>
      <c r="AF84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4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46" s="52">
        <f>IF(Tabla15[[#This Row],[26]]="",0,VLOOKUP(TRAMOS!$K$2,Tabla5[#All],3,FALSE)*Tabla15[[#This Row],[27]])</f>
        <v>0</v>
      </c>
      <c r="AI84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4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4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4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4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4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4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1.8</v>
      </c>
    </row>
    <row r="847" spans="2:41" x14ac:dyDescent="0.25">
      <c r="B847" s="58" t="str">
        <f>Tabla1[[#This Row],[nudo inicial]]</f>
        <v>N450</v>
      </c>
      <c r="C847" s="58" t="str">
        <f>Tabla1[[#This Row],[nudo final]]</f>
        <v>N451</v>
      </c>
      <c r="D847" s="51">
        <f>Tabla1[[#This Row],[longitud]]</f>
        <v>9.01</v>
      </c>
      <c r="E847" s="51" t="str">
        <f>Tabla1[[#This Row],[diametro]]</f>
        <v>3/4"</v>
      </c>
      <c r="F847" s="51" t="str">
        <f>Tabla1[[#This Row],[material]]</f>
        <v>PVC</v>
      </c>
      <c r="G84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847" s="52" t="str">
        <f>IF(Tabla1[[#This Row],[5]]="TPD",Tabla1[[#This Row],[6]],"")</f>
        <v/>
      </c>
      <c r="I847" s="52" t="str">
        <f>IF(OR(Tabla1[[#This Row],[5]]="TPD"),Tabla1[[#This Row],[7]],"")</f>
        <v/>
      </c>
      <c r="J847" s="52">
        <f>IF(Tabla15[[#This Row],[2]]="",0,VLOOKUP(TRAMOS!$H$2,Tabla5[#All],3,FALSE)*Tabla15[[#This Row],[3]])</f>
        <v>0</v>
      </c>
      <c r="K847" s="52" t="str">
        <f>IF(Tabla1[[#This Row],[5]]="TPL",Tabla1[[#This Row],[6]],"")</f>
        <v>6"</v>
      </c>
      <c r="L847" s="52">
        <f>IF(OR(Tabla1[[#This Row],[5]]="TPL"),Tabla1[[#This Row],[7]],"")</f>
        <v>1</v>
      </c>
      <c r="M847" s="52">
        <f>IF(Tabla15[[#This Row],[5]]="",0,VLOOKUP(TRAMOS!$K$2,Tabla5[#All],3,FALSE)*Tabla15[[#This Row],[6]])</f>
        <v>0.9</v>
      </c>
      <c r="N84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4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47" s="52">
        <f>IF(Tabla15[[#This Row],[8]]="",0,VLOOKUP(TRAMOS!$H$2,Tabla5[#All],3,FALSE)*Tabla15[[#This Row],[9]])</f>
        <v>0</v>
      </c>
      <c r="Q84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4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47" s="52">
        <f>IF(Tabla15[[#This Row],[11]]="",0,VLOOKUP(TRAMOS!$Q$2,Tabla5[#All],3,FALSE)*Tabla15[[#This Row],[12]])</f>
        <v>0</v>
      </c>
      <c r="T84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3/4"</v>
      </c>
      <c r="U847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84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0.46</v>
      </c>
      <c r="W84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4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4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4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4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47" s="52">
        <f>IF(Tabla15[[#This Row],[20]]="",0,VLOOKUP("VRP",Tabla5[#All],3,FALSE)*Tabla15[[#This Row],[21]])</f>
        <v>0</v>
      </c>
      <c r="AC84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4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47" s="52">
        <f>IF(Tabla15[[#This Row],[23]]="",0,VLOOKUP("VC",Tabla5[#All],3,FALSE)*Tabla15[[#This Row],[24]])</f>
        <v>0</v>
      </c>
      <c r="AF84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4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47" s="52">
        <f>IF(Tabla15[[#This Row],[26]]="",0,VLOOKUP(TRAMOS!$K$2,Tabla5[#All],3,FALSE)*Tabla15[[#This Row],[27]])</f>
        <v>0</v>
      </c>
      <c r="AI84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4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4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4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4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4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4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1.36</v>
      </c>
    </row>
    <row r="848" spans="2:41" x14ac:dyDescent="0.25">
      <c r="B848" s="58" t="str">
        <f>Tabla1[[#This Row],[nudo inicial]]</f>
        <v>N451</v>
      </c>
      <c r="C848" s="58" t="str">
        <f>Tabla1[[#This Row],[nudo final]]</f>
        <v>TP296</v>
      </c>
      <c r="D848" s="51">
        <f>Tabla1[[#This Row],[longitud]]</f>
        <v>16.63</v>
      </c>
      <c r="E848" s="51" t="str">
        <f>Tabla1[[#This Row],[diametro]]</f>
        <v>3/4"</v>
      </c>
      <c r="F848" s="51" t="str">
        <f>Tabla1[[#This Row],[material]]</f>
        <v>PVC</v>
      </c>
      <c r="G84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3/4"</v>
      </c>
      <c r="H848" s="52" t="str">
        <f>IF(Tabla1[[#This Row],[5]]="TPD",Tabla1[[#This Row],[6]],"")</f>
        <v/>
      </c>
      <c r="I848" s="52" t="str">
        <f>IF(OR(Tabla1[[#This Row],[5]]="TPD"),Tabla1[[#This Row],[7]],"")</f>
        <v/>
      </c>
      <c r="J848" s="52">
        <f>IF(Tabla15[[#This Row],[2]]="",0,VLOOKUP(TRAMOS!$H$2,Tabla5[#All],3,FALSE)*Tabla15[[#This Row],[3]])</f>
        <v>0</v>
      </c>
      <c r="K848" s="52" t="str">
        <f>IF(Tabla1[[#This Row],[5]]="TPL",Tabla1[[#This Row],[6]],"")</f>
        <v>3/4"</v>
      </c>
      <c r="L848" s="52">
        <f>IF(OR(Tabla1[[#This Row],[5]]="TPL"),Tabla1[[#This Row],[7]],"")</f>
        <v>1</v>
      </c>
      <c r="M848" s="52">
        <f>IF(Tabla15[[#This Row],[5]]="",0,VLOOKUP(TRAMOS!$K$2,Tabla5[#All],3,FALSE)*Tabla15[[#This Row],[6]])</f>
        <v>0.9</v>
      </c>
      <c r="N84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4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48" s="52">
        <f>IF(Tabla15[[#This Row],[8]]="",0,VLOOKUP(TRAMOS!$H$2,Tabla5[#All],3,FALSE)*Tabla15[[#This Row],[9]])</f>
        <v>0</v>
      </c>
      <c r="Q84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3/4"</v>
      </c>
      <c r="R848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848" s="52">
        <f>IF(Tabla15[[#This Row],[11]]="",0,VLOOKUP(TRAMOS!$Q$2,Tabla5[#All],3,FALSE)*Tabla15[[#This Row],[12]])</f>
        <v>0.9</v>
      </c>
      <c r="T84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4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4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4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4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4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4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4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48" s="52">
        <f>IF(Tabla15[[#This Row],[20]]="",0,VLOOKUP("VRP",Tabla5[#All],3,FALSE)*Tabla15[[#This Row],[21]])</f>
        <v>0</v>
      </c>
      <c r="AC84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4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48" s="52">
        <f>IF(Tabla15[[#This Row],[23]]="",0,VLOOKUP("VC",Tabla5[#All],3,FALSE)*Tabla15[[#This Row],[24]])</f>
        <v>0</v>
      </c>
      <c r="AF84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4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48" s="52">
        <f>IF(Tabla15[[#This Row],[26]]="",0,VLOOKUP(TRAMOS!$K$2,Tabla5[#All],3,FALSE)*Tabla15[[#This Row],[27]])</f>
        <v>0</v>
      </c>
      <c r="AI84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4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4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4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4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3/4"</v>
      </c>
      <c r="AN848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0</v>
      </c>
      <c r="AO84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1.8</v>
      </c>
    </row>
    <row r="849" spans="2:41" x14ac:dyDescent="0.25">
      <c r="B849" s="58" t="str">
        <f>Tabla1[[#This Row],[nudo inicial]]</f>
        <v>N451</v>
      </c>
      <c r="C849" s="58" t="str">
        <f>Tabla1[[#This Row],[nudo final]]</f>
        <v>TP297</v>
      </c>
      <c r="D849" s="51">
        <f>Tabla1[[#This Row],[longitud]]</f>
        <v>61.65</v>
      </c>
      <c r="E849" s="51" t="str">
        <f>Tabla1[[#This Row],[diametro]]</f>
        <v>3/4"</v>
      </c>
      <c r="F849" s="51" t="str">
        <f>Tabla1[[#This Row],[material]]</f>
        <v>PVC</v>
      </c>
      <c r="G84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3/4"</v>
      </c>
      <c r="H849" s="52" t="str">
        <f>IF(Tabla1[[#This Row],[5]]="TPD",Tabla1[[#This Row],[6]],"")</f>
        <v/>
      </c>
      <c r="I849" s="52" t="str">
        <f>IF(OR(Tabla1[[#This Row],[5]]="TPD"),Tabla1[[#This Row],[7]],"")</f>
        <v/>
      </c>
      <c r="J849" s="52">
        <f>IF(Tabla15[[#This Row],[2]]="",0,VLOOKUP(TRAMOS!$H$2,Tabla5[#All],3,FALSE)*Tabla15[[#This Row],[3]])</f>
        <v>0</v>
      </c>
      <c r="K849" s="52" t="str">
        <f>IF(Tabla1[[#This Row],[5]]="TPL",Tabla1[[#This Row],[6]],"")</f>
        <v>3/4"</v>
      </c>
      <c r="L849" s="52">
        <f>IF(OR(Tabla1[[#This Row],[5]]="TPL"),Tabla1[[#This Row],[7]],"")</f>
        <v>1</v>
      </c>
      <c r="M849" s="52">
        <f>IF(Tabla15[[#This Row],[5]]="",0,VLOOKUP(TRAMOS!$K$2,Tabla5[#All],3,FALSE)*Tabla15[[#This Row],[6]])</f>
        <v>0.9</v>
      </c>
      <c r="N84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4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49" s="52">
        <f>IF(Tabla15[[#This Row],[8]]="",0,VLOOKUP(TRAMOS!$H$2,Tabla5[#All],3,FALSE)*Tabla15[[#This Row],[9]])</f>
        <v>0</v>
      </c>
      <c r="Q84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4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49" s="52">
        <f>IF(Tabla15[[#This Row],[11]]="",0,VLOOKUP(TRAMOS!$Q$2,Tabla5[#All],3,FALSE)*Tabla15[[#This Row],[12]])</f>
        <v>0</v>
      </c>
      <c r="T84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4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4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4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4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4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4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4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49" s="52">
        <f>IF(Tabla15[[#This Row],[20]]="",0,VLOOKUP("VRP",Tabla5[#All],3,FALSE)*Tabla15[[#This Row],[21]])</f>
        <v>0</v>
      </c>
      <c r="AC84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4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49" s="52">
        <f>IF(Tabla15[[#This Row],[23]]="",0,VLOOKUP("VC",Tabla5[#All],3,FALSE)*Tabla15[[#This Row],[24]])</f>
        <v>0</v>
      </c>
      <c r="AF84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4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49" s="52">
        <f>IF(Tabla15[[#This Row],[26]]="",0,VLOOKUP(TRAMOS!$K$2,Tabla5[#All],3,FALSE)*Tabla15[[#This Row],[27]])</f>
        <v>0</v>
      </c>
      <c r="AI84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4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4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4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4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3/4"</v>
      </c>
      <c r="AN849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84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850" spans="2:41" x14ac:dyDescent="0.25">
      <c r="B850" s="58" t="str">
        <f>Tabla1[[#This Row],[nudo inicial]]</f>
        <v>N450</v>
      </c>
      <c r="C850" s="58" t="str">
        <f>Tabla1[[#This Row],[nudo final]]</f>
        <v>N452</v>
      </c>
      <c r="D850" s="51">
        <f>Tabla1[[#This Row],[longitud]]</f>
        <v>25.65</v>
      </c>
      <c r="E850" s="51" t="str">
        <f>Tabla1[[#This Row],[diametro]]</f>
        <v>6"</v>
      </c>
      <c r="F850" s="51" t="str">
        <f>Tabla1[[#This Row],[material]]</f>
        <v>PVC</v>
      </c>
      <c r="G85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850" s="52" t="str">
        <f>IF(Tabla1[[#This Row],[5]]="TPD",Tabla1[[#This Row],[6]],"")</f>
        <v>6"</v>
      </c>
      <c r="I850" s="52">
        <f>IF(OR(Tabla1[[#This Row],[5]]="TPD"),Tabla1[[#This Row],[7]],"")</f>
        <v>1</v>
      </c>
      <c r="J850" s="52">
        <f>IF(Tabla15[[#This Row],[2]]="",0,VLOOKUP(TRAMOS!$H$2,Tabla5[#All],3,FALSE)*Tabla15[[#This Row],[3]])</f>
        <v>0.15</v>
      </c>
      <c r="K850" s="52" t="str">
        <f>IF(Tabla1[[#This Row],[5]]="TPL",Tabla1[[#This Row],[6]],"")</f>
        <v/>
      </c>
      <c r="L850" s="52" t="str">
        <f>IF(OR(Tabla1[[#This Row],[5]]="TPL"),Tabla1[[#This Row],[7]],"")</f>
        <v/>
      </c>
      <c r="M850" s="52">
        <f>IF(Tabla15[[#This Row],[5]]="",0,VLOOKUP(TRAMOS!$K$2,Tabla5[#All],3,FALSE)*Tabla15[[#This Row],[6]])</f>
        <v>0</v>
      </c>
      <c r="N85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5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50" s="52">
        <f>IF(Tabla15[[#This Row],[8]]="",0,VLOOKUP(TRAMOS!$H$2,Tabla5[#All],3,FALSE)*Tabla15[[#This Row],[9]])</f>
        <v>0</v>
      </c>
      <c r="Q85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5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50" s="52">
        <f>IF(Tabla15[[#This Row],[11]]="",0,VLOOKUP(TRAMOS!$Q$2,Tabla5[#All],3,FALSE)*Tabla15[[#This Row],[12]])</f>
        <v>0</v>
      </c>
      <c r="T85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5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5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5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5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5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5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5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50" s="52">
        <f>IF(Tabla15[[#This Row],[20]]="",0,VLOOKUP("VRP",Tabla5[#All],3,FALSE)*Tabla15[[#This Row],[21]])</f>
        <v>0</v>
      </c>
      <c r="AC85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5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50" s="52">
        <f>IF(Tabla15[[#This Row],[23]]="",0,VLOOKUP("VC",Tabla5[#All],3,FALSE)*Tabla15[[#This Row],[24]])</f>
        <v>0</v>
      </c>
      <c r="AF85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5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50" s="52">
        <f>IF(Tabla15[[#This Row],[26]]="",0,VLOOKUP(TRAMOS!$K$2,Tabla5[#All],3,FALSE)*Tabla15[[#This Row],[27]])</f>
        <v>0</v>
      </c>
      <c r="AI85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5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5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5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5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5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5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851" spans="2:41" x14ac:dyDescent="0.25">
      <c r="B851" s="58" t="str">
        <f>Tabla1[[#This Row],[nudo inicial]]</f>
        <v>N452</v>
      </c>
      <c r="C851" s="58" t="str">
        <f>Tabla1[[#This Row],[nudo final]]</f>
        <v>TP298</v>
      </c>
      <c r="D851" s="51">
        <f>Tabla1[[#This Row],[longitud]]</f>
        <v>10.31</v>
      </c>
      <c r="E851" s="51" t="str">
        <f>Tabla1[[#This Row],[diametro]]</f>
        <v>6"</v>
      </c>
      <c r="F851" s="51" t="str">
        <f>Tabla1[[#This Row],[material]]</f>
        <v>PVC</v>
      </c>
      <c r="G85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851" s="52" t="str">
        <f>IF(Tabla1[[#This Row],[5]]="TPD",Tabla1[[#This Row],[6]],"")</f>
        <v/>
      </c>
      <c r="I851" s="52" t="str">
        <f>IF(OR(Tabla1[[#This Row],[5]]="TPD"),Tabla1[[#This Row],[7]],"")</f>
        <v/>
      </c>
      <c r="J851" s="52">
        <f>IF(Tabla15[[#This Row],[2]]="",0,VLOOKUP(TRAMOS!$H$2,Tabla5[#All],3,FALSE)*Tabla15[[#This Row],[3]])</f>
        <v>0</v>
      </c>
      <c r="K851" s="52" t="str">
        <f>IF(Tabla1[[#This Row],[5]]="TPL",Tabla1[[#This Row],[6]],"")</f>
        <v>6"</v>
      </c>
      <c r="L851" s="52">
        <f>IF(OR(Tabla1[[#This Row],[5]]="TPL"),Tabla1[[#This Row],[7]],"")</f>
        <v>1</v>
      </c>
      <c r="M851" s="52">
        <f>IF(Tabla15[[#This Row],[5]]="",0,VLOOKUP(TRAMOS!$K$2,Tabla5[#All],3,FALSE)*Tabla15[[#This Row],[6]])</f>
        <v>0.9</v>
      </c>
      <c r="N85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5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51" s="52">
        <f>IF(Tabla15[[#This Row],[8]]="",0,VLOOKUP(TRAMOS!$H$2,Tabla5[#All],3,FALSE)*Tabla15[[#This Row],[9]])</f>
        <v>0</v>
      </c>
      <c r="Q85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5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51" s="52">
        <f>IF(Tabla15[[#This Row],[11]]="",0,VLOOKUP(TRAMOS!$Q$2,Tabla5[#All],3,FALSE)*Tabla15[[#This Row],[12]])</f>
        <v>0</v>
      </c>
      <c r="T85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5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5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5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5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5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5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5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51" s="52">
        <f>IF(Tabla15[[#This Row],[20]]="",0,VLOOKUP("VRP",Tabla5[#All],3,FALSE)*Tabla15[[#This Row],[21]])</f>
        <v>0</v>
      </c>
      <c r="AC85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5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51" s="52">
        <f>IF(Tabla15[[#This Row],[23]]="",0,VLOOKUP("VC",Tabla5[#All],3,FALSE)*Tabla15[[#This Row],[24]])</f>
        <v>0</v>
      </c>
      <c r="AF85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5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51" s="52">
        <f>IF(Tabla15[[#This Row],[26]]="",0,VLOOKUP(TRAMOS!$K$2,Tabla5[#All],3,FALSE)*Tabla15[[#This Row],[27]])</f>
        <v>0</v>
      </c>
      <c r="AI85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5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5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5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5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6"</v>
      </c>
      <c r="AN851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85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852" spans="2:41" x14ac:dyDescent="0.25">
      <c r="B852" s="58" t="str">
        <f>Tabla1[[#This Row],[nudo inicial]]</f>
        <v>N452</v>
      </c>
      <c r="C852" s="58" t="str">
        <f>Tabla1[[#This Row],[nudo final]]</f>
        <v>N453</v>
      </c>
      <c r="D852" s="51">
        <f>Tabla1[[#This Row],[longitud]]</f>
        <v>648.57000000000005</v>
      </c>
      <c r="E852" s="51" t="str">
        <f>Tabla1[[#This Row],[diametro]]</f>
        <v>6"</v>
      </c>
      <c r="F852" s="51" t="str">
        <f>Tabla1[[#This Row],[material]]</f>
        <v>PVC</v>
      </c>
      <c r="G85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852" s="52" t="str">
        <f>IF(Tabla1[[#This Row],[5]]="TPD",Tabla1[[#This Row],[6]],"")</f>
        <v>6"</v>
      </c>
      <c r="I852" s="52">
        <f>IF(OR(Tabla1[[#This Row],[5]]="TPD"),Tabla1[[#This Row],[7]],"")</f>
        <v>1</v>
      </c>
      <c r="J852" s="52">
        <f>IF(Tabla15[[#This Row],[2]]="",0,VLOOKUP(TRAMOS!$H$2,Tabla5[#All],3,FALSE)*Tabla15[[#This Row],[3]])</f>
        <v>0.15</v>
      </c>
      <c r="K852" s="52" t="str">
        <f>IF(Tabla1[[#This Row],[5]]="TPL",Tabla1[[#This Row],[6]],"")</f>
        <v/>
      </c>
      <c r="L852" s="52" t="str">
        <f>IF(OR(Tabla1[[#This Row],[5]]="TPL"),Tabla1[[#This Row],[7]],"")</f>
        <v/>
      </c>
      <c r="M852" s="52">
        <f>IF(Tabla15[[#This Row],[5]]="",0,VLOOKUP(TRAMOS!$K$2,Tabla5[#All],3,FALSE)*Tabla15[[#This Row],[6]])</f>
        <v>0</v>
      </c>
      <c r="N85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5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52" s="52">
        <f>IF(Tabla15[[#This Row],[8]]="",0,VLOOKUP(TRAMOS!$H$2,Tabla5[#All],3,FALSE)*Tabla15[[#This Row],[9]])</f>
        <v>0</v>
      </c>
      <c r="Q85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5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52" s="52">
        <f>IF(Tabla15[[#This Row],[11]]="",0,VLOOKUP(TRAMOS!$Q$2,Tabla5[#All],3,FALSE)*Tabla15[[#This Row],[12]])</f>
        <v>0</v>
      </c>
      <c r="T85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5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5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5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5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5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5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5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52" s="52">
        <f>IF(Tabla15[[#This Row],[20]]="",0,VLOOKUP("VRP",Tabla5[#All],3,FALSE)*Tabla15[[#This Row],[21]])</f>
        <v>0</v>
      </c>
      <c r="AC85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5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52" s="52">
        <f>IF(Tabla15[[#This Row],[23]]="",0,VLOOKUP("VC",Tabla5[#All],3,FALSE)*Tabla15[[#This Row],[24]])</f>
        <v>0</v>
      </c>
      <c r="AF85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5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52" s="52">
        <f>IF(Tabla15[[#This Row],[26]]="",0,VLOOKUP(TRAMOS!$K$2,Tabla5[#All],3,FALSE)*Tabla15[[#This Row],[27]])</f>
        <v>0</v>
      </c>
      <c r="AI85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5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5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5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5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5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5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853" spans="2:41" x14ac:dyDescent="0.25">
      <c r="B853" s="58" t="str">
        <f>Tabla1[[#This Row],[nudo inicial]]</f>
        <v>N453</v>
      </c>
      <c r="C853" s="58" t="str">
        <f>Tabla1[[#This Row],[nudo final]]</f>
        <v>TP299</v>
      </c>
      <c r="D853" s="51">
        <f>Tabla1[[#This Row],[longitud]]</f>
        <v>137.94</v>
      </c>
      <c r="E853" s="51" t="str">
        <f>Tabla1[[#This Row],[diametro]]</f>
        <v>6"</v>
      </c>
      <c r="F853" s="51" t="str">
        <f>Tabla1[[#This Row],[material]]</f>
        <v>PVC</v>
      </c>
      <c r="G85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853" s="52" t="str">
        <f>IF(Tabla1[[#This Row],[5]]="TPD",Tabla1[[#This Row],[6]],"")</f>
        <v/>
      </c>
      <c r="I853" s="52" t="str">
        <f>IF(OR(Tabla1[[#This Row],[5]]="TPD"),Tabla1[[#This Row],[7]],"")</f>
        <v/>
      </c>
      <c r="J853" s="52">
        <f>IF(Tabla15[[#This Row],[2]]="",0,VLOOKUP(TRAMOS!$H$2,Tabla5[#All],3,FALSE)*Tabla15[[#This Row],[3]])</f>
        <v>0</v>
      </c>
      <c r="K853" s="52" t="str">
        <f>IF(Tabla1[[#This Row],[5]]="TPL",Tabla1[[#This Row],[6]],"")</f>
        <v>6"</v>
      </c>
      <c r="L853" s="52">
        <f>IF(OR(Tabla1[[#This Row],[5]]="TPL"),Tabla1[[#This Row],[7]],"")</f>
        <v>1</v>
      </c>
      <c r="M853" s="52">
        <f>IF(Tabla15[[#This Row],[5]]="",0,VLOOKUP(TRAMOS!$K$2,Tabla5[#All],3,FALSE)*Tabla15[[#This Row],[6]])</f>
        <v>0.9</v>
      </c>
      <c r="N85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5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53" s="52">
        <f>IF(Tabla15[[#This Row],[8]]="",0,VLOOKUP(TRAMOS!$H$2,Tabla5[#All],3,FALSE)*Tabla15[[#This Row],[9]])</f>
        <v>0</v>
      </c>
      <c r="Q85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6"</v>
      </c>
      <c r="R853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4</v>
      </c>
      <c r="S853" s="52">
        <f>IF(Tabla15[[#This Row],[11]]="",0,VLOOKUP(TRAMOS!$Q$2,Tabla5[#All],3,FALSE)*Tabla15[[#This Row],[12]])</f>
        <v>3.6</v>
      </c>
      <c r="T85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5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5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5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5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5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5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5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53" s="52">
        <f>IF(Tabla15[[#This Row],[20]]="",0,VLOOKUP("VRP",Tabla5[#All],3,FALSE)*Tabla15[[#This Row],[21]])</f>
        <v>0</v>
      </c>
      <c r="AC85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5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53" s="52">
        <f>IF(Tabla15[[#This Row],[23]]="",0,VLOOKUP("VC",Tabla5[#All],3,FALSE)*Tabla15[[#This Row],[24]])</f>
        <v>0</v>
      </c>
      <c r="AF85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5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53" s="52">
        <f>IF(Tabla15[[#This Row],[26]]="",0,VLOOKUP(TRAMOS!$K$2,Tabla5[#All],3,FALSE)*Tabla15[[#This Row],[27]])</f>
        <v>0</v>
      </c>
      <c r="AI85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5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5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5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5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6"</v>
      </c>
      <c r="AN853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85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4.5</v>
      </c>
    </row>
    <row r="854" spans="2:41" x14ac:dyDescent="0.25">
      <c r="B854" s="58" t="str">
        <f>Tabla1[[#This Row],[nudo inicial]]</f>
        <v>N453</v>
      </c>
      <c r="C854" s="58" t="str">
        <f>Tabla1[[#This Row],[nudo final]]</f>
        <v>N454</v>
      </c>
      <c r="D854" s="51">
        <f>Tabla1[[#This Row],[longitud]]</f>
        <v>17.97</v>
      </c>
      <c r="E854" s="51" t="str">
        <f>Tabla1[[#This Row],[diametro]]</f>
        <v>6"</v>
      </c>
      <c r="F854" s="51" t="str">
        <f>Tabla1[[#This Row],[material]]</f>
        <v>PVC</v>
      </c>
      <c r="G85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854" s="52" t="str">
        <f>IF(Tabla1[[#This Row],[5]]="TPD",Tabla1[[#This Row],[6]],"")</f>
        <v>6"</v>
      </c>
      <c r="I854" s="52">
        <f>IF(OR(Tabla1[[#This Row],[5]]="TPD"),Tabla1[[#This Row],[7]],"")</f>
        <v>1</v>
      </c>
      <c r="J854" s="52">
        <f>IF(Tabla15[[#This Row],[2]]="",0,VLOOKUP(TRAMOS!$H$2,Tabla5[#All],3,FALSE)*Tabla15[[#This Row],[3]])</f>
        <v>0.15</v>
      </c>
      <c r="K854" s="52" t="str">
        <f>IF(Tabla1[[#This Row],[5]]="TPL",Tabla1[[#This Row],[6]],"")</f>
        <v/>
      </c>
      <c r="L854" s="52" t="str">
        <f>IF(OR(Tabla1[[#This Row],[5]]="TPL"),Tabla1[[#This Row],[7]],"")</f>
        <v/>
      </c>
      <c r="M854" s="52">
        <f>IF(Tabla15[[#This Row],[5]]="",0,VLOOKUP(TRAMOS!$K$2,Tabla5[#All],3,FALSE)*Tabla15[[#This Row],[6]])</f>
        <v>0</v>
      </c>
      <c r="N85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5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54" s="52">
        <f>IF(Tabla15[[#This Row],[8]]="",0,VLOOKUP(TRAMOS!$H$2,Tabla5[#All],3,FALSE)*Tabla15[[#This Row],[9]])</f>
        <v>0</v>
      </c>
      <c r="Q85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5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54" s="52">
        <f>IF(Tabla15[[#This Row],[11]]="",0,VLOOKUP(TRAMOS!$Q$2,Tabla5[#All],3,FALSE)*Tabla15[[#This Row],[12]])</f>
        <v>0</v>
      </c>
      <c r="T85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5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5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5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5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5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5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5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54" s="52">
        <f>IF(Tabla15[[#This Row],[20]]="",0,VLOOKUP("VRP",Tabla5[#All],3,FALSE)*Tabla15[[#This Row],[21]])</f>
        <v>0</v>
      </c>
      <c r="AC85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5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54" s="52">
        <f>IF(Tabla15[[#This Row],[23]]="",0,VLOOKUP("VC",Tabla5[#All],3,FALSE)*Tabla15[[#This Row],[24]])</f>
        <v>0</v>
      </c>
      <c r="AF85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5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54" s="52">
        <f>IF(Tabla15[[#This Row],[26]]="",0,VLOOKUP(TRAMOS!$K$2,Tabla5[#All],3,FALSE)*Tabla15[[#This Row],[27]])</f>
        <v>0</v>
      </c>
      <c r="AI85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5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5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5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5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5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5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855" spans="2:41" x14ac:dyDescent="0.25">
      <c r="B855" s="58" t="str">
        <f>Tabla1[[#This Row],[nudo inicial]]</f>
        <v>N454</v>
      </c>
      <c r="C855" s="58" t="str">
        <f>Tabla1[[#This Row],[nudo final]]</f>
        <v>TP300</v>
      </c>
      <c r="D855" s="51">
        <f>Tabla1[[#This Row],[longitud]]</f>
        <v>45.42</v>
      </c>
      <c r="E855" s="51" t="str">
        <f>Tabla1[[#This Row],[diametro]]</f>
        <v>3"</v>
      </c>
      <c r="F855" s="51" t="str">
        <f>Tabla1[[#This Row],[material]]</f>
        <v>PVC</v>
      </c>
      <c r="G85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855" s="52" t="str">
        <f>IF(Tabla1[[#This Row],[5]]="TPD",Tabla1[[#This Row],[6]],"")</f>
        <v/>
      </c>
      <c r="I855" s="52" t="str">
        <f>IF(OR(Tabla1[[#This Row],[5]]="TPD"),Tabla1[[#This Row],[7]],"")</f>
        <v/>
      </c>
      <c r="J855" s="52">
        <f>IF(Tabla15[[#This Row],[2]]="",0,VLOOKUP(TRAMOS!$H$2,Tabla5[#All],3,FALSE)*Tabla15[[#This Row],[3]])</f>
        <v>0</v>
      </c>
      <c r="K855" s="52" t="str">
        <f>IF(Tabla1[[#This Row],[5]]="TPL",Tabla1[[#This Row],[6]],"")</f>
        <v>6"</v>
      </c>
      <c r="L855" s="52">
        <f>IF(OR(Tabla1[[#This Row],[5]]="TPL"),Tabla1[[#This Row],[7]],"")</f>
        <v>1</v>
      </c>
      <c r="M855" s="52">
        <f>IF(Tabla15[[#This Row],[5]]="",0,VLOOKUP(TRAMOS!$K$2,Tabla5[#All],3,FALSE)*Tabla15[[#This Row],[6]])</f>
        <v>0.9</v>
      </c>
      <c r="N85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5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55" s="52">
        <f>IF(Tabla15[[#This Row],[8]]="",0,VLOOKUP(TRAMOS!$H$2,Tabla5[#All],3,FALSE)*Tabla15[[#This Row],[9]])</f>
        <v>0</v>
      </c>
      <c r="Q85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5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55" s="52">
        <f>IF(Tabla15[[#This Row],[11]]="",0,VLOOKUP(TRAMOS!$Q$2,Tabla5[#All],3,FALSE)*Tabla15[[#This Row],[12]])</f>
        <v>0</v>
      </c>
      <c r="T85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855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85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85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5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5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5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5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55" s="52">
        <f>IF(Tabla15[[#This Row],[20]]="",0,VLOOKUP("VRP",Tabla5[#All],3,FALSE)*Tabla15[[#This Row],[21]])</f>
        <v>0</v>
      </c>
      <c r="AC85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5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55" s="52">
        <f>IF(Tabla15[[#This Row],[23]]="",0,VLOOKUP("VC",Tabla5[#All],3,FALSE)*Tabla15[[#This Row],[24]])</f>
        <v>0</v>
      </c>
      <c r="AF85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5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55" s="52">
        <f>IF(Tabla15[[#This Row],[26]]="",0,VLOOKUP(TRAMOS!$K$2,Tabla5[#All],3,FALSE)*Tabla15[[#This Row],[27]])</f>
        <v>0</v>
      </c>
      <c r="AI85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5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5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5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5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855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85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1.27</v>
      </c>
    </row>
    <row r="856" spans="2:41" x14ac:dyDescent="0.25">
      <c r="B856" s="58" t="str">
        <f>Tabla1[[#This Row],[nudo inicial]]</f>
        <v>N454</v>
      </c>
      <c r="C856" s="58" t="str">
        <f>Tabla1[[#This Row],[nudo final]]</f>
        <v>N455</v>
      </c>
      <c r="D856" s="51">
        <f>Tabla1[[#This Row],[longitud]]</f>
        <v>16.78</v>
      </c>
      <c r="E856" s="51" t="str">
        <f>Tabla1[[#This Row],[diametro]]</f>
        <v>6"</v>
      </c>
      <c r="F856" s="51" t="str">
        <f>Tabla1[[#This Row],[material]]</f>
        <v>PVC</v>
      </c>
      <c r="G85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856" s="52" t="str">
        <f>IF(Tabla1[[#This Row],[5]]="TPD",Tabla1[[#This Row],[6]],"")</f>
        <v>6"</v>
      </c>
      <c r="I856" s="52">
        <f>IF(OR(Tabla1[[#This Row],[5]]="TPD"),Tabla1[[#This Row],[7]],"")</f>
        <v>1</v>
      </c>
      <c r="J856" s="52">
        <f>IF(Tabla15[[#This Row],[2]]="",0,VLOOKUP(TRAMOS!$H$2,Tabla5[#All],3,FALSE)*Tabla15[[#This Row],[3]])</f>
        <v>0.15</v>
      </c>
      <c r="K856" s="52" t="str">
        <f>IF(Tabla1[[#This Row],[5]]="TPL",Tabla1[[#This Row],[6]],"")</f>
        <v/>
      </c>
      <c r="L856" s="52" t="str">
        <f>IF(OR(Tabla1[[#This Row],[5]]="TPL"),Tabla1[[#This Row],[7]],"")</f>
        <v/>
      </c>
      <c r="M856" s="52">
        <f>IF(Tabla15[[#This Row],[5]]="",0,VLOOKUP(TRAMOS!$K$2,Tabla5[#All],3,FALSE)*Tabla15[[#This Row],[6]])</f>
        <v>0</v>
      </c>
      <c r="N85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5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56" s="52">
        <f>IF(Tabla15[[#This Row],[8]]="",0,VLOOKUP(TRAMOS!$H$2,Tabla5[#All],3,FALSE)*Tabla15[[#This Row],[9]])</f>
        <v>0</v>
      </c>
      <c r="Q85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5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56" s="52">
        <f>IF(Tabla15[[#This Row],[11]]="",0,VLOOKUP(TRAMOS!$Q$2,Tabla5[#All],3,FALSE)*Tabla15[[#This Row],[12]])</f>
        <v>0</v>
      </c>
      <c r="T85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5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5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5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5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5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5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5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56" s="52">
        <f>IF(Tabla15[[#This Row],[20]]="",0,VLOOKUP("VRP",Tabla5[#All],3,FALSE)*Tabla15[[#This Row],[21]])</f>
        <v>0</v>
      </c>
      <c r="AC85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5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56" s="52">
        <f>IF(Tabla15[[#This Row],[23]]="",0,VLOOKUP("VC",Tabla5[#All],3,FALSE)*Tabla15[[#This Row],[24]])</f>
        <v>0</v>
      </c>
      <c r="AF85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5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56" s="52">
        <f>IF(Tabla15[[#This Row],[26]]="",0,VLOOKUP(TRAMOS!$K$2,Tabla5[#All],3,FALSE)*Tabla15[[#This Row],[27]])</f>
        <v>0</v>
      </c>
      <c r="AI85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5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5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5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5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5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5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857" spans="2:41" x14ac:dyDescent="0.25">
      <c r="B857" s="58" t="str">
        <f>Tabla1[[#This Row],[nudo inicial]]</f>
        <v>N455</v>
      </c>
      <c r="C857" s="58" t="str">
        <f>Tabla1[[#This Row],[nudo final]]</f>
        <v>TP301</v>
      </c>
      <c r="D857" s="51">
        <f>Tabla1[[#This Row],[longitud]]</f>
        <v>55.66</v>
      </c>
      <c r="E857" s="51" t="str">
        <f>Tabla1[[#This Row],[diametro]]</f>
        <v>1"</v>
      </c>
      <c r="F857" s="51" t="str">
        <f>Tabla1[[#This Row],[material]]</f>
        <v>PVC</v>
      </c>
      <c r="G85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857" s="52" t="str">
        <f>IF(Tabla1[[#This Row],[5]]="TPD",Tabla1[[#This Row],[6]],"")</f>
        <v/>
      </c>
      <c r="I857" s="52" t="str">
        <f>IF(OR(Tabla1[[#This Row],[5]]="TPD"),Tabla1[[#This Row],[7]],"")</f>
        <v/>
      </c>
      <c r="J857" s="52">
        <f>IF(Tabla15[[#This Row],[2]]="",0,VLOOKUP(TRAMOS!$H$2,Tabla5[#All],3,FALSE)*Tabla15[[#This Row],[3]])</f>
        <v>0</v>
      </c>
      <c r="K857" s="52" t="str">
        <f>IF(Tabla1[[#This Row],[5]]="TPL",Tabla1[[#This Row],[6]],"")</f>
        <v>6"</v>
      </c>
      <c r="L857" s="52">
        <f>IF(OR(Tabla1[[#This Row],[5]]="TPL"),Tabla1[[#This Row],[7]],"")</f>
        <v>1</v>
      </c>
      <c r="M857" s="52">
        <f>IF(Tabla15[[#This Row],[5]]="",0,VLOOKUP(TRAMOS!$K$2,Tabla5[#All],3,FALSE)*Tabla15[[#This Row],[6]])</f>
        <v>0.9</v>
      </c>
      <c r="N85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5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57" s="52">
        <f>IF(Tabla15[[#This Row],[8]]="",0,VLOOKUP(TRAMOS!$H$2,Tabla5[#All],3,FALSE)*Tabla15[[#This Row],[9]])</f>
        <v>0</v>
      </c>
      <c r="Q85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5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57" s="52">
        <f>IF(Tabla15[[#This Row],[11]]="",0,VLOOKUP(TRAMOS!$Q$2,Tabla5[#All],3,FALSE)*Tabla15[[#This Row],[12]])</f>
        <v>0</v>
      </c>
      <c r="T85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1"</v>
      </c>
      <c r="U857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85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0.46</v>
      </c>
      <c r="W85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5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5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5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5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57" s="52">
        <f>IF(Tabla15[[#This Row],[20]]="",0,VLOOKUP("VRP",Tabla5[#All],3,FALSE)*Tabla15[[#This Row],[21]])</f>
        <v>0</v>
      </c>
      <c r="AC85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5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57" s="52">
        <f>IF(Tabla15[[#This Row],[23]]="",0,VLOOKUP("VC",Tabla5[#All],3,FALSE)*Tabla15[[#This Row],[24]])</f>
        <v>0</v>
      </c>
      <c r="AF85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5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57" s="52">
        <f>IF(Tabla15[[#This Row],[26]]="",0,VLOOKUP(TRAMOS!$K$2,Tabla5[#All],3,FALSE)*Tabla15[[#This Row],[27]])</f>
        <v>0</v>
      </c>
      <c r="AI85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5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5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5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5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1"</v>
      </c>
      <c r="AN857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85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1.36</v>
      </c>
    </row>
    <row r="858" spans="2:41" x14ac:dyDescent="0.25">
      <c r="B858" s="58" t="str">
        <f>Tabla1[[#This Row],[nudo inicial]]</f>
        <v>N455</v>
      </c>
      <c r="C858" s="58" t="str">
        <f>Tabla1[[#This Row],[nudo final]]</f>
        <v>N456</v>
      </c>
      <c r="D858" s="51">
        <f>Tabla1[[#This Row],[longitud]]</f>
        <v>122.32</v>
      </c>
      <c r="E858" s="51" t="str">
        <f>Tabla1[[#This Row],[diametro]]</f>
        <v>6"</v>
      </c>
      <c r="F858" s="51" t="str">
        <f>Tabla1[[#This Row],[material]]</f>
        <v>PVC</v>
      </c>
      <c r="G85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858" s="52" t="str">
        <f>IF(Tabla1[[#This Row],[5]]="TPD",Tabla1[[#This Row],[6]],"")</f>
        <v>6"</v>
      </c>
      <c r="I858" s="52">
        <f>IF(OR(Tabla1[[#This Row],[5]]="TPD"),Tabla1[[#This Row],[7]],"")</f>
        <v>1</v>
      </c>
      <c r="J858" s="52">
        <f>IF(Tabla15[[#This Row],[2]]="",0,VLOOKUP(TRAMOS!$H$2,Tabla5[#All],3,FALSE)*Tabla15[[#This Row],[3]])</f>
        <v>0.15</v>
      </c>
      <c r="K858" s="52" t="str">
        <f>IF(Tabla1[[#This Row],[5]]="TPL",Tabla1[[#This Row],[6]],"")</f>
        <v/>
      </c>
      <c r="L858" s="52" t="str">
        <f>IF(OR(Tabla1[[#This Row],[5]]="TPL"),Tabla1[[#This Row],[7]],"")</f>
        <v/>
      </c>
      <c r="M858" s="52">
        <f>IF(Tabla15[[#This Row],[5]]="",0,VLOOKUP(TRAMOS!$K$2,Tabla5[#All],3,FALSE)*Tabla15[[#This Row],[6]])</f>
        <v>0</v>
      </c>
      <c r="N85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5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58" s="52">
        <f>IF(Tabla15[[#This Row],[8]]="",0,VLOOKUP(TRAMOS!$H$2,Tabla5[#All],3,FALSE)*Tabla15[[#This Row],[9]])</f>
        <v>0</v>
      </c>
      <c r="Q85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5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58" s="52">
        <f>IF(Tabla15[[#This Row],[11]]="",0,VLOOKUP(TRAMOS!$Q$2,Tabla5[#All],3,FALSE)*Tabla15[[#This Row],[12]])</f>
        <v>0</v>
      </c>
      <c r="T85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5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5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5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5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5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5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5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58" s="52">
        <f>IF(Tabla15[[#This Row],[20]]="",0,VLOOKUP("VRP",Tabla5[#All],3,FALSE)*Tabla15[[#This Row],[21]])</f>
        <v>0</v>
      </c>
      <c r="AC85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5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58" s="52">
        <f>IF(Tabla15[[#This Row],[23]]="",0,VLOOKUP("VC",Tabla5[#All],3,FALSE)*Tabla15[[#This Row],[24]])</f>
        <v>0</v>
      </c>
      <c r="AF85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5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58" s="52">
        <f>IF(Tabla15[[#This Row],[26]]="",0,VLOOKUP(TRAMOS!$K$2,Tabla5[#All],3,FALSE)*Tabla15[[#This Row],[27]])</f>
        <v>0</v>
      </c>
      <c r="AI85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5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5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5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5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5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5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859" spans="2:41" x14ac:dyDescent="0.25">
      <c r="B859" s="58" t="str">
        <f>Tabla1[[#This Row],[nudo inicial]]</f>
        <v>N456</v>
      </c>
      <c r="C859" s="58" t="str">
        <f>Tabla1[[#This Row],[nudo final]]</f>
        <v>TP302</v>
      </c>
      <c r="D859" s="51">
        <f>Tabla1[[#This Row],[longitud]]</f>
        <v>20.86</v>
      </c>
      <c r="E859" s="51" t="str">
        <f>Tabla1[[#This Row],[diametro]]</f>
        <v>2"</v>
      </c>
      <c r="F859" s="51" t="str">
        <f>Tabla1[[#This Row],[material]]</f>
        <v>PVC</v>
      </c>
      <c r="G85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859" s="52" t="str">
        <f>IF(Tabla1[[#This Row],[5]]="TPD",Tabla1[[#This Row],[6]],"")</f>
        <v/>
      </c>
      <c r="I859" s="52" t="str">
        <f>IF(OR(Tabla1[[#This Row],[5]]="TPD"),Tabla1[[#This Row],[7]],"")</f>
        <v/>
      </c>
      <c r="J859" s="52">
        <f>IF(Tabla15[[#This Row],[2]]="",0,VLOOKUP(TRAMOS!$H$2,Tabla5[#All],3,FALSE)*Tabla15[[#This Row],[3]])</f>
        <v>0</v>
      </c>
      <c r="K859" s="52" t="str">
        <f>IF(Tabla1[[#This Row],[5]]="TPL",Tabla1[[#This Row],[6]],"")</f>
        <v>6"</v>
      </c>
      <c r="L859" s="52">
        <f>IF(OR(Tabla1[[#This Row],[5]]="TPL"),Tabla1[[#This Row],[7]],"")</f>
        <v>1</v>
      </c>
      <c r="M859" s="52">
        <f>IF(Tabla15[[#This Row],[5]]="",0,VLOOKUP(TRAMOS!$K$2,Tabla5[#All],3,FALSE)*Tabla15[[#This Row],[6]])</f>
        <v>0.9</v>
      </c>
      <c r="N85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5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59" s="52">
        <f>IF(Tabla15[[#This Row],[8]]="",0,VLOOKUP(TRAMOS!$H$2,Tabla5[#All],3,FALSE)*Tabla15[[#This Row],[9]])</f>
        <v>0</v>
      </c>
      <c r="Q85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5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59" s="52">
        <f>IF(Tabla15[[#This Row],[11]]="",0,VLOOKUP(TRAMOS!$Q$2,Tabla5[#All],3,FALSE)*Tabla15[[#This Row],[12]])</f>
        <v>0</v>
      </c>
      <c r="T85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859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85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0.43</v>
      </c>
      <c r="W85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5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5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5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5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59" s="52">
        <f>IF(Tabla15[[#This Row],[20]]="",0,VLOOKUP("VRP",Tabla5[#All],3,FALSE)*Tabla15[[#This Row],[21]])</f>
        <v>0</v>
      </c>
      <c r="AC85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5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59" s="52">
        <f>IF(Tabla15[[#This Row],[23]]="",0,VLOOKUP("VC",Tabla5[#All],3,FALSE)*Tabla15[[#This Row],[24]])</f>
        <v>0</v>
      </c>
      <c r="AF85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5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59" s="52">
        <f>IF(Tabla15[[#This Row],[26]]="",0,VLOOKUP(TRAMOS!$K$2,Tabla5[#All],3,FALSE)*Tabla15[[#This Row],[27]])</f>
        <v>0</v>
      </c>
      <c r="AI85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5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5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5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5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859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85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1.33</v>
      </c>
    </row>
    <row r="860" spans="2:41" x14ac:dyDescent="0.25">
      <c r="B860" s="58" t="str">
        <f>Tabla1[[#This Row],[nudo inicial]]</f>
        <v>N456</v>
      </c>
      <c r="C860" s="58" t="str">
        <f>Tabla1[[#This Row],[nudo final]]</f>
        <v>N457</v>
      </c>
      <c r="D860" s="51">
        <f>Tabla1[[#This Row],[longitud]]</f>
        <v>424.61</v>
      </c>
      <c r="E860" s="51" t="str">
        <f>Tabla1[[#This Row],[diametro]]</f>
        <v>6"</v>
      </c>
      <c r="F860" s="51" t="str">
        <f>Tabla1[[#This Row],[material]]</f>
        <v>PVC</v>
      </c>
      <c r="G86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860" s="52" t="str">
        <f>IF(Tabla1[[#This Row],[5]]="TPD",Tabla1[[#This Row],[6]],"")</f>
        <v>6"</v>
      </c>
      <c r="I860" s="52">
        <f>IF(OR(Tabla1[[#This Row],[5]]="TPD"),Tabla1[[#This Row],[7]],"")</f>
        <v>1</v>
      </c>
      <c r="J860" s="52">
        <f>IF(Tabla15[[#This Row],[2]]="",0,VLOOKUP(TRAMOS!$H$2,Tabla5[#All],3,FALSE)*Tabla15[[#This Row],[3]])</f>
        <v>0.15</v>
      </c>
      <c r="K860" s="52" t="str">
        <f>IF(Tabla1[[#This Row],[5]]="TPL",Tabla1[[#This Row],[6]],"")</f>
        <v/>
      </c>
      <c r="L860" s="52" t="str">
        <f>IF(OR(Tabla1[[#This Row],[5]]="TPL"),Tabla1[[#This Row],[7]],"")</f>
        <v/>
      </c>
      <c r="M860" s="52">
        <f>IF(Tabla15[[#This Row],[5]]="",0,VLOOKUP(TRAMOS!$K$2,Tabla5[#All],3,FALSE)*Tabla15[[#This Row],[6]])</f>
        <v>0</v>
      </c>
      <c r="N86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6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60" s="52">
        <f>IF(Tabla15[[#This Row],[8]]="",0,VLOOKUP(TRAMOS!$H$2,Tabla5[#All],3,FALSE)*Tabla15[[#This Row],[9]])</f>
        <v>0</v>
      </c>
      <c r="Q86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6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60" s="52">
        <f>IF(Tabla15[[#This Row],[11]]="",0,VLOOKUP(TRAMOS!$Q$2,Tabla5[#All],3,FALSE)*Tabla15[[#This Row],[12]])</f>
        <v>0</v>
      </c>
      <c r="T86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6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6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6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6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6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6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6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60" s="52">
        <f>IF(Tabla15[[#This Row],[20]]="",0,VLOOKUP("VRP",Tabla5[#All],3,FALSE)*Tabla15[[#This Row],[21]])</f>
        <v>0</v>
      </c>
      <c r="AC86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6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60" s="52">
        <f>IF(Tabla15[[#This Row],[23]]="",0,VLOOKUP("VC",Tabla5[#All],3,FALSE)*Tabla15[[#This Row],[24]])</f>
        <v>0</v>
      </c>
      <c r="AF86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6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60" s="52">
        <f>IF(Tabla15[[#This Row],[26]]="",0,VLOOKUP(TRAMOS!$K$2,Tabla5[#All],3,FALSE)*Tabla15[[#This Row],[27]])</f>
        <v>0</v>
      </c>
      <c r="AI86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6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6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6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6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6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6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861" spans="2:41" x14ac:dyDescent="0.25">
      <c r="B861" s="58" t="str">
        <f>Tabla1[[#This Row],[nudo inicial]]</f>
        <v>N457</v>
      </c>
      <c r="C861" s="58" t="str">
        <f>Tabla1[[#This Row],[nudo final]]</f>
        <v>TP303</v>
      </c>
      <c r="D861" s="51">
        <f>Tabla1[[#This Row],[longitud]]</f>
        <v>50.15</v>
      </c>
      <c r="E861" s="51" t="str">
        <f>Tabla1[[#This Row],[diametro]]</f>
        <v>2"</v>
      </c>
      <c r="F861" s="51" t="str">
        <f>Tabla1[[#This Row],[material]]</f>
        <v>PVC</v>
      </c>
      <c r="G86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861" s="52" t="str">
        <f>IF(Tabla1[[#This Row],[5]]="TPD",Tabla1[[#This Row],[6]],"")</f>
        <v/>
      </c>
      <c r="I861" s="52" t="str">
        <f>IF(OR(Tabla1[[#This Row],[5]]="TPD"),Tabla1[[#This Row],[7]],"")</f>
        <v/>
      </c>
      <c r="J861" s="52">
        <f>IF(Tabla15[[#This Row],[2]]="",0,VLOOKUP(TRAMOS!$H$2,Tabla5[#All],3,FALSE)*Tabla15[[#This Row],[3]])</f>
        <v>0</v>
      </c>
      <c r="K861" s="52" t="str">
        <f>IF(Tabla1[[#This Row],[5]]="TPL",Tabla1[[#This Row],[6]],"")</f>
        <v>6"</v>
      </c>
      <c r="L861" s="52">
        <f>IF(OR(Tabla1[[#This Row],[5]]="TPL"),Tabla1[[#This Row],[7]],"")</f>
        <v>1</v>
      </c>
      <c r="M861" s="52">
        <f>IF(Tabla15[[#This Row],[5]]="",0,VLOOKUP(TRAMOS!$K$2,Tabla5[#All],3,FALSE)*Tabla15[[#This Row],[6]])</f>
        <v>0.9</v>
      </c>
      <c r="N86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6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61" s="52">
        <f>IF(Tabla15[[#This Row],[8]]="",0,VLOOKUP(TRAMOS!$H$2,Tabla5[#All],3,FALSE)*Tabla15[[#This Row],[9]])</f>
        <v>0</v>
      </c>
      <c r="Q86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6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61" s="52">
        <f>IF(Tabla15[[#This Row],[11]]="",0,VLOOKUP(TRAMOS!$Q$2,Tabla5[#All],3,FALSE)*Tabla15[[#This Row],[12]])</f>
        <v>0</v>
      </c>
      <c r="T86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861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86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0.43</v>
      </c>
      <c r="W86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6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6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6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6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61" s="52">
        <f>IF(Tabla15[[#This Row],[20]]="",0,VLOOKUP("VRP",Tabla5[#All],3,FALSE)*Tabla15[[#This Row],[21]])</f>
        <v>0</v>
      </c>
      <c r="AC86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6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61" s="52">
        <f>IF(Tabla15[[#This Row],[23]]="",0,VLOOKUP("VC",Tabla5[#All],3,FALSE)*Tabla15[[#This Row],[24]])</f>
        <v>0</v>
      </c>
      <c r="AF86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6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61" s="52">
        <f>IF(Tabla15[[#This Row],[26]]="",0,VLOOKUP(TRAMOS!$K$2,Tabla5[#All],3,FALSE)*Tabla15[[#This Row],[27]])</f>
        <v>0</v>
      </c>
      <c r="AI86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6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6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6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6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861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86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1.33</v>
      </c>
    </row>
    <row r="862" spans="2:41" x14ac:dyDescent="0.25">
      <c r="B862" s="58" t="str">
        <f>Tabla1[[#This Row],[nudo inicial]]</f>
        <v>N457</v>
      </c>
      <c r="C862" s="58" t="str">
        <f>Tabla1[[#This Row],[nudo final]]</f>
        <v>N458</v>
      </c>
      <c r="D862" s="51">
        <f>Tabla1[[#This Row],[longitud]]</f>
        <v>223.17</v>
      </c>
      <c r="E862" s="51" t="str">
        <f>Tabla1[[#This Row],[diametro]]</f>
        <v>6"</v>
      </c>
      <c r="F862" s="51" t="str">
        <f>Tabla1[[#This Row],[material]]</f>
        <v>PVC</v>
      </c>
      <c r="G86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862" s="52" t="str">
        <f>IF(Tabla1[[#This Row],[5]]="TPD",Tabla1[[#This Row],[6]],"")</f>
        <v>6"</v>
      </c>
      <c r="I862" s="52">
        <f>IF(OR(Tabla1[[#This Row],[5]]="TPD"),Tabla1[[#This Row],[7]],"")</f>
        <v>1</v>
      </c>
      <c r="J862" s="52">
        <f>IF(Tabla15[[#This Row],[2]]="",0,VLOOKUP(TRAMOS!$H$2,Tabla5[#All],3,FALSE)*Tabla15[[#This Row],[3]])</f>
        <v>0.15</v>
      </c>
      <c r="K862" s="52" t="str">
        <f>IF(Tabla1[[#This Row],[5]]="TPL",Tabla1[[#This Row],[6]],"")</f>
        <v/>
      </c>
      <c r="L862" s="52" t="str">
        <f>IF(OR(Tabla1[[#This Row],[5]]="TPL"),Tabla1[[#This Row],[7]],"")</f>
        <v/>
      </c>
      <c r="M862" s="52">
        <f>IF(Tabla15[[#This Row],[5]]="",0,VLOOKUP(TRAMOS!$K$2,Tabla5[#All],3,FALSE)*Tabla15[[#This Row],[6]])</f>
        <v>0</v>
      </c>
      <c r="N86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6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62" s="52">
        <f>IF(Tabla15[[#This Row],[8]]="",0,VLOOKUP(TRAMOS!$H$2,Tabla5[#All],3,FALSE)*Tabla15[[#This Row],[9]])</f>
        <v>0</v>
      </c>
      <c r="Q86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6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62" s="52">
        <f>IF(Tabla15[[#This Row],[11]]="",0,VLOOKUP(TRAMOS!$Q$2,Tabla5[#All],3,FALSE)*Tabla15[[#This Row],[12]])</f>
        <v>0</v>
      </c>
      <c r="T86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6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6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6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6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6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6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6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62" s="52">
        <f>IF(Tabla15[[#This Row],[20]]="",0,VLOOKUP("VRP",Tabla5[#All],3,FALSE)*Tabla15[[#This Row],[21]])</f>
        <v>0</v>
      </c>
      <c r="AC86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6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62" s="52">
        <f>IF(Tabla15[[#This Row],[23]]="",0,VLOOKUP("VC",Tabla5[#All],3,FALSE)*Tabla15[[#This Row],[24]])</f>
        <v>0</v>
      </c>
      <c r="AF86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6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62" s="52">
        <f>IF(Tabla15[[#This Row],[26]]="",0,VLOOKUP(TRAMOS!$K$2,Tabla5[#All],3,FALSE)*Tabla15[[#This Row],[27]])</f>
        <v>0</v>
      </c>
      <c r="AI86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6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6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6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6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6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6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863" spans="2:41" x14ac:dyDescent="0.25">
      <c r="B863" s="58" t="str">
        <f>Tabla1[[#This Row],[nudo inicial]]</f>
        <v>N458</v>
      </c>
      <c r="C863" s="58" t="str">
        <f>Tabla1[[#This Row],[nudo final]]</f>
        <v>TP304</v>
      </c>
      <c r="D863" s="51">
        <f>Tabla1[[#This Row],[longitud]]</f>
        <v>242.61</v>
      </c>
      <c r="E863" s="51" t="str">
        <f>Tabla1[[#This Row],[diametro]]</f>
        <v>2"</v>
      </c>
      <c r="F863" s="51" t="str">
        <f>Tabla1[[#This Row],[material]]</f>
        <v>PVC</v>
      </c>
      <c r="G86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863" s="52" t="str">
        <f>IF(Tabla1[[#This Row],[5]]="TPD",Tabla1[[#This Row],[6]],"")</f>
        <v/>
      </c>
      <c r="I863" s="52" t="str">
        <f>IF(OR(Tabla1[[#This Row],[5]]="TPD"),Tabla1[[#This Row],[7]],"")</f>
        <v/>
      </c>
      <c r="J863" s="52">
        <f>IF(Tabla15[[#This Row],[2]]="",0,VLOOKUP(TRAMOS!$H$2,Tabla5[#All],3,FALSE)*Tabla15[[#This Row],[3]])</f>
        <v>0</v>
      </c>
      <c r="K863" s="52" t="str">
        <f>IF(Tabla1[[#This Row],[5]]="TPL",Tabla1[[#This Row],[6]],"")</f>
        <v>6"</v>
      </c>
      <c r="L863" s="52">
        <f>IF(OR(Tabla1[[#This Row],[5]]="TPL"),Tabla1[[#This Row],[7]],"")</f>
        <v>1</v>
      </c>
      <c r="M863" s="52">
        <f>IF(Tabla15[[#This Row],[5]]="",0,VLOOKUP(TRAMOS!$K$2,Tabla5[#All],3,FALSE)*Tabla15[[#This Row],[6]])</f>
        <v>0.9</v>
      </c>
      <c r="N86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6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63" s="52">
        <f>IF(Tabla15[[#This Row],[8]]="",0,VLOOKUP(TRAMOS!$H$2,Tabla5[#All],3,FALSE)*Tabla15[[#This Row],[9]])</f>
        <v>0</v>
      </c>
      <c r="Q86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863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863" s="52">
        <f>IF(Tabla15[[#This Row],[11]]="",0,VLOOKUP(TRAMOS!$Q$2,Tabla5[#All],3,FALSE)*Tabla15[[#This Row],[12]])</f>
        <v>0.9</v>
      </c>
      <c r="T86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863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86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0.43</v>
      </c>
      <c r="W86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6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6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6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6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63" s="52">
        <f>IF(Tabla15[[#This Row],[20]]="",0,VLOOKUP("VRP",Tabla5[#All],3,FALSE)*Tabla15[[#This Row],[21]])</f>
        <v>0</v>
      </c>
      <c r="AC86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863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863" s="52">
        <f>IF(Tabla15[[#This Row],[23]]="",0,VLOOKUP("VC",Tabla5[#All],3,FALSE)*Tabla15[[#This Row],[24]])</f>
        <v>0.25</v>
      </c>
      <c r="AF86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6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63" s="52">
        <f>IF(Tabla15[[#This Row],[26]]="",0,VLOOKUP(TRAMOS!$K$2,Tabla5[#All],3,FALSE)*Tabla15[[#This Row],[27]])</f>
        <v>0</v>
      </c>
      <c r="AI86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6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6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6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6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863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86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2.48</v>
      </c>
    </row>
    <row r="864" spans="2:41" x14ac:dyDescent="0.25">
      <c r="B864" s="58" t="str">
        <f>Tabla1[[#This Row],[nudo inicial]]</f>
        <v>N458</v>
      </c>
      <c r="C864" s="58" t="str">
        <f>Tabla1[[#This Row],[nudo final]]</f>
        <v>N459</v>
      </c>
      <c r="D864" s="51">
        <f>Tabla1[[#This Row],[longitud]]</f>
        <v>400.18</v>
      </c>
      <c r="E864" s="51" t="str">
        <f>Tabla1[[#This Row],[diametro]]</f>
        <v>6"</v>
      </c>
      <c r="F864" s="51" t="str">
        <f>Tabla1[[#This Row],[material]]</f>
        <v>PVC</v>
      </c>
      <c r="G86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864" s="52" t="str">
        <f>IF(Tabla1[[#This Row],[5]]="TPD",Tabla1[[#This Row],[6]],"")</f>
        <v>6"</v>
      </c>
      <c r="I864" s="52">
        <f>IF(OR(Tabla1[[#This Row],[5]]="TPD"),Tabla1[[#This Row],[7]],"")</f>
        <v>1</v>
      </c>
      <c r="J864" s="52">
        <f>IF(Tabla15[[#This Row],[2]]="",0,VLOOKUP(TRAMOS!$H$2,Tabla5[#All],3,FALSE)*Tabla15[[#This Row],[3]])</f>
        <v>0.15</v>
      </c>
      <c r="K864" s="52" t="str">
        <f>IF(Tabla1[[#This Row],[5]]="TPL",Tabla1[[#This Row],[6]],"")</f>
        <v/>
      </c>
      <c r="L864" s="52" t="str">
        <f>IF(OR(Tabla1[[#This Row],[5]]="TPL"),Tabla1[[#This Row],[7]],"")</f>
        <v/>
      </c>
      <c r="M864" s="52">
        <f>IF(Tabla15[[#This Row],[5]]="",0,VLOOKUP(TRAMOS!$K$2,Tabla5[#All],3,FALSE)*Tabla15[[#This Row],[6]])</f>
        <v>0</v>
      </c>
      <c r="N86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6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64" s="52">
        <f>IF(Tabla15[[#This Row],[8]]="",0,VLOOKUP(TRAMOS!$H$2,Tabla5[#All],3,FALSE)*Tabla15[[#This Row],[9]])</f>
        <v>0</v>
      </c>
      <c r="Q86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6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64" s="52">
        <f>IF(Tabla15[[#This Row],[11]]="",0,VLOOKUP(TRAMOS!$Q$2,Tabla5[#All],3,FALSE)*Tabla15[[#This Row],[12]])</f>
        <v>0</v>
      </c>
      <c r="T86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6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6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6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6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6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6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6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64" s="52">
        <f>IF(Tabla15[[#This Row],[20]]="",0,VLOOKUP("VRP",Tabla5[#All],3,FALSE)*Tabla15[[#This Row],[21]])</f>
        <v>0</v>
      </c>
      <c r="AC86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6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64" s="52">
        <f>IF(Tabla15[[#This Row],[23]]="",0,VLOOKUP("VC",Tabla5[#All],3,FALSE)*Tabla15[[#This Row],[24]])</f>
        <v>0</v>
      </c>
      <c r="AF86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6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64" s="52">
        <f>IF(Tabla15[[#This Row],[26]]="",0,VLOOKUP(TRAMOS!$K$2,Tabla5[#All],3,FALSE)*Tabla15[[#This Row],[27]])</f>
        <v>0</v>
      </c>
      <c r="AI86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6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6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6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6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6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6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865" spans="2:41" x14ac:dyDescent="0.25">
      <c r="B865" s="58" t="str">
        <f>Tabla1[[#This Row],[nudo inicial]]</f>
        <v>N459</v>
      </c>
      <c r="C865" s="58" t="str">
        <f>Tabla1[[#This Row],[nudo final]]</f>
        <v>CQ6</v>
      </c>
      <c r="D865" s="51">
        <f>Tabla1[[#This Row],[longitud]]</f>
        <v>8.44</v>
      </c>
      <c r="E865" s="51" t="str">
        <f>Tabla1[[#This Row],[diametro]]</f>
        <v>6"</v>
      </c>
      <c r="F865" s="51" t="str">
        <f>Tabla1[[#This Row],[material]]</f>
        <v>PVC</v>
      </c>
      <c r="G86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865" s="52" t="str">
        <f>IF(Tabla1[[#This Row],[5]]="TPD",Tabla1[[#This Row],[6]],"")</f>
        <v/>
      </c>
      <c r="I865" s="52" t="str">
        <f>IF(OR(Tabla1[[#This Row],[5]]="TPD"),Tabla1[[#This Row],[7]],"")</f>
        <v/>
      </c>
      <c r="J865" s="52">
        <f>IF(Tabla15[[#This Row],[2]]="",0,VLOOKUP(TRAMOS!$H$2,Tabla5[#All],3,FALSE)*Tabla15[[#This Row],[3]])</f>
        <v>0</v>
      </c>
      <c r="K865" s="52" t="str">
        <f>IF(Tabla1[[#This Row],[5]]="TPL",Tabla1[[#This Row],[6]],"")</f>
        <v>6"</v>
      </c>
      <c r="L865" s="52">
        <f>IF(OR(Tabla1[[#This Row],[5]]="TPL"),Tabla1[[#This Row],[7]],"")</f>
        <v>1</v>
      </c>
      <c r="M865" s="52">
        <f>IF(Tabla15[[#This Row],[5]]="",0,VLOOKUP(TRAMOS!$K$2,Tabla5[#All],3,FALSE)*Tabla15[[#This Row],[6]])</f>
        <v>0.9</v>
      </c>
      <c r="N86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6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65" s="52">
        <f>IF(Tabla15[[#This Row],[8]]="",0,VLOOKUP(TRAMOS!$H$2,Tabla5[#All],3,FALSE)*Tabla15[[#This Row],[9]])</f>
        <v>0</v>
      </c>
      <c r="Q86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6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65" s="52">
        <f>IF(Tabla15[[#This Row],[11]]="",0,VLOOKUP(TRAMOS!$Q$2,Tabla5[#All],3,FALSE)*Tabla15[[#This Row],[12]])</f>
        <v>0</v>
      </c>
      <c r="T86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6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6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6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6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6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6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6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65" s="52">
        <f>IF(Tabla15[[#This Row],[20]]="",0,VLOOKUP("VRP",Tabla5[#All],3,FALSE)*Tabla15[[#This Row],[21]])</f>
        <v>0</v>
      </c>
      <c r="AC86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6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65" s="52">
        <f>IF(Tabla15[[#This Row],[23]]="",0,VLOOKUP("VC",Tabla5[#All],3,FALSE)*Tabla15[[#This Row],[24]])</f>
        <v>0</v>
      </c>
      <c r="AF86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6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65" s="52">
        <f>IF(Tabla15[[#This Row],[26]]="",0,VLOOKUP(TRAMOS!$K$2,Tabla5[#All],3,FALSE)*Tabla15[[#This Row],[27]])</f>
        <v>0</v>
      </c>
      <c r="AI86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6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6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6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6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6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6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866" spans="2:41" x14ac:dyDescent="0.25">
      <c r="B866" s="58" t="str">
        <f>Tabla1[[#This Row],[nudo inicial]]</f>
        <v>CQ6</v>
      </c>
      <c r="C866" s="58" t="str">
        <f>Tabla1[[#This Row],[nudo final]]</f>
        <v>N460</v>
      </c>
      <c r="D866" s="51">
        <f>Tabla1[[#This Row],[longitud]]</f>
        <v>195.08</v>
      </c>
      <c r="E866" s="51" t="str">
        <f>Tabla1[[#This Row],[diametro]]</f>
        <v>3"</v>
      </c>
      <c r="F866" s="51" t="str">
        <f>Tabla1[[#This Row],[material]]</f>
        <v>PVC</v>
      </c>
      <c r="G86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866" s="52" t="str">
        <f>IF(Tabla1[[#This Row],[5]]="TPD",Tabla1[[#This Row],[6]],"")</f>
        <v/>
      </c>
      <c r="I866" s="52" t="str">
        <f>IF(OR(Tabla1[[#This Row],[5]]="TPD"),Tabla1[[#This Row],[7]],"")</f>
        <v/>
      </c>
      <c r="J866" s="52">
        <f>IF(Tabla15[[#This Row],[2]]="",0,VLOOKUP(TRAMOS!$H$2,Tabla5[#All],3,FALSE)*Tabla15[[#This Row],[3]])</f>
        <v>0</v>
      </c>
      <c r="K866" s="52" t="str">
        <f>IF(Tabla1[[#This Row],[5]]="TPL",Tabla1[[#This Row],[6]],"")</f>
        <v/>
      </c>
      <c r="L866" s="52" t="str">
        <f>IF(OR(Tabla1[[#This Row],[5]]="TPL"),Tabla1[[#This Row],[7]],"")</f>
        <v/>
      </c>
      <c r="M866" s="52">
        <f>IF(Tabla15[[#This Row],[5]]="",0,VLOOKUP(TRAMOS!$K$2,Tabla5[#All],3,FALSE)*Tabla15[[#This Row],[6]])</f>
        <v>0</v>
      </c>
      <c r="N86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6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66" s="52">
        <f>IF(Tabla15[[#This Row],[8]]="",0,VLOOKUP(TRAMOS!$H$2,Tabla5[#All],3,FALSE)*Tabla15[[#This Row],[9]])</f>
        <v>0</v>
      </c>
      <c r="Q86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3"</v>
      </c>
      <c r="R866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2</v>
      </c>
      <c r="S866" s="52">
        <f>IF(Tabla15[[#This Row],[11]]="",0,VLOOKUP(TRAMOS!$Q$2,Tabla5[#All],3,FALSE)*Tabla15[[#This Row],[12]])</f>
        <v>1.8</v>
      </c>
      <c r="T86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6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6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6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6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6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6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6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66" s="52">
        <f>IF(Tabla15[[#This Row],[20]]="",0,VLOOKUP("VRP",Tabla5[#All],3,FALSE)*Tabla15[[#This Row],[21]])</f>
        <v>0</v>
      </c>
      <c r="AC86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6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66" s="52">
        <f>IF(Tabla15[[#This Row],[23]]="",0,VLOOKUP("VC",Tabla5[#All],3,FALSE)*Tabla15[[#This Row],[24]])</f>
        <v>0</v>
      </c>
      <c r="AF86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6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66" s="52">
        <f>IF(Tabla15[[#This Row],[26]]="",0,VLOOKUP(TRAMOS!$K$2,Tabla5[#All],3,FALSE)*Tabla15[[#This Row],[27]])</f>
        <v>0</v>
      </c>
      <c r="AI86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6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6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6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6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6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6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1.8</v>
      </c>
    </row>
    <row r="867" spans="2:41" x14ac:dyDescent="0.25">
      <c r="B867" s="58" t="str">
        <f>Tabla1[[#This Row],[nudo inicial]]</f>
        <v>N460</v>
      </c>
      <c r="C867" s="58" t="str">
        <f>Tabla1[[#This Row],[nudo final]]</f>
        <v>N461</v>
      </c>
      <c r="D867" s="51">
        <f>Tabla1[[#This Row],[longitud]]</f>
        <v>79.77</v>
      </c>
      <c r="E867" s="51" t="str">
        <f>Tabla1[[#This Row],[diametro]]</f>
        <v>3"</v>
      </c>
      <c r="F867" s="51" t="str">
        <f>Tabla1[[#This Row],[material]]</f>
        <v>PVC</v>
      </c>
      <c r="G86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867" s="52" t="str">
        <f>IF(Tabla1[[#This Row],[5]]="TPD",Tabla1[[#This Row],[6]],"")</f>
        <v/>
      </c>
      <c r="I867" s="52" t="str">
        <f>IF(OR(Tabla1[[#This Row],[5]]="TPD"),Tabla1[[#This Row],[7]],"")</f>
        <v/>
      </c>
      <c r="J867" s="52">
        <f>IF(Tabla15[[#This Row],[2]]="",0,VLOOKUP(TRAMOS!$H$2,Tabla5[#All],3,FALSE)*Tabla15[[#This Row],[3]])</f>
        <v>0</v>
      </c>
      <c r="K867" s="52" t="str">
        <f>IF(Tabla1[[#This Row],[5]]="TPL",Tabla1[[#This Row],[6]],"")</f>
        <v>3"</v>
      </c>
      <c r="L867" s="52">
        <f>IF(OR(Tabla1[[#This Row],[5]]="TPL"),Tabla1[[#This Row],[7]],"")</f>
        <v>1</v>
      </c>
      <c r="M867" s="52">
        <f>IF(Tabla15[[#This Row],[5]]="",0,VLOOKUP(TRAMOS!$K$2,Tabla5[#All],3,FALSE)*Tabla15[[#This Row],[6]])</f>
        <v>0.9</v>
      </c>
      <c r="N86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6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67" s="52">
        <f>IF(Tabla15[[#This Row],[8]]="",0,VLOOKUP(TRAMOS!$H$2,Tabla5[#All],3,FALSE)*Tabla15[[#This Row],[9]])</f>
        <v>0</v>
      </c>
      <c r="Q86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6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67" s="52">
        <f>IF(Tabla15[[#This Row],[11]]="",0,VLOOKUP(TRAMOS!$Q$2,Tabla5[#All],3,FALSE)*Tabla15[[#This Row],[12]])</f>
        <v>0</v>
      </c>
      <c r="T86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6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6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6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6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6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6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6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67" s="52">
        <f>IF(Tabla15[[#This Row],[20]]="",0,VLOOKUP("VRP",Tabla5[#All],3,FALSE)*Tabla15[[#This Row],[21]])</f>
        <v>0</v>
      </c>
      <c r="AC86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6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67" s="52">
        <f>IF(Tabla15[[#This Row],[23]]="",0,VLOOKUP("VC",Tabla5[#All],3,FALSE)*Tabla15[[#This Row],[24]])</f>
        <v>0</v>
      </c>
      <c r="AF86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6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67" s="52">
        <f>IF(Tabla15[[#This Row],[26]]="",0,VLOOKUP(TRAMOS!$K$2,Tabla5[#All],3,FALSE)*Tabla15[[#This Row],[27]])</f>
        <v>0</v>
      </c>
      <c r="AI86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6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6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6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6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6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6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868" spans="2:41" x14ac:dyDescent="0.25">
      <c r="B868" s="58" t="str">
        <f>Tabla1[[#This Row],[nudo inicial]]</f>
        <v>N461</v>
      </c>
      <c r="C868" s="58" t="str">
        <f>Tabla1[[#This Row],[nudo final]]</f>
        <v>TP305</v>
      </c>
      <c r="D868" s="51">
        <f>Tabla1[[#This Row],[longitud]]</f>
        <v>75.23</v>
      </c>
      <c r="E868" s="51" t="str">
        <f>Tabla1[[#This Row],[diametro]]</f>
        <v>2"</v>
      </c>
      <c r="F868" s="51" t="str">
        <f>Tabla1[[#This Row],[material]]</f>
        <v>PVC</v>
      </c>
      <c r="G86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868" s="52" t="str">
        <f>IF(Tabla1[[#This Row],[5]]="TPD",Tabla1[[#This Row],[6]],"")</f>
        <v/>
      </c>
      <c r="I868" s="52" t="str">
        <f>IF(OR(Tabla1[[#This Row],[5]]="TPD"),Tabla1[[#This Row],[7]],"")</f>
        <v/>
      </c>
      <c r="J868" s="52">
        <f>IF(Tabla15[[#This Row],[2]]="",0,VLOOKUP(TRAMOS!$H$2,Tabla5[#All],3,FALSE)*Tabla15[[#This Row],[3]])</f>
        <v>0</v>
      </c>
      <c r="K868" s="52" t="str">
        <f>IF(Tabla1[[#This Row],[5]]="TPL",Tabla1[[#This Row],[6]],"")</f>
        <v>3"</v>
      </c>
      <c r="L868" s="52">
        <f>IF(OR(Tabla1[[#This Row],[5]]="TPL"),Tabla1[[#This Row],[7]],"")</f>
        <v>1</v>
      </c>
      <c r="M868" s="52">
        <f>IF(Tabla15[[#This Row],[5]]="",0,VLOOKUP(TRAMOS!$K$2,Tabla5[#All],3,FALSE)*Tabla15[[#This Row],[6]])</f>
        <v>0.9</v>
      </c>
      <c r="N86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6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68" s="52">
        <f>IF(Tabla15[[#This Row],[8]]="",0,VLOOKUP(TRAMOS!$H$2,Tabla5[#All],3,FALSE)*Tabla15[[#This Row],[9]])</f>
        <v>0</v>
      </c>
      <c r="Q86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6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68" s="52">
        <f>IF(Tabla15[[#This Row],[11]]="",0,VLOOKUP(TRAMOS!$Q$2,Tabla5[#All],3,FALSE)*Tabla15[[#This Row],[12]])</f>
        <v>0</v>
      </c>
      <c r="T86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868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86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86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6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6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6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6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68" s="52">
        <f>IF(Tabla15[[#This Row],[20]]="",0,VLOOKUP("VRP",Tabla5[#All],3,FALSE)*Tabla15[[#This Row],[21]])</f>
        <v>0</v>
      </c>
      <c r="AC86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6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68" s="52">
        <f>IF(Tabla15[[#This Row],[23]]="",0,VLOOKUP("VC",Tabla5[#All],3,FALSE)*Tabla15[[#This Row],[24]])</f>
        <v>0</v>
      </c>
      <c r="AF86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6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68" s="52">
        <f>IF(Tabla15[[#This Row],[26]]="",0,VLOOKUP(TRAMOS!$K$2,Tabla5[#All],3,FALSE)*Tabla15[[#This Row],[27]])</f>
        <v>0</v>
      </c>
      <c r="AI86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6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6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6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6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868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86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869" spans="2:41" x14ac:dyDescent="0.25">
      <c r="B869" s="58" t="str">
        <f>Tabla1[[#This Row],[nudo inicial]]</f>
        <v>N461</v>
      </c>
      <c r="C869" s="58" t="str">
        <f>Tabla1[[#This Row],[nudo final]]</f>
        <v>N462</v>
      </c>
      <c r="D869" s="51">
        <f>Tabla1[[#This Row],[longitud]]</f>
        <v>18.14</v>
      </c>
      <c r="E869" s="51" t="str">
        <f>Tabla1[[#This Row],[diametro]]</f>
        <v>3"</v>
      </c>
      <c r="F869" s="51" t="str">
        <f>Tabla1[[#This Row],[material]]</f>
        <v>PVC</v>
      </c>
      <c r="G86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869" s="52" t="str">
        <f>IF(Tabla1[[#This Row],[5]]="TPD",Tabla1[[#This Row],[6]],"")</f>
        <v>3"</v>
      </c>
      <c r="I869" s="52">
        <f>IF(OR(Tabla1[[#This Row],[5]]="TPD"),Tabla1[[#This Row],[7]],"")</f>
        <v>1</v>
      </c>
      <c r="J869" s="52">
        <f>IF(Tabla15[[#This Row],[2]]="",0,VLOOKUP(TRAMOS!$H$2,Tabla5[#All],3,FALSE)*Tabla15[[#This Row],[3]])</f>
        <v>0.15</v>
      </c>
      <c r="K869" s="52" t="str">
        <f>IF(Tabla1[[#This Row],[5]]="TPL",Tabla1[[#This Row],[6]],"")</f>
        <v/>
      </c>
      <c r="L869" s="52" t="str">
        <f>IF(OR(Tabla1[[#This Row],[5]]="TPL"),Tabla1[[#This Row],[7]],"")</f>
        <v/>
      </c>
      <c r="M869" s="52">
        <f>IF(Tabla15[[#This Row],[5]]="",0,VLOOKUP(TRAMOS!$K$2,Tabla5[#All],3,FALSE)*Tabla15[[#This Row],[6]])</f>
        <v>0</v>
      </c>
      <c r="N86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6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69" s="52">
        <f>IF(Tabla15[[#This Row],[8]]="",0,VLOOKUP(TRAMOS!$H$2,Tabla5[#All],3,FALSE)*Tabla15[[#This Row],[9]])</f>
        <v>0</v>
      </c>
      <c r="Q86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3"</v>
      </c>
      <c r="R869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869" s="52">
        <f>IF(Tabla15[[#This Row],[11]]="",0,VLOOKUP(TRAMOS!$Q$2,Tabla5[#All],3,FALSE)*Tabla15[[#This Row],[12]])</f>
        <v>0.9</v>
      </c>
      <c r="T86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6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6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6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6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6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6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6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69" s="52">
        <f>IF(Tabla15[[#This Row],[20]]="",0,VLOOKUP("VRP",Tabla5[#All],3,FALSE)*Tabla15[[#This Row],[21]])</f>
        <v>0</v>
      </c>
      <c r="AC86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6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69" s="52">
        <f>IF(Tabla15[[#This Row],[23]]="",0,VLOOKUP("VC",Tabla5[#All],3,FALSE)*Tabla15[[#This Row],[24]])</f>
        <v>0</v>
      </c>
      <c r="AF86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6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69" s="52">
        <f>IF(Tabla15[[#This Row],[26]]="",0,VLOOKUP(TRAMOS!$K$2,Tabla5[#All],3,FALSE)*Tabla15[[#This Row],[27]])</f>
        <v>0</v>
      </c>
      <c r="AI86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6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6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6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6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6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6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870" spans="2:41" x14ac:dyDescent="0.25">
      <c r="B870" s="58" t="str">
        <f>Tabla1[[#This Row],[nudo inicial]]</f>
        <v>N462</v>
      </c>
      <c r="C870" s="58" t="str">
        <f>Tabla1[[#This Row],[nudo final]]</f>
        <v>N463</v>
      </c>
      <c r="D870" s="51">
        <f>Tabla1[[#This Row],[longitud]]</f>
        <v>115.78</v>
      </c>
      <c r="E870" s="51" t="str">
        <f>Tabla1[[#This Row],[diametro]]</f>
        <v>2"</v>
      </c>
      <c r="F870" s="51" t="str">
        <f>Tabla1[[#This Row],[material]]</f>
        <v>PVC</v>
      </c>
      <c r="G87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870" s="52" t="str">
        <f>IF(Tabla1[[#This Row],[5]]="TPD",Tabla1[[#This Row],[6]],"")</f>
        <v/>
      </c>
      <c r="I870" s="52" t="str">
        <f>IF(OR(Tabla1[[#This Row],[5]]="TPD"),Tabla1[[#This Row],[7]],"")</f>
        <v/>
      </c>
      <c r="J870" s="52">
        <f>IF(Tabla15[[#This Row],[2]]="",0,VLOOKUP(TRAMOS!$H$2,Tabla5[#All],3,FALSE)*Tabla15[[#This Row],[3]])</f>
        <v>0</v>
      </c>
      <c r="K870" s="52" t="str">
        <f>IF(Tabla1[[#This Row],[5]]="TPL",Tabla1[[#This Row],[6]],"")</f>
        <v>3"</v>
      </c>
      <c r="L870" s="52">
        <f>IF(OR(Tabla1[[#This Row],[5]]="TPL"),Tabla1[[#This Row],[7]],"")</f>
        <v>1</v>
      </c>
      <c r="M870" s="52">
        <f>IF(Tabla15[[#This Row],[5]]="",0,VLOOKUP(TRAMOS!$K$2,Tabla5[#All],3,FALSE)*Tabla15[[#This Row],[6]])</f>
        <v>0.9</v>
      </c>
      <c r="N87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7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70" s="52">
        <f>IF(Tabla15[[#This Row],[8]]="",0,VLOOKUP(TRAMOS!$H$2,Tabla5[#All],3,FALSE)*Tabla15[[#This Row],[9]])</f>
        <v>0</v>
      </c>
      <c r="Q87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870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870" s="52">
        <f>IF(Tabla15[[#This Row],[11]]="",0,VLOOKUP(TRAMOS!$Q$2,Tabla5[#All],3,FALSE)*Tabla15[[#This Row],[12]])</f>
        <v>0.9</v>
      </c>
      <c r="T87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870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87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87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7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7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7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7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70" s="52">
        <f>IF(Tabla15[[#This Row],[20]]="",0,VLOOKUP("VRP",Tabla5[#All],3,FALSE)*Tabla15[[#This Row],[21]])</f>
        <v>0</v>
      </c>
      <c r="AC87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870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870" s="52">
        <f>IF(Tabla15[[#This Row],[23]]="",0,VLOOKUP("VC",Tabla5[#All],3,FALSE)*Tabla15[[#This Row],[24]])</f>
        <v>0.25</v>
      </c>
      <c r="AF87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7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70" s="52">
        <f>IF(Tabla15[[#This Row],[26]]="",0,VLOOKUP(TRAMOS!$K$2,Tabla5[#All],3,FALSE)*Tabla15[[#This Row],[27]])</f>
        <v>0</v>
      </c>
      <c r="AI87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7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7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7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7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7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7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2.2650000000000001</v>
      </c>
    </row>
    <row r="871" spans="2:41" x14ac:dyDescent="0.25">
      <c r="B871" s="58" t="str">
        <f>Tabla1[[#This Row],[nudo inicial]]</f>
        <v>N463</v>
      </c>
      <c r="C871" s="58" t="str">
        <f>Tabla1[[#This Row],[nudo final]]</f>
        <v>TP306</v>
      </c>
      <c r="D871" s="51">
        <f>Tabla1[[#This Row],[longitud]]</f>
        <v>49.18</v>
      </c>
      <c r="E871" s="51" t="str">
        <f>Tabla1[[#This Row],[diametro]]</f>
        <v>2"</v>
      </c>
      <c r="F871" s="51" t="str">
        <f>Tabla1[[#This Row],[material]]</f>
        <v>PVC</v>
      </c>
      <c r="G87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871" s="52" t="str">
        <f>IF(Tabla1[[#This Row],[5]]="TPD",Tabla1[[#This Row],[6]],"")</f>
        <v/>
      </c>
      <c r="I871" s="52" t="str">
        <f>IF(OR(Tabla1[[#This Row],[5]]="TPD"),Tabla1[[#This Row],[7]],"")</f>
        <v/>
      </c>
      <c r="J871" s="52">
        <f>IF(Tabla15[[#This Row],[2]]="",0,VLOOKUP(TRAMOS!$H$2,Tabla5[#All],3,FALSE)*Tabla15[[#This Row],[3]])</f>
        <v>0</v>
      </c>
      <c r="K871" s="52" t="str">
        <f>IF(Tabla1[[#This Row],[5]]="TPL",Tabla1[[#This Row],[6]],"")</f>
        <v>2"</v>
      </c>
      <c r="L871" s="52">
        <f>IF(OR(Tabla1[[#This Row],[5]]="TPL"),Tabla1[[#This Row],[7]],"")</f>
        <v>1</v>
      </c>
      <c r="M871" s="52">
        <f>IF(Tabla15[[#This Row],[5]]="",0,VLOOKUP(TRAMOS!$K$2,Tabla5[#All],3,FALSE)*Tabla15[[#This Row],[6]])</f>
        <v>0.9</v>
      </c>
      <c r="N87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7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71" s="52">
        <f>IF(Tabla15[[#This Row],[8]]="",0,VLOOKUP(TRAMOS!$H$2,Tabla5[#All],3,FALSE)*Tabla15[[#This Row],[9]])</f>
        <v>0</v>
      </c>
      <c r="Q87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7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71" s="52">
        <f>IF(Tabla15[[#This Row],[11]]="",0,VLOOKUP(TRAMOS!$Q$2,Tabla5[#All],3,FALSE)*Tabla15[[#This Row],[12]])</f>
        <v>0</v>
      </c>
      <c r="T87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7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7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7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7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7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7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7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71" s="52">
        <f>IF(Tabla15[[#This Row],[20]]="",0,VLOOKUP("VRP",Tabla5[#All],3,FALSE)*Tabla15[[#This Row],[21]])</f>
        <v>0</v>
      </c>
      <c r="AC87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7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71" s="52">
        <f>IF(Tabla15[[#This Row],[23]]="",0,VLOOKUP("VC",Tabla5[#All],3,FALSE)*Tabla15[[#This Row],[24]])</f>
        <v>0</v>
      </c>
      <c r="AF87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7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71" s="52">
        <f>IF(Tabla15[[#This Row],[26]]="",0,VLOOKUP(TRAMOS!$K$2,Tabla5[#All],3,FALSE)*Tabla15[[#This Row],[27]])</f>
        <v>0</v>
      </c>
      <c r="AI87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7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7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7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7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871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87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872" spans="2:41" x14ac:dyDescent="0.25">
      <c r="B872" s="58" t="str">
        <f>Tabla1[[#This Row],[nudo inicial]]</f>
        <v>N463</v>
      </c>
      <c r="C872" s="58" t="str">
        <f>Tabla1[[#This Row],[nudo final]]</f>
        <v>N464</v>
      </c>
      <c r="D872" s="51">
        <f>Tabla1[[#This Row],[longitud]]</f>
        <v>87.68</v>
      </c>
      <c r="E872" s="51" t="str">
        <f>Tabla1[[#This Row],[diametro]]</f>
        <v>2"</v>
      </c>
      <c r="F872" s="51" t="str">
        <f>Tabla1[[#This Row],[material]]</f>
        <v>PVC</v>
      </c>
      <c r="G87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872" s="52" t="str">
        <f>IF(Tabla1[[#This Row],[5]]="TPD",Tabla1[[#This Row],[6]],"")</f>
        <v>2"</v>
      </c>
      <c r="I872" s="52">
        <f>IF(OR(Tabla1[[#This Row],[5]]="TPD"),Tabla1[[#This Row],[7]],"")</f>
        <v>1</v>
      </c>
      <c r="J872" s="52">
        <f>IF(Tabla15[[#This Row],[2]]="",0,VLOOKUP(TRAMOS!$H$2,Tabla5[#All],3,FALSE)*Tabla15[[#This Row],[3]])</f>
        <v>0.15</v>
      </c>
      <c r="K872" s="52" t="str">
        <f>IF(Tabla1[[#This Row],[5]]="TPL",Tabla1[[#This Row],[6]],"")</f>
        <v/>
      </c>
      <c r="L872" s="52" t="str">
        <f>IF(OR(Tabla1[[#This Row],[5]]="TPL"),Tabla1[[#This Row],[7]],"")</f>
        <v/>
      </c>
      <c r="M872" s="52">
        <f>IF(Tabla15[[#This Row],[5]]="",0,VLOOKUP(TRAMOS!$K$2,Tabla5[#All],3,FALSE)*Tabla15[[#This Row],[6]])</f>
        <v>0</v>
      </c>
      <c r="N87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7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72" s="52">
        <f>IF(Tabla15[[#This Row],[8]]="",0,VLOOKUP(TRAMOS!$H$2,Tabla5[#All],3,FALSE)*Tabla15[[#This Row],[9]])</f>
        <v>0</v>
      </c>
      <c r="Q87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7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72" s="52">
        <f>IF(Tabla15[[#This Row],[11]]="",0,VLOOKUP(TRAMOS!$Q$2,Tabla5[#All],3,FALSE)*Tabla15[[#This Row],[12]])</f>
        <v>0</v>
      </c>
      <c r="T87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7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7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7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7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7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7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7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72" s="52">
        <f>IF(Tabla15[[#This Row],[20]]="",0,VLOOKUP("VRP",Tabla5[#All],3,FALSE)*Tabla15[[#This Row],[21]])</f>
        <v>0</v>
      </c>
      <c r="AC87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7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72" s="52">
        <f>IF(Tabla15[[#This Row],[23]]="",0,VLOOKUP("VC",Tabla5[#All],3,FALSE)*Tabla15[[#This Row],[24]])</f>
        <v>0</v>
      </c>
      <c r="AF87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7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72" s="52">
        <f>IF(Tabla15[[#This Row],[26]]="",0,VLOOKUP(TRAMOS!$K$2,Tabla5[#All],3,FALSE)*Tabla15[[#This Row],[27]])</f>
        <v>0</v>
      </c>
      <c r="AI87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7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7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7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7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7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7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873" spans="2:41" x14ac:dyDescent="0.25">
      <c r="B873" s="58" t="str">
        <f>Tabla1[[#This Row],[nudo inicial]]</f>
        <v>N464</v>
      </c>
      <c r="C873" s="58" t="str">
        <f>Tabla1[[#This Row],[nudo final]]</f>
        <v>TP307</v>
      </c>
      <c r="D873" s="51">
        <f>Tabla1[[#This Row],[longitud]]</f>
        <v>57.33</v>
      </c>
      <c r="E873" s="51" t="str">
        <f>Tabla1[[#This Row],[diametro]]</f>
        <v>2"</v>
      </c>
      <c r="F873" s="51" t="str">
        <f>Tabla1[[#This Row],[material]]</f>
        <v>PVC</v>
      </c>
      <c r="G87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873" s="52" t="str">
        <f>IF(Tabla1[[#This Row],[5]]="TPD",Tabla1[[#This Row],[6]],"")</f>
        <v/>
      </c>
      <c r="I873" s="52" t="str">
        <f>IF(OR(Tabla1[[#This Row],[5]]="TPD"),Tabla1[[#This Row],[7]],"")</f>
        <v/>
      </c>
      <c r="J873" s="52">
        <f>IF(Tabla15[[#This Row],[2]]="",0,VLOOKUP(TRAMOS!$H$2,Tabla5[#All],3,FALSE)*Tabla15[[#This Row],[3]])</f>
        <v>0</v>
      </c>
      <c r="K873" s="52" t="str">
        <f>IF(Tabla1[[#This Row],[5]]="TPL",Tabla1[[#This Row],[6]],"")</f>
        <v>2"</v>
      </c>
      <c r="L873" s="52">
        <f>IF(OR(Tabla1[[#This Row],[5]]="TPL"),Tabla1[[#This Row],[7]],"")</f>
        <v>1</v>
      </c>
      <c r="M873" s="52">
        <f>IF(Tabla15[[#This Row],[5]]="",0,VLOOKUP(TRAMOS!$K$2,Tabla5[#All],3,FALSE)*Tabla15[[#This Row],[6]])</f>
        <v>0.9</v>
      </c>
      <c r="N87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7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73" s="52">
        <f>IF(Tabla15[[#This Row],[8]]="",0,VLOOKUP(TRAMOS!$H$2,Tabla5[#All],3,FALSE)*Tabla15[[#This Row],[9]])</f>
        <v>0</v>
      </c>
      <c r="Q87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7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73" s="52">
        <f>IF(Tabla15[[#This Row],[11]]="",0,VLOOKUP(TRAMOS!$Q$2,Tabla5[#All],3,FALSE)*Tabla15[[#This Row],[12]])</f>
        <v>0</v>
      </c>
      <c r="T87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7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7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7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7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7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7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7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73" s="52">
        <f>IF(Tabla15[[#This Row],[20]]="",0,VLOOKUP("VRP",Tabla5[#All],3,FALSE)*Tabla15[[#This Row],[21]])</f>
        <v>0</v>
      </c>
      <c r="AC87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7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73" s="52">
        <f>IF(Tabla15[[#This Row],[23]]="",0,VLOOKUP("VC",Tabla5[#All],3,FALSE)*Tabla15[[#This Row],[24]])</f>
        <v>0</v>
      </c>
      <c r="AF87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7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73" s="52">
        <f>IF(Tabla15[[#This Row],[26]]="",0,VLOOKUP(TRAMOS!$K$2,Tabla5[#All],3,FALSE)*Tabla15[[#This Row],[27]])</f>
        <v>0</v>
      </c>
      <c r="AI87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7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7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7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7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873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87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874" spans="2:41" x14ac:dyDescent="0.25">
      <c r="B874" s="58" t="str">
        <f>Tabla1[[#This Row],[nudo inicial]]</f>
        <v>N464</v>
      </c>
      <c r="C874" s="58" t="str">
        <f>Tabla1[[#This Row],[nudo final]]</f>
        <v>TP308</v>
      </c>
      <c r="D874" s="51">
        <f>Tabla1[[#This Row],[longitud]]</f>
        <v>90.19</v>
      </c>
      <c r="E874" s="51" t="str">
        <f>Tabla1[[#This Row],[diametro]]</f>
        <v>2"</v>
      </c>
      <c r="F874" s="51" t="str">
        <f>Tabla1[[#This Row],[material]]</f>
        <v>PVC</v>
      </c>
      <c r="G87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874" s="52" t="str">
        <f>IF(Tabla1[[#This Row],[5]]="TPD",Tabla1[[#This Row],[6]],"")</f>
        <v/>
      </c>
      <c r="I874" s="52" t="str">
        <f>IF(OR(Tabla1[[#This Row],[5]]="TPD"),Tabla1[[#This Row],[7]],"")</f>
        <v/>
      </c>
      <c r="J874" s="52">
        <f>IF(Tabla15[[#This Row],[2]]="",0,VLOOKUP(TRAMOS!$H$2,Tabla5[#All],3,FALSE)*Tabla15[[#This Row],[3]])</f>
        <v>0</v>
      </c>
      <c r="K874" s="52" t="str">
        <f>IF(Tabla1[[#This Row],[5]]="TPL",Tabla1[[#This Row],[6]],"")</f>
        <v>2"</v>
      </c>
      <c r="L874" s="52">
        <f>IF(OR(Tabla1[[#This Row],[5]]="TPL"),Tabla1[[#This Row],[7]],"")</f>
        <v>1</v>
      </c>
      <c r="M874" s="52">
        <f>IF(Tabla15[[#This Row],[5]]="",0,VLOOKUP(TRAMOS!$K$2,Tabla5[#All],3,FALSE)*Tabla15[[#This Row],[6]])</f>
        <v>0.9</v>
      </c>
      <c r="N87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7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74" s="52">
        <f>IF(Tabla15[[#This Row],[8]]="",0,VLOOKUP(TRAMOS!$H$2,Tabla5[#All],3,FALSE)*Tabla15[[#This Row],[9]])</f>
        <v>0</v>
      </c>
      <c r="Q87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874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2</v>
      </c>
      <c r="S874" s="52">
        <f>IF(Tabla15[[#This Row],[11]]="",0,VLOOKUP(TRAMOS!$Q$2,Tabla5[#All],3,FALSE)*Tabla15[[#This Row],[12]])</f>
        <v>1.8</v>
      </c>
      <c r="T87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7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7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7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7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7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7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7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74" s="52">
        <f>IF(Tabla15[[#This Row],[20]]="",0,VLOOKUP("VRP",Tabla5[#All],3,FALSE)*Tabla15[[#This Row],[21]])</f>
        <v>0</v>
      </c>
      <c r="AC87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7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74" s="52">
        <f>IF(Tabla15[[#This Row],[23]]="",0,VLOOKUP("VC",Tabla5[#All],3,FALSE)*Tabla15[[#This Row],[24]])</f>
        <v>0</v>
      </c>
      <c r="AF87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7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74" s="52">
        <f>IF(Tabla15[[#This Row],[26]]="",0,VLOOKUP(TRAMOS!$K$2,Tabla5[#All],3,FALSE)*Tabla15[[#This Row],[27]])</f>
        <v>0</v>
      </c>
      <c r="AI87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7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7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7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7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874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87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2.7</v>
      </c>
    </row>
    <row r="875" spans="2:41" x14ac:dyDescent="0.25">
      <c r="B875" s="58" t="str">
        <f>Tabla1[[#This Row],[nudo inicial]]</f>
        <v>N462</v>
      </c>
      <c r="C875" s="58" t="str">
        <f>Tabla1[[#This Row],[nudo final]]</f>
        <v>N465</v>
      </c>
      <c r="D875" s="51">
        <f>Tabla1[[#This Row],[longitud]]</f>
        <v>58.43</v>
      </c>
      <c r="E875" s="51" t="str">
        <f>Tabla1[[#This Row],[diametro]]</f>
        <v>3"</v>
      </c>
      <c r="F875" s="51" t="str">
        <f>Tabla1[[#This Row],[material]]</f>
        <v>PVC</v>
      </c>
      <c r="G87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875" s="52" t="str">
        <f>IF(Tabla1[[#This Row],[5]]="TPD",Tabla1[[#This Row],[6]],"")</f>
        <v>3"</v>
      </c>
      <c r="I875" s="52">
        <f>IF(OR(Tabla1[[#This Row],[5]]="TPD"),Tabla1[[#This Row],[7]],"")</f>
        <v>1</v>
      </c>
      <c r="J875" s="52">
        <f>IF(Tabla15[[#This Row],[2]]="",0,VLOOKUP(TRAMOS!$H$2,Tabla5[#All],3,FALSE)*Tabla15[[#This Row],[3]])</f>
        <v>0.15</v>
      </c>
      <c r="K875" s="52" t="str">
        <f>IF(Tabla1[[#This Row],[5]]="TPL",Tabla1[[#This Row],[6]],"")</f>
        <v/>
      </c>
      <c r="L875" s="52" t="str">
        <f>IF(OR(Tabla1[[#This Row],[5]]="TPL"),Tabla1[[#This Row],[7]],"")</f>
        <v/>
      </c>
      <c r="M875" s="52">
        <f>IF(Tabla15[[#This Row],[5]]="",0,VLOOKUP(TRAMOS!$K$2,Tabla5[#All],3,FALSE)*Tabla15[[#This Row],[6]])</f>
        <v>0</v>
      </c>
      <c r="N87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7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75" s="52">
        <f>IF(Tabla15[[#This Row],[8]]="",0,VLOOKUP(TRAMOS!$H$2,Tabla5[#All],3,FALSE)*Tabla15[[#This Row],[9]])</f>
        <v>0</v>
      </c>
      <c r="Q87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7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75" s="52">
        <f>IF(Tabla15[[#This Row],[11]]="",0,VLOOKUP(TRAMOS!$Q$2,Tabla5[#All],3,FALSE)*Tabla15[[#This Row],[12]])</f>
        <v>0</v>
      </c>
      <c r="T87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7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7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7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7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7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7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7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75" s="52">
        <f>IF(Tabla15[[#This Row],[20]]="",0,VLOOKUP("VRP",Tabla5[#All],3,FALSE)*Tabla15[[#This Row],[21]])</f>
        <v>0</v>
      </c>
      <c r="AC87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7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75" s="52">
        <f>IF(Tabla15[[#This Row],[23]]="",0,VLOOKUP("VC",Tabla5[#All],3,FALSE)*Tabla15[[#This Row],[24]])</f>
        <v>0</v>
      </c>
      <c r="AF87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7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75" s="52">
        <f>IF(Tabla15[[#This Row],[26]]="",0,VLOOKUP(TRAMOS!$K$2,Tabla5[#All],3,FALSE)*Tabla15[[#This Row],[27]])</f>
        <v>0</v>
      </c>
      <c r="AI87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7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7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7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7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7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7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876" spans="2:41" x14ac:dyDescent="0.25">
      <c r="B876" s="58" t="str">
        <f>Tabla1[[#This Row],[nudo inicial]]</f>
        <v>N465</v>
      </c>
      <c r="C876" s="58" t="str">
        <f>Tabla1[[#This Row],[nudo final]]</f>
        <v>N466</v>
      </c>
      <c r="D876" s="51">
        <f>Tabla1[[#This Row],[longitud]]</f>
        <v>65.36</v>
      </c>
      <c r="E876" s="51" t="str">
        <f>Tabla1[[#This Row],[diametro]]</f>
        <v>3"</v>
      </c>
      <c r="F876" s="51" t="str">
        <f>Tabla1[[#This Row],[material]]</f>
        <v>PVC</v>
      </c>
      <c r="G87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876" s="52" t="str">
        <f>IF(Tabla1[[#This Row],[5]]="TPD",Tabla1[[#This Row],[6]],"")</f>
        <v>3"</v>
      </c>
      <c r="I876" s="52">
        <f>IF(OR(Tabla1[[#This Row],[5]]="TPD"),Tabla1[[#This Row],[7]],"")</f>
        <v>1</v>
      </c>
      <c r="J876" s="52">
        <f>IF(Tabla15[[#This Row],[2]]="",0,VLOOKUP(TRAMOS!$H$2,Tabla5[#All],3,FALSE)*Tabla15[[#This Row],[3]])</f>
        <v>0.15</v>
      </c>
      <c r="K876" s="52" t="str">
        <f>IF(Tabla1[[#This Row],[5]]="TPL",Tabla1[[#This Row],[6]],"")</f>
        <v/>
      </c>
      <c r="L876" s="52" t="str">
        <f>IF(OR(Tabla1[[#This Row],[5]]="TPL"),Tabla1[[#This Row],[7]],"")</f>
        <v/>
      </c>
      <c r="M876" s="52">
        <f>IF(Tabla15[[#This Row],[5]]="",0,VLOOKUP(TRAMOS!$K$2,Tabla5[#All],3,FALSE)*Tabla15[[#This Row],[6]])</f>
        <v>0</v>
      </c>
      <c r="N87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7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76" s="52">
        <f>IF(Tabla15[[#This Row],[8]]="",0,VLOOKUP(TRAMOS!$H$2,Tabla5[#All],3,FALSE)*Tabla15[[#This Row],[9]])</f>
        <v>0</v>
      </c>
      <c r="Q87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7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76" s="52">
        <f>IF(Tabla15[[#This Row],[11]]="",0,VLOOKUP(TRAMOS!$Q$2,Tabla5[#All],3,FALSE)*Tabla15[[#This Row],[12]])</f>
        <v>0</v>
      </c>
      <c r="T87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7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7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7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7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7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7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7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76" s="52">
        <f>IF(Tabla15[[#This Row],[20]]="",0,VLOOKUP("VRP",Tabla5[#All],3,FALSE)*Tabla15[[#This Row],[21]])</f>
        <v>0</v>
      </c>
      <c r="AC87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7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76" s="52">
        <f>IF(Tabla15[[#This Row],[23]]="",0,VLOOKUP("VC",Tabla5[#All],3,FALSE)*Tabla15[[#This Row],[24]])</f>
        <v>0</v>
      </c>
      <c r="AF87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7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76" s="52">
        <f>IF(Tabla15[[#This Row],[26]]="",0,VLOOKUP(TRAMOS!$K$2,Tabla5[#All],3,FALSE)*Tabla15[[#This Row],[27]])</f>
        <v>0</v>
      </c>
      <c r="AI87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7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7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7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7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7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7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877" spans="2:41" x14ac:dyDescent="0.25">
      <c r="B877" s="58" t="str">
        <f>Tabla1[[#This Row],[nudo inicial]]</f>
        <v>N466</v>
      </c>
      <c r="C877" s="58" t="str">
        <f>Tabla1[[#This Row],[nudo final]]</f>
        <v>TP309</v>
      </c>
      <c r="D877" s="51">
        <f>Tabla1[[#This Row],[longitud]]</f>
        <v>27.72</v>
      </c>
      <c r="E877" s="51" t="str">
        <f>Tabla1[[#This Row],[diametro]]</f>
        <v>2"</v>
      </c>
      <c r="F877" s="51" t="str">
        <f>Tabla1[[#This Row],[material]]</f>
        <v>PVC</v>
      </c>
      <c r="G87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877" s="52" t="str">
        <f>IF(Tabla1[[#This Row],[5]]="TPD",Tabla1[[#This Row],[6]],"")</f>
        <v/>
      </c>
      <c r="I877" s="52" t="str">
        <f>IF(OR(Tabla1[[#This Row],[5]]="TPD"),Tabla1[[#This Row],[7]],"")</f>
        <v/>
      </c>
      <c r="J877" s="52">
        <f>IF(Tabla15[[#This Row],[2]]="",0,VLOOKUP(TRAMOS!$H$2,Tabla5[#All],3,FALSE)*Tabla15[[#This Row],[3]])</f>
        <v>0</v>
      </c>
      <c r="K877" s="52" t="str">
        <f>IF(Tabla1[[#This Row],[5]]="TPL",Tabla1[[#This Row],[6]],"")</f>
        <v>3"</v>
      </c>
      <c r="L877" s="52">
        <f>IF(OR(Tabla1[[#This Row],[5]]="TPL"),Tabla1[[#This Row],[7]],"")</f>
        <v>1</v>
      </c>
      <c r="M877" s="52">
        <f>IF(Tabla15[[#This Row],[5]]="",0,VLOOKUP(TRAMOS!$K$2,Tabla5[#All],3,FALSE)*Tabla15[[#This Row],[6]])</f>
        <v>0.9</v>
      </c>
      <c r="N87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7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77" s="52">
        <f>IF(Tabla15[[#This Row],[8]]="",0,VLOOKUP(TRAMOS!$H$2,Tabla5[#All],3,FALSE)*Tabla15[[#This Row],[9]])</f>
        <v>0</v>
      </c>
      <c r="Q87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7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77" s="52">
        <f>IF(Tabla15[[#This Row],[11]]="",0,VLOOKUP(TRAMOS!$Q$2,Tabla5[#All],3,FALSE)*Tabla15[[#This Row],[12]])</f>
        <v>0</v>
      </c>
      <c r="T87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877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87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87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7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7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7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7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77" s="52">
        <f>IF(Tabla15[[#This Row],[20]]="",0,VLOOKUP("VRP",Tabla5[#All],3,FALSE)*Tabla15[[#This Row],[21]])</f>
        <v>0</v>
      </c>
      <c r="AC87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7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77" s="52">
        <f>IF(Tabla15[[#This Row],[23]]="",0,VLOOKUP("VC",Tabla5[#All],3,FALSE)*Tabla15[[#This Row],[24]])</f>
        <v>0</v>
      </c>
      <c r="AF87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7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77" s="52">
        <f>IF(Tabla15[[#This Row],[26]]="",0,VLOOKUP(TRAMOS!$K$2,Tabla5[#All],3,FALSE)*Tabla15[[#This Row],[27]])</f>
        <v>0</v>
      </c>
      <c r="AI87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7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7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7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7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877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87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878" spans="2:41" x14ac:dyDescent="0.25">
      <c r="B878" s="58" t="str">
        <f>Tabla1[[#This Row],[nudo inicial]]</f>
        <v>N466</v>
      </c>
      <c r="C878" s="58" t="str">
        <f>Tabla1[[#This Row],[nudo final]]</f>
        <v>N467</v>
      </c>
      <c r="D878" s="51">
        <f>Tabla1[[#This Row],[longitud]]</f>
        <v>47.07</v>
      </c>
      <c r="E878" s="51" t="str">
        <f>Tabla1[[#This Row],[diametro]]</f>
        <v>3"</v>
      </c>
      <c r="F878" s="51" t="str">
        <f>Tabla1[[#This Row],[material]]</f>
        <v>PVC</v>
      </c>
      <c r="G87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878" s="52" t="str">
        <f>IF(Tabla1[[#This Row],[5]]="TPD",Tabla1[[#This Row],[6]],"")</f>
        <v>3"</v>
      </c>
      <c r="I878" s="52">
        <f>IF(OR(Tabla1[[#This Row],[5]]="TPD"),Tabla1[[#This Row],[7]],"")</f>
        <v>1</v>
      </c>
      <c r="J878" s="52">
        <f>IF(Tabla15[[#This Row],[2]]="",0,VLOOKUP(TRAMOS!$H$2,Tabla5[#All],3,FALSE)*Tabla15[[#This Row],[3]])</f>
        <v>0.15</v>
      </c>
      <c r="K878" s="52" t="str">
        <f>IF(Tabla1[[#This Row],[5]]="TPL",Tabla1[[#This Row],[6]],"")</f>
        <v/>
      </c>
      <c r="L878" s="52" t="str">
        <f>IF(OR(Tabla1[[#This Row],[5]]="TPL"),Tabla1[[#This Row],[7]],"")</f>
        <v/>
      </c>
      <c r="M878" s="52">
        <f>IF(Tabla15[[#This Row],[5]]="",0,VLOOKUP(TRAMOS!$K$2,Tabla5[#All],3,FALSE)*Tabla15[[#This Row],[6]])</f>
        <v>0</v>
      </c>
      <c r="N87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7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78" s="52">
        <f>IF(Tabla15[[#This Row],[8]]="",0,VLOOKUP(TRAMOS!$H$2,Tabla5[#All],3,FALSE)*Tabla15[[#This Row],[9]])</f>
        <v>0</v>
      </c>
      <c r="Q87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7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78" s="52">
        <f>IF(Tabla15[[#This Row],[11]]="",0,VLOOKUP(TRAMOS!$Q$2,Tabla5[#All],3,FALSE)*Tabla15[[#This Row],[12]])</f>
        <v>0</v>
      </c>
      <c r="T87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7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7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7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7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7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7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7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78" s="52">
        <f>IF(Tabla15[[#This Row],[20]]="",0,VLOOKUP("VRP",Tabla5[#All],3,FALSE)*Tabla15[[#This Row],[21]])</f>
        <v>0</v>
      </c>
      <c r="AC87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7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78" s="52">
        <f>IF(Tabla15[[#This Row],[23]]="",0,VLOOKUP("VC",Tabla5[#All],3,FALSE)*Tabla15[[#This Row],[24]])</f>
        <v>0</v>
      </c>
      <c r="AF87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7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78" s="52">
        <f>IF(Tabla15[[#This Row],[26]]="",0,VLOOKUP(TRAMOS!$K$2,Tabla5[#All],3,FALSE)*Tabla15[[#This Row],[27]])</f>
        <v>0</v>
      </c>
      <c r="AI87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7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7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7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7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7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7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879" spans="2:41" x14ac:dyDescent="0.25">
      <c r="B879" s="58" t="str">
        <f>Tabla1[[#This Row],[nudo inicial]]</f>
        <v>N467</v>
      </c>
      <c r="C879" s="58" t="str">
        <f>Tabla1[[#This Row],[nudo final]]</f>
        <v>N468</v>
      </c>
      <c r="D879" s="51">
        <f>Tabla1[[#This Row],[longitud]]</f>
        <v>187.57</v>
      </c>
      <c r="E879" s="51" t="str">
        <f>Tabla1[[#This Row],[diametro]]</f>
        <v>2 1/2"</v>
      </c>
      <c r="F879" s="51" t="str">
        <f>Tabla1[[#This Row],[material]]</f>
        <v>PVC</v>
      </c>
      <c r="G87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879" s="52" t="str">
        <f>IF(Tabla1[[#This Row],[5]]="TPD",Tabla1[[#This Row],[6]],"")</f>
        <v/>
      </c>
      <c r="I879" s="52" t="str">
        <f>IF(OR(Tabla1[[#This Row],[5]]="TPD"),Tabla1[[#This Row],[7]],"")</f>
        <v/>
      </c>
      <c r="J879" s="52">
        <f>IF(Tabla15[[#This Row],[2]]="",0,VLOOKUP(TRAMOS!$H$2,Tabla5[#All],3,FALSE)*Tabla15[[#This Row],[3]])</f>
        <v>0</v>
      </c>
      <c r="K879" s="52" t="str">
        <f>IF(Tabla1[[#This Row],[5]]="TPL",Tabla1[[#This Row],[6]],"")</f>
        <v>3"</v>
      </c>
      <c r="L879" s="52">
        <f>IF(OR(Tabla1[[#This Row],[5]]="TPL"),Tabla1[[#This Row],[7]],"")</f>
        <v>1</v>
      </c>
      <c r="M879" s="52">
        <f>IF(Tabla15[[#This Row],[5]]="",0,VLOOKUP(TRAMOS!$K$2,Tabla5[#All],3,FALSE)*Tabla15[[#This Row],[6]])</f>
        <v>0.9</v>
      </c>
      <c r="N87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7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79" s="52">
        <f>IF(Tabla15[[#This Row],[8]]="",0,VLOOKUP(TRAMOS!$H$2,Tabla5[#All],3,FALSE)*Tabla15[[#This Row],[9]])</f>
        <v>0</v>
      </c>
      <c r="Q87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 1/2"</v>
      </c>
      <c r="R879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2</v>
      </c>
      <c r="S879" s="52">
        <f>IF(Tabla15[[#This Row],[11]]="",0,VLOOKUP(TRAMOS!$Q$2,Tabla5[#All],3,FALSE)*Tabla15[[#This Row],[12]])</f>
        <v>1.8</v>
      </c>
      <c r="T87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 1/2"</v>
      </c>
      <c r="U879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2</v>
      </c>
      <c r="V87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0.16</v>
      </c>
      <c r="W87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7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7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7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7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79" s="52">
        <f>IF(Tabla15[[#This Row],[20]]="",0,VLOOKUP("VRP",Tabla5[#All],3,FALSE)*Tabla15[[#This Row],[21]])</f>
        <v>0</v>
      </c>
      <c r="AC87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7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79" s="52">
        <f>IF(Tabla15[[#This Row],[23]]="",0,VLOOKUP("VC",Tabla5[#All],3,FALSE)*Tabla15[[#This Row],[24]])</f>
        <v>0</v>
      </c>
      <c r="AF87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7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79" s="52">
        <f>IF(Tabla15[[#This Row],[26]]="",0,VLOOKUP(TRAMOS!$K$2,Tabla5[#All],3,FALSE)*Tabla15[[#This Row],[27]])</f>
        <v>0</v>
      </c>
      <c r="AI87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7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7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7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7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7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7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2.8600000000000003</v>
      </c>
    </row>
    <row r="880" spans="2:41" x14ac:dyDescent="0.25">
      <c r="B880" s="58" t="str">
        <f>Tabla1[[#This Row],[nudo inicial]]</f>
        <v>N468</v>
      </c>
      <c r="C880" s="58" t="str">
        <f>Tabla1[[#This Row],[nudo final]]</f>
        <v>TP310</v>
      </c>
      <c r="D880" s="51">
        <f>Tabla1[[#This Row],[longitud]]</f>
        <v>362.9</v>
      </c>
      <c r="E880" s="51" t="str">
        <f>Tabla1[[#This Row],[diametro]]</f>
        <v>3"</v>
      </c>
      <c r="F880" s="51" t="str">
        <f>Tabla1[[#This Row],[material]]</f>
        <v>PVC</v>
      </c>
      <c r="G88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 1/2"</v>
      </c>
      <c r="H880" s="52" t="str">
        <f>IF(Tabla1[[#This Row],[5]]="TPD",Tabla1[[#This Row],[6]],"")</f>
        <v/>
      </c>
      <c r="I880" s="52" t="str">
        <f>IF(OR(Tabla1[[#This Row],[5]]="TPD"),Tabla1[[#This Row],[7]],"")</f>
        <v/>
      </c>
      <c r="J880" s="52">
        <f>IF(Tabla15[[#This Row],[2]]="",0,VLOOKUP(TRAMOS!$H$2,Tabla5[#All],3,FALSE)*Tabla15[[#This Row],[3]])</f>
        <v>0</v>
      </c>
      <c r="K880" s="52" t="str">
        <f>IF(Tabla1[[#This Row],[5]]="TPL",Tabla1[[#This Row],[6]],"")</f>
        <v/>
      </c>
      <c r="L880" s="52" t="str">
        <f>IF(OR(Tabla1[[#This Row],[5]]="TPL"),Tabla1[[#This Row],[7]],"")</f>
        <v/>
      </c>
      <c r="M880" s="52">
        <f>IF(Tabla15[[#This Row],[5]]="",0,VLOOKUP(TRAMOS!$K$2,Tabla5[#All],3,FALSE)*Tabla15[[#This Row],[6]])</f>
        <v>0</v>
      </c>
      <c r="N88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8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80" s="52">
        <f>IF(Tabla15[[#This Row],[8]]="",0,VLOOKUP(TRAMOS!$H$2,Tabla5[#All],3,FALSE)*Tabla15[[#This Row],[9]])</f>
        <v>0</v>
      </c>
      <c r="Q88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3"</v>
      </c>
      <c r="R880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880" s="52">
        <f>IF(Tabla15[[#This Row],[11]]="",0,VLOOKUP(TRAMOS!$Q$2,Tabla5[#All],3,FALSE)*Tabla15[[#This Row],[12]])</f>
        <v>0.9</v>
      </c>
      <c r="T88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8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8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8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8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8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8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8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80" s="52">
        <f>IF(Tabla15[[#This Row],[20]]="",0,VLOOKUP("VRP",Tabla5[#All],3,FALSE)*Tabla15[[#This Row],[21]])</f>
        <v>0</v>
      </c>
      <c r="AC88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8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80" s="52">
        <f>IF(Tabla15[[#This Row],[23]]="",0,VLOOKUP("VC",Tabla5[#All],3,FALSE)*Tabla15[[#This Row],[24]])</f>
        <v>0</v>
      </c>
      <c r="AF88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8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80" s="52">
        <f>IF(Tabla15[[#This Row],[26]]="",0,VLOOKUP(TRAMOS!$K$2,Tabla5[#All],3,FALSE)*Tabla15[[#This Row],[27]])</f>
        <v>0</v>
      </c>
      <c r="AI88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8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8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8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8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880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88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881" spans="2:41" x14ac:dyDescent="0.25">
      <c r="B881" s="58" t="str">
        <f>Tabla1[[#This Row],[nudo inicial]]</f>
        <v>N467</v>
      </c>
      <c r="C881" s="58" t="str">
        <f>Tabla1[[#This Row],[nudo final]]</f>
        <v>N469</v>
      </c>
      <c r="D881" s="51">
        <f>Tabla1[[#This Row],[longitud]]</f>
        <v>12.33</v>
      </c>
      <c r="E881" s="51" t="str">
        <f>Tabla1[[#This Row],[diametro]]</f>
        <v>3"</v>
      </c>
      <c r="F881" s="51" t="str">
        <f>Tabla1[[#This Row],[material]]</f>
        <v>PVC</v>
      </c>
      <c r="G88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881" s="52" t="str">
        <f>IF(Tabla1[[#This Row],[5]]="TPD",Tabla1[[#This Row],[6]],"")</f>
        <v>3"</v>
      </c>
      <c r="I881" s="52">
        <f>IF(OR(Tabla1[[#This Row],[5]]="TPD"),Tabla1[[#This Row],[7]],"")</f>
        <v>1</v>
      </c>
      <c r="J881" s="52">
        <f>IF(Tabla15[[#This Row],[2]]="",0,VLOOKUP(TRAMOS!$H$2,Tabla5[#All],3,FALSE)*Tabla15[[#This Row],[3]])</f>
        <v>0.15</v>
      </c>
      <c r="K881" s="52" t="str">
        <f>IF(Tabla1[[#This Row],[5]]="TPL",Tabla1[[#This Row],[6]],"")</f>
        <v/>
      </c>
      <c r="L881" s="52" t="str">
        <f>IF(OR(Tabla1[[#This Row],[5]]="TPL"),Tabla1[[#This Row],[7]],"")</f>
        <v/>
      </c>
      <c r="M881" s="52">
        <f>IF(Tabla15[[#This Row],[5]]="",0,VLOOKUP(TRAMOS!$K$2,Tabla5[#All],3,FALSE)*Tabla15[[#This Row],[6]])</f>
        <v>0</v>
      </c>
      <c r="N88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8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81" s="52">
        <f>IF(Tabla15[[#This Row],[8]]="",0,VLOOKUP(TRAMOS!$H$2,Tabla5[#All],3,FALSE)*Tabla15[[#This Row],[9]])</f>
        <v>0</v>
      </c>
      <c r="Q88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8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81" s="52">
        <f>IF(Tabla15[[#This Row],[11]]="",0,VLOOKUP(TRAMOS!$Q$2,Tabla5[#All],3,FALSE)*Tabla15[[#This Row],[12]])</f>
        <v>0</v>
      </c>
      <c r="T88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8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8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8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8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8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8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8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81" s="52">
        <f>IF(Tabla15[[#This Row],[20]]="",0,VLOOKUP("VRP",Tabla5[#All],3,FALSE)*Tabla15[[#This Row],[21]])</f>
        <v>0</v>
      </c>
      <c r="AC88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881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881" s="52">
        <f>IF(Tabla15[[#This Row],[23]]="",0,VLOOKUP("VC",Tabla5[#All],3,FALSE)*Tabla15[[#This Row],[24]])</f>
        <v>0.25</v>
      </c>
      <c r="AF88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8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81" s="52">
        <f>IF(Tabla15[[#This Row],[26]]="",0,VLOOKUP(TRAMOS!$K$2,Tabla5[#All],3,FALSE)*Tabla15[[#This Row],[27]])</f>
        <v>0</v>
      </c>
      <c r="AI88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8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8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8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8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8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8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0.4</v>
      </c>
    </row>
    <row r="882" spans="2:41" x14ac:dyDescent="0.25">
      <c r="B882" s="58" t="str">
        <f>Tabla1[[#This Row],[nudo inicial]]</f>
        <v>N469</v>
      </c>
      <c r="C882" s="58" t="str">
        <f>Tabla1[[#This Row],[nudo final]]</f>
        <v>TP311</v>
      </c>
      <c r="D882" s="51">
        <f>Tabla1[[#This Row],[longitud]]</f>
        <v>54.23</v>
      </c>
      <c r="E882" s="51" t="str">
        <f>Tabla1[[#This Row],[diametro]]</f>
        <v>1"</v>
      </c>
      <c r="F882" s="51" t="str">
        <f>Tabla1[[#This Row],[material]]</f>
        <v>PVC</v>
      </c>
      <c r="G88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882" s="52" t="str">
        <f>IF(Tabla1[[#This Row],[5]]="TPD",Tabla1[[#This Row],[6]],"")</f>
        <v/>
      </c>
      <c r="I882" s="52" t="str">
        <f>IF(OR(Tabla1[[#This Row],[5]]="TPD"),Tabla1[[#This Row],[7]],"")</f>
        <v/>
      </c>
      <c r="J882" s="52">
        <f>IF(Tabla15[[#This Row],[2]]="",0,VLOOKUP(TRAMOS!$H$2,Tabla5[#All],3,FALSE)*Tabla15[[#This Row],[3]])</f>
        <v>0</v>
      </c>
      <c r="K882" s="52" t="str">
        <f>IF(Tabla1[[#This Row],[5]]="TPL",Tabla1[[#This Row],[6]],"")</f>
        <v/>
      </c>
      <c r="L882" s="52" t="str">
        <f>IF(OR(Tabla1[[#This Row],[5]]="TPL"),Tabla1[[#This Row],[7]],"")</f>
        <v/>
      </c>
      <c r="M882" s="52">
        <f>IF(Tabla15[[#This Row],[5]]="",0,VLOOKUP(TRAMOS!$K$2,Tabla5[#All],3,FALSE)*Tabla15[[#This Row],[6]])</f>
        <v>0</v>
      </c>
      <c r="N88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8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82" s="52">
        <f>IF(Tabla15[[#This Row],[8]]="",0,VLOOKUP(TRAMOS!$H$2,Tabla5[#All],3,FALSE)*Tabla15[[#This Row],[9]])</f>
        <v>0</v>
      </c>
      <c r="Q88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8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82" s="52">
        <f>IF(Tabla15[[#This Row],[11]]="",0,VLOOKUP(TRAMOS!$Q$2,Tabla5[#All],3,FALSE)*Tabla15[[#This Row],[12]])</f>
        <v>0</v>
      </c>
      <c r="T88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1"</v>
      </c>
      <c r="U882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88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0.43</v>
      </c>
      <c r="W88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8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8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8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8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82" s="52">
        <f>IF(Tabla15[[#This Row],[20]]="",0,VLOOKUP("VRP",Tabla5[#All],3,FALSE)*Tabla15[[#This Row],[21]])</f>
        <v>0</v>
      </c>
      <c r="AC88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8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82" s="52">
        <f>IF(Tabla15[[#This Row],[23]]="",0,VLOOKUP("VC",Tabla5[#All],3,FALSE)*Tabla15[[#This Row],[24]])</f>
        <v>0</v>
      </c>
      <c r="AF88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>3"</v>
      </c>
      <c r="AG882" s="52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>1</v>
      </c>
      <c r="AH882" s="52">
        <f>IF(Tabla15[[#This Row],[26]]="",0,VLOOKUP(TRAMOS!$K$2,Tabla5[#All],3,FALSE)*Tabla15[[#This Row],[27]])</f>
        <v>0.9</v>
      </c>
      <c r="AI88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8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8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8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8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1"</v>
      </c>
      <c r="AN882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88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1.33</v>
      </c>
    </row>
    <row r="883" spans="2:41" x14ac:dyDescent="0.25">
      <c r="B883" s="58" t="str">
        <f>Tabla1[[#This Row],[nudo inicial]]</f>
        <v>N469</v>
      </c>
      <c r="C883" s="58" t="str">
        <f>Tabla1[[#This Row],[nudo final]]</f>
        <v>N470</v>
      </c>
      <c r="D883" s="51">
        <f>Tabla1[[#This Row],[longitud]]</f>
        <v>52.14</v>
      </c>
      <c r="E883" s="51" t="str">
        <f>Tabla1[[#This Row],[diametro]]</f>
        <v>3"</v>
      </c>
      <c r="F883" s="51" t="str">
        <f>Tabla1[[#This Row],[material]]</f>
        <v>PVC</v>
      </c>
      <c r="G88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883" s="52" t="str">
        <f>IF(Tabla1[[#This Row],[5]]="TPD",Tabla1[[#This Row],[6]],"")</f>
        <v/>
      </c>
      <c r="I883" s="52" t="str">
        <f>IF(OR(Tabla1[[#This Row],[5]]="TPD"),Tabla1[[#This Row],[7]],"")</f>
        <v/>
      </c>
      <c r="J883" s="52">
        <f>IF(Tabla15[[#This Row],[2]]="",0,VLOOKUP(TRAMOS!$H$2,Tabla5[#All],3,FALSE)*Tabla15[[#This Row],[3]])</f>
        <v>0</v>
      </c>
      <c r="K883" s="52" t="str">
        <f>IF(Tabla1[[#This Row],[5]]="TPL",Tabla1[[#This Row],[6]],"")</f>
        <v/>
      </c>
      <c r="L883" s="52" t="str">
        <f>IF(OR(Tabla1[[#This Row],[5]]="TPL"),Tabla1[[#This Row],[7]],"")</f>
        <v/>
      </c>
      <c r="M883" s="52">
        <f>IF(Tabla15[[#This Row],[5]]="",0,VLOOKUP(TRAMOS!$K$2,Tabla5[#All],3,FALSE)*Tabla15[[#This Row],[6]])</f>
        <v>0</v>
      </c>
      <c r="N88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8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83" s="52">
        <f>IF(Tabla15[[#This Row],[8]]="",0,VLOOKUP(TRAMOS!$H$2,Tabla5[#All],3,FALSE)*Tabla15[[#This Row],[9]])</f>
        <v>0</v>
      </c>
      <c r="Q88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3"</v>
      </c>
      <c r="R883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883" s="52">
        <f>IF(Tabla15[[#This Row],[11]]="",0,VLOOKUP(TRAMOS!$Q$2,Tabla5[#All],3,FALSE)*Tabla15[[#This Row],[12]])</f>
        <v>0.9</v>
      </c>
      <c r="T88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8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8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8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8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8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8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8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83" s="52">
        <f>IF(Tabla15[[#This Row],[20]]="",0,VLOOKUP("VRP",Tabla5[#All],3,FALSE)*Tabla15[[#This Row],[21]])</f>
        <v>0</v>
      </c>
      <c r="AC88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8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83" s="52">
        <f>IF(Tabla15[[#This Row],[23]]="",0,VLOOKUP("VC",Tabla5[#All],3,FALSE)*Tabla15[[#This Row],[24]])</f>
        <v>0</v>
      </c>
      <c r="AF88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8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83" s="52">
        <f>IF(Tabla15[[#This Row],[26]]="",0,VLOOKUP(TRAMOS!$K$2,Tabla5[#All],3,FALSE)*Tabla15[[#This Row],[27]])</f>
        <v>0</v>
      </c>
      <c r="AI88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8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8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8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8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8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8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884" spans="2:41" x14ac:dyDescent="0.25">
      <c r="B884" s="58" t="str">
        <f>Tabla1[[#This Row],[nudo inicial]]</f>
        <v>N470</v>
      </c>
      <c r="C884" s="58" t="str">
        <f>Tabla1[[#This Row],[nudo final]]</f>
        <v>N471</v>
      </c>
      <c r="D884" s="51">
        <f>Tabla1[[#This Row],[longitud]]</f>
        <v>167.43</v>
      </c>
      <c r="E884" s="51" t="str">
        <f>Tabla1[[#This Row],[diametro]]</f>
        <v>3"</v>
      </c>
      <c r="F884" s="51" t="str">
        <f>Tabla1[[#This Row],[material]]</f>
        <v>AC</v>
      </c>
      <c r="G88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884" s="52" t="str">
        <f>IF(Tabla1[[#This Row],[5]]="TPD",Tabla1[[#This Row],[6]],"")</f>
        <v/>
      </c>
      <c r="I884" s="52" t="str">
        <f>IF(OR(Tabla1[[#This Row],[5]]="TPD"),Tabla1[[#This Row],[7]],"")</f>
        <v/>
      </c>
      <c r="J884" s="52">
        <f>IF(Tabla15[[#This Row],[2]]="",0,VLOOKUP(TRAMOS!$H$2,Tabla5[#All],3,FALSE)*Tabla15[[#This Row],[3]])</f>
        <v>0</v>
      </c>
      <c r="K884" s="52" t="str">
        <f>IF(Tabla1[[#This Row],[5]]="TPL",Tabla1[[#This Row],[6]],"")</f>
        <v/>
      </c>
      <c r="L884" s="52" t="str">
        <f>IF(OR(Tabla1[[#This Row],[5]]="TPL"),Tabla1[[#This Row],[7]],"")</f>
        <v/>
      </c>
      <c r="M884" s="52">
        <f>IF(Tabla15[[#This Row],[5]]="",0,VLOOKUP(TRAMOS!$K$2,Tabla5[#All],3,FALSE)*Tabla15[[#This Row],[6]])</f>
        <v>0</v>
      </c>
      <c r="N88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8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84" s="52">
        <f>IF(Tabla15[[#This Row],[8]]="",0,VLOOKUP(TRAMOS!$H$2,Tabla5[#All],3,FALSE)*Tabla15[[#This Row],[9]])</f>
        <v>0</v>
      </c>
      <c r="Q88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8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84" s="52">
        <f>IF(Tabla15[[#This Row],[11]]="",0,VLOOKUP(TRAMOS!$Q$2,Tabla5[#All],3,FALSE)*Tabla15[[#This Row],[12]])</f>
        <v>0</v>
      </c>
      <c r="T88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8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8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8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>6"</v>
      </c>
      <c r="X884" s="52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>1</v>
      </c>
      <c r="Y88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0.68</v>
      </c>
      <c r="Z88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8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84" s="52">
        <f>IF(Tabla15[[#This Row],[20]]="",0,VLOOKUP("VRP",Tabla5[#All],3,FALSE)*Tabla15[[#This Row],[21]])</f>
        <v>0</v>
      </c>
      <c r="AC88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884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884" s="52">
        <f>IF(Tabla15[[#This Row],[23]]="",0,VLOOKUP("VC",Tabla5[#All],3,FALSE)*Tabla15[[#This Row],[24]])</f>
        <v>0.25</v>
      </c>
      <c r="AF88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8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84" s="52">
        <f>IF(Tabla15[[#This Row],[26]]="",0,VLOOKUP(TRAMOS!$K$2,Tabla5[#All],3,FALSE)*Tabla15[[#This Row],[27]])</f>
        <v>0</v>
      </c>
      <c r="AI88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8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8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8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8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8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8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0.93</v>
      </c>
    </row>
    <row r="885" spans="2:41" x14ac:dyDescent="0.25">
      <c r="B885" s="58" t="str">
        <f>Tabla1[[#This Row],[nudo inicial]]</f>
        <v>N471</v>
      </c>
      <c r="C885" s="58" t="str">
        <f>Tabla1[[#This Row],[nudo final]]</f>
        <v>N472</v>
      </c>
      <c r="D885" s="51">
        <f>Tabla1[[#This Row],[longitud]]</f>
        <v>4.4000000000000004</v>
      </c>
      <c r="E885" s="51" t="str">
        <f>Tabla1[[#This Row],[diametro]]</f>
        <v>6"</v>
      </c>
      <c r="F885" s="51" t="str">
        <f>Tabla1[[#This Row],[material]]</f>
        <v>AC</v>
      </c>
      <c r="G88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885" s="52" t="str">
        <f>IF(Tabla1[[#This Row],[5]]="TPD",Tabla1[[#This Row],[6]],"")</f>
        <v/>
      </c>
      <c r="I885" s="52" t="str">
        <f>IF(OR(Tabla1[[#This Row],[5]]="TPD"),Tabla1[[#This Row],[7]],"")</f>
        <v/>
      </c>
      <c r="J885" s="52">
        <f>IF(Tabla15[[#This Row],[2]]="",0,VLOOKUP(TRAMOS!$H$2,Tabla5[#All],3,FALSE)*Tabla15[[#This Row],[3]])</f>
        <v>0</v>
      </c>
      <c r="K885" s="52" t="str">
        <f>IF(Tabla1[[#This Row],[5]]="TPL",Tabla1[[#This Row],[6]],"")</f>
        <v>6"</v>
      </c>
      <c r="L885" s="52">
        <f>IF(OR(Tabla1[[#This Row],[5]]="TPL"),Tabla1[[#This Row],[7]],"")</f>
        <v>1</v>
      </c>
      <c r="M885" s="52">
        <f>IF(Tabla15[[#This Row],[5]]="",0,VLOOKUP(TRAMOS!$K$2,Tabla5[#All],3,FALSE)*Tabla15[[#This Row],[6]])</f>
        <v>0.9</v>
      </c>
      <c r="N88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8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85" s="52">
        <f>IF(Tabla15[[#This Row],[8]]="",0,VLOOKUP(TRAMOS!$H$2,Tabla5[#All],3,FALSE)*Tabla15[[#This Row],[9]])</f>
        <v>0</v>
      </c>
      <c r="Q88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8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85" s="52">
        <f>IF(Tabla15[[#This Row],[11]]="",0,VLOOKUP(TRAMOS!$Q$2,Tabla5[#All],3,FALSE)*Tabla15[[#This Row],[12]])</f>
        <v>0</v>
      </c>
      <c r="T88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8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8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8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8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8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8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8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85" s="52">
        <f>IF(Tabla15[[#This Row],[20]]="",0,VLOOKUP("VRP",Tabla5[#All],3,FALSE)*Tabla15[[#This Row],[21]])</f>
        <v>0</v>
      </c>
      <c r="AC88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8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85" s="52">
        <f>IF(Tabla15[[#This Row],[23]]="",0,VLOOKUP("VC",Tabla5[#All],3,FALSE)*Tabla15[[#This Row],[24]])</f>
        <v>0</v>
      </c>
      <c r="AF88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8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85" s="52">
        <f>IF(Tabla15[[#This Row],[26]]="",0,VLOOKUP(TRAMOS!$K$2,Tabla5[#All],3,FALSE)*Tabla15[[#This Row],[27]])</f>
        <v>0</v>
      </c>
      <c r="AI88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8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8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8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8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8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8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886" spans="2:41" x14ac:dyDescent="0.25">
      <c r="B886" s="58" t="str">
        <f>Tabla1[[#This Row],[nudo inicial]]</f>
        <v>N472</v>
      </c>
      <c r="C886" s="58" t="str">
        <f>Tabla1[[#This Row],[nudo final]]</f>
        <v>N473</v>
      </c>
      <c r="D886" s="51">
        <f>Tabla1[[#This Row],[longitud]]</f>
        <v>37.479999999999997</v>
      </c>
      <c r="E886" s="51" t="str">
        <f>Tabla1[[#This Row],[diametro]]</f>
        <v>6"</v>
      </c>
      <c r="F886" s="51" t="str">
        <f>Tabla1[[#This Row],[material]]</f>
        <v>AC</v>
      </c>
      <c r="G88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886" s="52" t="str">
        <f>IF(Tabla1[[#This Row],[5]]="TPD",Tabla1[[#This Row],[6]],"")</f>
        <v>6"</v>
      </c>
      <c r="I886" s="52">
        <f>IF(OR(Tabla1[[#This Row],[5]]="TPD"),Tabla1[[#This Row],[7]],"")</f>
        <v>1</v>
      </c>
      <c r="J886" s="52">
        <f>IF(Tabla15[[#This Row],[2]]="",0,VLOOKUP(TRAMOS!$H$2,Tabla5[#All],3,FALSE)*Tabla15[[#This Row],[3]])</f>
        <v>0.15</v>
      </c>
      <c r="K886" s="52" t="str">
        <f>IF(Tabla1[[#This Row],[5]]="TPL",Tabla1[[#This Row],[6]],"")</f>
        <v/>
      </c>
      <c r="L886" s="52" t="str">
        <f>IF(OR(Tabla1[[#This Row],[5]]="TPL"),Tabla1[[#This Row],[7]],"")</f>
        <v/>
      </c>
      <c r="M886" s="52">
        <f>IF(Tabla15[[#This Row],[5]]="",0,VLOOKUP(TRAMOS!$K$2,Tabla5[#All],3,FALSE)*Tabla15[[#This Row],[6]])</f>
        <v>0</v>
      </c>
      <c r="N88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8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86" s="52">
        <f>IF(Tabla15[[#This Row],[8]]="",0,VLOOKUP(TRAMOS!$H$2,Tabla5[#All],3,FALSE)*Tabla15[[#This Row],[9]])</f>
        <v>0</v>
      </c>
      <c r="Q88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8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86" s="52">
        <f>IF(Tabla15[[#This Row],[11]]="",0,VLOOKUP(TRAMOS!$Q$2,Tabla5[#All],3,FALSE)*Tabla15[[#This Row],[12]])</f>
        <v>0</v>
      </c>
      <c r="T88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8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8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8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8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8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8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8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86" s="52">
        <f>IF(Tabla15[[#This Row],[20]]="",0,VLOOKUP("VRP",Tabla5[#All],3,FALSE)*Tabla15[[#This Row],[21]])</f>
        <v>0</v>
      </c>
      <c r="AC88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8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86" s="52">
        <f>IF(Tabla15[[#This Row],[23]]="",0,VLOOKUP("VC",Tabla5[#All],3,FALSE)*Tabla15[[#This Row],[24]])</f>
        <v>0</v>
      </c>
      <c r="AF88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8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86" s="52">
        <f>IF(Tabla15[[#This Row],[26]]="",0,VLOOKUP(TRAMOS!$K$2,Tabla5[#All],3,FALSE)*Tabla15[[#This Row],[27]])</f>
        <v>0</v>
      </c>
      <c r="AI88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8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8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8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8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8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8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887" spans="2:41" x14ac:dyDescent="0.25">
      <c r="B887" s="58" t="str">
        <f>Tabla1[[#This Row],[nudo inicial]]</f>
        <v>N473</v>
      </c>
      <c r="C887" s="58" t="str">
        <f>Tabla1[[#This Row],[nudo final]]</f>
        <v>N474</v>
      </c>
      <c r="D887" s="51">
        <f>Tabla1[[#This Row],[longitud]]</f>
        <v>18.420000000000002</v>
      </c>
      <c r="E887" s="51" t="str">
        <f>Tabla1[[#This Row],[diametro]]</f>
        <v>2"</v>
      </c>
      <c r="F887" s="51" t="str">
        <f>Tabla1[[#This Row],[material]]</f>
        <v>HG</v>
      </c>
      <c r="G88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887" s="52" t="str">
        <f>IF(Tabla1[[#This Row],[5]]="TPD",Tabla1[[#This Row],[6]],"")</f>
        <v/>
      </c>
      <c r="I887" s="52" t="str">
        <f>IF(OR(Tabla1[[#This Row],[5]]="TPD"),Tabla1[[#This Row],[7]],"")</f>
        <v/>
      </c>
      <c r="J887" s="52">
        <f>IF(Tabla15[[#This Row],[2]]="",0,VLOOKUP(TRAMOS!$H$2,Tabla5[#All],3,FALSE)*Tabla15[[#This Row],[3]])</f>
        <v>0</v>
      </c>
      <c r="K887" s="52" t="str">
        <f>IF(Tabla1[[#This Row],[5]]="TPL",Tabla1[[#This Row],[6]],"")</f>
        <v>6"</v>
      </c>
      <c r="L887" s="52">
        <f>IF(OR(Tabla1[[#This Row],[5]]="TPL"),Tabla1[[#This Row],[7]],"")</f>
        <v>1</v>
      </c>
      <c r="M887" s="52">
        <f>IF(Tabla15[[#This Row],[5]]="",0,VLOOKUP(TRAMOS!$K$2,Tabla5[#All],3,FALSE)*Tabla15[[#This Row],[6]])</f>
        <v>0.9</v>
      </c>
      <c r="N88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8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87" s="52">
        <f>IF(Tabla15[[#This Row],[8]]="",0,VLOOKUP(TRAMOS!$H$2,Tabla5[#All],3,FALSE)*Tabla15[[#This Row],[9]])</f>
        <v>0</v>
      </c>
      <c r="Q88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8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87" s="52">
        <f>IF(Tabla15[[#This Row],[11]]="",0,VLOOKUP(TRAMOS!$Q$2,Tabla5[#All],3,FALSE)*Tabla15[[#This Row],[12]])</f>
        <v>0</v>
      </c>
      <c r="T88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887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88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0.43</v>
      </c>
      <c r="W88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8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8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8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8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87" s="52">
        <f>IF(Tabla15[[#This Row],[20]]="",0,VLOOKUP("VRP",Tabla5[#All],3,FALSE)*Tabla15[[#This Row],[21]])</f>
        <v>0</v>
      </c>
      <c r="AC88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887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887" s="52">
        <f>IF(Tabla15[[#This Row],[23]]="",0,VLOOKUP("VC",Tabla5[#All],3,FALSE)*Tabla15[[#This Row],[24]])</f>
        <v>0.25</v>
      </c>
      <c r="AF88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8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87" s="52">
        <f>IF(Tabla15[[#This Row],[26]]="",0,VLOOKUP(TRAMOS!$K$2,Tabla5[#All],3,FALSE)*Tabla15[[#This Row],[27]])</f>
        <v>0</v>
      </c>
      <c r="AI88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8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8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8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8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8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8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1.58</v>
      </c>
    </row>
    <row r="888" spans="2:41" x14ac:dyDescent="0.25">
      <c r="B888" s="58" t="str">
        <f>Tabla1[[#This Row],[nudo inicial]]</f>
        <v>N474</v>
      </c>
      <c r="C888" s="58" t="str">
        <f>Tabla1[[#This Row],[nudo final]]</f>
        <v>N475</v>
      </c>
      <c r="D888" s="51">
        <f>Tabla1[[#This Row],[longitud]]</f>
        <v>41.86</v>
      </c>
      <c r="E888" s="51" t="str">
        <f>Tabla1[[#This Row],[diametro]]</f>
        <v>2"</v>
      </c>
      <c r="F888" s="51" t="str">
        <f>Tabla1[[#This Row],[material]]</f>
        <v>PVC</v>
      </c>
      <c r="G88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888" s="52" t="str">
        <f>IF(Tabla1[[#This Row],[5]]="TPD",Tabla1[[#This Row],[6]],"")</f>
        <v/>
      </c>
      <c r="I888" s="52" t="str">
        <f>IF(OR(Tabla1[[#This Row],[5]]="TPD"),Tabla1[[#This Row],[7]],"")</f>
        <v/>
      </c>
      <c r="J888" s="52">
        <f>IF(Tabla15[[#This Row],[2]]="",0,VLOOKUP(TRAMOS!$H$2,Tabla5[#All],3,FALSE)*Tabla15[[#This Row],[3]])</f>
        <v>0</v>
      </c>
      <c r="K888" s="52" t="str">
        <f>IF(Tabla1[[#This Row],[5]]="TPL",Tabla1[[#This Row],[6]],"")</f>
        <v/>
      </c>
      <c r="L888" s="52" t="str">
        <f>IF(OR(Tabla1[[#This Row],[5]]="TPL"),Tabla1[[#This Row],[7]],"")</f>
        <v/>
      </c>
      <c r="M888" s="52">
        <f>IF(Tabla15[[#This Row],[5]]="",0,VLOOKUP(TRAMOS!$K$2,Tabla5[#All],3,FALSE)*Tabla15[[#This Row],[6]])</f>
        <v>0</v>
      </c>
      <c r="N88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8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88" s="52">
        <f>IF(Tabla15[[#This Row],[8]]="",0,VLOOKUP(TRAMOS!$H$2,Tabla5[#All],3,FALSE)*Tabla15[[#This Row],[9]])</f>
        <v>0</v>
      </c>
      <c r="Q88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8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88" s="52">
        <f>IF(Tabla15[[#This Row],[11]]="",0,VLOOKUP(TRAMOS!$Q$2,Tabla5[#All],3,FALSE)*Tabla15[[#This Row],[12]])</f>
        <v>0</v>
      </c>
      <c r="T88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8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8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8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8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8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8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8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88" s="52">
        <f>IF(Tabla15[[#This Row],[20]]="",0,VLOOKUP("VRP",Tabla5[#All],3,FALSE)*Tabla15[[#This Row],[21]])</f>
        <v>0</v>
      </c>
      <c r="AC88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8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88" s="52">
        <f>IF(Tabla15[[#This Row],[23]]="",0,VLOOKUP("VC",Tabla5[#All],3,FALSE)*Tabla15[[#This Row],[24]])</f>
        <v>0</v>
      </c>
      <c r="AF88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8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88" s="52">
        <f>IF(Tabla15[[#This Row],[26]]="",0,VLOOKUP(TRAMOS!$K$2,Tabla5[#All],3,FALSE)*Tabla15[[#This Row],[27]])</f>
        <v>0</v>
      </c>
      <c r="AI88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8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8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8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8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8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8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</v>
      </c>
    </row>
    <row r="889" spans="2:41" x14ac:dyDescent="0.25">
      <c r="B889" s="58" t="str">
        <f>Tabla1[[#This Row],[nudo inicial]]</f>
        <v>N475</v>
      </c>
      <c r="C889" s="58" t="str">
        <f>Tabla1[[#This Row],[nudo final]]</f>
        <v>TP312</v>
      </c>
      <c r="D889" s="51">
        <f>Tabla1[[#This Row],[longitud]]</f>
        <v>97.83</v>
      </c>
      <c r="E889" s="51" t="str">
        <f>Tabla1[[#This Row],[diametro]]</f>
        <v>2"</v>
      </c>
      <c r="F889" s="51" t="str">
        <f>Tabla1[[#This Row],[material]]</f>
        <v>PVC</v>
      </c>
      <c r="G88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889" s="52" t="str">
        <f>IF(Tabla1[[#This Row],[5]]="TPD",Tabla1[[#This Row],[6]],"")</f>
        <v/>
      </c>
      <c r="I889" s="52" t="str">
        <f>IF(OR(Tabla1[[#This Row],[5]]="TPD"),Tabla1[[#This Row],[7]],"")</f>
        <v/>
      </c>
      <c r="J889" s="52">
        <f>IF(Tabla15[[#This Row],[2]]="",0,VLOOKUP(TRAMOS!$H$2,Tabla5[#All],3,FALSE)*Tabla15[[#This Row],[3]])</f>
        <v>0</v>
      </c>
      <c r="K889" s="52" t="str">
        <f>IF(Tabla1[[#This Row],[5]]="TPL",Tabla1[[#This Row],[6]],"")</f>
        <v>2"</v>
      </c>
      <c r="L889" s="52">
        <f>IF(OR(Tabla1[[#This Row],[5]]="TPL"),Tabla1[[#This Row],[7]],"")</f>
        <v>1</v>
      </c>
      <c r="M889" s="52">
        <f>IF(Tabla15[[#This Row],[5]]="",0,VLOOKUP(TRAMOS!$K$2,Tabla5[#All],3,FALSE)*Tabla15[[#This Row],[6]])</f>
        <v>0.9</v>
      </c>
      <c r="N88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8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89" s="52">
        <f>IF(Tabla15[[#This Row],[8]]="",0,VLOOKUP(TRAMOS!$H$2,Tabla5[#All],3,FALSE)*Tabla15[[#This Row],[9]])</f>
        <v>0</v>
      </c>
      <c r="Q88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8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89" s="52">
        <f>IF(Tabla15[[#This Row],[11]]="",0,VLOOKUP(TRAMOS!$Q$2,Tabla5[#All],3,FALSE)*Tabla15[[#This Row],[12]])</f>
        <v>0</v>
      </c>
      <c r="T88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8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8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8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8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8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8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8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89" s="52">
        <f>IF(Tabla15[[#This Row],[20]]="",0,VLOOKUP("VRP",Tabla5[#All],3,FALSE)*Tabla15[[#This Row],[21]])</f>
        <v>0</v>
      </c>
      <c r="AC88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8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89" s="52">
        <f>IF(Tabla15[[#This Row],[23]]="",0,VLOOKUP("VC",Tabla5[#All],3,FALSE)*Tabla15[[#This Row],[24]])</f>
        <v>0</v>
      </c>
      <c r="AF88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8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89" s="52">
        <f>IF(Tabla15[[#This Row],[26]]="",0,VLOOKUP(TRAMOS!$K$2,Tabla5[#All],3,FALSE)*Tabla15[[#This Row],[27]])</f>
        <v>0</v>
      </c>
      <c r="AI88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8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8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8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8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889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88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890" spans="2:41" x14ac:dyDescent="0.25">
      <c r="B890" s="58" t="str">
        <f>Tabla1[[#This Row],[nudo inicial]]</f>
        <v>N475</v>
      </c>
      <c r="C890" s="58" t="str">
        <f>Tabla1[[#This Row],[nudo final]]</f>
        <v>N476</v>
      </c>
      <c r="D890" s="51">
        <f>Tabla1[[#This Row],[longitud]]</f>
        <v>99.31</v>
      </c>
      <c r="E890" s="51" t="str">
        <f>Tabla1[[#This Row],[diametro]]</f>
        <v>2"</v>
      </c>
      <c r="F890" s="51" t="str">
        <f>Tabla1[[#This Row],[material]]</f>
        <v>PVC</v>
      </c>
      <c r="G89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890" s="52" t="str">
        <f>IF(Tabla1[[#This Row],[5]]="TPD",Tabla1[[#This Row],[6]],"")</f>
        <v>2"</v>
      </c>
      <c r="I890" s="52">
        <f>IF(OR(Tabla1[[#This Row],[5]]="TPD"),Tabla1[[#This Row],[7]],"")</f>
        <v>1</v>
      </c>
      <c r="J890" s="52">
        <f>IF(Tabla15[[#This Row],[2]]="",0,VLOOKUP(TRAMOS!$H$2,Tabla5[#All],3,FALSE)*Tabla15[[#This Row],[3]])</f>
        <v>0.15</v>
      </c>
      <c r="K890" s="52" t="str">
        <f>IF(Tabla1[[#This Row],[5]]="TPL",Tabla1[[#This Row],[6]],"")</f>
        <v/>
      </c>
      <c r="L890" s="52" t="str">
        <f>IF(OR(Tabla1[[#This Row],[5]]="TPL"),Tabla1[[#This Row],[7]],"")</f>
        <v/>
      </c>
      <c r="M890" s="52">
        <f>IF(Tabla15[[#This Row],[5]]="",0,VLOOKUP(TRAMOS!$K$2,Tabla5[#All],3,FALSE)*Tabla15[[#This Row],[6]])</f>
        <v>0</v>
      </c>
      <c r="N89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9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90" s="52">
        <f>IF(Tabla15[[#This Row],[8]]="",0,VLOOKUP(TRAMOS!$H$2,Tabla5[#All],3,FALSE)*Tabla15[[#This Row],[9]])</f>
        <v>0</v>
      </c>
      <c r="Q89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9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90" s="52">
        <f>IF(Tabla15[[#This Row],[11]]="",0,VLOOKUP(TRAMOS!$Q$2,Tabla5[#All],3,FALSE)*Tabla15[[#This Row],[12]])</f>
        <v>0</v>
      </c>
      <c r="T89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9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9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9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9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9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9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9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90" s="52">
        <f>IF(Tabla15[[#This Row],[20]]="",0,VLOOKUP("VRP",Tabla5[#All],3,FALSE)*Tabla15[[#This Row],[21]])</f>
        <v>0</v>
      </c>
      <c r="AC89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9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90" s="52">
        <f>IF(Tabla15[[#This Row],[23]]="",0,VLOOKUP("VC",Tabla5[#All],3,FALSE)*Tabla15[[#This Row],[24]])</f>
        <v>0</v>
      </c>
      <c r="AF89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9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90" s="52">
        <f>IF(Tabla15[[#This Row],[26]]="",0,VLOOKUP(TRAMOS!$K$2,Tabla5[#All],3,FALSE)*Tabla15[[#This Row],[27]])</f>
        <v>0</v>
      </c>
      <c r="AI89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9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9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9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9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9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9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891" spans="2:41" x14ac:dyDescent="0.25">
      <c r="B891" s="58" t="str">
        <f>Tabla1[[#This Row],[nudo inicial]]</f>
        <v>N476</v>
      </c>
      <c r="C891" s="58" t="str">
        <f>Tabla1[[#This Row],[nudo final]]</f>
        <v>TP313</v>
      </c>
      <c r="D891" s="51">
        <f>Tabla1[[#This Row],[longitud]]</f>
        <v>123.64</v>
      </c>
      <c r="E891" s="51" t="str">
        <f>Tabla1[[#This Row],[diametro]]</f>
        <v>2"</v>
      </c>
      <c r="F891" s="51" t="str">
        <f>Tabla1[[#This Row],[material]]</f>
        <v>PVC</v>
      </c>
      <c r="G89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891" s="52" t="str">
        <f>IF(Tabla1[[#This Row],[5]]="TPD",Tabla1[[#This Row],[6]],"")</f>
        <v/>
      </c>
      <c r="I891" s="52" t="str">
        <f>IF(OR(Tabla1[[#This Row],[5]]="TPD"),Tabla1[[#This Row],[7]],"")</f>
        <v/>
      </c>
      <c r="J891" s="52">
        <f>IF(Tabla15[[#This Row],[2]]="",0,VLOOKUP(TRAMOS!$H$2,Tabla5[#All],3,FALSE)*Tabla15[[#This Row],[3]])</f>
        <v>0</v>
      </c>
      <c r="K891" s="52" t="str">
        <f>IF(Tabla1[[#This Row],[5]]="TPL",Tabla1[[#This Row],[6]],"")</f>
        <v>2"</v>
      </c>
      <c r="L891" s="52">
        <f>IF(OR(Tabla1[[#This Row],[5]]="TPL"),Tabla1[[#This Row],[7]],"")</f>
        <v>1</v>
      </c>
      <c r="M891" s="52">
        <f>IF(Tabla15[[#This Row],[5]]="",0,VLOOKUP(TRAMOS!$K$2,Tabla5[#All],3,FALSE)*Tabla15[[#This Row],[6]])</f>
        <v>0.9</v>
      </c>
      <c r="N89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9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91" s="52">
        <f>IF(Tabla15[[#This Row],[8]]="",0,VLOOKUP(TRAMOS!$H$2,Tabla5[#All],3,FALSE)*Tabla15[[#This Row],[9]])</f>
        <v>0</v>
      </c>
      <c r="Q89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891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2</v>
      </c>
      <c r="S891" s="52">
        <f>IF(Tabla15[[#This Row],[11]]="",0,VLOOKUP(TRAMOS!$Q$2,Tabla5[#All],3,FALSE)*Tabla15[[#This Row],[12]])</f>
        <v>1.8</v>
      </c>
      <c r="T89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9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9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9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9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9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9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9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91" s="52">
        <f>IF(Tabla15[[#This Row],[20]]="",0,VLOOKUP("VRP",Tabla5[#All],3,FALSE)*Tabla15[[#This Row],[21]])</f>
        <v>0</v>
      </c>
      <c r="AC89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891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891" s="52">
        <f>IF(Tabla15[[#This Row],[23]]="",0,VLOOKUP("VC",Tabla5[#All],3,FALSE)*Tabla15[[#This Row],[24]])</f>
        <v>0.25</v>
      </c>
      <c r="AF89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9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91" s="52">
        <f>IF(Tabla15[[#This Row],[26]]="",0,VLOOKUP(TRAMOS!$K$2,Tabla5[#All],3,FALSE)*Tabla15[[#This Row],[27]])</f>
        <v>0</v>
      </c>
      <c r="AI89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9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9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9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9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891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89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2.95</v>
      </c>
    </row>
    <row r="892" spans="2:41" x14ac:dyDescent="0.25">
      <c r="B892" s="58" t="str">
        <f>Tabla1[[#This Row],[nudo inicial]]</f>
        <v>N476</v>
      </c>
      <c r="C892" s="58" t="str">
        <f>Tabla1[[#This Row],[nudo final]]</f>
        <v>TP314</v>
      </c>
      <c r="D892" s="51">
        <f>Tabla1[[#This Row],[longitud]]</f>
        <v>147.08000000000001</v>
      </c>
      <c r="E892" s="51" t="str">
        <f>Tabla1[[#This Row],[diametro]]</f>
        <v>2"</v>
      </c>
      <c r="F892" s="51" t="str">
        <f>Tabla1[[#This Row],[material]]</f>
        <v>PVC</v>
      </c>
      <c r="G89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892" s="52" t="str">
        <f>IF(Tabla1[[#This Row],[5]]="TPD",Tabla1[[#This Row],[6]],"")</f>
        <v>2"</v>
      </c>
      <c r="I892" s="52">
        <f>IF(OR(Tabla1[[#This Row],[5]]="TPD"),Tabla1[[#This Row],[7]],"")</f>
        <v>1</v>
      </c>
      <c r="J892" s="52">
        <f>IF(Tabla15[[#This Row],[2]]="",0,VLOOKUP(TRAMOS!$H$2,Tabla5[#All],3,FALSE)*Tabla15[[#This Row],[3]])</f>
        <v>0.15</v>
      </c>
      <c r="K892" s="52" t="str">
        <f>IF(Tabla1[[#This Row],[5]]="TPL",Tabla1[[#This Row],[6]],"")</f>
        <v/>
      </c>
      <c r="L892" s="52" t="str">
        <f>IF(OR(Tabla1[[#This Row],[5]]="TPL"),Tabla1[[#This Row],[7]],"")</f>
        <v/>
      </c>
      <c r="M892" s="52">
        <f>IF(Tabla15[[#This Row],[5]]="",0,VLOOKUP(TRAMOS!$K$2,Tabla5[#All],3,FALSE)*Tabla15[[#This Row],[6]])</f>
        <v>0</v>
      </c>
      <c r="N89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9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92" s="52">
        <f>IF(Tabla15[[#This Row],[8]]="",0,VLOOKUP(TRAMOS!$H$2,Tabla5[#All],3,FALSE)*Tabla15[[#This Row],[9]])</f>
        <v>0</v>
      </c>
      <c r="Q89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892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892" s="52">
        <f>IF(Tabla15[[#This Row],[11]]="",0,VLOOKUP(TRAMOS!$Q$2,Tabla5[#All],3,FALSE)*Tabla15[[#This Row],[12]])</f>
        <v>0.9</v>
      </c>
      <c r="T89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9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9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9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9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9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9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9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92" s="52">
        <f>IF(Tabla15[[#This Row],[20]]="",0,VLOOKUP("VRP",Tabla5[#All],3,FALSE)*Tabla15[[#This Row],[21]])</f>
        <v>0</v>
      </c>
      <c r="AC89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9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92" s="52">
        <f>IF(Tabla15[[#This Row],[23]]="",0,VLOOKUP("VC",Tabla5[#All],3,FALSE)*Tabla15[[#This Row],[24]])</f>
        <v>0</v>
      </c>
      <c r="AF89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9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92" s="52">
        <f>IF(Tabla15[[#This Row],[26]]="",0,VLOOKUP(TRAMOS!$K$2,Tabla5[#All],3,FALSE)*Tabla15[[#This Row],[27]])</f>
        <v>0</v>
      </c>
      <c r="AI89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9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9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9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9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892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89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893" spans="2:41" x14ac:dyDescent="0.25">
      <c r="B893" s="58" t="str">
        <f>Tabla1[[#This Row],[nudo inicial]]</f>
        <v>N473</v>
      </c>
      <c r="C893" s="58" t="str">
        <f>Tabla1[[#This Row],[nudo final]]</f>
        <v>N477</v>
      </c>
      <c r="D893" s="51">
        <f>Tabla1[[#This Row],[longitud]]</f>
        <v>126.51</v>
      </c>
      <c r="E893" s="51" t="str">
        <f>Tabla1[[#This Row],[diametro]]</f>
        <v>6"</v>
      </c>
      <c r="F893" s="51" t="str">
        <f>Tabla1[[#This Row],[material]]</f>
        <v>AC</v>
      </c>
      <c r="G89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893" s="52" t="str">
        <f>IF(Tabla1[[#This Row],[5]]="TPD",Tabla1[[#This Row],[6]],"")</f>
        <v>6"</v>
      </c>
      <c r="I893" s="52">
        <f>IF(OR(Tabla1[[#This Row],[5]]="TPD"),Tabla1[[#This Row],[7]],"")</f>
        <v>1</v>
      </c>
      <c r="J893" s="52">
        <f>IF(Tabla15[[#This Row],[2]]="",0,VLOOKUP(TRAMOS!$H$2,Tabla5[#All],3,FALSE)*Tabla15[[#This Row],[3]])</f>
        <v>0.15</v>
      </c>
      <c r="K893" s="52" t="str">
        <f>IF(Tabla1[[#This Row],[5]]="TPL",Tabla1[[#This Row],[6]],"")</f>
        <v/>
      </c>
      <c r="L893" s="52" t="str">
        <f>IF(OR(Tabla1[[#This Row],[5]]="TPL"),Tabla1[[#This Row],[7]],"")</f>
        <v/>
      </c>
      <c r="M893" s="52">
        <f>IF(Tabla15[[#This Row],[5]]="",0,VLOOKUP(TRAMOS!$K$2,Tabla5[#All],3,FALSE)*Tabla15[[#This Row],[6]])</f>
        <v>0</v>
      </c>
      <c r="N89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9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93" s="52">
        <f>IF(Tabla15[[#This Row],[8]]="",0,VLOOKUP(TRAMOS!$H$2,Tabla5[#All],3,FALSE)*Tabla15[[#This Row],[9]])</f>
        <v>0</v>
      </c>
      <c r="Q89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9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93" s="52">
        <f>IF(Tabla15[[#This Row],[11]]="",0,VLOOKUP(TRAMOS!$Q$2,Tabla5[#All],3,FALSE)*Tabla15[[#This Row],[12]])</f>
        <v>0</v>
      </c>
      <c r="T89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9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9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9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9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9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9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9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93" s="52">
        <f>IF(Tabla15[[#This Row],[20]]="",0,VLOOKUP("VRP",Tabla5[#All],3,FALSE)*Tabla15[[#This Row],[21]])</f>
        <v>0</v>
      </c>
      <c r="AC89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9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93" s="52">
        <f>IF(Tabla15[[#This Row],[23]]="",0,VLOOKUP("VC",Tabla5[#All],3,FALSE)*Tabla15[[#This Row],[24]])</f>
        <v>0</v>
      </c>
      <c r="AF89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9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93" s="52">
        <f>IF(Tabla15[[#This Row],[26]]="",0,VLOOKUP(TRAMOS!$K$2,Tabla5[#All],3,FALSE)*Tabla15[[#This Row],[27]])</f>
        <v>0</v>
      </c>
      <c r="AI89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9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9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9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9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9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9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894" spans="2:41" x14ac:dyDescent="0.25">
      <c r="B894" s="58" t="str">
        <f>Tabla1[[#This Row],[nudo inicial]]</f>
        <v>N477</v>
      </c>
      <c r="C894" s="58" t="str">
        <f>Tabla1[[#This Row],[nudo final]]</f>
        <v>N478</v>
      </c>
      <c r="D894" s="51">
        <f>Tabla1[[#This Row],[longitud]]</f>
        <v>7.08</v>
      </c>
      <c r="E894" s="51" t="str">
        <f>Tabla1[[#This Row],[diametro]]</f>
        <v>2"</v>
      </c>
      <c r="F894" s="51" t="str">
        <f>Tabla1[[#This Row],[material]]</f>
        <v>AC</v>
      </c>
      <c r="G89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894" s="52" t="str">
        <f>IF(Tabla1[[#This Row],[5]]="TPD",Tabla1[[#This Row],[6]],"")</f>
        <v/>
      </c>
      <c r="I894" s="52" t="str">
        <f>IF(OR(Tabla1[[#This Row],[5]]="TPD"),Tabla1[[#This Row],[7]],"")</f>
        <v/>
      </c>
      <c r="J894" s="52">
        <f>IF(Tabla15[[#This Row],[2]]="",0,VLOOKUP(TRAMOS!$H$2,Tabla5[#All],3,FALSE)*Tabla15[[#This Row],[3]])</f>
        <v>0</v>
      </c>
      <c r="K894" s="52" t="str">
        <f>IF(Tabla1[[#This Row],[5]]="TPL",Tabla1[[#This Row],[6]],"")</f>
        <v>6"</v>
      </c>
      <c r="L894" s="52">
        <f>IF(OR(Tabla1[[#This Row],[5]]="TPL"),Tabla1[[#This Row],[7]],"")</f>
        <v>1</v>
      </c>
      <c r="M894" s="52">
        <f>IF(Tabla15[[#This Row],[5]]="",0,VLOOKUP(TRAMOS!$K$2,Tabla5[#All],3,FALSE)*Tabla15[[#This Row],[6]])</f>
        <v>0.9</v>
      </c>
      <c r="N89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9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94" s="52">
        <f>IF(Tabla15[[#This Row],[8]]="",0,VLOOKUP(TRAMOS!$H$2,Tabla5[#All],3,FALSE)*Tabla15[[#This Row],[9]])</f>
        <v>0</v>
      </c>
      <c r="Q89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9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94" s="52">
        <f>IF(Tabla15[[#This Row],[11]]="",0,VLOOKUP(TRAMOS!$Q$2,Tabla5[#All],3,FALSE)*Tabla15[[#This Row],[12]])</f>
        <v>0</v>
      </c>
      <c r="T89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894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89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0.43</v>
      </c>
      <c r="W89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9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9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9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9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94" s="52">
        <f>IF(Tabla15[[#This Row],[20]]="",0,VLOOKUP("VRP",Tabla5[#All],3,FALSE)*Tabla15[[#This Row],[21]])</f>
        <v>0</v>
      </c>
      <c r="AC89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9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94" s="52">
        <f>IF(Tabla15[[#This Row],[23]]="",0,VLOOKUP("VC",Tabla5[#All],3,FALSE)*Tabla15[[#This Row],[24]])</f>
        <v>0</v>
      </c>
      <c r="AF89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9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94" s="52">
        <f>IF(Tabla15[[#This Row],[26]]="",0,VLOOKUP(TRAMOS!$K$2,Tabla5[#All],3,FALSE)*Tabla15[[#This Row],[27]])</f>
        <v>0</v>
      </c>
      <c r="AI89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9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9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9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9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9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9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1.33</v>
      </c>
    </row>
    <row r="895" spans="2:41" x14ac:dyDescent="0.25">
      <c r="B895" s="58" t="str">
        <f>Tabla1[[#This Row],[nudo inicial]]</f>
        <v>N478</v>
      </c>
      <c r="C895" s="58" t="str">
        <f>Tabla1[[#This Row],[nudo final]]</f>
        <v>N479</v>
      </c>
      <c r="D895" s="51">
        <f>Tabla1[[#This Row],[longitud]]</f>
        <v>25.3</v>
      </c>
      <c r="E895" s="51" t="str">
        <f>Tabla1[[#This Row],[diametro]]</f>
        <v>1"</v>
      </c>
      <c r="F895" s="51" t="str">
        <f>Tabla1[[#This Row],[material]]</f>
        <v>PVC</v>
      </c>
      <c r="G89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895" s="52" t="str">
        <f>IF(Tabla1[[#This Row],[5]]="TPD",Tabla1[[#This Row],[6]],"")</f>
        <v/>
      </c>
      <c r="I895" s="52" t="str">
        <f>IF(OR(Tabla1[[#This Row],[5]]="TPD"),Tabla1[[#This Row],[7]],"")</f>
        <v/>
      </c>
      <c r="J895" s="52">
        <f>IF(Tabla15[[#This Row],[2]]="",0,VLOOKUP(TRAMOS!$H$2,Tabla5[#All],3,FALSE)*Tabla15[[#This Row],[3]])</f>
        <v>0</v>
      </c>
      <c r="K895" s="52" t="str">
        <f>IF(Tabla1[[#This Row],[5]]="TPL",Tabla1[[#This Row],[6]],"")</f>
        <v/>
      </c>
      <c r="L895" s="52" t="str">
        <f>IF(OR(Tabla1[[#This Row],[5]]="TPL"),Tabla1[[#This Row],[7]],"")</f>
        <v/>
      </c>
      <c r="M895" s="52">
        <f>IF(Tabla15[[#This Row],[5]]="",0,VLOOKUP(TRAMOS!$K$2,Tabla5[#All],3,FALSE)*Tabla15[[#This Row],[6]])</f>
        <v>0</v>
      </c>
      <c r="N89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9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95" s="52">
        <f>IF(Tabla15[[#This Row],[8]]="",0,VLOOKUP(TRAMOS!$H$2,Tabla5[#All],3,FALSE)*Tabla15[[#This Row],[9]])</f>
        <v>0</v>
      </c>
      <c r="Q89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9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95" s="52">
        <f>IF(Tabla15[[#This Row],[11]]="",0,VLOOKUP(TRAMOS!$Q$2,Tabla5[#All],3,FALSE)*Tabla15[[#This Row],[12]])</f>
        <v>0</v>
      </c>
      <c r="T89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1"</v>
      </c>
      <c r="U895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89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89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9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9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9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9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95" s="52">
        <f>IF(Tabla15[[#This Row],[20]]="",0,VLOOKUP("VRP",Tabla5[#All],3,FALSE)*Tabla15[[#This Row],[21]])</f>
        <v>0</v>
      </c>
      <c r="AC89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9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95" s="52">
        <f>IF(Tabla15[[#This Row],[23]]="",0,VLOOKUP("VC",Tabla5[#All],3,FALSE)*Tabla15[[#This Row],[24]])</f>
        <v>0</v>
      </c>
      <c r="AF89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>2"</v>
      </c>
      <c r="AG895" s="52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>1</v>
      </c>
      <c r="AH895" s="52">
        <f>IF(Tabla15[[#This Row],[26]]="",0,VLOOKUP(TRAMOS!$K$2,Tabla5[#All],3,FALSE)*Tabla15[[#This Row],[27]])</f>
        <v>0.9</v>
      </c>
      <c r="AI89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9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9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9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9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9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9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1.27</v>
      </c>
    </row>
    <row r="896" spans="2:41" x14ac:dyDescent="0.25">
      <c r="B896" s="58" t="str">
        <f>Tabla1[[#This Row],[nudo inicial]]</f>
        <v>N479</v>
      </c>
      <c r="C896" s="58" t="str">
        <f>Tabla1[[#This Row],[nudo final]]</f>
        <v>TP315</v>
      </c>
      <c r="D896" s="51">
        <f>Tabla1[[#This Row],[longitud]]</f>
        <v>28.04</v>
      </c>
      <c r="E896" s="51" t="str">
        <f>Tabla1[[#This Row],[diametro]]</f>
        <v>1"</v>
      </c>
      <c r="F896" s="51" t="str">
        <f>Tabla1[[#This Row],[material]]</f>
        <v>PVC</v>
      </c>
      <c r="G89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1"</v>
      </c>
      <c r="H896" s="52" t="str">
        <f>IF(Tabla1[[#This Row],[5]]="TPD",Tabla1[[#This Row],[6]],"")</f>
        <v/>
      </c>
      <c r="I896" s="52" t="str">
        <f>IF(OR(Tabla1[[#This Row],[5]]="TPD"),Tabla1[[#This Row],[7]],"")</f>
        <v/>
      </c>
      <c r="J896" s="52">
        <f>IF(Tabla15[[#This Row],[2]]="",0,VLOOKUP(TRAMOS!$H$2,Tabla5[#All],3,FALSE)*Tabla15[[#This Row],[3]])</f>
        <v>0</v>
      </c>
      <c r="K896" s="52" t="str">
        <f>IF(Tabla1[[#This Row],[5]]="TPL",Tabla1[[#This Row],[6]],"")</f>
        <v>1"</v>
      </c>
      <c r="L896" s="52">
        <f>IF(OR(Tabla1[[#This Row],[5]]="TPL"),Tabla1[[#This Row],[7]],"")</f>
        <v>1</v>
      </c>
      <c r="M896" s="52">
        <f>IF(Tabla15[[#This Row],[5]]="",0,VLOOKUP(TRAMOS!$K$2,Tabla5[#All],3,FALSE)*Tabla15[[#This Row],[6]])</f>
        <v>0.9</v>
      </c>
      <c r="N89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9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96" s="52">
        <f>IF(Tabla15[[#This Row],[8]]="",0,VLOOKUP(TRAMOS!$H$2,Tabla5[#All],3,FALSE)*Tabla15[[#This Row],[9]])</f>
        <v>0</v>
      </c>
      <c r="Q89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9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96" s="52">
        <f>IF(Tabla15[[#This Row],[11]]="",0,VLOOKUP(TRAMOS!$Q$2,Tabla5[#All],3,FALSE)*Tabla15[[#This Row],[12]])</f>
        <v>0</v>
      </c>
      <c r="T89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9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9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9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9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9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9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9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96" s="52">
        <f>IF(Tabla15[[#This Row],[20]]="",0,VLOOKUP("VRP",Tabla5[#All],3,FALSE)*Tabla15[[#This Row],[21]])</f>
        <v>0</v>
      </c>
      <c r="AC89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9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96" s="52">
        <f>IF(Tabla15[[#This Row],[23]]="",0,VLOOKUP("VC",Tabla5[#All],3,FALSE)*Tabla15[[#This Row],[24]])</f>
        <v>0</v>
      </c>
      <c r="AF89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9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96" s="52">
        <f>IF(Tabla15[[#This Row],[26]]="",0,VLOOKUP(TRAMOS!$K$2,Tabla5[#All],3,FALSE)*Tabla15[[#This Row],[27]])</f>
        <v>0</v>
      </c>
      <c r="AI89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9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9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9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9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1"</v>
      </c>
      <c r="AN89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89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897" spans="2:41" x14ac:dyDescent="0.25">
      <c r="B897" s="58" t="str">
        <f>Tabla1[[#This Row],[nudo inicial]]</f>
        <v>N479</v>
      </c>
      <c r="C897" s="58" t="str">
        <f>Tabla1[[#This Row],[nudo final]]</f>
        <v>TP316</v>
      </c>
      <c r="D897" s="51">
        <f>Tabla1[[#This Row],[longitud]]</f>
        <v>29.83</v>
      </c>
      <c r="E897" s="51" t="str">
        <f>Tabla1[[#This Row],[diametro]]</f>
        <v>1"</v>
      </c>
      <c r="F897" s="51" t="str">
        <f>Tabla1[[#This Row],[material]]</f>
        <v>PVC</v>
      </c>
      <c r="G89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1"</v>
      </c>
      <c r="H897" s="52" t="str">
        <f>IF(Tabla1[[#This Row],[5]]="TPD",Tabla1[[#This Row],[6]],"")</f>
        <v>1"</v>
      </c>
      <c r="I897" s="52">
        <f>IF(OR(Tabla1[[#This Row],[5]]="TPD"),Tabla1[[#This Row],[7]],"")</f>
        <v>1</v>
      </c>
      <c r="J897" s="52">
        <f>IF(Tabla15[[#This Row],[2]]="",0,VLOOKUP(TRAMOS!$H$2,Tabla5[#All],3,FALSE)*Tabla15[[#This Row],[3]])</f>
        <v>0.15</v>
      </c>
      <c r="K897" s="52" t="str">
        <f>IF(Tabla1[[#This Row],[5]]="TPL",Tabla1[[#This Row],[6]],"")</f>
        <v/>
      </c>
      <c r="L897" s="52" t="str">
        <f>IF(OR(Tabla1[[#This Row],[5]]="TPL"),Tabla1[[#This Row],[7]],"")</f>
        <v/>
      </c>
      <c r="M897" s="52">
        <f>IF(Tabla15[[#This Row],[5]]="",0,VLOOKUP(TRAMOS!$K$2,Tabla5[#All],3,FALSE)*Tabla15[[#This Row],[6]])</f>
        <v>0</v>
      </c>
      <c r="N89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9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97" s="52">
        <f>IF(Tabla15[[#This Row],[8]]="",0,VLOOKUP(TRAMOS!$H$2,Tabla5[#All],3,FALSE)*Tabla15[[#This Row],[9]])</f>
        <v>0</v>
      </c>
      <c r="Q89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9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97" s="52">
        <f>IF(Tabla15[[#This Row],[11]]="",0,VLOOKUP(TRAMOS!$Q$2,Tabla5[#All],3,FALSE)*Tabla15[[#This Row],[12]])</f>
        <v>0</v>
      </c>
      <c r="T89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9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9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9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9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9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9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9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97" s="52">
        <f>IF(Tabla15[[#This Row],[20]]="",0,VLOOKUP("VRP",Tabla5[#All],3,FALSE)*Tabla15[[#This Row],[21]])</f>
        <v>0</v>
      </c>
      <c r="AC89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9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97" s="52">
        <f>IF(Tabla15[[#This Row],[23]]="",0,VLOOKUP("VC",Tabla5[#All],3,FALSE)*Tabla15[[#This Row],[24]])</f>
        <v>0</v>
      </c>
      <c r="AF89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9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97" s="52">
        <f>IF(Tabla15[[#This Row],[26]]="",0,VLOOKUP(TRAMOS!$K$2,Tabla5[#All],3,FALSE)*Tabla15[[#This Row],[27]])</f>
        <v>0</v>
      </c>
      <c r="AI89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9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9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9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9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1"</v>
      </c>
      <c r="AN897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89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898" spans="2:41" x14ac:dyDescent="0.25">
      <c r="B898" s="58" t="str">
        <f>Tabla1[[#This Row],[nudo inicial]]</f>
        <v>N478</v>
      </c>
      <c r="C898" s="58" t="str">
        <f>Tabla1[[#This Row],[nudo final]]</f>
        <v>N480</v>
      </c>
      <c r="D898" s="51">
        <f>Tabla1[[#This Row],[longitud]]</f>
        <v>80.44</v>
      </c>
      <c r="E898" s="51" t="str">
        <f>Tabla1[[#This Row],[diametro]]</f>
        <v>2"</v>
      </c>
      <c r="F898" s="51" t="str">
        <f>Tabla1[[#This Row],[material]]</f>
        <v>PVC</v>
      </c>
      <c r="G89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898" s="52" t="str">
        <f>IF(Tabla1[[#This Row],[5]]="TPD",Tabla1[[#This Row],[6]],"")</f>
        <v/>
      </c>
      <c r="I898" s="52" t="str">
        <f>IF(OR(Tabla1[[#This Row],[5]]="TPD"),Tabla1[[#This Row],[7]],"")</f>
        <v/>
      </c>
      <c r="J898" s="52">
        <f>IF(Tabla15[[#This Row],[2]]="",0,VLOOKUP(TRAMOS!$H$2,Tabla5[#All],3,FALSE)*Tabla15[[#This Row],[3]])</f>
        <v>0</v>
      </c>
      <c r="K898" s="52" t="str">
        <f>IF(Tabla1[[#This Row],[5]]="TPL",Tabla1[[#This Row],[6]],"")</f>
        <v/>
      </c>
      <c r="L898" s="52" t="str">
        <f>IF(OR(Tabla1[[#This Row],[5]]="TPL"),Tabla1[[#This Row],[7]],"")</f>
        <v/>
      </c>
      <c r="M898" s="52">
        <f>IF(Tabla15[[#This Row],[5]]="",0,VLOOKUP(TRAMOS!$K$2,Tabla5[#All],3,FALSE)*Tabla15[[#This Row],[6]])</f>
        <v>0</v>
      </c>
      <c r="N89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9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98" s="52">
        <f>IF(Tabla15[[#This Row],[8]]="",0,VLOOKUP(TRAMOS!$H$2,Tabla5[#All],3,FALSE)*Tabla15[[#This Row],[9]])</f>
        <v>0</v>
      </c>
      <c r="Q89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9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98" s="52">
        <f>IF(Tabla15[[#This Row],[11]]="",0,VLOOKUP(TRAMOS!$Q$2,Tabla5[#All],3,FALSE)*Tabla15[[#This Row],[12]])</f>
        <v>0</v>
      </c>
      <c r="T89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9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9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9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9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9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9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9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98" s="52">
        <f>IF(Tabla15[[#This Row],[20]]="",0,VLOOKUP("VRP",Tabla5[#All],3,FALSE)*Tabla15[[#This Row],[21]])</f>
        <v>0</v>
      </c>
      <c r="AC89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9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98" s="52">
        <f>IF(Tabla15[[#This Row],[23]]="",0,VLOOKUP("VC",Tabla5[#All],3,FALSE)*Tabla15[[#This Row],[24]])</f>
        <v>0</v>
      </c>
      <c r="AF89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9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98" s="52">
        <f>IF(Tabla15[[#This Row],[26]]="",0,VLOOKUP(TRAMOS!$K$2,Tabla5[#All],3,FALSE)*Tabla15[[#This Row],[27]])</f>
        <v>0</v>
      </c>
      <c r="AI89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9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9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9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9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89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89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</v>
      </c>
    </row>
    <row r="899" spans="2:41" x14ac:dyDescent="0.25">
      <c r="B899" s="58" t="str">
        <f>Tabla1[[#This Row],[nudo inicial]]</f>
        <v>N480</v>
      </c>
      <c r="C899" s="58" t="str">
        <f>Tabla1[[#This Row],[nudo final]]</f>
        <v>TP317</v>
      </c>
      <c r="D899" s="51">
        <f>Tabla1[[#This Row],[longitud]]</f>
        <v>47.9</v>
      </c>
      <c r="E899" s="51" t="str">
        <f>Tabla1[[#This Row],[diametro]]</f>
        <v>2"</v>
      </c>
      <c r="F899" s="51" t="str">
        <f>Tabla1[[#This Row],[material]]</f>
        <v>PVC</v>
      </c>
      <c r="G89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899" s="52" t="str">
        <f>IF(Tabla1[[#This Row],[5]]="TPD",Tabla1[[#This Row],[6]],"")</f>
        <v/>
      </c>
      <c r="I899" s="52" t="str">
        <f>IF(OR(Tabla1[[#This Row],[5]]="TPD"),Tabla1[[#This Row],[7]],"")</f>
        <v/>
      </c>
      <c r="J899" s="52">
        <f>IF(Tabla15[[#This Row],[2]]="",0,VLOOKUP(TRAMOS!$H$2,Tabla5[#All],3,FALSE)*Tabla15[[#This Row],[3]])</f>
        <v>0</v>
      </c>
      <c r="K899" s="52" t="str">
        <f>IF(Tabla1[[#This Row],[5]]="TPL",Tabla1[[#This Row],[6]],"")</f>
        <v>2"</v>
      </c>
      <c r="L899" s="52">
        <f>IF(OR(Tabla1[[#This Row],[5]]="TPL"),Tabla1[[#This Row],[7]],"")</f>
        <v>1</v>
      </c>
      <c r="M899" s="52">
        <f>IF(Tabla15[[#This Row],[5]]="",0,VLOOKUP(TRAMOS!$K$2,Tabla5[#All],3,FALSE)*Tabla15[[#This Row],[6]])</f>
        <v>0.9</v>
      </c>
      <c r="N89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89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899" s="52">
        <f>IF(Tabla15[[#This Row],[8]]="",0,VLOOKUP(TRAMOS!$H$2,Tabla5[#All],3,FALSE)*Tabla15[[#This Row],[9]])</f>
        <v>0</v>
      </c>
      <c r="Q89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89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899" s="52">
        <f>IF(Tabla15[[#This Row],[11]]="",0,VLOOKUP(TRAMOS!$Q$2,Tabla5[#All],3,FALSE)*Tabla15[[#This Row],[12]])</f>
        <v>0</v>
      </c>
      <c r="T89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89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89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89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89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89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89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89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899" s="52">
        <f>IF(Tabla15[[#This Row],[20]]="",0,VLOOKUP("VRP",Tabla5[#All],3,FALSE)*Tabla15[[#This Row],[21]])</f>
        <v>0</v>
      </c>
      <c r="AC89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89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899" s="52">
        <f>IF(Tabla15[[#This Row],[23]]="",0,VLOOKUP("VC",Tabla5[#All],3,FALSE)*Tabla15[[#This Row],[24]])</f>
        <v>0</v>
      </c>
      <c r="AF89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89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899" s="52">
        <f>IF(Tabla15[[#This Row],[26]]="",0,VLOOKUP(TRAMOS!$K$2,Tabla5[#All],3,FALSE)*Tabla15[[#This Row],[27]])</f>
        <v>0</v>
      </c>
      <c r="AI89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89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89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89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89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899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89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900" spans="2:41" x14ac:dyDescent="0.25">
      <c r="B900" s="58" t="str">
        <f>Tabla1[[#This Row],[nudo inicial]]</f>
        <v>N480</v>
      </c>
      <c r="C900" s="58" t="str">
        <f>Tabla1[[#This Row],[nudo final]]</f>
        <v>TP318</v>
      </c>
      <c r="D900" s="51">
        <f>Tabla1[[#This Row],[longitud]]</f>
        <v>100.97</v>
      </c>
      <c r="E900" s="51" t="str">
        <f>Tabla1[[#This Row],[diametro]]</f>
        <v>2"</v>
      </c>
      <c r="F900" s="51" t="str">
        <f>Tabla1[[#This Row],[material]]</f>
        <v>PVC</v>
      </c>
      <c r="G90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900" s="52" t="str">
        <f>IF(Tabla1[[#This Row],[5]]="TPD",Tabla1[[#This Row],[6]],"")</f>
        <v>2"</v>
      </c>
      <c r="I900" s="52">
        <f>IF(OR(Tabla1[[#This Row],[5]]="TPD"),Tabla1[[#This Row],[7]],"")</f>
        <v>1</v>
      </c>
      <c r="J900" s="52">
        <f>IF(Tabla15[[#This Row],[2]]="",0,VLOOKUP(TRAMOS!$H$2,Tabla5[#All],3,FALSE)*Tabla15[[#This Row],[3]])</f>
        <v>0.15</v>
      </c>
      <c r="K900" s="52" t="str">
        <f>IF(Tabla1[[#This Row],[5]]="TPL",Tabla1[[#This Row],[6]],"")</f>
        <v/>
      </c>
      <c r="L900" s="52" t="str">
        <f>IF(OR(Tabla1[[#This Row],[5]]="TPL"),Tabla1[[#This Row],[7]],"")</f>
        <v/>
      </c>
      <c r="M900" s="52">
        <f>IF(Tabla15[[#This Row],[5]]="",0,VLOOKUP(TRAMOS!$K$2,Tabla5[#All],3,FALSE)*Tabla15[[#This Row],[6]])</f>
        <v>0</v>
      </c>
      <c r="N90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0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00" s="52">
        <f>IF(Tabla15[[#This Row],[8]]="",0,VLOOKUP(TRAMOS!$H$2,Tabla5[#All],3,FALSE)*Tabla15[[#This Row],[9]])</f>
        <v>0</v>
      </c>
      <c r="Q90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900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900" s="52">
        <f>IF(Tabla15[[#This Row],[11]]="",0,VLOOKUP(TRAMOS!$Q$2,Tabla5[#All],3,FALSE)*Tabla15[[#This Row],[12]])</f>
        <v>0.9</v>
      </c>
      <c r="T90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0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0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0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0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0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0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0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00" s="52">
        <f>IF(Tabla15[[#This Row],[20]]="",0,VLOOKUP("VRP",Tabla5[#All],3,FALSE)*Tabla15[[#This Row],[21]])</f>
        <v>0</v>
      </c>
      <c r="AC90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0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00" s="52">
        <f>IF(Tabla15[[#This Row],[23]]="",0,VLOOKUP("VC",Tabla5[#All],3,FALSE)*Tabla15[[#This Row],[24]])</f>
        <v>0</v>
      </c>
      <c r="AF90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0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00" s="52">
        <f>IF(Tabla15[[#This Row],[26]]="",0,VLOOKUP(TRAMOS!$K$2,Tabla5[#All],3,FALSE)*Tabla15[[#This Row],[27]])</f>
        <v>0</v>
      </c>
      <c r="AI90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0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0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0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0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900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90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901" spans="2:41" x14ac:dyDescent="0.25">
      <c r="B901" s="58" t="str">
        <f>Tabla1[[#This Row],[nudo inicial]]</f>
        <v>N477</v>
      </c>
      <c r="C901" s="58" t="str">
        <f>Tabla1[[#This Row],[nudo final]]</f>
        <v>N481</v>
      </c>
      <c r="D901" s="51">
        <f>Tabla1[[#This Row],[longitud]]</f>
        <v>29.78</v>
      </c>
      <c r="E901" s="51" t="str">
        <f>Tabla1[[#This Row],[diametro]]</f>
        <v>6"</v>
      </c>
      <c r="F901" s="51" t="str">
        <f>Tabla1[[#This Row],[material]]</f>
        <v>AC</v>
      </c>
      <c r="G90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901" s="52" t="str">
        <f>IF(Tabla1[[#This Row],[5]]="TPD",Tabla1[[#This Row],[6]],"")</f>
        <v>6"</v>
      </c>
      <c r="I901" s="52">
        <f>IF(OR(Tabla1[[#This Row],[5]]="TPD"),Tabla1[[#This Row],[7]],"")</f>
        <v>1</v>
      </c>
      <c r="J901" s="52">
        <f>IF(Tabla15[[#This Row],[2]]="",0,VLOOKUP(TRAMOS!$H$2,Tabla5[#All],3,FALSE)*Tabla15[[#This Row],[3]])</f>
        <v>0.15</v>
      </c>
      <c r="K901" s="52" t="str">
        <f>IF(Tabla1[[#This Row],[5]]="TPL",Tabla1[[#This Row],[6]],"")</f>
        <v/>
      </c>
      <c r="L901" s="52" t="str">
        <f>IF(OR(Tabla1[[#This Row],[5]]="TPL"),Tabla1[[#This Row],[7]],"")</f>
        <v/>
      </c>
      <c r="M901" s="52">
        <f>IF(Tabla15[[#This Row],[5]]="",0,VLOOKUP(TRAMOS!$K$2,Tabla5[#All],3,FALSE)*Tabla15[[#This Row],[6]])</f>
        <v>0</v>
      </c>
      <c r="N90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0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01" s="52">
        <f>IF(Tabla15[[#This Row],[8]]="",0,VLOOKUP(TRAMOS!$H$2,Tabla5[#All],3,FALSE)*Tabla15[[#This Row],[9]])</f>
        <v>0</v>
      </c>
      <c r="Q90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0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01" s="52">
        <f>IF(Tabla15[[#This Row],[11]]="",0,VLOOKUP(TRAMOS!$Q$2,Tabla5[#All],3,FALSE)*Tabla15[[#This Row],[12]])</f>
        <v>0</v>
      </c>
      <c r="T90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0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0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0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0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0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0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0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01" s="52">
        <f>IF(Tabla15[[#This Row],[20]]="",0,VLOOKUP("VRP",Tabla5[#All],3,FALSE)*Tabla15[[#This Row],[21]])</f>
        <v>0</v>
      </c>
      <c r="AC90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0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01" s="52">
        <f>IF(Tabla15[[#This Row],[23]]="",0,VLOOKUP("VC",Tabla5[#All],3,FALSE)*Tabla15[[#This Row],[24]])</f>
        <v>0</v>
      </c>
      <c r="AF90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0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01" s="52">
        <f>IF(Tabla15[[#This Row],[26]]="",0,VLOOKUP(TRAMOS!$K$2,Tabla5[#All],3,FALSE)*Tabla15[[#This Row],[27]])</f>
        <v>0</v>
      </c>
      <c r="AI90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0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0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0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0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0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0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902" spans="2:41" x14ac:dyDescent="0.25">
      <c r="B902" s="58" t="str">
        <f>Tabla1[[#This Row],[nudo inicial]]</f>
        <v>N481</v>
      </c>
      <c r="C902" s="58" t="str">
        <f>Tabla1[[#This Row],[nudo final]]</f>
        <v>N446</v>
      </c>
      <c r="D902" s="51">
        <f>Tabla1[[#This Row],[longitud]]</f>
        <v>74.150000000000006</v>
      </c>
      <c r="E902" s="51" t="str">
        <f>Tabla1[[#This Row],[diametro]]</f>
        <v>6"</v>
      </c>
      <c r="F902" s="51" t="str">
        <f>Tabla1[[#This Row],[material]]</f>
        <v>AC</v>
      </c>
      <c r="G90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902" s="52" t="str">
        <f>IF(Tabla1[[#This Row],[5]]="TPD",Tabla1[[#This Row],[6]],"")</f>
        <v>6"</v>
      </c>
      <c r="I902" s="52">
        <f>IF(OR(Tabla1[[#This Row],[5]]="TPD"),Tabla1[[#This Row],[7]],"")</f>
        <v>1</v>
      </c>
      <c r="J902" s="52">
        <f>IF(Tabla15[[#This Row],[2]]="",0,VLOOKUP(TRAMOS!$H$2,Tabla5[#All],3,FALSE)*Tabla15[[#This Row],[3]])</f>
        <v>0.15</v>
      </c>
      <c r="K902" s="52" t="str">
        <f>IF(Tabla1[[#This Row],[5]]="TPL",Tabla1[[#This Row],[6]],"")</f>
        <v/>
      </c>
      <c r="L902" s="52" t="str">
        <f>IF(OR(Tabla1[[#This Row],[5]]="TPL"),Tabla1[[#This Row],[7]],"")</f>
        <v/>
      </c>
      <c r="M902" s="52">
        <f>IF(Tabla15[[#This Row],[5]]="",0,VLOOKUP(TRAMOS!$K$2,Tabla5[#All],3,FALSE)*Tabla15[[#This Row],[6]])</f>
        <v>0</v>
      </c>
      <c r="N90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0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02" s="52">
        <f>IF(Tabla15[[#This Row],[8]]="",0,VLOOKUP(TRAMOS!$H$2,Tabla5[#All],3,FALSE)*Tabla15[[#This Row],[9]])</f>
        <v>0</v>
      </c>
      <c r="Q90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6"</v>
      </c>
      <c r="R902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3</v>
      </c>
      <c r="S902" s="52">
        <f>IF(Tabla15[[#This Row],[11]]="",0,VLOOKUP(TRAMOS!$Q$2,Tabla5[#All],3,FALSE)*Tabla15[[#This Row],[12]])</f>
        <v>2.7</v>
      </c>
      <c r="T90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0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0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0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0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0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0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0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02" s="52">
        <f>IF(Tabla15[[#This Row],[20]]="",0,VLOOKUP("VRP",Tabla5[#All],3,FALSE)*Tabla15[[#This Row],[21]])</f>
        <v>0</v>
      </c>
      <c r="AC90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0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02" s="52">
        <f>IF(Tabla15[[#This Row],[23]]="",0,VLOOKUP("VC",Tabla5[#All],3,FALSE)*Tabla15[[#This Row],[24]])</f>
        <v>0</v>
      </c>
      <c r="AF90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0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02" s="52">
        <f>IF(Tabla15[[#This Row],[26]]="",0,VLOOKUP(TRAMOS!$K$2,Tabla5[#All],3,FALSE)*Tabla15[[#This Row],[27]])</f>
        <v>0</v>
      </c>
      <c r="AI90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0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0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0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0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0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0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2.85</v>
      </c>
    </row>
    <row r="903" spans="2:41" x14ac:dyDescent="0.25">
      <c r="B903" s="58" t="str">
        <f>Tabla1[[#This Row],[nudo inicial]]</f>
        <v>N481</v>
      </c>
      <c r="C903" s="58" t="str">
        <f>Tabla1[[#This Row],[nudo final]]</f>
        <v>N482</v>
      </c>
      <c r="D903" s="51">
        <f>Tabla1[[#This Row],[longitud]]</f>
        <v>83.9</v>
      </c>
      <c r="E903" s="51" t="str">
        <f>Tabla1[[#This Row],[diametro]]</f>
        <v>3"</v>
      </c>
      <c r="F903" s="51" t="str">
        <f>Tabla1[[#This Row],[material]]</f>
        <v>PVC</v>
      </c>
      <c r="G90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903" s="52" t="str">
        <f>IF(Tabla1[[#This Row],[5]]="TPD",Tabla1[[#This Row],[6]],"")</f>
        <v/>
      </c>
      <c r="I903" s="52" t="str">
        <f>IF(OR(Tabla1[[#This Row],[5]]="TPD"),Tabla1[[#This Row],[7]],"")</f>
        <v/>
      </c>
      <c r="J903" s="52">
        <f>IF(Tabla15[[#This Row],[2]]="",0,VLOOKUP(TRAMOS!$H$2,Tabla5[#All],3,FALSE)*Tabla15[[#This Row],[3]])</f>
        <v>0</v>
      </c>
      <c r="K903" s="52" t="str">
        <f>IF(Tabla1[[#This Row],[5]]="TPL",Tabla1[[#This Row],[6]],"")</f>
        <v>6"</v>
      </c>
      <c r="L903" s="52">
        <f>IF(OR(Tabla1[[#This Row],[5]]="TPL"),Tabla1[[#This Row],[7]],"")</f>
        <v>1</v>
      </c>
      <c r="M903" s="52">
        <f>IF(Tabla15[[#This Row],[5]]="",0,VLOOKUP(TRAMOS!$K$2,Tabla5[#All],3,FALSE)*Tabla15[[#This Row],[6]])</f>
        <v>0.9</v>
      </c>
      <c r="N90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0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03" s="52">
        <f>IF(Tabla15[[#This Row],[8]]="",0,VLOOKUP(TRAMOS!$H$2,Tabla5[#All],3,FALSE)*Tabla15[[#This Row],[9]])</f>
        <v>0</v>
      </c>
      <c r="Q90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0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03" s="52">
        <f>IF(Tabla15[[#This Row],[11]]="",0,VLOOKUP(TRAMOS!$Q$2,Tabla5[#All],3,FALSE)*Tabla15[[#This Row],[12]])</f>
        <v>0</v>
      </c>
      <c r="T90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903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90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90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0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0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0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0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03" s="52">
        <f>IF(Tabla15[[#This Row],[20]]="",0,VLOOKUP("VRP",Tabla5[#All],3,FALSE)*Tabla15[[#This Row],[21]])</f>
        <v>0</v>
      </c>
      <c r="AC90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903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903" s="52">
        <f>IF(Tabla15[[#This Row],[23]]="",0,VLOOKUP("VC",Tabla5[#All],3,FALSE)*Tabla15[[#This Row],[24]])</f>
        <v>0.25</v>
      </c>
      <c r="AF90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0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03" s="52">
        <f>IF(Tabla15[[#This Row],[26]]="",0,VLOOKUP(TRAMOS!$K$2,Tabla5[#All],3,FALSE)*Tabla15[[#This Row],[27]])</f>
        <v>0</v>
      </c>
      <c r="AI90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0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0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0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0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0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0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1.52</v>
      </c>
    </row>
    <row r="904" spans="2:41" x14ac:dyDescent="0.25">
      <c r="B904" s="58" t="str">
        <f>Tabla1[[#This Row],[nudo inicial]]</f>
        <v>N482</v>
      </c>
      <c r="C904" s="58" t="str">
        <f>Tabla1[[#This Row],[nudo final]]</f>
        <v>N483</v>
      </c>
      <c r="D904" s="51">
        <f>Tabla1[[#This Row],[longitud]]</f>
        <v>52.02</v>
      </c>
      <c r="E904" s="51" t="str">
        <f>Tabla1[[#This Row],[diametro]]</f>
        <v>2"</v>
      </c>
      <c r="F904" s="51" t="str">
        <f>Tabla1[[#This Row],[material]]</f>
        <v>PVC</v>
      </c>
      <c r="G90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904" s="52" t="str">
        <f>IF(Tabla1[[#This Row],[5]]="TPD",Tabla1[[#This Row],[6]],"")</f>
        <v/>
      </c>
      <c r="I904" s="52" t="str">
        <f>IF(OR(Tabla1[[#This Row],[5]]="TPD"),Tabla1[[#This Row],[7]],"")</f>
        <v/>
      </c>
      <c r="J904" s="52">
        <f>IF(Tabla15[[#This Row],[2]]="",0,VLOOKUP(TRAMOS!$H$2,Tabla5[#All],3,FALSE)*Tabla15[[#This Row],[3]])</f>
        <v>0</v>
      </c>
      <c r="K904" s="52" t="str">
        <f>IF(Tabla1[[#This Row],[5]]="TPL",Tabla1[[#This Row],[6]],"")</f>
        <v>3"</v>
      </c>
      <c r="L904" s="52">
        <f>IF(OR(Tabla1[[#This Row],[5]]="TPL"),Tabla1[[#This Row],[7]],"")</f>
        <v>1</v>
      </c>
      <c r="M904" s="52">
        <f>IF(Tabla15[[#This Row],[5]]="",0,VLOOKUP(TRAMOS!$K$2,Tabla5[#All],3,FALSE)*Tabla15[[#This Row],[6]])</f>
        <v>0.9</v>
      </c>
      <c r="N90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0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04" s="52">
        <f>IF(Tabla15[[#This Row],[8]]="",0,VLOOKUP(TRAMOS!$H$2,Tabla5[#All],3,FALSE)*Tabla15[[#This Row],[9]])</f>
        <v>0</v>
      </c>
      <c r="Q90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0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04" s="52">
        <f>IF(Tabla15[[#This Row],[11]]="",0,VLOOKUP(TRAMOS!$Q$2,Tabla5[#All],3,FALSE)*Tabla15[[#This Row],[12]])</f>
        <v>0</v>
      </c>
      <c r="T90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904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90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90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0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0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0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0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04" s="52">
        <f>IF(Tabla15[[#This Row],[20]]="",0,VLOOKUP("VRP",Tabla5[#All],3,FALSE)*Tabla15[[#This Row],[21]])</f>
        <v>0</v>
      </c>
      <c r="AC90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0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04" s="52">
        <f>IF(Tabla15[[#This Row],[23]]="",0,VLOOKUP("VC",Tabla5[#All],3,FALSE)*Tabla15[[#This Row],[24]])</f>
        <v>0</v>
      </c>
      <c r="AF90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0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04" s="52">
        <f>IF(Tabla15[[#This Row],[26]]="",0,VLOOKUP(TRAMOS!$K$2,Tabla5[#All],3,FALSE)*Tabla15[[#This Row],[27]])</f>
        <v>0</v>
      </c>
      <c r="AI90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0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0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0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0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0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0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905" spans="2:41" x14ac:dyDescent="0.25">
      <c r="B905" s="58" t="str">
        <f>Tabla1[[#This Row],[nudo inicial]]</f>
        <v>N483</v>
      </c>
      <c r="C905" s="58" t="str">
        <f>Tabla1[[#This Row],[nudo final]]</f>
        <v>TP319</v>
      </c>
      <c r="D905" s="51">
        <f>Tabla1[[#This Row],[longitud]]</f>
        <v>36.049999999999997</v>
      </c>
      <c r="E905" s="51" t="str">
        <f>Tabla1[[#This Row],[diametro]]</f>
        <v>2"</v>
      </c>
      <c r="F905" s="51" t="str">
        <f>Tabla1[[#This Row],[material]]</f>
        <v>PVC</v>
      </c>
      <c r="G90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905" s="52" t="str">
        <f>IF(Tabla1[[#This Row],[5]]="TPD",Tabla1[[#This Row],[6]],"")</f>
        <v>2"</v>
      </c>
      <c r="I905" s="52">
        <f>IF(OR(Tabla1[[#This Row],[5]]="TPD"),Tabla1[[#This Row],[7]],"")</f>
        <v>1</v>
      </c>
      <c r="J905" s="52">
        <f>IF(Tabla15[[#This Row],[2]]="",0,VLOOKUP(TRAMOS!$H$2,Tabla5[#All],3,FALSE)*Tabla15[[#This Row],[3]])</f>
        <v>0.15</v>
      </c>
      <c r="K905" s="52" t="str">
        <f>IF(Tabla1[[#This Row],[5]]="TPL",Tabla1[[#This Row],[6]],"")</f>
        <v/>
      </c>
      <c r="L905" s="52" t="str">
        <f>IF(OR(Tabla1[[#This Row],[5]]="TPL"),Tabla1[[#This Row],[7]],"")</f>
        <v/>
      </c>
      <c r="M905" s="52">
        <f>IF(Tabla15[[#This Row],[5]]="",0,VLOOKUP(TRAMOS!$K$2,Tabla5[#All],3,FALSE)*Tabla15[[#This Row],[6]])</f>
        <v>0</v>
      </c>
      <c r="N90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0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05" s="52">
        <f>IF(Tabla15[[#This Row],[8]]="",0,VLOOKUP(TRAMOS!$H$2,Tabla5[#All],3,FALSE)*Tabla15[[#This Row],[9]])</f>
        <v>0</v>
      </c>
      <c r="Q90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0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05" s="52">
        <f>IF(Tabla15[[#This Row],[11]]="",0,VLOOKUP(TRAMOS!$Q$2,Tabla5[#All],3,FALSE)*Tabla15[[#This Row],[12]])</f>
        <v>0</v>
      </c>
      <c r="T90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0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0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0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0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0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0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0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05" s="52">
        <f>IF(Tabla15[[#This Row],[20]]="",0,VLOOKUP("VRP",Tabla5[#All],3,FALSE)*Tabla15[[#This Row],[21]])</f>
        <v>0</v>
      </c>
      <c r="AC90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0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05" s="52">
        <f>IF(Tabla15[[#This Row],[23]]="",0,VLOOKUP("VC",Tabla5[#All],3,FALSE)*Tabla15[[#This Row],[24]])</f>
        <v>0</v>
      </c>
      <c r="AF90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0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05" s="52">
        <f>IF(Tabla15[[#This Row],[26]]="",0,VLOOKUP(TRAMOS!$K$2,Tabla5[#All],3,FALSE)*Tabla15[[#This Row],[27]])</f>
        <v>0</v>
      </c>
      <c r="AI90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0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0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0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0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905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90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906" spans="2:41" x14ac:dyDescent="0.25">
      <c r="B906" s="58" t="str">
        <f>Tabla1[[#This Row],[nudo inicial]]</f>
        <v>N483</v>
      </c>
      <c r="C906" s="58" t="str">
        <f>Tabla1[[#This Row],[nudo final]]</f>
        <v>N484</v>
      </c>
      <c r="D906" s="51">
        <f>Tabla1[[#This Row],[longitud]]</f>
        <v>43.91</v>
      </c>
      <c r="E906" s="51" t="str">
        <f>Tabla1[[#This Row],[diametro]]</f>
        <v>2"</v>
      </c>
      <c r="F906" s="51" t="str">
        <f>Tabla1[[#This Row],[material]]</f>
        <v>PVC</v>
      </c>
      <c r="G90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906" s="52" t="str">
        <f>IF(Tabla1[[#This Row],[5]]="TPD",Tabla1[[#This Row],[6]],"")</f>
        <v/>
      </c>
      <c r="I906" s="52" t="str">
        <f>IF(OR(Tabla1[[#This Row],[5]]="TPD"),Tabla1[[#This Row],[7]],"")</f>
        <v/>
      </c>
      <c r="J906" s="52">
        <f>IF(Tabla15[[#This Row],[2]]="",0,VLOOKUP(TRAMOS!$H$2,Tabla5[#All],3,FALSE)*Tabla15[[#This Row],[3]])</f>
        <v>0</v>
      </c>
      <c r="K906" s="52" t="str">
        <f>IF(Tabla1[[#This Row],[5]]="TPL",Tabla1[[#This Row],[6]],"")</f>
        <v>2"</v>
      </c>
      <c r="L906" s="52">
        <f>IF(OR(Tabla1[[#This Row],[5]]="TPL"),Tabla1[[#This Row],[7]],"")</f>
        <v>1</v>
      </c>
      <c r="M906" s="52">
        <f>IF(Tabla15[[#This Row],[5]]="",0,VLOOKUP(TRAMOS!$K$2,Tabla5[#All],3,FALSE)*Tabla15[[#This Row],[6]])</f>
        <v>0.9</v>
      </c>
      <c r="N90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0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06" s="52">
        <f>IF(Tabla15[[#This Row],[8]]="",0,VLOOKUP(TRAMOS!$H$2,Tabla5[#All],3,FALSE)*Tabla15[[#This Row],[9]])</f>
        <v>0</v>
      </c>
      <c r="Q90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0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06" s="52">
        <f>IF(Tabla15[[#This Row],[11]]="",0,VLOOKUP(TRAMOS!$Q$2,Tabla5[#All],3,FALSE)*Tabla15[[#This Row],[12]])</f>
        <v>0</v>
      </c>
      <c r="T90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0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0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0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0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0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0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0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06" s="52">
        <f>IF(Tabla15[[#This Row],[20]]="",0,VLOOKUP("VRP",Tabla5[#All],3,FALSE)*Tabla15[[#This Row],[21]])</f>
        <v>0</v>
      </c>
      <c r="AC90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0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06" s="52">
        <f>IF(Tabla15[[#This Row],[23]]="",0,VLOOKUP("VC",Tabla5[#All],3,FALSE)*Tabla15[[#This Row],[24]])</f>
        <v>0</v>
      </c>
      <c r="AF90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0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06" s="52">
        <f>IF(Tabla15[[#This Row],[26]]="",0,VLOOKUP(TRAMOS!$K$2,Tabla5[#All],3,FALSE)*Tabla15[[#This Row],[27]])</f>
        <v>0</v>
      </c>
      <c r="AI90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0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0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0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0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0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0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907" spans="2:41" x14ac:dyDescent="0.25">
      <c r="B907" s="58" t="str">
        <f>Tabla1[[#This Row],[nudo inicial]]</f>
        <v>N482</v>
      </c>
      <c r="C907" s="58" t="str">
        <f>Tabla1[[#This Row],[nudo final]]</f>
        <v>N485</v>
      </c>
      <c r="D907" s="51">
        <f>Tabla1[[#This Row],[longitud]]</f>
        <v>47.24</v>
      </c>
      <c r="E907" s="51" t="str">
        <f>Tabla1[[#This Row],[diametro]]</f>
        <v>3"</v>
      </c>
      <c r="F907" s="51" t="str">
        <f>Tabla1[[#This Row],[material]]</f>
        <v>PVC</v>
      </c>
      <c r="G90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907" s="52" t="str">
        <f>IF(Tabla1[[#This Row],[5]]="TPD",Tabla1[[#This Row],[6]],"")</f>
        <v>3"</v>
      </c>
      <c r="I907" s="52">
        <f>IF(OR(Tabla1[[#This Row],[5]]="TPD"),Tabla1[[#This Row],[7]],"")</f>
        <v>1</v>
      </c>
      <c r="J907" s="52">
        <f>IF(Tabla15[[#This Row],[2]]="",0,VLOOKUP(TRAMOS!$H$2,Tabla5[#All],3,FALSE)*Tabla15[[#This Row],[3]])</f>
        <v>0.15</v>
      </c>
      <c r="K907" s="52" t="str">
        <f>IF(Tabla1[[#This Row],[5]]="TPL",Tabla1[[#This Row],[6]],"")</f>
        <v/>
      </c>
      <c r="L907" s="52" t="str">
        <f>IF(OR(Tabla1[[#This Row],[5]]="TPL"),Tabla1[[#This Row],[7]],"")</f>
        <v/>
      </c>
      <c r="M907" s="52">
        <f>IF(Tabla15[[#This Row],[5]]="",0,VLOOKUP(TRAMOS!$K$2,Tabla5[#All],3,FALSE)*Tabla15[[#This Row],[6]])</f>
        <v>0</v>
      </c>
      <c r="N90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0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07" s="52">
        <f>IF(Tabla15[[#This Row],[8]]="",0,VLOOKUP(TRAMOS!$H$2,Tabla5[#All],3,FALSE)*Tabla15[[#This Row],[9]])</f>
        <v>0</v>
      </c>
      <c r="Q90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0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07" s="52">
        <f>IF(Tabla15[[#This Row],[11]]="",0,VLOOKUP(TRAMOS!$Q$2,Tabla5[#All],3,FALSE)*Tabla15[[#This Row],[12]])</f>
        <v>0</v>
      </c>
      <c r="T90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0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0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0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0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0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0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0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07" s="52">
        <f>IF(Tabla15[[#This Row],[20]]="",0,VLOOKUP("VRP",Tabla5[#All],3,FALSE)*Tabla15[[#This Row],[21]])</f>
        <v>0</v>
      </c>
      <c r="AC90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0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07" s="52">
        <f>IF(Tabla15[[#This Row],[23]]="",0,VLOOKUP("VC",Tabla5[#All],3,FALSE)*Tabla15[[#This Row],[24]])</f>
        <v>0</v>
      </c>
      <c r="AF90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0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07" s="52">
        <f>IF(Tabla15[[#This Row],[26]]="",0,VLOOKUP(TRAMOS!$K$2,Tabla5[#All],3,FALSE)*Tabla15[[#This Row],[27]])</f>
        <v>0</v>
      </c>
      <c r="AI90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0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0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0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0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0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0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908" spans="2:41" x14ac:dyDescent="0.25">
      <c r="B908" s="58" t="str">
        <f>Tabla1[[#This Row],[nudo inicial]]</f>
        <v>N485</v>
      </c>
      <c r="C908" s="58" t="str">
        <f>Tabla1[[#This Row],[nudo final]]</f>
        <v>N484</v>
      </c>
      <c r="D908" s="51">
        <f>Tabla1[[#This Row],[longitud]]</f>
        <v>53.01</v>
      </c>
      <c r="E908" s="51" t="str">
        <f>Tabla1[[#This Row],[diametro]]</f>
        <v>2"</v>
      </c>
      <c r="F908" s="51" t="str">
        <f>Tabla1[[#This Row],[material]]</f>
        <v>PVC</v>
      </c>
      <c r="G90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908" s="52" t="str">
        <f>IF(Tabla1[[#This Row],[5]]="TPD",Tabla1[[#This Row],[6]],"")</f>
        <v>3"</v>
      </c>
      <c r="I908" s="52">
        <f>IF(OR(Tabla1[[#This Row],[5]]="TPD"),Tabla1[[#This Row],[7]],"")</f>
        <v>1</v>
      </c>
      <c r="J908" s="52">
        <f>IF(Tabla15[[#This Row],[2]]="",0,VLOOKUP(TRAMOS!$H$2,Tabla5[#All],3,FALSE)*Tabla15[[#This Row],[3]])</f>
        <v>0.15</v>
      </c>
      <c r="K908" s="52" t="str">
        <f>IF(Tabla1[[#This Row],[5]]="TPL",Tabla1[[#This Row],[6]],"")</f>
        <v/>
      </c>
      <c r="L908" s="52" t="str">
        <f>IF(OR(Tabla1[[#This Row],[5]]="TPL"),Tabla1[[#This Row],[7]],"")</f>
        <v/>
      </c>
      <c r="M908" s="52">
        <f>IF(Tabla15[[#This Row],[5]]="",0,VLOOKUP(TRAMOS!$K$2,Tabla5[#All],3,FALSE)*Tabla15[[#This Row],[6]])</f>
        <v>0</v>
      </c>
      <c r="N90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0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08" s="52">
        <f>IF(Tabla15[[#This Row],[8]]="",0,VLOOKUP(TRAMOS!$H$2,Tabla5[#All],3,FALSE)*Tabla15[[#This Row],[9]])</f>
        <v>0</v>
      </c>
      <c r="Q90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0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08" s="52">
        <f>IF(Tabla15[[#This Row],[11]]="",0,VLOOKUP(TRAMOS!$Q$2,Tabla5[#All],3,FALSE)*Tabla15[[#This Row],[12]])</f>
        <v>0</v>
      </c>
      <c r="T90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908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90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90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0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0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0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0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08" s="52">
        <f>IF(Tabla15[[#This Row],[20]]="",0,VLOOKUP("VRP",Tabla5[#All],3,FALSE)*Tabla15[[#This Row],[21]])</f>
        <v>0</v>
      </c>
      <c r="AC90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0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08" s="52">
        <f>IF(Tabla15[[#This Row],[23]]="",0,VLOOKUP("VC",Tabla5[#All],3,FALSE)*Tabla15[[#This Row],[24]])</f>
        <v>0</v>
      </c>
      <c r="AF90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0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08" s="52">
        <f>IF(Tabla15[[#This Row],[26]]="",0,VLOOKUP(TRAMOS!$K$2,Tabla5[#All],3,FALSE)*Tabla15[[#This Row],[27]])</f>
        <v>0</v>
      </c>
      <c r="AI90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0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0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0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0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0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0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0.36499999999999999</v>
      </c>
    </row>
    <row r="909" spans="2:41" x14ac:dyDescent="0.25">
      <c r="B909" s="58" t="str">
        <f>Tabla1[[#This Row],[nudo inicial]]</f>
        <v>N484</v>
      </c>
      <c r="C909" s="58" t="str">
        <f>Tabla1[[#This Row],[nudo final]]</f>
        <v>TP320</v>
      </c>
      <c r="D909" s="51">
        <f>Tabla1[[#This Row],[longitud]]</f>
        <v>22.05</v>
      </c>
      <c r="E909" s="51" t="str">
        <f>Tabla1[[#This Row],[diametro]]</f>
        <v>2"</v>
      </c>
      <c r="F909" s="51" t="str">
        <f>Tabla1[[#This Row],[material]]</f>
        <v>PVC</v>
      </c>
      <c r="G90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909" s="52" t="str">
        <f>IF(Tabla1[[#This Row],[5]]="TPD",Tabla1[[#This Row],[6]],"")</f>
        <v>2"</v>
      </c>
      <c r="I909" s="52">
        <f>IF(OR(Tabla1[[#This Row],[5]]="TPD"),Tabla1[[#This Row],[7]],"")</f>
        <v>1</v>
      </c>
      <c r="J909" s="52">
        <f>IF(Tabla15[[#This Row],[2]]="",0,VLOOKUP(TRAMOS!$H$2,Tabla5[#All],3,FALSE)*Tabla15[[#This Row],[3]])</f>
        <v>0.15</v>
      </c>
      <c r="K909" s="52" t="str">
        <f>IF(Tabla1[[#This Row],[5]]="TPL",Tabla1[[#This Row],[6]],"")</f>
        <v/>
      </c>
      <c r="L909" s="52" t="str">
        <f>IF(OR(Tabla1[[#This Row],[5]]="TPL"),Tabla1[[#This Row],[7]],"")</f>
        <v/>
      </c>
      <c r="M909" s="52">
        <f>IF(Tabla15[[#This Row],[5]]="",0,VLOOKUP(TRAMOS!$K$2,Tabla5[#All],3,FALSE)*Tabla15[[#This Row],[6]])</f>
        <v>0</v>
      </c>
      <c r="N90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0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09" s="52">
        <f>IF(Tabla15[[#This Row],[8]]="",0,VLOOKUP(TRAMOS!$H$2,Tabla5[#All],3,FALSE)*Tabla15[[#This Row],[9]])</f>
        <v>0</v>
      </c>
      <c r="Q90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0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09" s="52">
        <f>IF(Tabla15[[#This Row],[11]]="",0,VLOOKUP(TRAMOS!$Q$2,Tabla5[#All],3,FALSE)*Tabla15[[#This Row],[12]])</f>
        <v>0</v>
      </c>
      <c r="T90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0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0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0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0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0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0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0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09" s="52">
        <f>IF(Tabla15[[#This Row],[20]]="",0,VLOOKUP("VRP",Tabla5[#All],3,FALSE)*Tabla15[[#This Row],[21]])</f>
        <v>0</v>
      </c>
      <c r="AC90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0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09" s="52">
        <f>IF(Tabla15[[#This Row],[23]]="",0,VLOOKUP("VC",Tabla5[#All],3,FALSE)*Tabla15[[#This Row],[24]])</f>
        <v>0</v>
      </c>
      <c r="AF90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0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09" s="52">
        <f>IF(Tabla15[[#This Row],[26]]="",0,VLOOKUP(TRAMOS!$K$2,Tabla5[#All],3,FALSE)*Tabla15[[#This Row],[27]])</f>
        <v>0</v>
      </c>
      <c r="AI90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0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0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0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0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909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90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910" spans="2:41" x14ac:dyDescent="0.25">
      <c r="B910" s="58" t="str">
        <f>Tabla1[[#This Row],[nudo inicial]]</f>
        <v>N485</v>
      </c>
      <c r="C910" s="58" t="str">
        <f>Tabla1[[#This Row],[nudo final]]</f>
        <v>TP321</v>
      </c>
      <c r="D910" s="51">
        <f>Tabla1[[#This Row],[longitud]]</f>
        <v>118.98</v>
      </c>
      <c r="E910" s="51" t="str">
        <f>Tabla1[[#This Row],[diametro]]</f>
        <v>3"</v>
      </c>
      <c r="F910" s="51" t="str">
        <f>Tabla1[[#This Row],[material]]</f>
        <v>PVC</v>
      </c>
      <c r="G91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910" s="52" t="str">
        <f>IF(Tabla1[[#This Row],[5]]="TPD",Tabla1[[#This Row],[6]],"")</f>
        <v>3"</v>
      </c>
      <c r="I910" s="52">
        <f>IF(OR(Tabla1[[#This Row],[5]]="TPD"),Tabla1[[#This Row],[7]],"")</f>
        <v>1</v>
      </c>
      <c r="J910" s="52">
        <f>IF(Tabla15[[#This Row],[2]]="",0,VLOOKUP(TRAMOS!$H$2,Tabla5[#All],3,FALSE)*Tabla15[[#This Row],[3]])</f>
        <v>0.15</v>
      </c>
      <c r="K910" s="52" t="str">
        <f>IF(Tabla1[[#This Row],[5]]="TPL",Tabla1[[#This Row],[6]],"")</f>
        <v/>
      </c>
      <c r="L910" s="52" t="str">
        <f>IF(OR(Tabla1[[#This Row],[5]]="TPL"),Tabla1[[#This Row],[7]],"")</f>
        <v/>
      </c>
      <c r="M910" s="52">
        <f>IF(Tabla15[[#This Row],[5]]="",0,VLOOKUP(TRAMOS!$K$2,Tabla5[#All],3,FALSE)*Tabla15[[#This Row],[6]])</f>
        <v>0</v>
      </c>
      <c r="N91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1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10" s="52">
        <f>IF(Tabla15[[#This Row],[8]]="",0,VLOOKUP(TRAMOS!$H$2,Tabla5[#All],3,FALSE)*Tabla15[[#This Row],[9]])</f>
        <v>0</v>
      </c>
      <c r="Q91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3"</v>
      </c>
      <c r="R910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910" s="52">
        <f>IF(Tabla15[[#This Row],[11]]="",0,VLOOKUP(TRAMOS!$Q$2,Tabla5[#All],3,FALSE)*Tabla15[[#This Row],[12]])</f>
        <v>0.9</v>
      </c>
      <c r="T91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1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1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1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1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1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1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1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10" s="52">
        <f>IF(Tabla15[[#This Row],[20]]="",0,VLOOKUP("VRP",Tabla5[#All],3,FALSE)*Tabla15[[#This Row],[21]])</f>
        <v>0</v>
      </c>
      <c r="AC91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1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10" s="52">
        <f>IF(Tabla15[[#This Row],[23]]="",0,VLOOKUP("VC",Tabla5[#All],3,FALSE)*Tabla15[[#This Row],[24]])</f>
        <v>0</v>
      </c>
      <c r="AF91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1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10" s="52">
        <f>IF(Tabla15[[#This Row],[26]]="",0,VLOOKUP(TRAMOS!$K$2,Tabla5[#All],3,FALSE)*Tabla15[[#This Row],[27]])</f>
        <v>0</v>
      </c>
      <c r="AI91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1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1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1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1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910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91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911" spans="2:41" x14ac:dyDescent="0.25">
      <c r="B911" s="58" t="str">
        <f>Tabla1[[#This Row],[nudo inicial]]</f>
        <v>N472</v>
      </c>
      <c r="C911" s="58" t="str">
        <f>Tabla1[[#This Row],[nudo final]]</f>
        <v>N486</v>
      </c>
      <c r="D911" s="51">
        <f>Tabla1[[#This Row],[longitud]]</f>
        <v>38.21</v>
      </c>
      <c r="E911" s="51" t="str">
        <f>Tabla1[[#This Row],[diametro]]</f>
        <v>6"</v>
      </c>
      <c r="F911" s="51" t="str">
        <f>Tabla1[[#This Row],[material]]</f>
        <v>PVC</v>
      </c>
      <c r="G91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911" s="52" t="str">
        <f>IF(Tabla1[[#This Row],[5]]="TPD",Tabla1[[#This Row],[6]],"")</f>
        <v/>
      </c>
      <c r="I911" s="52" t="str">
        <f>IF(OR(Tabla1[[#This Row],[5]]="TPD"),Tabla1[[#This Row],[7]],"")</f>
        <v/>
      </c>
      <c r="J911" s="52">
        <f>IF(Tabla15[[#This Row],[2]]="",0,VLOOKUP(TRAMOS!$H$2,Tabla5[#All],3,FALSE)*Tabla15[[#This Row],[3]])</f>
        <v>0</v>
      </c>
      <c r="K911" s="52" t="str">
        <f>IF(Tabla1[[#This Row],[5]]="TPL",Tabla1[[#This Row],[6]],"")</f>
        <v>6"</v>
      </c>
      <c r="L911" s="52">
        <f>IF(OR(Tabla1[[#This Row],[5]]="TPL"),Tabla1[[#This Row],[7]],"")</f>
        <v>1</v>
      </c>
      <c r="M911" s="52">
        <f>IF(Tabla15[[#This Row],[5]]="",0,VLOOKUP(TRAMOS!$K$2,Tabla5[#All],3,FALSE)*Tabla15[[#This Row],[6]])</f>
        <v>0.9</v>
      </c>
      <c r="N91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1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11" s="52">
        <f>IF(Tabla15[[#This Row],[8]]="",0,VLOOKUP(TRAMOS!$H$2,Tabla5[#All],3,FALSE)*Tabla15[[#This Row],[9]])</f>
        <v>0</v>
      </c>
      <c r="Q91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1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11" s="52">
        <f>IF(Tabla15[[#This Row],[11]]="",0,VLOOKUP(TRAMOS!$Q$2,Tabla5[#All],3,FALSE)*Tabla15[[#This Row],[12]])</f>
        <v>0</v>
      </c>
      <c r="T91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1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1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1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1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1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1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1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11" s="52">
        <f>IF(Tabla15[[#This Row],[20]]="",0,VLOOKUP("VRP",Tabla5[#All],3,FALSE)*Tabla15[[#This Row],[21]])</f>
        <v>0</v>
      </c>
      <c r="AC91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1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11" s="52">
        <f>IF(Tabla15[[#This Row],[23]]="",0,VLOOKUP("VC",Tabla5[#All],3,FALSE)*Tabla15[[#This Row],[24]])</f>
        <v>0</v>
      </c>
      <c r="AF91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1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11" s="52">
        <f>IF(Tabla15[[#This Row],[26]]="",0,VLOOKUP(TRAMOS!$K$2,Tabla5[#All],3,FALSE)*Tabla15[[#This Row],[27]])</f>
        <v>0</v>
      </c>
      <c r="AI91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1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1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1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1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1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1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912" spans="2:41" x14ac:dyDescent="0.25">
      <c r="B912" s="58" t="str">
        <f>Tabla1[[#This Row],[nudo inicial]]</f>
        <v>N486</v>
      </c>
      <c r="C912" s="58" t="str">
        <f>Tabla1[[#This Row],[nudo final]]</f>
        <v>TP322</v>
      </c>
      <c r="D912" s="51">
        <f>Tabla1[[#This Row],[longitud]]</f>
        <v>42.8</v>
      </c>
      <c r="E912" s="51" t="str">
        <f>Tabla1[[#This Row],[diametro]]</f>
        <v>2"</v>
      </c>
      <c r="F912" s="51" t="str">
        <f>Tabla1[[#This Row],[material]]</f>
        <v>PVC</v>
      </c>
      <c r="G91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912" s="52" t="str">
        <f>IF(Tabla1[[#This Row],[5]]="TPD",Tabla1[[#This Row],[6]],"")</f>
        <v/>
      </c>
      <c r="I912" s="52" t="str">
        <f>IF(OR(Tabla1[[#This Row],[5]]="TPD"),Tabla1[[#This Row],[7]],"")</f>
        <v/>
      </c>
      <c r="J912" s="52">
        <f>IF(Tabla15[[#This Row],[2]]="",0,VLOOKUP(TRAMOS!$H$2,Tabla5[#All],3,FALSE)*Tabla15[[#This Row],[3]])</f>
        <v>0</v>
      </c>
      <c r="K912" s="52" t="str">
        <f>IF(Tabla1[[#This Row],[5]]="TPL",Tabla1[[#This Row],[6]],"")</f>
        <v/>
      </c>
      <c r="L912" s="52" t="str">
        <f>IF(OR(Tabla1[[#This Row],[5]]="TPL"),Tabla1[[#This Row],[7]],"")</f>
        <v/>
      </c>
      <c r="M912" s="52">
        <f>IF(Tabla15[[#This Row],[5]]="",0,VLOOKUP(TRAMOS!$K$2,Tabla5[#All],3,FALSE)*Tabla15[[#This Row],[6]])</f>
        <v>0</v>
      </c>
      <c r="N91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1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12" s="52">
        <f>IF(Tabla15[[#This Row],[8]]="",0,VLOOKUP(TRAMOS!$H$2,Tabla5[#All],3,FALSE)*Tabla15[[#This Row],[9]])</f>
        <v>0</v>
      </c>
      <c r="Q91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1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12" s="52">
        <f>IF(Tabla15[[#This Row],[11]]="",0,VLOOKUP(TRAMOS!$Q$2,Tabla5[#All],3,FALSE)*Tabla15[[#This Row],[12]])</f>
        <v>0</v>
      </c>
      <c r="T91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912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91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0.43</v>
      </c>
      <c r="W91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1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1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1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1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12" s="52">
        <f>IF(Tabla15[[#This Row],[20]]="",0,VLOOKUP("VRP",Tabla5[#All],3,FALSE)*Tabla15[[#This Row],[21]])</f>
        <v>0</v>
      </c>
      <c r="AC91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1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12" s="52">
        <f>IF(Tabla15[[#This Row],[23]]="",0,VLOOKUP("VC",Tabla5[#All],3,FALSE)*Tabla15[[#This Row],[24]])</f>
        <v>0</v>
      </c>
      <c r="AF91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>6"</v>
      </c>
      <c r="AG912" s="52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>1</v>
      </c>
      <c r="AH912" s="52">
        <f>IF(Tabla15[[#This Row],[26]]="",0,VLOOKUP(TRAMOS!$K$2,Tabla5[#All],3,FALSE)*Tabla15[[#This Row],[27]])</f>
        <v>0.9</v>
      </c>
      <c r="AI91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1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1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1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1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912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91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1.33</v>
      </c>
    </row>
    <row r="913" spans="2:41" x14ac:dyDescent="0.25">
      <c r="B913" s="58" t="str">
        <f>Tabla1[[#This Row],[nudo inicial]]</f>
        <v>N486</v>
      </c>
      <c r="C913" s="58" t="str">
        <f>Tabla1[[#This Row],[nudo final]]</f>
        <v>N487</v>
      </c>
      <c r="D913" s="51">
        <f>Tabla1[[#This Row],[longitud]]</f>
        <v>130.61000000000001</v>
      </c>
      <c r="E913" s="51" t="str">
        <f>Tabla1[[#This Row],[diametro]]</f>
        <v>6"</v>
      </c>
      <c r="F913" s="51" t="str">
        <f>Tabla1[[#This Row],[material]]</f>
        <v>AC</v>
      </c>
      <c r="G91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913" s="52" t="str">
        <f>IF(Tabla1[[#This Row],[5]]="TPD",Tabla1[[#This Row],[6]],"")</f>
        <v/>
      </c>
      <c r="I913" s="52" t="str">
        <f>IF(OR(Tabla1[[#This Row],[5]]="TPD"),Tabla1[[#This Row],[7]],"")</f>
        <v/>
      </c>
      <c r="J913" s="52">
        <f>IF(Tabla15[[#This Row],[2]]="",0,VLOOKUP(TRAMOS!$H$2,Tabla5[#All],3,FALSE)*Tabla15[[#This Row],[3]])</f>
        <v>0</v>
      </c>
      <c r="K913" s="52" t="str">
        <f>IF(Tabla1[[#This Row],[5]]="TPL",Tabla1[[#This Row],[6]],"")</f>
        <v/>
      </c>
      <c r="L913" s="52" t="str">
        <f>IF(OR(Tabla1[[#This Row],[5]]="TPL"),Tabla1[[#This Row],[7]],"")</f>
        <v/>
      </c>
      <c r="M913" s="52">
        <f>IF(Tabla15[[#This Row],[5]]="",0,VLOOKUP(TRAMOS!$K$2,Tabla5[#All],3,FALSE)*Tabla15[[#This Row],[6]])</f>
        <v>0</v>
      </c>
      <c r="N91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1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13" s="52">
        <f>IF(Tabla15[[#This Row],[8]]="",0,VLOOKUP(TRAMOS!$H$2,Tabla5[#All],3,FALSE)*Tabla15[[#This Row],[9]])</f>
        <v>0</v>
      </c>
      <c r="Q91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1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13" s="52">
        <f>IF(Tabla15[[#This Row],[11]]="",0,VLOOKUP(TRAMOS!$Q$2,Tabla5[#All],3,FALSE)*Tabla15[[#This Row],[12]])</f>
        <v>0</v>
      </c>
      <c r="T91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1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1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1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1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1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1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1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13" s="52">
        <f>IF(Tabla15[[#This Row],[20]]="",0,VLOOKUP("VRP",Tabla5[#All],3,FALSE)*Tabla15[[#This Row],[21]])</f>
        <v>0</v>
      </c>
      <c r="AC91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6"</v>
      </c>
      <c r="AD913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913" s="52">
        <f>IF(Tabla15[[#This Row],[23]]="",0,VLOOKUP("VC",Tabla5[#All],3,FALSE)*Tabla15[[#This Row],[24]])</f>
        <v>0.25</v>
      </c>
      <c r="AF91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1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13" s="52">
        <f>IF(Tabla15[[#This Row],[26]]="",0,VLOOKUP(TRAMOS!$K$2,Tabla5[#All],3,FALSE)*Tabla15[[#This Row],[27]])</f>
        <v>0</v>
      </c>
      <c r="AI91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1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1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1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1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1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1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0.25</v>
      </c>
    </row>
    <row r="914" spans="2:41" x14ac:dyDescent="0.25">
      <c r="B914" s="58" t="str">
        <f>Tabla1[[#This Row],[nudo inicial]]</f>
        <v>N471</v>
      </c>
      <c r="C914" s="58" t="str">
        <f>Tabla1[[#This Row],[nudo final]]</f>
        <v>N488</v>
      </c>
      <c r="D914" s="51">
        <f>Tabla1[[#This Row],[longitud]]</f>
        <v>18.559999999999999</v>
      </c>
      <c r="E914" s="51" t="str">
        <f>Tabla1[[#This Row],[diametro]]</f>
        <v>2"</v>
      </c>
      <c r="F914" s="51" t="str">
        <f>Tabla1[[#This Row],[material]]</f>
        <v>PVC</v>
      </c>
      <c r="G91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914" s="52" t="str">
        <f>IF(Tabla1[[#This Row],[5]]="TPD",Tabla1[[#This Row],[6]],"")</f>
        <v/>
      </c>
      <c r="I914" s="52" t="str">
        <f>IF(OR(Tabla1[[#This Row],[5]]="TPD"),Tabla1[[#This Row],[7]],"")</f>
        <v/>
      </c>
      <c r="J914" s="52">
        <f>IF(Tabla15[[#This Row],[2]]="",0,VLOOKUP(TRAMOS!$H$2,Tabla5[#All],3,FALSE)*Tabla15[[#This Row],[3]])</f>
        <v>0</v>
      </c>
      <c r="K914" s="52" t="str">
        <f>IF(Tabla1[[#This Row],[5]]="TPL",Tabla1[[#This Row],[6]],"")</f>
        <v>6"</v>
      </c>
      <c r="L914" s="52">
        <f>IF(OR(Tabla1[[#This Row],[5]]="TPL"),Tabla1[[#This Row],[7]],"")</f>
        <v>1</v>
      </c>
      <c r="M914" s="52">
        <f>IF(Tabla15[[#This Row],[5]]="",0,VLOOKUP(TRAMOS!$K$2,Tabla5[#All],3,FALSE)*Tabla15[[#This Row],[6]])</f>
        <v>0.9</v>
      </c>
      <c r="N91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1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14" s="52">
        <f>IF(Tabla15[[#This Row],[8]]="",0,VLOOKUP(TRAMOS!$H$2,Tabla5[#All],3,FALSE)*Tabla15[[#This Row],[9]])</f>
        <v>0</v>
      </c>
      <c r="Q91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1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14" s="52">
        <f>IF(Tabla15[[#This Row],[11]]="",0,VLOOKUP(TRAMOS!$Q$2,Tabla5[#All],3,FALSE)*Tabla15[[#This Row],[12]])</f>
        <v>0</v>
      </c>
      <c r="T91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914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91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0.43</v>
      </c>
      <c r="W91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1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1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1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1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14" s="52">
        <f>IF(Tabla15[[#This Row],[20]]="",0,VLOOKUP("VRP",Tabla5[#All],3,FALSE)*Tabla15[[#This Row],[21]])</f>
        <v>0</v>
      </c>
      <c r="AC91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1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14" s="52">
        <f>IF(Tabla15[[#This Row],[23]]="",0,VLOOKUP("VC",Tabla5[#All],3,FALSE)*Tabla15[[#This Row],[24]])</f>
        <v>0</v>
      </c>
      <c r="AF91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1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14" s="52">
        <f>IF(Tabla15[[#This Row],[26]]="",0,VLOOKUP(TRAMOS!$K$2,Tabla5[#All],3,FALSE)*Tabla15[[#This Row],[27]])</f>
        <v>0</v>
      </c>
      <c r="AI91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1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1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1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1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1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1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1.33</v>
      </c>
    </row>
    <row r="915" spans="2:41" x14ac:dyDescent="0.25">
      <c r="B915" s="58" t="str">
        <f>Tabla1[[#This Row],[nudo inicial]]</f>
        <v>N488</v>
      </c>
      <c r="C915" s="58" t="str">
        <f>Tabla1[[#This Row],[nudo final]]</f>
        <v>TP323</v>
      </c>
      <c r="D915" s="51">
        <f>Tabla1[[#This Row],[longitud]]</f>
        <v>110.43</v>
      </c>
      <c r="E915" s="51" t="str">
        <f>Tabla1[[#This Row],[diametro]]</f>
        <v>2"</v>
      </c>
      <c r="F915" s="51" t="str">
        <f>Tabla1[[#This Row],[material]]</f>
        <v>PVC</v>
      </c>
      <c r="G91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915" s="52" t="str">
        <f>IF(Tabla1[[#This Row],[5]]="TPD",Tabla1[[#This Row],[6]],"")</f>
        <v/>
      </c>
      <c r="I915" s="52" t="str">
        <f>IF(OR(Tabla1[[#This Row],[5]]="TPD"),Tabla1[[#This Row],[7]],"")</f>
        <v/>
      </c>
      <c r="J915" s="52">
        <f>IF(Tabla15[[#This Row],[2]]="",0,VLOOKUP(TRAMOS!$H$2,Tabla5[#All],3,FALSE)*Tabla15[[#This Row],[3]])</f>
        <v>0</v>
      </c>
      <c r="K915" s="52" t="str">
        <f>IF(Tabla1[[#This Row],[5]]="TPL",Tabla1[[#This Row],[6]],"")</f>
        <v>2"</v>
      </c>
      <c r="L915" s="52">
        <f>IF(OR(Tabla1[[#This Row],[5]]="TPL"),Tabla1[[#This Row],[7]],"")</f>
        <v>1</v>
      </c>
      <c r="M915" s="52">
        <f>IF(Tabla15[[#This Row],[5]]="",0,VLOOKUP(TRAMOS!$K$2,Tabla5[#All],3,FALSE)*Tabla15[[#This Row],[6]])</f>
        <v>0.9</v>
      </c>
      <c r="N91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1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15" s="52">
        <f>IF(Tabla15[[#This Row],[8]]="",0,VLOOKUP(TRAMOS!$H$2,Tabla5[#All],3,FALSE)*Tabla15[[#This Row],[9]])</f>
        <v>0</v>
      </c>
      <c r="Q91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915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915" s="52">
        <f>IF(Tabla15[[#This Row],[11]]="",0,VLOOKUP(TRAMOS!$Q$2,Tabla5[#All],3,FALSE)*Tabla15[[#This Row],[12]])</f>
        <v>0.9</v>
      </c>
      <c r="T91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1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1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1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1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1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1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1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15" s="52">
        <f>IF(Tabla15[[#This Row],[20]]="",0,VLOOKUP("VRP",Tabla5[#All],3,FALSE)*Tabla15[[#This Row],[21]])</f>
        <v>0</v>
      </c>
      <c r="AC91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1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15" s="52">
        <f>IF(Tabla15[[#This Row],[23]]="",0,VLOOKUP("VC",Tabla5[#All],3,FALSE)*Tabla15[[#This Row],[24]])</f>
        <v>0</v>
      </c>
      <c r="AF91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1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15" s="52">
        <f>IF(Tabla15[[#This Row],[26]]="",0,VLOOKUP(TRAMOS!$K$2,Tabla5[#All],3,FALSE)*Tabla15[[#This Row],[27]])</f>
        <v>0</v>
      </c>
      <c r="AI91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1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1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1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1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915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91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1.8</v>
      </c>
    </row>
    <row r="916" spans="2:41" x14ac:dyDescent="0.25">
      <c r="B916" s="58" t="str">
        <f>Tabla1[[#This Row],[nudo inicial]]</f>
        <v>N488</v>
      </c>
      <c r="C916" s="58" t="str">
        <f>Tabla1[[#This Row],[nudo final]]</f>
        <v>TP324</v>
      </c>
      <c r="D916" s="51">
        <f>Tabla1[[#This Row],[longitud]]</f>
        <v>73.650000000000006</v>
      </c>
      <c r="E916" s="51" t="str">
        <f>Tabla1[[#This Row],[diametro]]</f>
        <v>2"</v>
      </c>
      <c r="F916" s="51" t="str">
        <f>Tabla1[[#This Row],[material]]</f>
        <v>PVC</v>
      </c>
      <c r="G91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916" s="52" t="str">
        <f>IF(Tabla1[[#This Row],[5]]="TPD",Tabla1[[#This Row],[6]],"")</f>
        <v>2"</v>
      </c>
      <c r="I916" s="52">
        <f>IF(OR(Tabla1[[#This Row],[5]]="TPD"),Tabla1[[#This Row],[7]],"")</f>
        <v>1</v>
      </c>
      <c r="J916" s="52">
        <f>IF(Tabla15[[#This Row],[2]]="",0,VLOOKUP(TRAMOS!$H$2,Tabla5[#All],3,FALSE)*Tabla15[[#This Row],[3]])</f>
        <v>0.15</v>
      </c>
      <c r="K916" s="52" t="str">
        <f>IF(Tabla1[[#This Row],[5]]="TPL",Tabla1[[#This Row],[6]],"")</f>
        <v/>
      </c>
      <c r="L916" s="52" t="str">
        <f>IF(OR(Tabla1[[#This Row],[5]]="TPL"),Tabla1[[#This Row],[7]],"")</f>
        <v/>
      </c>
      <c r="M916" s="52">
        <f>IF(Tabla15[[#This Row],[5]]="",0,VLOOKUP(TRAMOS!$K$2,Tabla5[#All],3,FALSE)*Tabla15[[#This Row],[6]])</f>
        <v>0</v>
      </c>
      <c r="N91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1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16" s="52">
        <f>IF(Tabla15[[#This Row],[8]]="",0,VLOOKUP(TRAMOS!$H$2,Tabla5[#All],3,FALSE)*Tabla15[[#This Row],[9]])</f>
        <v>0</v>
      </c>
      <c r="Q91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1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16" s="52">
        <f>IF(Tabla15[[#This Row],[11]]="",0,VLOOKUP(TRAMOS!$Q$2,Tabla5[#All],3,FALSE)*Tabla15[[#This Row],[12]])</f>
        <v>0</v>
      </c>
      <c r="T91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1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1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1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1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1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1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1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16" s="52">
        <f>IF(Tabla15[[#This Row],[20]]="",0,VLOOKUP("VRP",Tabla5[#All],3,FALSE)*Tabla15[[#This Row],[21]])</f>
        <v>0</v>
      </c>
      <c r="AC91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1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16" s="52">
        <f>IF(Tabla15[[#This Row],[23]]="",0,VLOOKUP("VC",Tabla5[#All],3,FALSE)*Tabla15[[#This Row],[24]])</f>
        <v>0</v>
      </c>
      <c r="AF91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1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16" s="52">
        <f>IF(Tabla15[[#This Row],[26]]="",0,VLOOKUP(TRAMOS!$K$2,Tabla5[#All],3,FALSE)*Tabla15[[#This Row],[27]])</f>
        <v>0</v>
      </c>
      <c r="AI91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1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1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1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1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91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91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917" spans="2:41" x14ac:dyDescent="0.25">
      <c r="B917" s="58" t="str">
        <f>Tabla1[[#This Row],[nudo inicial]]</f>
        <v>N460</v>
      </c>
      <c r="C917" s="58" t="str">
        <f>Tabla1[[#This Row],[nudo final]]</f>
        <v>N489</v>
      </c>
      <c r="D917" s="51">
        <f>Tabla1[[#This Row],[longitud]]</f>
        <v>2.63</v>
      </c>
      <c r="E917" s="51" t="str">
        <f>Tabla1[[#This Row],[diametro]]</f>
        <v>3"</v>
      </c>
      <c r="F917" s="51" t="str">
        <f>Tabla1[[#This Row],[material]]</f>
        <v>PVC</v>
      </c>
      <c r="G91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917" s="52" t="str">
        <f>IF(Tabla1[[#This Row],[5]]="TPD",Tabla1[[#This Row],[6]],"")</f>
        <v>3"</v>
      </c>
      <c r="I917" s="52">
        <f>IF(OR(Tabla1[[#This Row],[5]]="TPD"),Tabla1[[#This Row],[7]],"")</f>
        <v>1</v>
      </c>
      <c r="J917" s="52">
        <f>IF(Tabla15[[#This Row],[2]]="",0,VLOOKUP(TRAMOS!$H$2,Tabla5[#All],3,FALSE)*Tabla15[[#This Row],[3]])</f>
        <v>0.15</v>
      </c>
      <c r="K917" s="52" t="str">
        <f>IF(Tabla1[[#This Row],[5]]="TPL",Tabla1[[#This Row],[6]],"")</f>
        <v/>
      </c>
      <c r="L917" s="52" t="str">
        <f>IF(OR(Tabla1[[#This Row],[5]]="TPL"),Tabla1[[#This Row],[7]],"")</f>
        <v/>
      </c>
      <c r="M917" s="52">
        <f>IF(Tabla15[[#This Row],[5]]="",0,VLOOKUP(TRAMOS!$K$2,Tabla5[#All],3,FALSE)*Tabla15[[#This Row],[6]])</f>
        <v>0</v>
      </c>
      <c r="N91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1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17" s="52">
        <f>IF(Tabla15[[#This Row],[8]]="",0,VLOOKUP(TRAMOS!$H$2,Tabla5[#All],3,FALSE)*Tabla15[[#This Row],[9]])</f>
        <v>0</v>
      </c>
      <c r="Q91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1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17" s="52">
        <f>IF(Tabla15[[#This Row],[11]]="",0,VLOOKUP(TRAMOS!$Q$2,Tabla5[#All],3,FALSE)*Tabla15[[#This Row],[12]])</f>
        <v>0</v>
      </c>
      <c r="T91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1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1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1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1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1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1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1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17" s="52">
        <f>IF(Tabla15[[#This Row],[20]]="",0,VLOOKUP("VRP",Tabla5[#All],3,FALSE)*Tabla15[[#This Row],[21]])</f>
        <v>0</v>
      </c>
      <c r="AC91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1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17" s="52">
        <f>IF(Tabla15[[#This Row],[23]]="",0,VLOOKUP("VC",Tabla5[#All],3,FALSE)*Tabla15[[#This Row],[24]])</f>
        <v>0</v>
      </c>
      <c r="AF91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1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17" s="52">
        <f>IF(Tabla15[[#This Row],[26]]="",0,VLOOKUP(TRAMOS!$K$2,Tabla5[#All],3,FALSE)*Tabla15[[#This Row],[27]])</f>
        <v>0</v>
      </c>
      <c r="AI91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1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1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1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1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1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1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918" spans="2:41" x14ac:dyDescent="0.25">
      <c r="B918" s="58" t="str">
        <f>Tabla1[[#This Row],[nudo inicial]]</f>
        <v>N489</v>
      </c>
      <c r="C918" s="58" t="str">
        <f>Tabla1[[#This Row],[nudo final]]</f>
        <v>N490</v>
      </c>
      <c r="D918" s="51">
        <f>Tabla1[[#This Row],[longitud]]</f>
        <v>69.92</v>
      </c>
      <c r="E918" s="51" t="str">
        <f>Tabla1[[#This Row],[diametro]]</f>
        <v>3"</v>
      </c>
      <c r="F918" s="51" t="str">
        <f>Tabla1[[#This Row],[material]]</f>
        <v>PVC</v>
      </c>
      <c r="G91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918" s="52" t="str">
        <f>IF(Tabla1[[#This Row],[5]]="TPD",Tabla1[[#This Row],[6]],"")</f>
        <v>3"</v>
      </c>
      <c r="I918" s="52">
        <f>IF(OR(Tabla1[[#This Row],[5]]="TPD"),Tabla1[[#This Row],[7]],"")</f>
        <v>1</v>
      </c>
      <c r="J918" s="52">
        <f>IF(Tabla15[[#This Row],[2]]="",0,VLOOKUP(TRAMOS!$H$2,Tabla5[#All],3,FALSE)*Tabla15[[#This Row],[3]])</f>
        <v>0.15</v>
      </c>
      <c r="K918" s="52" t="str">
        <f>IF(Tabla1[[#This Row],[5]]="TPL",Tabla1[[#This Row],[6]],"")</f>
        <v/>
      </c>
      <c r="L918" s="52" t="str">
        <f>IF(OR(Tabla1[[#This Row],[5]]="TPL"),Tabla1[[#This Row],[7]],"")</f>
        <v/>
      </c>
      <c r="M918" s="52">
        <f>IF(Tabla15[[#This Row],[5]]="",0,VLOOKUP(TRAMOS!$K$2,Tabla5[#All],3,FALSE)*Tabla15[[#This Row],[6]])</f>
        <v>0</v>
      </c>
      <c r="N91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1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18" s="52">
        <f>IF(Tabla15[[#This Row],[8]]="",0,VLOOKUP(TRAMOS!$H$2,Tabla5[#All],3,FALSE)*Tabla15[[#This Row],[9]])</f>
        <v>0</v>
      </c>
      <c r="Q91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1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18" s="52">
        <f>IF(Tabla15[[#This Row],[11]]="",0,VLOOKUP(TRAMOS!$Q$2,Tabla5[#All],3,FALSE)*Tabla15[[#This Row],[12]])</f>
        <v>0</v>
      </c>
      <c r="T91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1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1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1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1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1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1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1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18" s="52">
        <f>IF(Tabla15[[#This Row],[20]]="",0,VLOOKUP("VRP",Tabla5[#All],3,FALSE)*Tabla15[[#This Row],[21]])</f>
        <v>0</v>
      </c>
      <c r="AC91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1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18" s="52">
        <f>IF(Tabla15[[#This Row],[23]]="",0,VLOOKUP("VC",Tabla5[#All],3,FALSE)*Tabla15[[#This Row],[24]])</f>
        <v>0</v>
      </c>
      <c r="AF91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1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18" s="52">
        <f>IF(Tabla15[[#This Row],[26]]="",0,VLOOKUP(TRAMOS!$K$2,Tabla5[#All],3,FALSE)*Tabla15[[#This Row],[27]])</f>
        <v>0</v>
      </c>
      <c r="AI91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1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1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1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1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1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1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919" spans="2:41" x14ac:dyDescent="0.25">
      <c r="B919" s="58" t="str">
        <f>Tabla1[[#This Row],[nudo inicial]]</f>
        <v>N465</v>
      </c>
      <c r="C919" s="58" t="str">
        <f>Tabla1[[#This Row],[nudo final]]</f>
        <v>N490</v>
      </c>
      <c r="D919" s="51">
        <f>Tabla1[[#This Row],[longitud]]</f>
        <v>91.35</v>
      </c>
      <c r="E919" s="51" t="str">
        <f>Tabla1[[#This Row],[diametro]]</f>
        <v>3"</v>
      </c>
      <c r="F919" s="51" t="str">
        <f>Tabla1[[#This Row],[material]]</f>
        <v>PVC</v>
      </c>
      <c r="G91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919" s="52" t="str">
        <f>IF(Tabla1[[#This Row],[5]]="TPD",Tabla1[[#This Row],[6]],"")</f>
        <v/>
      </c>
      <c r="I919" s="52" t="str">
        <f>IF(OR(Tabla1[[#This Row],[5]]="TPD"),Tabla1[[#This Row],[7]],"")</f>
        <v/>
      </c>
      <c r="J919" s="52">
        <f>IF(Tabla15[[#This Row],[2]]="",0,VLOOKUP(TRAMOS!$H$2,Tabla5[#All],3,FALSE)*Tabla15[[#This Row],[3]])</f>
        <v>0</v>
      </c>
      <c r="K919" s="52" t="str">
        <f>IF(Tabla1[[#This Row],[5]]="TPL",Tabla1[[#This Row],[6]],"")</f>
        <v>3"</v>
      </c>
      <c r="L919" s="52">
        <f>IF(OR(Tabla1[[#This Row],[5]]="TPL"),Tabla1[[#This Row],[7]],"")</f>
        <v>1</v>
      </c>
      <c r="M919" s="52">
        <f>IF(Tabla15[[#This Row],[5]]="",0,VLOOKUP(TRAMOS!$K$2,Tabla5[#All],3,FALSE)*Tabla15[[#This Row],[6]])</f>
        <v>0.9</v>
      </c>
      <c r="N91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1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19" s="52">
        <f>IF(Tabla15[[#This Row],[8]]="",0,VLOOKUP(TRAMOS!$H$2,Tabla5[#All],3,FALSE)*Tabla15[[#This Row],[9]])</f>
        <v>0</v>
      </c>
      <c r="Q91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1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19" s="52">
        <f>IF(Tabla15[[#This Row],[11]]="",0,VLOOKUP(TRAMOS!$Q$2,Tabla5[#All],3,FALSE)*Tabla15[[#This Row],[12]])</f>
        <v>0</v>
      </c>
      <c r="T91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1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1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1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1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1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1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1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19" s="52">
        <f>IF(Tabla15[[#This Row],[20]]="",0,VLOOKUP("VRP",Tabla5[#All],3,FALSE)*Tabla15[[#This Row],[21]])</f>
        <v>0</v>
      </c>
      <c r="AC91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1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19" s="52">
        <f>IF(Tabla15[[#This Row],[23]]="",0,VLOOKUP("VC",Tabla5[#All],3,FALSE)*Tabla15[[#This Row],[24]])</f>
        <v>0</v>
      </c>
      <c r="AF91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1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19" s="52">
        <f>IF(Tabla15[[#This Row],[26]]="",0,VLOOKUP(TRAMOS!$K$2,Tabla5[#All],3,FALSE)*Tabla15[[#This Row],[27]])</f>
        <v>0</v>
      </c>
      <c r="AI91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1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1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1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1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1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1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920" spans="2:41" x14ac:dyDescent="0.25">
      <c r="B920" s="58" t="str">
        <f>Tabla1[[#This Row],[nudo inicial]]</f>
        <v>N489</v>
      </c>
      <c r="C920" s="58" t="str">
        <f>Tabla1[[#This Row],[nudo final]]</f>
        <v>N491</v>
      </c>
      <c r="D920" s="51">
        <f>Tabla1[[#This Row],[longitud]]</f>
        <v>46.05</v>
      </c>
      <c r="E920" s="51" t="str">
        <f>Tabla1[[#This Row],[diametro]]</f>
        <v>3"</v>
      </c>
      <c r="F920" s="51" t="str">
        <f>Tabla1[[#This Row],[material]]</f>
        <v>PVC</v>
      </c>
      <c r="G92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920" s="52" t="str">
        <f>IF(Tabla1[[#This Row],[5]]="TPD",Tabla1[[#This Row],[6]],"")</f>
        <v/>
      </c>
      <c r="I920" s="52" t="str">
        <f>IF(OR(Tabla1[[#This Row],[5]]="TPD"),Tabla1[[#This Row],[7]],"")</f>
        <v/>
      </c>
      <c r="J920" s="52">
        <f>IF(Tabla15[[#This Row],[2]]="",0,VLOOKUP(TRAMOS!$H$2,Tabla5[#All],3,FALSE)*Tabla15[[#This Row],[3]])</f>
        <v>0</v>
      </c>
      <c r="K920" s="52" t="str">
        <f>IF(Tabla1[[#This Row],[5]]="TPL",Tabla1[[#This Row],[6]],"")</f>
        <v>3"</v>
      </c>
      <c r="L920" s="52">
        <f>IF(OR(Tabla1[[#This Row],[5]]="TPL"),Tabla1[[#This Row],[7]],"")</f>
        <v>1</v>
      </c>
      <c r="M920" s="52">
        <f>IF(Tabla15[[#This Row],[5]]="",0,VLOOKUP(TRAMOS!$K$2,Tabla5[#All],3,FALSE)*Tabla15[[#This Row],[6]])</f>
        <v>0.9</v>
      </c>
      <c r="N92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2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20" s="52">
        <f>IF(Tabla15[[#This Row],[8]]="",0,VLOOKUP(TRAMOS!$H$2,Tabla5[#All],3,FALSE)*Tabla15[[#This Row],[9]])</f>
        <v>0</v>
      </c>
      <c r="Q92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2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20" s="52">
        <f>IF(Tabla15[[#This Row],[11]]="",0,VLOOKUP(TRAMOS!$Q$2,Tabla5[#All],3,FALSE)*Tabla15[[#This Row],[12]])</f>
        <v>0</v>
      </c>
      <c r="T92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2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2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2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2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2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2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2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20" s="52">
        <f>IF(Tabla15[[#This Row],[20]]="",0,VLOOKUP("VRP",Tabla5[#All],3,FALSE)*Tabla15[[#This Row],[21]])</f>
        <v>0</v>
      </c>
      <c r="AC92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2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20" s="52">
        <f>IF(Tabla15[[#This Row],[23]]="",0,VLOOKUP("VC",Tabla5[#All],3,FALSE)*Tabla15[[#This Row],[24]])</f>
        <v>0</v>
      </c>
      <c r="AF92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2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20" s="52">
        <f>IF(Tabla15[[#This Row],[26]]="",0,VLOOKUP(TRAMOS!$K$2,Tabla5[#All],3,FALSE)*Tabla15[[#This Row],[27]])</f>
        <v>0</v>
      </c>
      <c r="AI92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2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2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2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2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2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2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921" spans="2:41" x14ac:dyDescent="0.25">
      <c r="B921" s="58" t="str">
        <f>Tabla1[[#This Row],[nudo inicial]]</f>
        <v>N491</v>
      </c>
      <c r="C921" s="58" t="str">
        <f>Tabla1[[#This Row],[nudo final]]</f>
        <v>N492</v>
      </c>
      <c r="D921" s="51">
        <f>Tabla1[[#This Row],[longitud]]</f>
        <v>91.78</v>
      </c>
      <c r="E921" s="51" t="str">
        <f>Tabla1[[#This Row],[diametro]]</f>
        <v>3"</v>
      </c>
      <c r="F921" s="51" t="str">
        <f>Tabla1[[#This Row],[material]]</f>
        <v>PVC</v>
      </c>
      <c r="G92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921" s="52" t="str">
        <f>IF(Tabla1[[#This Row],[5]]="TPD",Tabla1[[#This Row],[6]],"")</f>
        <v/>
      </c>
      <c r="I921" s="52" t="str">
        <f>IF(OR(Tabla1[[#This Row],[5]]="TPD"),Tabla1[[#This Row],[7]],"")</f>
        <v/>
      </c>
      <c r="J921" s="52">
        <f>IF(Tabla15[[#This Row],[2]]="",0,VLOOKUP(TRAMOS!$H$2,Tabla5[#All],3,FALSE)*Tabla15[[#This Row],[3]])</f>
        <v>0</v>
      </c>
      <c r="K921" s="52" t="str">
        <f>IF(Tabla1[[#This Row],[5]]="TPL",Tabla1[[#This Row],[6]],"")</f>
        <v>3"</v>
      </c>
      <c r="L921" s="52">
        <f>IF(OR(Tabla1[[#This Row],[5]]="TPL"),Tabla1[[#This Row],[7]],"")</f>
        <v>1</v>
      </c>
      <c r="M921" s="52">
        <f>IF(Tabla15[[#This Row],[5]]="",0,VLOOKUP(TRAMOS!$K$2,Tabla5[#All],3,FALSE)*Tabla15[[#This Row],[6]])</f>
        <v>0.9</v>
      </c>
      <c r="N92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2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21" s="52">
        <f>IF(Tabla15[[#This Row],[8]]="",0,VLOOKUP(TRAMOS!$H$2,Tabla5[#All],3,FALSE)*Tabla15[[#This Row],[9]])</f>
        <v>0</v>
      </c>
      <c r="Q92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2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21" s="52">
        <f>IF(Tabla15[[#This Row],[11]]="",0,VLOOKUP(TRAMOS!$Q$2,Tabla5[#All],3,FALSE)*Tabla15[[#This Row],[12]])</f>
        <v>0</v>
      </c>
      <c r="T92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2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2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2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2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2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2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2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21" s="52">
        <f>IF(Tabla15[[#This Row],[20]]="",0,VLOOKUP("VRP",Tabla5[#All],3,FALSE)*Tabla15[[#This Row],[21]])</f>
        <v>0</v>
      </c>
      <c r="AC92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2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21" s="52">
        <f>IF(Tabla15[[#This Row],[23]]="",0,VLOOKUP("VC",Tabla5[#All],3,FALSE)*Tabla15[[#This Row],[24]])</f>
        <v>0</v>
      </c>
      <c r="AF92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2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21" s="52">
        <f>IF(Tabla15[[#This Row],[26]]="",0,VLOOKUP(TRAMOS!$K$2,Tabla5[#All],3,FALSE)*Tabla15[[#This Row],[27]])</f>
        <v>0</v>
      </c>
      <c r="AI92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2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2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2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2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2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2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922" spans="2:41" x14ac:dyDescent="0.25">
      <c r="B922" s="58" t="str">
        <f>Tabla1[[#This Row],[nudo inicial]]</f>
        <v>N491</v>
      </c>
      <c r="C922" s="58" t="str">
        <f>Tabla1[[#This Row],[nudo final]]</f>
        <v>N493</v>
      </c>
      <c r="D922" s="51">
        <f>Tabla1[[#This Row],[longitud]]</f>
        <v>300.26</v>
      </c>
      <c r="E922" s="51" t="str">
        <f>Tabla1[[#This Row],[diametro]]</f>
        <v>3"</v>
      </c>
      <c r="F922" s="51" t="str">
        <f>Tabla1[[#This Row],[material]]</f>
        <v>PVC</v>
      </c>
      <c r="G92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922" s="52" t="str">
        <f>IF(Tabla1[[#This Row],[5]]="TPD",Tabla1[[#This Row],[6]],"")</f>
        <v>3"</v>
      </c>
      <c r="I922" s="52">
        <f>IF(OR(Tabla1[[#This Row],[5]]="TPD"),Tabla1[[#This Row],[7]],"")</f>
        <v>1</v>
      </c>
      <c r="J922" s="52">
        <f>IF(Tabla15[[#This Row],[2]]="",0,VLOOKUP(TRAMOS!$H$2,Tabla5[#All],3,FALSE)*Tabla15[[#This Row],[3]])</f>
        <v>0.15</v>
      </c>
      <c r="K922" s="52" t="str">
        <f>IF(Tabla1[[#This Row],[5]]="TPL",Tabla1[[#This Row],[6]],"")</f>
        <v/>
      </c>
      <c r="L922" s="52" t="str">
        <f>IF(OR(Tabla1[[#This Row],[5]]="TPL"),Tabla1[[#This Row],[7]],"")</f>
        <v/>
      </c>
      <c r="M922" s="52">
        <f>IF(Tabla15[[#This Row],[5]]="",0,VLOOKUP(TRAMOS!$K$2,Tabla5[#All],3,FALSE)*Tabla15[[#This Row],[6]])</f>
        <v>0</v>
      </c>
      <c r="N92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2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22" s="52">
        <f>IF(Tabla15[[#This Row],[8]]="",0,VLOOKUP(TRAMOS!$H$2,Tabla5[#All],3,FALSE)*Tabla15[[#This Row],[9]])</f>
        <v>0</v>
      </c>
      <c r="Q92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3"</v>
      </c>
      <c r="R922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922" s="52">
        <f>IF(Tabla15[[#This Row],[11]]="",0,VLOOKUP(TRAMOS!$Q$2,Tabla5[#All],3,FALSE)*Tabla15[[#This Row],[12]])</f>
        <v>0.9</v>
      </c>
      <c r="T92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2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2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2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2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2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2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2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22" s="52">
        <f>IF(Tabla15[[#This Row],[20]]="",0,VLOOKUP("VRP",Tabla5[#All],3,FALSE)*Tabla15[[#This Row],[21]])</f>
        <v>0</v>
      </c>
      <c r="AC92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2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22" s="52">
        <f>IF(Tabla15[[#This Row],[23]]="",0,VLOOKUP("VC",Tabla5[#All],3,FALSE)*Tabla15[[#This Row],[24]])</f>
        <v>0</v>
      </c>
      <c r="AF92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2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22" s="52">
        <f>IF(Tabla15[[#This Row],[26]]="",0,VLOOKUP(TRAMOS!$K$2,Tabla5[#All],3,FALSE)*Tabla15[[#This Row],[27]])</f>
        <v>0</v>
      </c>
      <c r="AI92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2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2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2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2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2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2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923" spans="2:41" x14ac:dyDescent="0.25">
      <c r="B923" s="58" t="str">
        <f>Tabla1[[#This Row],[nudo inicial]]</f>
        <v>N493</v>
      </c>
      <c r="C923" s="58" t="str">
        <f>Tabla1[[#This Row],[nudo final]]</f>
        <v>TP325</v>
      </c>
      <c r="D923" s="51">
        <f>Tabla1[[#This Row],[longitud]]</f>
        <v>58.34</v>
      </c>
      <c r="E923" s="51" t="str">
        <f>Tabla1[[#This Row],[diametro]]</f>
        <v>2"</v>
      </c>
      <c r="F923" s="51" t="str">
        <f>Tabla1[[#This Row],[material]]</f>
        <v>PVC</v>
      </c>
      <c r="G92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923" s="52" t="str">
        <f>IF(Tabla1[[#This Row],[5]]="TPD",Tabla1[[#This Row],[6]],"")</f>
        <v/>
      </c>
      <c r="I923" s="52" t="str">
        <f>IF(OR(Tabla1[[#This Row],[5]]="TPD"),Tabla1[[#This Row],[7]],"")</f>
        <v/>
      </c>
      <c r="J923" s="52">
        <f>IF(Tabla15[[#This Row],[2]]="",0,VLOOKUP(TRAMOS!$H$2,Tabla5[#All],3,FALSE)*Tabla15[[#This Row],[3]])</f>
        <v>0</v>
      </c>
      <c r="K923" s="52" t="str">
        <f>IF(Tabla1[[#This Row],[5]]="TPL",Tabla1[[#This Row],[6]],"")</f>
        <v/>
      </c>
      <c r="L923" s="52" t="str">
        <f>IF(OR(Tabla1[[#This Row],[5]]="TPL"),Tabla1[[#This Row],[7]],"")</f>
        <v/>
      </c>
      <c r="M923" s="52">
        <f>IF(Tabla15[[#This Row],[5]]="",0,VLOOKUP(TRAMOS!$K$2,Tabla5[#All],3,FALSE)*Tabla15[[#This Row],[6]])</f>
        <v>0</v>
      </c>
      <c r="N92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2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23" s="52">
        <f>IF(Tabla15[[#This Row],[8]]="",0,VLOOKUP(TRAMOS!$H$2,Tabla5[#All],3,FALSE)*Tabla15[[#This Row],[9]])</f>
        <v>0</v>
      </c>
      <c r="Q92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2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23" s="52">
        <f>IF(Tabla15[[#This Row],[11]]="",0,VLOOKUP(TRAMOS!$Q$2,Tabla5[#All],3,FALSE)*Tabla15[[#This Row],[12]])</f>
        <v>0</v>
      </c>
      <c r="T92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923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92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92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2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2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2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2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23" s="52">
        <f>IF(Tabla15[[#This Row],[20]]="",0,VLOOKUP("VRP",Tabla5[#All],3,FALSE)*Tabla15[[#This Row],[21]])</f>
        <v>0</v>
      </c>
      <c r="AC92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2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23" s="52">
        <f>IF(Tabla15[[#This Row],[23]]="",0,VLOOKUP("VC",Tabla5[#All],3,FALSE)*Tabla15[[#This Row],[24]])</f>
        <v>0</v>
      </c>
      <c r="AF92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2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23" s="52">
        <f>IF(Tabla15[[#This Row],[26]]="",0,VLOOKUP(TRAMOS!$K$2,Tabla5[#All],3,FALSE)*Tabla15[[#This Row],[27]])</f>
        <v>0</v>
      </c>
      <c r="AI92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2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2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2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2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923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92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0.21500000000000002</v>
      </c>
    </row>
    <row r="924" spans="2:41" x14ac:dyDescent="0.25">
      <c r="B924" s="58" t="str">
        <f>Tabla1[[#This Row],[nudo inicial]]</f>
        <v>N492</v>
      </c>
      <c r="C924" s="58" t="str">
        <f>Tabla1[[#This Row],[nudo final]]</f>
        <v>N494</v>
      </c>
      <c r="D924" s="51">
        <f>Tabla1[[#This Row],[longitud]]</f>
        <v>11.63</v>
      </c>
      <c r="E924" s="51" t="str">
        <f>Tabla1[[#This Row],[diametro]]</f>
        <v>3"</v>
      </c>
      <c r="F924" s="51" t="str">
        <f>Tabla1[[#This Row],[material]]</f>
        <v>PVC</v>
      </c>
      <c r="G92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924" s="52" t="str">
        <f>IF(Tabla1[[#This Row],[5]]="TPD",Tabla1[[#This Row],[6]],"")</f>
        <v>3"</v>
      </c>
      <c r="I924" s="52">
        <f>IF(OR(Tabla1[[#This Row],[5]]="TPD"),Tabla1[[#This Row],[7]],"")</f>
        <v>1</v>
      </c>
      <c r="J924" s="52">
        <f>IF(Tabla15[[#This Row],[2]]="",0,VLOOKUP(TRAMOS!$H$2,Tabla5[#All],3,FALSE)*Tabla15[[#This Row],[3]])</f>
        <v>0.15</v>
      </c>
      <c r="K924" s="52" t="str">
        <f>IF(Tabla1[[#This Row],[5]]="TPL",Tabla1[[#This Row],[6]],"")</f>
        <v/>
      </c>
      <c r="L924" s="52" t="str">
        <f>IF(OR(Tabla1[[#This Row],[5]]="TPL"),Tabla1[[#This Row],[7]],"")</f>
        <v/>
      </c>
      <c r="M924" s="52">
        <f>IF(Tabla15[[#This Row],[5]]="",0,VLOOKUP(TRAMOS!$K$2,Tabla5[#All],3,FALSE)*Tabla15[[#This Row],[6]])</f>
        <v>0</v>
      </c>
      <c r="N92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2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24" s="52">
        <f>IF(Tabla15[[#This Row],[8]]="",0,VLOOKUP(TRAMOS!$H$2,Tabla5[#All],3,FALSE)*Tabla15[[#This Row],[9]])</f>
        <v>0</v>
      </c>
      <c r="Q92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2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24" s="52">
        <f>IF(Tabla15[[#This Row],[11]]="",0,VLOOKUP(TRAMOS!$Q$2,Tabla5[#All],3,FALSE)*Tabla15[[#This Row],[12]])</f>
        <v>0</v>
      </c>
      <c r="T92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2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2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2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2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2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2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2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24" s="52">
        <f>IF(Tabla15[[#This Row],[20]]="",0,VLOOKUP("VRP",Tabla5[#All],3,FALSE)*Tabla15[[#This Row],[21]])</f>
        <v>0</v>
      </c>
      <c r="AC92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2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24" s="52">
        <f>IF(Tabla15[[#This Row],[23]]="",0,VLOOKUP("VC",Tabla5[#All],3,FALSE)*Tabla15[[#This Row],[24]])</f>
        <v>0</v>
      </c>
      <c r="AF92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2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24" s="52">
        <f>IF(Tabla15[[#This Row],[26]]="",0,VLOOKUP(TRAMOS!$K$2,Tabla5[#All],3,FALSE)*Tabla15[[#This Row],[27]])</f>
        <v>0</v>
      </c>
      <c r="AI92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2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2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2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2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2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2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925" spans="2:41" x14ac:dyDescent="0.25">
      <c r="B925" s="58" t="str">
        <f>Tabla1[[#This Row],[nudo inicial]]</f>
        <v>N490</v>
      </c>
      <c r="C925" s="58" t="str">
        <f>Tabla1[[#This Row],[nudo final]]</f>
        <v>N494</v>
      </c>
      <c r="D925" s="51">
        <f>Tabla1[[#This Row],[longitud]]</f>
        <v>127.29</v>
      </c>
      <c r="E925" s="51" t="str">
        <f>Tabla1[[#This Row],[diametro]]</f>
        <v>3"</v>
      </c>
      <c r="F925" s="51" t="str">
        <f>Tabla1[[#This Row],[material]]</f>
        <v>PVC</v>
      </c>
      <c r="G92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925" s="52" t="str">
        <f>IF(Tabla1[[#This Row],[5]]="TPD",Tabla1[[#This Row],[6]],"")</f>
        <v/>
      </c>
      <c r="I925" s="52" t="str">
        <f>IF(OR(Tabla1[[#This Row],[5]]="TPD"),Tabla1[[#This Row],[7]],"")</f>
        <v/>
      </c>
      <c r="J925" s="52">
        <f>IF(Tabla15[[#This Row],[2]]="",0,VLOOKUP(TRAMOS!$H$2,Tabla5[#All],3,FALSE)*Tabla15[[#This Row],[3]])</f>
        <v>0</v>
      </c>
      <c r="K925" s="52" t="str">
        <f>IF(Tabla1[[#This Row],[5]]="TPL",Tabla1[[#This Row],[6]],"")</f>
        <v>3"</v>
      </c>
      <c r="L925" s="52">
        <f>IF(OR(Tabla1[[#This Row],[5]]="TPL"),Tabla1[[#This Row],[7]],"")</f>
        <v>1</v>
      </c>
      <c r="M925" s="52">
        <f>IF(Tabla15[[#This Row],[5]]="",0,VLOOKUP(TRAMOS!$K$2,Tabla5[#All],3,FALSE)*Tabla15[[#This Row],[6]])</f>
        <v>0.9</v>
      </c>
      <c r="N92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2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25" s="52">
        <f>IF(Tabla15[[#This Row],[8]]="",0,VLOOKUP(TRAMOS!$H$2,Tabla5[#All],3,FALSE)*Tabla15[[#This Row],[9]])</f>
        <v>0</v>
      </c>
      <c r="Q92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2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25" s="52">
        <f>IF(Tabla15[[#This Row],[11]]="",0,VLOOKUP(TRAMOS!$Q$2,Tabla5[#All],3,FALSE)*Tabla15[[#This Row],[12]])</f>
        <v>0</v>
      </c>
      <c r="T92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2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2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2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2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2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2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2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25" s="52">
        <f>IF(Tabla15[[#This Row],[20]]="",0,VLOOKUP("VRP",Tabla5[#All],3,FALSE)*Tabla15[[#This Row],[21]])</f>
        <v>0</v>
      </c>
      <c r="AC92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2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25" s="52">
        <f>IF(Tabla15[[#This Row],[23]]="",0,VLOOKUP("VC",Tabla5[#All],3,FALSE)*Tabla15[[#This Row],[24]])</f>
        <v>0</v>
      </c>
      <c r="AF92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2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25" s="52">
        <f>IF(Tabla15[[#This Row],[26]]="",0,VLOOKUP(TRAMOS!$K$2,Tabla5[#All],3,FALSE)*Tabla15[[#This Row],[27]])</f>
        <v>0</v>
      </c>
      <c r="AI92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2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2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2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2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2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2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926" spans="2:41" x14ac:dyDescent="0.25">
      <c r="B926" s="58" t="str">
        <f>Tabla1[[#This Row],[nudo inicial]]</f>
        <v>N494</v>
      </c>
      <c r="C926" s="58" t="str">
        <f>Tabla1[[#This Row],[nudo final]]</f>
        <v>N495</v>
      </c>
      <c r="D926" s="51">
        <f>Tabla1[[#This Row],[longitud]]</f>
        <v>26.09</v>
      </c>
      <c r="E926" s="51" t="str">
        <f>Tabla1[[#This Row],[diametro]]</f>
        <v>3"</v>
      </c>
      <c r="F926" s="51" t="str">
        <f>Tabla1[[#This Row],[material]]</f>
        <v>PVC</v>
      </c>
      <c r="G92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926" s="52" t="str">
        <f>IF(Tabla1[[#This Row],[5]]="TPD",Tabla1[[#This Row],[6]],"")</f>
        <v>3"</v>
      </c>
      <c r="I926" s="52">
        <f>IF(OR(Tabla1[[#This Row],[5]]="TPD"),Tabla1[[#This Row],[7]],"")</f>
        <v>1</v>
      </c>
      <c r="J926" s="52">
        <f>IF(Tabla15[[#This Row],[2]]="",0,VLOOKUP(TRAMOS!$H$2,Tabla5[#All],3,FALSE)*Tabla15[[#This Row],[3]])</f>
        <v>0.15</v>
      </c>
      <c r="K926" s="52" t="str">
        <f>IF(Tabla1[[#This Row],[5]]="TPL",Tabla1[[#This Row],[6]],"")</f>
        <v/>
      </c>
      <c r="L926" s="52" t="str">
        <f>IF(OR(Tabla1[[#This Row],[5]]="TPL"),Tabla1[[#This Row],[7]],"")</f>
        <v/>
      </c>
      <c r="M926" s="52">
        <f>IF(Tabla15[[#This Row],[5]]="",0,VLOOKUP(TRAMOS!$K$2,Tabla5[#All],3,FALSE)*Tabla15[[#This Row],[6]])</f>
        <v>0</v>
      </c>
      <c r="N92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2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26" s="52">
        <f>IF(Tabla15[[#This Row],[8]]="",0,VLOOKUP(TRAMOS!$H$2,Tabla5[#All],3,FALSE)*Tabla15[[#This Row],[9]])</f>
        <v>0</v>
      </c>
      <c r="Q92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3"</v>
      </c>
      <c r="R926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926" s="52">
        <f>IF(Tabla15[[#This Row],[11]]="",0,VLOOKUP(TRAMOS!$Q$2,Tabla5[#All],3,FALSE)*Tabla15[[#This Row],[12]])</f>
        <v>0.9</v>
      </c>
      <c r="T92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2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2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2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2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2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2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2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26" s="52">
        <f>IF(Tabla15[[#This Row],[20]]="",0,VLOOKUP("VRP",Tabla5[#All],3,FALSE)*Tabla15[[#This Row],[21]])</f>
        <v>0</v>
      </c>
      <c r="AC92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926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2</v>
      </c>
      <c r="AE926" s="52">
        <f>IF(Tabla15[[#This Row],[23]]="",0,VLOOKUP("VC",Tabla5[#All],3,FALSE)*Tabla15[[#This Row],[24]])</f>
        <v>0.5</v>
      </c>
      <c r="AF92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2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26" s="52">
        <f>IF(Tabla15[[#This Row],[26]]="",0,VLOOKUP(TRAMOS!$K$2,Tabla5[#All],3,FALSE)*Tabla15[[#This Row],[27]])</f>
        <v>0</v>
      </c>
      <c r="AI92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2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2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2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2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2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2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1.55</v>
      </c>
    </row>
    <row r="927" spans="2:41" x14ac:dyDescent="0.25">
      <c r="B927" s="58" t="str">
        <f>Tabla1[[#This Row],[nudo inicial]]</f>
        <v>N495</v>
      </c>
      <c r="C927" s="58" t="str">
        <f>Tabla1[[#This Row],[nudo final]]</f>
        <v>N496</v>
      </c>
      <c r="D927" s="51">
        <f>Tabla1[[#This Row],[longitud]]</f>
        <v>38.450000000000003</v>
      </c>
      <c r="E927" s="51" t="str">
        <f>Tabla1[[#This Row],[diametro]]</f>
        <v>3"</v>
      </c>
      <c r="F927" s="51" t="str">
        <f>Tabla1[[#This Row],[material]]</f>
        <v>PVC</v>
      </c>
      <c r="G92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927" s="52" t="str">
        <f>IF(Tabla1[[#This Row],[5]]="TPD",Tabla1[[#This Row],[6]],"")</f>
        <v>3"</v>
      </c>
      <c r="I927" s="52">
        <f>IF(OR(Tabla1[[#This Row],[5]]="TPD"),Tabla1[[#This Row],[7]],"")</f>
        <v>1</v>
      </c>
      <c r="J927" s="52">
        <f>IF(Tabla15[[#This Row],[2]]="",0,VLOOKUP(TRAMOS!$H$2,Tabla5[#All],3,FALSE)*Tabla15[[#This Row],[3]])</f>
        <v>0.15</v>
      </c>
      <c r="K927" s="52" t="str">
        <f>IF(Tabla1[[#This Row],[5]]="TPL",Tabla1[[#This Row],[6]],"")</f>
        <v/>
      </c>
      <c r="L927" s="52" t="str">
        <f>IF(OR(Tabla1[[#This Row],[5]]="TPL"),Tabla1[[#This Row],[7]],"")</f>
        <v/>
      </c>
      <c r="M927" s="52">
        <f>IF(Tabla15[[#This Row],[5]]="",0,VLOOKUP(TRAMOS!$K$2,Tabla5[#All],3,FALSE)*Tabla15[[#This Row],[6]])</f>
        <v>0</v>
      </c>
      <c r="N92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2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27" s="52">
        <f>IF(Tabla15[[#This Row],[8]]="",0,VLOOKUP(TRAMOS!$H$2,Tabla5[#All],3,FALSE)*Tabla15[[#This Row],[9]])</f>
        <v>0</v>
      </c>
      <c r="Q92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2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27" s="52">
        <f>IF(Tabla15[[#This Row],[11]]="",0,VLOOKUP(TRAMOS!$Q$2,Tabla5[#All],3,FALSE)*Tabla15[[#This Row],[12]])</f>
        <v>0</v>
      </c>
      <c r="T92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2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2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2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2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2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2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2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27" s="52">
        <f>IF(Tabla15[[#This Row],[20]]="",0,VLOOKUP("VRP",Tabla5[#All],3,FALSE)*Tabla15[[#This Row],[21]])</f>
        <v>0</v>
      </c>
      <c r="AC92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2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27" s="52">
        <f>IF(Tabla15[[#This Row],[23]]="",0,VLOOKUP("VC",Tabla5[#All],3,FALSE)*Tabla15[[#This Row],[24]])</f>
        <v>0</v>
      </c>
      <c r="AF92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2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27" s="52">
        <f>IF(Tabla15[[#This Row],[26]]="",0,VLOOKUP(TRAMOS!$K$2,Tabla5[#All],3,FALSE)*Tabla15[[#This Row],[27]])</f>
        <v>0</v>
      </c>
      <c r="AI92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2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2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2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2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2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2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928" spans="2:41" x14ac:dyDescent="0.25">
      <c r="B928" s="58" t="str">
        <f>Tabla1[[#This Row],[nudo inicial]]</f>
        <v>N496</v>
      </c>
      <c r="C928" s="58" t="str">
        <f>Tabla1[[#This Row],[nudo final]]</f>
        <v>TP326</v>
      </c>
      <c r="D928" s="51">
        <f>Tabla1[[#This Row],[longitud]]</f>
        <v>58.88</v>
      </c>
      <c r="E928" s="51" t="str">
        <f>Tabla1[[#This Row],[diametro]]</f>
        <v>3"</v>
      </c>
      <c r="F928" s="51" t="str">
        <f>Tabla1[[#This Row],[material]]</f>
        <v>PVC</v>
      </c>
      <c r="G92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928" s="52" t="str">
        <f>IF(Tabla1[[#This Row],[5]]="TPD",Tabla1[[#This Row],[6]],"")</f>
        <v>3"</v>
      </c>
      <c r="I928" s="52">
        <f>IF(OR(Tabla1[[#This Row],[5]]="TPD"),Tabla1[[#This Row],[7]],"")</f>
        <v>1</v>
      </c>
      <c r="J928" s="52">
        <f>IF(Tabla15[[#This Row],[2]]="",0,VLOOKUP(TRAMOS!$H$2,Tabla5[#All],3,FALSE)*Tabla15[[#This Row],[3]])</f>
        <v>0.15</v>
      </c>
      <c r="K928" s="52" t="str">
        <f>IF(Tabla1[[#This Row],[5]]="TPL",Tabla1[[#This Row],[6]],"")</f>
        <v/>
      </c>
      <c r="L928" s="52" t="str">
        <f>IF(OR(Tabla1[[#This Row],[5]]="TPL"),Tabla1[[#This Row],[7]],"")</f>
        <v/>
      </c>
      <c r="M928" s="52">
        <f>IF(Tabla15[[#This Row],[5]]="",0,VLOOKUP(TRAMOS!$K$2,Tabla5[#All],3,FALSE)*Tabla15[[#This Row],[6]])</f>
        <v>0</v>
      </c>
      <c r="N92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2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28" s="52">
        <f>IF(Tabla15[[#This Row],[8]]="",0,VLOOKUP(TRAMOS!$H$2,Tabla5[#All],3,FALSE)*Tabla15[[#This Row],[9]])</f>
        <v>0</v>
      </c>
      <c r="Q92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2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28" s="52">
        <f>IF(Tabla15[[#This Row],[11]]="",0,VLOOKUP(TRAMOS!$Q$2,Tabla5[#All],3,FALSE)*Tabla15[[#This Row],[12]])</f>
        <v>0</v>
      </c>
      <c r="T92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2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2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2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2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2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2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2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28" s="52">
        <f>IF(Tabla15[[#This Row],[20]]="",0,VLOOKUP("VRP",Tabla5[#All],3,FALSE)*Tabla15[[#This Row],[21]])</f>
        <v>0</v>
      </c>
      <c r="AC92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2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28" s="52">
        <f>IF(Tabla15[[#This Row],[23]]="",0,VLOOKUP("VC",Tabla5[#All],3,FALSE)*Tabla15[[#This Row],[24]])</f>
        <v>0</v>
      </c>
      <c r="AF92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2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28" s="52">
        <f>IF(Tabla15[[#This Row],[26]]="",0,VLOOKUP(TRAMOS!$K$2,Tabla5[#All],3,FALSE)*Tabla15[[#This Row],[27]])</f>
        <v>0</v>
      </c>
      <c r="AI92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2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2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2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2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928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92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929" spans="2:41" x14ac:dyDescent="0.25">
      <c r="B929" s="58" t="str">
        <f>Tabla1[[#This Row],[nudo inicial]]</f>
        <v>N496</v>
      </c>
      <c r="C929" s="58" t="str">
        <f>Tabla1[[#This Row],[nudo final]]</f>
        <v>N497</v>
      </c>
      <c r="D929" s="51">
        <f>Tabla1[[#This Row],[longitud]]</f>
        <v>137.43</v>
      </c>
      <c r="E929" s="51" t="str">
        <f>Tabla1[[#This Row],[diametro]]</f>
        <v>3"</v>
      </c>
      <c r="F929" s="51" t="str">
        <f>Tabla1[[#This Row],[material]]</f>
        <v>PVC</v>
      </c>
      <c r="G92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929" s="52" t="str">
        <f>IF(Tabla1[[#This Row],[5]]="TPD",Tabla1[[#This Row],[6]],"")</f>
        <v/>
      </c>
      <c r="I929" s="52" t="str">
        <f>IF(OR(Tabla1[[#This Row],[5]]="TPD"),Tabla1[[#This Row],[7]],"")</f>
        <v/>
      </c>
      <c r="J929" s="52">
        <f>IF(Tabla15[[#This Row],[2]]="",0,VLOOKUP(TRAMOS!$H$2,Tabla5[#All],3,FALSE)*Tabla15[[#This Row],[3]])</f>
        <v>0</v>
      </c>
      <c r="K929" s="52" t="str">
        <f>IF(Tabla1[[#This Row],[5]]="TPL",Tabla1[[#This Row],[6]],"")</f>
        <v>3"</v>
      </c>
      <c r="L929" s="52">
        <f>IF(OR(Tabla1[[#This Row],[5]]="TPL"),Tabla1[[#This Row],[7]],"")</f>
        <v>1</v>
      </c>
      <c r="M929" s="52">
        <f>IF(Tabla15[[#This Row],[5]]="",0,VLOOKUP(TRAMOS!$K$2,Tabla5[#All],3,FALSE)*Tabla15[[#This Row],[6]])</f>
        <v>0.9</v>
      </c>
      <c r="N92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2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29" s="52">
        <f>IF(Tabla15[[#This Row],[8]]="",0,VLOOKUP(TRAMOS!$H$2,Tabla5[#All],3,FALSE)*Tabla15[[#This Row],[9]])</f>
        <v>0</v>
      </c>
      <c r="Q92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2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29" s="52">
        <f>IF(Tabla15[[#This Row],[11]]="",0,VLOOKUP(TRAMOS!$Q$2,Tabla5[#All],3,FALSE)*Tabla15[[#This Row],[12]])</f>
        <v>0</v>
      </c>
      <c r="T92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2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2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2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2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2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2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2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29" s="52">
        <f>IF(Tabla15[[#This Row],[20]]="",0,VLOOKUP("VRP",Tabla5[#All],3,FALSE)*Tabla15[[#This Row],[21]])</f>
        <v>0</v>
      </c>
      <c r="AC92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2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29" s="52">
        <f>IF(Tabla15[[#This Row],[23]]="",0,VLOOKUP("VC",Tabla5[#All],3,FALSE)*Tabla15[[#This Row],[24]])</f>
        <v>0</v>
      </c>
      <c r="AF92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2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29" s="52">
        <f>IF(Tabla15[[#This Row],[26]]="",0,VLOOKUP(TRAMOS!$K$2,Tabla5[#All],3,FALSE)*Tabla15[[#This Row],[27]])</f>
        <v>0</v>
      </c>
      <c r="AI92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2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2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2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2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2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2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930" spans="2:41" x14ac:dyDescent="0.25">
      <c r="B930" s="58" t="str">
        <f>Tabla1[[#This Row],[nudo inicial]]</f>
        <v>N497</v>
      </c>
      <c r="C930" s="58" t="str">
        <f>Tabla1[[#This Row],[nudo final]]</f>
        <v>TP327</v>
      </c>
      <c r="D930" s="51">
        <f>Tabla1[[#This Row],[longitud]]</f>
        <v>70</v>
      </c>
      <c r="E930" s="51" t="str">
        <f>Tabla1[[#This Row],[diametro]]</f>
        <v>2"</v>
      </c>
      <c r="F930" s="51" t="str">
        <f>Tabla1[[#This Row],[material]]</f>
        <v>PVC</v>
      </c>
      <c r="G93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930" s="52" t="str">
        <f>IF(Tabla1[[#This Row],[5]]="TPD",Tabla1[[#This Row],[6]],"")</f>
        <v/>
      </c>
      <c r="I930" s="52" t="str">
        <f>IF(OR(Tabla1[[#This Row],[5]]="TPD"),Tabla1[[#This Row],[7]],"")</f>
        <v/>
      </c>
      <c r="J930" s="52">
        <f>IF(Tabla15[[#This Row],[2]]="",0,VLOOKUP(TRAMOS!$H$2,Tabla5[#All],3,FALSE)*Tabla15[[#This Row],[3]])</f>
        <v>0</v>
      </c>
      <c r="K930" s="52" t="str">
        <f>IF(Tabla1[[#This Row],[5]]="TPL",Tabla1[[#This Row],[6]],"")</f>
        <v/>
      </c>
      <c r="L930" s="52" t="str">
        <f>IF(OR(Tabla1[[#This Row],[5]]="TPL"),Tabla1[[#This Row],[7]],"")</f>
        <v/>
      </c>
      <c r="M930" s="52">
        <f>IF(Tabla15[[#This Row],[5]]="",0,VLOOKUP(TRAMOS!$K$2,Tabla5[#All],3,FALSE)*Tabla15[[#This Row],[6]])</f>
        <v>0</v>
      </c>
      <c r="N93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3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30" s="52">
        <f>IF(Tabla15[[#This Row],[8]]="",0,VLOOKUP(TRAMOS!$H$2,Tabla5[#All],3,FALSE)*Tabla15[[#This Row],[9]])</f>
        <v>0</v>
      </c>
      <c r="Q93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930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930" s="52">
        <f>IF(Tabla15[[#This Row],[11]]="",0,VLOOKUP(TRAMOS!$Q$2,Tabla5[#All],3,FALSE)*Tabla15[[#This Row],[12]])</f>
        <v>0.9</v>
      </c>
      <c r="T93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930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93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93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3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3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3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3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30" s="52">
        <f>IF(Tabla15[[#This Row],[20]]="",0,VLOOKUP("VRP",Tabla5[#All],3,FALSE)*Tabla15[[#This Row],[21]])</f>
        <v>0</v>
      </c>
      <c r="AC93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3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30" s="52">
        <f>IF(Tabla15[[#This Row],[23]]="",0,VLOOKUP("VC",Tabla5[#All],3,FALSE)*Tabla15[[#This Row],[24]])</f>
        <v>0</v>
      </c>
      <c r="AF93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3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30" s="52">
        <f>IF(Tabla15[[#This Row],[26]]="",0,VLOOKUP(TRAMOS!$K$2,Tabla5[#All],3,FALSE)*Tabla15[[#This Row],[27]])</f>
        <v>0</v>
      </c>
      <c r="AI93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3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3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3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3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930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93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931" spans="2:41" x14ac:dyDescent="0.25">
      <c r="B931" s="58" t="str">
        <f>Tabla1[[#This Row],[nudo inicial]]</f>
        <v>N495</v>
      </c>
      <c r="C931" s="58" t="str">
        <f>Tabla1[[#This Row],[nudo final]]</f>
        <v>N498</v>
      </c>
      <c r="D931" s="51">
        <f>Tabla1[[#This Row],[longitud]]</f>
        <v>233.2</v>
      </c>
      <c r="E931" s="51" t="str">
        <f>Tabla1[[#This Row],[diametro]]</f>
        <v>3"</v>
      </c>
      <c r="F931" s="51" t="str">
        <f>Tabla1[[#This Row],[material]]</f>
        <v>PVC</v>
      </c>
      <c r="G93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931" s="52" t="str">
        <f>IF(Tabla1[[#This Row],[5]]="TPD",Tabla1[[#This Row],[6]],"")</f>
        <v/>
      </c>
      <c r="I931" s="52" t="str">
        <f>IF(OR(Tabla1[[#This Row],[5]]="TPD"),Tabla1[[#This Row],[7]],"")</f>
        <v/>
      </c>
      <c r="J931" s="52">
        <f>IF(Tabla15[[#This Row],[2]]="",0,VLOOKUP(TRAMOS!$H$2,Tabla5[#All],3,FALSE)*Tabla15[[#This Row],[3]])</f>
        <v>0</v>
      </c>
      <c r="K931" s="52" t="str">
        <f>IF(Tabla1[[#This Row],[5]]="TPL",Tabla1[[#This Row],[6]],"")</f>
        <v>3"</v>
      </c>
      <c r="L931" s="52">
        <f>IF(OR(Tabla1[[#This Row],[5]]="TPL"),Tabla1[[#This Row],[7]],"")</f>
        <v>1</v>
      </c>
      <c r="M931" s="52">
        <f>IF(Tabla15[[#This Row],[5]]="",0,VLOOKUP(TRAMOS!$K$2,Tabla5[#All],3,FALSE)*Tabla15[[#This Row],[6]])</f>
        <v>0.9</v>
      </c>
      <c r="N93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3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31" s="52">
        <f>IF(Tabla15[[#This Row],[8]]="",0,VLOOKUP(TRAMOS!$H$2,Tabla5[#All],3,FALSE)*Tabla15[[#This Row],[9]])</f>
        <v>0</v>
      </c>
      <c r="Q93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3"</v>
      </c>
      <c r="R931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931" s="52">
        <f>IF(Tabla15[[#This Row],[11]]="",0,VLOOKUP(TRAMOS!$Q$2,Tabla5[#All],3,FALSE)*Tabla15[[#This Row],[12]])</f>
        <v>0.9</v>
      </c>
      <c r="T93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3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3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3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3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3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3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3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31" s="52">
        <f>IF(Tabla15[[#This Row],[20]]="",0,VLOOKUP("VRP",Tabla5[#All],3,FALSE)*Tabla15[[#This Row],[21]])</f>
        <v>0</v>
      </c>
      <c r="AC93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931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931" s="52">
        <f>IF(Tabla15[[#This Row],[23]]="",0,VLOOKUP("VC",Tabla5[#All],3,FALSE)*Tabla15[[#This Row],[24]])</f>
        <v>0.25</v>
      </c>
      <c r="AF93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3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31" s="52">
        <f>IF(Tabla15[[#This Row],[26]]="",0,VLOOKUP(TRAMOS!$K$2,Tabla5[#All],3,FALSE)*Tabla15[[#This Row],[27]])</f>
        <v>0</v>
      </c>
      <c r="AI93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3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3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3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3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3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3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2.0499999999999998</v>
      </c>
    </row>
    <row r="932" spans="2:41" x14ac:dyDescent="0.25">
      <c r="B932" s="58" t="str">
        <f>Tabla1[[#This Row],[nudo inicial]]</f>
        <v>N498</v>
      </c>
      <c r="C932" s="58" t="str">
        <f>Tabla1[[#This Row],[nudo final]]</f>
        <v>TP328</v>
      </c>
      <c r="D932" s="51">
        <f>Tabla1[[#This Row],[longitud]]</f>
        <v>294.70999999999998</v>
      </c>
      <c r="E932" s="51" t="str">
        <f>Tabla1[[#This Row],[diametro]]</f>
        <v>2"</v>
      </c>
      <c r="F932" s="51" t="str">
        <f>Tabla1[[#This Row],[material]]</f>
        <v>PVC</v>
      </c>
      <c r="G93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932" s="52" t="str">
        <f>IF(Tabla1[[#This Row],[5]]="TPD",Tabla1[[#This Row],[6]],"")</f>
        <v/>
      </c>
      <c r="I932" s="52" t="str">
        <f>IF(OR(Tabla1[[#This Row],[5]]="TPD"),Tabla1[[#This Row],[7]],"")</f>
        <v/>
      </c>
      <c r="J932" s="52">
        <f>IF(Tabla15[[#This Row],[2]]="",0,VLOOKUP(TRAMOS!$H$2,Tabla5[#All],3,FALSE)*Tabla15[[#This Row],[3]])</f>
        <v>0</v>
      </c>
      <c r="K932" s="52" t="str">
        <f>IF(Tabla1[[#This Row],[5]]="TPL",Tabla1[[#This Row],[6]],"")</f>
        <v>3"</v>
      </c>
      <c r="L932" s="52">
        <f>IF(OR(Tabla1[[#This Row],[5]]="TPL"),Tabla1[[#This Row],[7]],"")</f>
        <v>1</v>
      </c>
      <c r="M932" s="52">
        <f>IF(Tabla15[[#This Row],[5]]="",0,VLOOKUP(TRAMOS!$K$2,Tabla5[#All],3,FALSE)*Tabla15[[#This Row],[6]])</f>
        <v>0.9</v>
      </c>
      <c r="N93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3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32" s="52">
        <f>IF(Tabla15[[#This Row],[8]]="",0,VLOOKUP(TRAMOS!$H$2,Tabla5[#All],3,FALSE)*Tabla15[[#This Row],[9]])</f>
        <v>0</v>
      </c>
      <c r="Q93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3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32" s="52">
        <f>IF(Tabla15[[#This Row],[11]]="",0,VLOOKUP(TRAMOS!$Q$2,Tabla5[#All],3,FALSE)*Tabla15[[#This Row],[12]])</f>
        <v>0</v>
      </c>
      <c r="T93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932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93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93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3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3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3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3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32" s="52">
        <f>IF(Tabla15[[#This Row],[20]]="",0,VLOOKUP("VRP",Tabla5[#All],3,FALSE)*Tabla15[[#This Row],[21]])</f>
        <v>0</v>
      </c>
      <c r="AC93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3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32" s="52">
        <f>IF(Tabla15[[#This Row],[23]]="",0,VLOOKUP("VC",Tabla5[#All],3,FALSE)*Tabla15[[#This Row],[24]])</f>
        <v>0</v>
      </c>
      <c r="AF93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3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32" s="52">
        <f>IF(Tabla15[[#This Row],[26]]="",0,VLOOKUP(TRAMOS!$K$2,Tabla5[#All],3,FALSE)*Tabla15[[#This Row],[27]])</f>
        <v>0</v>
      </c>
      <c r="AI93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3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3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3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3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932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93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933" spans="2:41" x14ac:dyDescent="0.25">
      <c r="B933" s="58" t="str">
        <f>Tabla1[[#This Row],[nudo inicial]]</f>
        <v>N498</v>
      </c>
      <c r="C933" s="58" t="str">
        <f>Tabla1[[#This Row],[nudo final]]</f>
        <v>N499</v>
      </c>
      <c r="D933" s="51">
        <f>Tabla1[[#This Row],[longitud]]</f>
        <v>211.48</v>
      </c>
      <c r="E933" s="51" t="str">
        <f>Tabla1[[#This Row],[diametro]]</f>
        <v>3"</v>
      </c>
      <c r="F933" s="51" t="str">
        <f>Tabla1[[#This Row],[material]]</f>
        <v>PVC</v>
      </c>
      <c r="G93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933" s="52" t="str">
        <f>IF(Tabla1[[#This Row],[5]]="TPD",Tabla1[[#This Row],[6]],"")</f>
        <v/>
      </c>
      <c r="I933" s="52" t="str">
        <f>IF(OR(Tabla1[[#This Row],[5]]="TPD"),Tabla1[[#This Row],[7]],"")</f>
        <v/>
      </c>
      <c r="J933" s="52">
        <f>IF(Tabla15[[#This Row],[2]]="",0,VLOOKUP(TRAMOS!$H$2,Tabla5[#All],3,FALSE)*Tabla15[[#This Row],[3]])</f>
        <v>0</v>
      </c>
      <c r="K933" s="52" t="str">
        <f>IF(Tabla1[[#This Row],[5]]="TPL",Tabla1[[#This Row],[6]],"")</f>
        <v>3"</v>
      </c>
      <c r="L933" s="52">
        <f>IF(OR(Tabla1[[#This Row],[5]]="TPL"),Tabla1[[#This Row],[7]],"")</f>
        <v>1</v>
      </c>
      <c r="M933" s="52">
        <f>IF(Tabla15[[#This Row],[5]]="",0,VLOOKUP(TRAMOS!$K$2,Tabla5[#All],3,FALSE)*Tabla15[[#This Row],[6]])</f>
        <v>0.9</v>
      </c>
      <c r="N93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3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33" s="52">
        <f>IF(Tabla15[[#This Row],[8]]="",0,VLOOKUP(TRAMOS!$H$2,Tabla5[#All],3,FALSE)*Tabla15[[#This Row],[9]])</f>
        <v>0</v>
      </c>
      <c r="Q93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3"</v>
      </c>
      <c r="R933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2</v>
      </c>
      <c r="S933" s="52">
        <f>IF(Tabla15[[#This Row],[11]]="",0,VLOOKUP(TRAMOS!$Q$2,Tabla5[#All],3,FALSE)*Tabla15[[#This Row],[12]])</f>
        <v>1.8</v>
      </c>
      <c r="T93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3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3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3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3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3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3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3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33" s="52">
        <f>IF(Tabla15[[#This Row],[20]]="",0,VLOOKUP("VRP",Tabla5[#All],3,FALSE)*Tabla15[[#This Row],[21]])</f>
        <v>0</v>
      </c>
      <c r="AC93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3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33" s="52">
        <f>IF(Tabla15[[#This Row],[23]]="",0,VLOOKUP("VC",Tabla5[#All],3,FALSE)*Tabla15[[#This Row],[24]])</f>
        <v>0</v>
      </c>
      <c r="AF93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3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33" s="52">
        <f>IF(Tabla15[[#This Row],[26]]="",0,VLOOKUP(TRAMOS!$K$2,Tabla5[#All],3,FALSE)*Tabla15[[#This Row],[27]])</f>
        <v>0</v>
      </c>
      <c r="AI93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3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33" s="52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>0</v>
      </c>
      <c r="AL933" s="52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>1</v>
      </c>
      <c r="AM93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3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3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2.7</v>
      </c>
    </row>
    <row r="934" spans="2:41" x14ac:dyDescent="0.25">
      <c r="B934" s="58" t="str">
        <f>Tabla1[[#This Row],[nudo inicial]]</f>
        <v>N499</v>
      </c>
      <c r="C934" s="58" t="str">
        <f>Tabla1[[#This Row],[nudo final]]</f>
        <v>N500</v>
      </c>
      <c r="D934" s="51">
        <f>Tabla1[[#This Row],[longitud]]</f>
        <v>10.5</v>
      </c>
      <c r="E934" s="51" t="str">
        <f>Tabla1[[#This Row],[diametro]]</f>
        <v>2"</v>
      </c>
      <c r="F934" s="51" t="str">
        <f>Tabla1[[#This Row],[material]]</f>
        <v>PVC</v>
      </c>
      <c r="G93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934" s="52" t="str">
        <f>IF(Tabla1[[#This Row],[5]]="TPD",Tabla1[[#This Row],[6]],"")</f>
        <v/>
      </c>
      <c r="I934" s="52" t="str">
        <f>IF(OR(Tabla1[[#This Row],[5]]="TPD"),Tabla1[[#This Row],[7]],"")</f>
        <v/>
      </c>
      <c r="J934" s="52">
        <f>IF(Tabla15[[#This Row],[2]]="",0,VLOOKUP(TRAMOS!$H$2,Tabla5[#All],3,FALSE)*Tabla15[[#This Row],[3]])</f>
        <v>0</v>
      </c>
      <c r="K934" s="52" t="str">
        <f>IF(Tabla1[[#This Row],[5]]="TPL",Tabla1[[#This Row],[6]],"")</f>
        <v>3"</v>
      </c>
      <c r="L934" s="52">
        <f>IF(OR(Tabla1[[#This Row],[5]]="TPL"),Tabla1[[#This Row],[7]],"")</f>
        <v>1</v>
      </c>
      <c r="M934" s="52">
        <f>IF(Tabla15[[#This Row],[5]]="",0,VLOOKUP(TRAMOS!$K$2,Tabla5[#All],3,FALSE)*Tabla15[[#This Row],[6]])</f>
        <v>0.9</v>
      </c>
      <c r="N93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3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34" s="52">
        <f>IF(Tabla15[[#This Row],[8]]="",0,VLOOKUP(TRAMOS!$H$2,Tabla5[#All],3,FALSE)*Tabla15[[#This Row],[9]])</f>
        <v>0</v>
      </c>
      <c r="Q93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3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34" s="52">
        <f>IF(Tabla15[[#This Row],[11]]="",0,VLOOKUP(TRAMOS!$Q$2,Tabla5[#All],3,FALSE)*Tabla15[[#This Row],[12]])</f>
        <v>0</v>
      </c>
      <c r="T93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934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93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93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3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3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3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3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34" s="52">
        <f>IF(Tabla15[[#This Row],[20]]="",0,VLOOKUP("VRP",Tabla5[#All],3,FALSE)*Tabla15[[#This Row],[21]])</f>
        <v>0</v>
      </c>
      <c r="AC93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3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34" s="52">
        <f>IF(Tabla15[[#This Row],[23]]="",0,VLOOKUP("VC",Tabla5[#All],3,FALSE)*Tabla15[[#This Row],[24]])</f>
        <v>0</v>
      </c>
      <c r="AF93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3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34" s="52">
        <f>IF(Tabla15[[#This Row],[26]]="",0,VLOOKUP(TRAMOS!$K$2,Tabla5[#All],3,FALSE)*Tabla15[[#This Row],[27]])</f>
        <v>0</v>
      </c>
      <c r="AI93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3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3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3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3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3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3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935" spans="2:41" x14ac:dyDescent="0.25">
      <c r="B935" s="58" t="str">
        <f>Tabla1[[#This Row],[nudo inicial]]</f>
        <v>N500</v>
      </c>
      <c r="C935" s="58" t="str">
        <f>Tabla1[[#This Row],[nudo final]]</f>
        <v xml:space="preserve"> TP329</v>
      </c>
      <c r="D935" s="51">
        <f>Tabla1[[#This Row],[longitud]]</f>
        <v>19.32</v>
      </c>
      <c r="E935" s="51" t="str">
        <f>Tabla1[[#This Row],[diametro]]</f>
        <v>1/2"</v>
      </c>
      <c r="F935" s="51" t="str">
        <f>Tabla1[[#This Row],[material]]</f>
        <v>PVC</v>
      </c>
      <c r="G93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935" s="52" t="str">
        <f>IF(Tabla1[[#This Row],[5]]="TPD",Tabla1[[#This Row],[6]],"")</f>
        <v/>
      </c>
      <c r="I935" s="52" t="str">
        <f>IF(OR(Tabla1[[#This Row],[5]]="TPD"),Tabla1[[#This Row],[7]],"")</f>
        <v/>
      </c>
      <c r="J935" s="52">
        <f>IF(Tabla15[[#This Row],[2]]="",0,VLOOKUP(TRAMOS!$H$2,Tabla5[#All],3,FALSE)*Tabla15[[#This Row],[3]])</f>
        <v>0</v>
      </c>
      <c r="K935" s="52" t="str">
        <f>IF(Tabla1[[#This Row],[5]]="TPL",Tabla1[[#This Row],[6]],"")</f>
        <v>2"</v>
      </c>
      <c r="L935" s="52">
        <f>IF(OR(Tabla1[[#This Row],[5]]="TPL"),Tabla1[[#This Row],[7]],"")</f>
        <v>1</v>
      </c>
      <c r="M935" s="52">
        <f>IF(Tabla15[[#This Row],[5]]="",0,VLOOKUP(TRAMOS!$K$2,Tabla5[#All],3,FALSE)*Tabla15[[#This Row],[6]])</f>
        <v>0.9</v>
      </c>
      <c r="N93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3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35" s="52">
        <f>IF(Tabla15[[#This Row],[8]]="",0,VLOOKUP(TRAMOS!$H$2,Tabla5[#All],3,FALSE)*Tabla15[[#This Row],[9]])</f>
        <v>0</v>
      </c>
      <c r="Q93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3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35" s="52">
        <f>IF(Tabla15[[#This Row],[11]]="",0,VLOOKUP(TRAMOS!$Q$2,Tabla5[#All],3,FALSE)*Tabla15[[#This Row],[12]])</f>
        <v>0</v>
      </c>
      <c r="T93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1/2"</v>
      </c>
      <c r="U935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93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0.45</v>
      </c>
      <c r="W93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3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3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3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3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35" s="52">
        <f>IF(Tabla15[[#This Row],[20]]="",0,VLOOKUP("VRP",Tabla5[#All],3,FALSE)*Tabla15[[#This Row],[21]])</f>
        <v>0</v>
      </c>
      <c r="AC93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3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35" s="52">
        <f>IF(Tabla15[[#This Row],[23]]="",0,VLOOKUP("VC",Tabla5[#All],3,FALSE)*Tabla15[[#This Row],[24]])</f>
        <v>0</v>
      </c>
      <c r="AF93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3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35" s="52">
        <f>IF(Tabla15[[#This Row],[26]]="",0,VLOOKUP(TRAMOS!$K$2,Tabla5[#All],3,FALSE)*Tabla15[[#This Row],[27]])</f>
        <v>0</v>
      </c>
      <c r="AI93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3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3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3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3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1/2"</v>
      </c>
      <c r="AN935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93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1.35</v>
      </c>
    </row>
    <row r="936" spans="2:41" x14ac:dyDescent="0.25">
      <c r="B936" s="58" t="str">
        <f>Tabla1[[#This Row],[nudo inicial]]</f>
        <v>N500</v>
      </c>
      <c r="C936" s="58" t="str">
        <f>Tabla1[[#This Row],[nudo final]]</f>
        <v>N501</v>
      </c>
      <c r="D936" s="51">
        <f>Tabla1[[#This Row],[longitud]]</f>
        <v>35.06</v>
      </c>
      <c r="E936" s="51" t="str">
        <f>Tabla1[[#This Row],[diametro]]</f>
        <v>2"</v>
      </c>
      <c r="F936" s="51" t="str">
        <f>Tabla1[[#This Row],[material]]</f>
        <v>PVC</v>
      </c>
      <c r="G93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936" s="52" t="str">
        <f>IF(Tabla1[[#This Row],[5]]="TPD",Tabla1[[#This Row],[6]],"")</f>
        <v>2"</v>
      </c>
      <c r="I936" s="52">
        <f>IF(OR(Tabla1[[#This Row],[5]]="TPD"),Tabla1[[#This Row],[7]],"")</f>
        <v>1</v>
      </c>
      <c r="J936" s="52">
        <f>IF(Tabla15[[#This Row],[2]]="",0,VLOOKUP(TRAMOS!$H$2,Tabla5[#All],3,FALSE)*Tabla15[[#This Row],[3]])</f>
        <v>0.15</v>
      </c>
      <c r="K936" s="52" t="str">
        <f>IF(Tabla1[[#This Row],[5]]="TPL",Tabla1[[#This Row],[6]],"")</f>
        <v/>
      </c>
      <c r="L936" s="52" t="str">
        <f>IF(OR(Tabla1[[#This Row],[5]]="TPL"),Tabla1[[#This Row],[7]],"")</f>
        <v/>
      </c>
      <c r="M936" s="52">
        <f>IF(Tabla15[[#This Row],[5]]="",0,VLOOKUP(TRAMOS!$K$2,Tabla5[#All],3,FALSE)*Tabla15[[#This Row],[6]])</f>
        <v>0</v>
      </c>
      <c r="N93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3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36" s="52">
        <f>IF(Tabla15[[#This Row],[8]]="",0,VLOOKUP(TRAMOS!$H$2,Tabla5[#All],3,FALSE)*Tabla15[[#This Row],[9]])</f>
        <v>0</v>
      </c>
      <c r="Q93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3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36" s="52">
        <f>IF(Tabla15[[#This Row],[11]]="",0,VLOOKUP(TRAMOS!$Q$2,Tabla5[#All],3,FALSE)*Tabla15[[#This Row],[12]])</f>
        <v>0</v>
      </c>
      <c r="T93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3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3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3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3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3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3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3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36" s="52">
        <f>IF(Tabla15[[#This Row],[20]]="",0,VLOOKUP("VRP",Tabla5[#All],3,FALSE)*Tabla15[[#This Row],[21]])</f>
        <v>0</v>
      </c>
      <c r="AC93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3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36" s="52">
        <f>IF(Tabla15[[#This Row],[23]]="",0,VLOOKUP("VC",Tabla5[#All],3,FALSE)*Tabla15[[#This Row],[24]])</f>
        <v>0</v>
      </c>
      <c r="AF93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3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36" s="52">
        <f>IF(Tabla15[[#This Row],[26]]="",0,VLOOKUP(TRAMOS!$K$2,Tabla5[#All],3,FALSE)*Tabla15[[#This Row],[27]])</f>
        <v>0</v>
      </c>
      <c r="AI93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3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3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3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3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3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3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937" spans="2:41" x14ac:dyDescent="0.25">
      <c r="B937" s="58" t="str">
        <f>Tabla1[[#This Row],[nudo inicial]]</f>
        <v>N501</v>
      </c>
      <c r="C937" s="58" t="str">
        <f>Tabla1[[#This Row],[nudo final]]</f>
        <v>TP330</v>
      </c>
      <c r="D937" s="51">
        <f>Tabla1[[#This Row],[longitud]]</f>
        <v>64.44</v>
      </c>
      <c r="E937" s="51" t="str">
        <f>Tabla1[[#This Row],[diametro]]</f>
        <v>3/4"</v>
      </c>
      <c r="F937" s="51" t="str">
        <f>Tabla1[[#This Row],[material]]</f>
        <v>PVC</v>
      </c>
      <c r="G93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937" s="52" t="str">
        <f>IF(Tabla1[[#This Row],[5]]="TPD",Tabla1[[#This Row],[6]],"")</f>
        <v/>
      </c>
      <c r="I937" s="52" t="str">
        <f>IF(OR(Tabla1[[#This Row],[5]]="TPD"),Tabla1[[#This Row],[7]],"")</f>
        <v/>
      </c>
      <c r="J937" s="52">
        <f>IF(Tabla15[[#This Row],[2]]="",0,VLOOKUP(TRAMOS!$H$2,Tabla5[#All],3,FALSE)*Tabla15[[#This Row],[3]])</f>
        <v>0</v>
      </c>
      <c r="K937" s="52" t="str">
        <f>IF(Tabla1[[#This Row],[5]]="TPL",Tabla1[[#This Row],[6]],"")</f>
        <v>2"</v>
      </c>
      <c r="L937" s="52">
        <f>IF(OR(Tabla1[[#This Row],[5]]="TPL"),Tabla1[[#This Row],[7]],"")</f>
        <v>1</v>
      </c>
      <c r="M937" s="52">
        <f>IF(Tabla15[[#This Row],[5]]="",0,VLOOKUP(TRAMOS!$K$2,Tabla5[#All],3,FALSE)*Tabla15[[#This Row],[6]])</f>
        <v>0.9</v>
      </c>
      <c r="N93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3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37" s="52">
        <f>IF(Tabla15[[#This Row],[8]]="",0,VLOOKUP(TRAMOS!$H$2,Tabla5[#All],3,FALSE)*Tabla15[[#This Row],[9]])</f>
        <v>0</v>
      </c>
      <c r="Q93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3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37" s="52">
        <f>IF(Tabla15[[#This Row],[11]]="",0,VLOOKUP(TRAMOS!$Q$2,Tabla5[#All],3,FALSE)*Tabla15[[#This Row],[12]])</f>
        <v>0</v>
      </c>
      <c r="T93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3/4"</v>
      </c>
      <c r="U937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93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0.41679999999999995</v>
      </c>
      <c r="W93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3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3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3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3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37" s="52">
        <f>IF(Tabla15[[#This Row],[20]]="",0,VLOOKUP("VRP",Tabla5[#All],3,FALSE)*Tabla15[[#This Row],[21]])</f>
        <v>0</v>
      </c>
      <c r="AC93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3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37" s="52">
        <f>IF(Tabla15[[#This Row],[23]]="",0,VLOOKUP("VC",Tabla5[#All],3,FALSE)*Tabla15[[#This Row],[24]])</f>
        <v>0</v>
      </c>
      <c r="AF93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3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37" s="52">
        <f>IF(Tabla15[[#This Row],[26]]="",0,VLOOKUP(TRAMOS!$K$2,Tabla5[#All],3,FALSE)*Tabla15[[#This Row],[27]])</f>
        <v>0</v>
      </c>
      <c r="AI93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3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3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3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3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3/4"</v>
      </c>
      <c r="AN937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93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1.3168</v>
      </c>
    </row>
    <row r="938" spans="2:41" x14ac:dyDescent="0.25">
      <c r="B938" s="58" t="str">
        <f>Tabla1[[#This Row],[nudo inicial]]</f>
        <v>N501</v>
      </c>
      <c r="C938" s="58" t="str">
        <f>Tabla1[[#This Row],[nudo final]]</f>
        <v>N502</v>
      </c>
      <c r="D938" s="51">
        <f>Tabla1[[#This Row],[longitud]]</f>
        <v>51</v>
      </c>
      <c r="E938" s="51" t="str">
        <f>Tabla1[[#This Row],[diametro]]</f>
        <v>2"</v>
      </c>
      <c r="F938" s="51" t="str">
        <f>Tabla1[[#This Row],[material]]</f>
        <v>PVC</v>
      </c>
      <c r="G93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938" s="52" t="str">
        <f>IF(Tabla1[[#This Row],[5]]="TPD",Tabla1[[#This Row],[6]],"")</f>
        <v/>
      </c>
      <c r="I938" s="52" t="str">
        <f>IF(OR(Tabla1[[#This Row],[5]]="TPD"),Tabla1[[#This Row],[7]],"")</f>
        <v/>
      </c>
      <c r="J938" s="52">
        <f>IF(Tabla15[[#This Row],[2]]="",0,VLOOKUP(TRAMOS!$H$2,Tabla5[#All],3,FALSE)*Tabla15[[#This Row],[3]])</f>
        <v>0</v>
      </c>
      <c r="K938" s="52" t="str">
        <f>IF(Tabla1[[#This Row],[5]]="TPL",Tabla1[[#This Row],[6]],"")</f>
        <v>2"</v>
      </c>
      <c r="L938" s="52">
        <f>IF(OR(Tabla1[[#This Row],[5]]="TPL"),Tabla1[[#This Row],[7]],"")</f>
        <v>1</v>
      </c>
      <c r="M938" s="52">
        <f>IF(Tabla15[[#This Row],[5]]="",0,VLOOKUP(TRAMOS!$K$2,Tabla5[#All],3,FALSE)*Tabla15[[#This Row],[6]])</f>
        <v>0.9</v>
      </c>
      <c r="N93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3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38" s="52">
        <f>IF(Tabla15[[#This Row],[8]]="",0,VLOOKUP(TRAMOS!$H$2,Tabla5[#All],3,FALSE)*Tabla15[[#This Row],[9]])</f>
        <v>0</v>
      </c>
      <c r="Q93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3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38" s="52">
        <f>IF(Tabla15[[#This Row],[11]]="",0,VLOOKUP(TRAMOS!$Q$2,Tabla5[#All],3,FALSE)*Tabla15[[#This Row],[12]])</f>
        <v>0</v>
      </c>
      <c r="T93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3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3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3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3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3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3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3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38" s="52">
        <f>IF(Tabla15[[#This Row],[20]]="",0,VLOOKUP("VRP",Tabla5[#All],3,FALSE)*Tabla15[[#This Row],[21]])</f>
        <v>0</v>
      </c>
      <c r="AC93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3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38" s="52">
        <f>IF(Tabla15[[#This Row],[23]]="",0,VLOOKUP("VC",Tabla5[#All],3,FALSE)*Tabla15[[#This Row],[24]])</f>
        <v>0</v>
      </c>
      <c r="AF93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3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38" s="52">
        <f>IF(Tabla15[[#This Row],[26]]="",0,VLOOKUP(TRAMOS!$K$2,Tabla5[#All],3,FALSE)*Tabla15[[#This Row],[27]])</f>
        <v>0</v>
      </c>
      <c r="AI93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3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3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3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3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3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3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939" spans="2:41" x14ac:dyDescent="0.25">
      <c r="B939" s="58" t="str">
        <f>Tabla1[[#This Row],[nudo inicial]]</f>
        <v>N502</v>
      </c>
      <c r="C939" s="58" t="str">
        <f>Tabla1[[#This Row],[nudo final]]</f>
        <v>TP331</v>
      </c>
      <c r="D939" s="51">
        <f>Tabla1[[#This Row],[longitud]]</f>
        <v>93.92</v>
      </c>
      <c r="E939" s="51" t="str">
        <f>Tabla1[[#This Row],[diametro]]</f>
        <v>3/4"</v>
      </c>
      <c r="F939" s="51" t="str">
        <f>Tabla1[[#This Row],[material]]</f>
        <v>PVC</v>
      </c>
      <c r="G93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939" s="52" t="str">
        <f>IF(Tabla1[[#This Row],[5]]="TPD",Tabla1[[#This Row],[6]],"")</f>
        <v>2"</v>
      </c>
      <c r="I939" s="52">
        <f>IF(OR(Tabla1[[#This Row],[5]]="TPD"),Tabla1[[#This Row],[7]],"")</f>
        <v>1</v>
      </c>
      <c r="J939" s="52">
        <f>IF(Tabla15[[#This Row],[2]]="",0,VLOOKUP(TRAMOS!$H$2,Tabla5[#All],3,FALSE)*Tabla15[[#This Row],[3]])</f>
        <v>0.15</v>
      </c>
      <c r="K939" s="52" t="str">
        <f>IF(Tabla1[[#This Row],[5]]="TPL",Tabla1[[#This Row],[6]],"")</f>
        <v/>
      </c>
      <c r="L939" s="52" t="str">
        <f>IF(OR(Tabla1[[#This Row],[5]]="TPL"),Tabla1[[#This Row],[7]],"")</f>
        <v/>
      </c>
      <c r="M939" s="52">
        <f>IF(Tabla15[[#This Row],[5]]="",0,VLOOKUP(TRAMOS!$K$2,Tabla5[#All],3,FALSE)*Tabla15[[#This Row],[6]])</f>
        <v>0</v>
      </c>
      <c r="N93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3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39" s="52">
        <f>IF(Tabla15[[#This Row],[8]]="",0,VLOOKUP(TRAMOS!$H$2,Tabla5[#All],3,FALSE)*Tabla15[[#This Row],[9]])</f>
        <v>0</v>
      </c>
      <c r="Q93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3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39" s="52">
        <f>IF(Tabla15[[#This Row],[11]]="",0,VLOOKUP(TRAMOS!$Q$2,Tabla5[#All],3,FALSE)*Tabla15[[#This Row],[12]])</f>
        <v>0</v>
      </c>
      <c r="T93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3/4"</v>
      </c>
      <c r="U939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93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0.41679999999999995</v>
      </c>
      <c r="W93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3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3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3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3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39" s="52">
        <f>IF(Tabla15[[#This Row],[20]]="",0,VLOOKUP("VRP",Tabla5[#All],3,FALSE)*Tabla15[[#This Row],[21]])</f>
        <v>0</v>
      </c>
      <c r="AC93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3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39" s="52">
        <f>IF(Tabla15[[#This Row],[23]]="",0,VLOOKUP("VC",Tabla5[#All],3,FALSE)*Tabla15[[#This Row],[24]])</f>
        <v>0</v>
      </c>
      <c r="AF93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3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39" s="52">
        <f>IF(Tabla15[[#This Row],[26]]="",0,VLOOKUP(TRAMOS!$K$2,Tabla5[#All],3,FALSE)*Tabla15[[#This Row],[27]])</f>
        <v>0</v>
      </c>
      <c r="AI93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3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3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3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3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3/4"</v>
      </c>
      <c r="AN939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93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0.56679999999999997</v>
      </c>
    </row>
    <row r="940" spans="2:41" x14ac:dyDescent="0.25">
      <c r="B940" s="58" t="str">
        <f>Tabla1[[#This Row],[nudo inicial]]</f>
        <v>N502</v>
      </c>
      <c r="C940" s="58" t="str">
        <f>Tabla1[[#This Row],[nudo final]]</f>
        <v>N503</v>
      </c>
      <c r="D940" s="51">
        <f>Tabla1[[#This Row],[longitud]]</f>
        <v>8.24</v>
      </c>
      <c r="E940" s="51" t="str">
        <f>Tabla1[[#This Row],[diametro]]</f>
        <v>2"</v>
      </c>
      <c r="F940" s="51" t="str">
        <f>Tabla1[[#This Row],[material]]</f>
        <v>PVC</v>
      </c>
      <c r="G94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940" s="52" t="str">
        <f>IF(Tabla1[[#This Row],[5]]="TPD",Tabla1[[#This Row],[6]],"")</f>
        <v/>
      </c>
      <c r="I940" s="52" t="str">
        <f>IF(OR(Tabla1[[#This Row],[5]]="TPD"),Tabla1[[#This Row],[7]],"")</f>
        <v/>
      </c>
      <c r="J940" s="52">
        <f>IF(Tabla15[[#This Row],[2]]="",0,VLOOKUP(TRAMOS!$H$2,Tabla5[#All],3,FALSE)*Tabla15[[#This Row],[3]])</f>
        <v>0</v>
      </c>
      <c r="K940" s="52" t="str">
        <f>IF(Tabla1[[#This Row],[5]]="TPL",Tabla1[[#This Row],[6]],"")</f>
        <v>2"</v>
      </c>
      <c r="L940" s="52">
        <f>IF(OR(Tabla1[[#This Row],[5]]="TPL"),Tabla1[[#This Row],[7]],"")</f>
        <v>1</v>
      </c>
      <c r="M940" s="52">
        <f>IF(Tabla15[[#This Row],[5]]="",0,VLOOKUP(TRAMOS!$K$2,Tabla5[#All],3,FALSE)*Tabla15[[#This Row],[6]])</f>
        <v>0.9</v>
      </c>
      <c r="N94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4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40" s="52">
        <f>IF(Tabla15[[#This Row],[8]]="",0,VLOOKUP(TRAMOS!$H$2,Tabla5[#All],3,FALSE)*Tabla15[[#This Row],[9]])</f>
        <v>0</v>
      </c>
      <c r="Q94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4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40" s="52">
        <f>IF(Tabla15[[#This Row],[11]]="",0,VLOOKUP(TRAMOS!$Q$2,Tabla5[#All],3,FALSE)*Tabla15[[#This Row],[12]])</f>
        <v>0</v>
      </c>
      <c r="T94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4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4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4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4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4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4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4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40" s="52">
        <f>IF(Tabla15[[#This Row],[20]]="",0,VLOOKUP("VRP",Tabla5[#All],3,FALSE)*Tabla15[[#This Row],[21]])</f>
        <v>0</v>
      </c>
      <c r="AC94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4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40" s="52">
        <f>IF(Tabla15[[#This Row],[23]]="",0,VLOOKUP("VC",Tabla5[#All],3,FALSE)*Tabla15[[#This Row],[24]])</f>
        <v>0</v>
      </c>
      <c r="AF94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4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40" s="52">
        <f>IF(Tabla15[[#This Row],[26]]="",0,VLOOKUP(TRAMOS!$K$2,Tabla5[#All],3,FALSE)*Tabla15[[#This Row],[27]])</f>
        <v>0</v>
      </c>
      <c r="AI94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4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4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4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4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4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4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941" spans="2:41" x14ac:dyDescent="0.25">
      <c r="B941" s="58" t="str">
        <f>Tabla1[[#This Row],[nudo inicial]]</f>
        <v>N503</v>
      </c>
      <c r="C941" s="58" t="str">
        <f>Tabla1[[#This Row],[nudo final]]</f>
        <v>TP332</v>
      </c>
      <c r="D941" s="51">
        <f>Tabla1[[#This Row],[longitud]]</f>
        <v>29.13</v>
      </c>
      <c r="E941" s="51" t="str">
        <f>Tabla1[[#This Row],[diametro]]</f>
        <v>2"</v>
      </c>
      <c r="F941" s="51" t="str">
        <f>Tabla1[[#This Row],[material]]</f>
        <v>PVC</v>
      </c>
      <c r="G94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941" s="52" t="str">
        <f>IF(Tabla1[[#This Row],[5]]="TPD",Tabla1[[#This Row],[6]],"")</f>
        <v/>
      </c>
      <c r="I941" s="52" t="str">
        <f>IF(OR(Tabla1[[#This Row],[5]]="TPD"),Tabla1[[#This Row],[7]],"")</f>
        <v/>
      </c>
      <c r="J941" s="52">
        <f>IF(Tabla15[[#This Row],[2]]="",0,VLOOKUP(TRAMOS!$H$2,Tabla5[#All],3,FALSE)*Tabla15[[#This Row],[3]])</f>
        <v>0</v>
      </c>
      <c r="K941" s="52" t="str">
        <f>IF(Tabla1[[#This Row],[5]]="TPL",Tabla1[[#This Row],[6]],"")</f>
        <v>2"</v>
      </c>
      <c r="L941" s="52">
        <f>IF(OR(Tabla1[[#This Row],[5]]="TPL"),Tabla1[[#This Row],[7]],"")</f>
        <v>1</v>
      </c>
      <c r="M941" s="52">
        <f>IF(Tabla15[[#This Row],[5]]="",0,VLOOKUP(TRAMOS!$K$2,Tabla5[#All],3,FALSE)*Tabla15[[#This Row],[6]])</f>
        <v>0.9</v>
      </c>
      <c r="N94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4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41" s="52">
        <f>IF(Tabla15[[#This Row],[8]]="",0,VLOOKUP(TRAMOS!$H$2,Tabla5[#All],3,FALSE)*Tabla15[[#This Row],[9]])</f>
        <v>0</v>
      </c>
      <c r="Q94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4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41" s="52">
        <f>IF(Tabla15[[#This Row],[11]]="",0,VLOOKUP(TRAMOS!$Q$2,Tabla5[#All],3,FALSE)*Tabla15[[#This Row],[12]])</f>
        <v>0</v>
      </c>
      <c r="T94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4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4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4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4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4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4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4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41" s="52">
        <f>IF(Tabla15[[#This Row],[20]]="",0,VLOOKUP("VRP",Tabla5[#All],3,FALSE)*Tabla15[[#This Row],[21]])</f>
        <v>0</v>
      </c>
      <c r="AC94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4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41" s="52">
        <f>IF(Tabla15[[#This Row],[23]]="",0,VLOOKUP("VC",Tabla5[#All],3,FALSE)*Tabla15[[#This Row],[24]])</f>
        <v>0</v>
      </c>
      <c r="AF94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4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41" s="52">
        <f>IF(Tabla15[[#This Row],[26]]="",0,VLOOKUP(TRAMOS!$K$2,Tabla5[#All],3,FALSE)*Tabla15[[#This Row],[27]])</f>
        <v>0</v>
      </c>
      <c r="AI94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4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4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4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4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941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94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942" spans="2:41" x14ac:dyDescent="0.25">
      <c r="B942" s="58" t="str">
        <f>Tabla1[[#This Row],[nudo inicial]]</f>
        <v>N503</v>
      </c>
      <c r="C942" s="58" t="str">
        <f>Tabla1[[#This Row],[nudo final]]</f>
        <v>TP333</v>
      </c>
      <c r="D942" s="51">
        <f>Tabla1[[#This Row],[longitud]]</f>
        <v>140.93</v>
      </c>
      <c r="E942" s="51" t="str">
        <f>Tabla1[[#This Row],[diametro]]</f>
        <v>2"</v>
      </c>
      <c r="F942" s="51" t="str">
        <f>Tabla1[[#This Row],[material]]</f>
        <v>PVC</v>
      </c>
      <c r="G94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942" s="52" t="str">
        <f>IF(Tabla1[[#This Row],[5]]="TPD",Tabla1[[#This Row],[6]],"")</f>
        <v/>
      </c>
      <c r="I942" s="52" t="str">
        <f>IF(OR(Tabla1[[#This Row],[5]]="TPD"),Tabla1[[#This Row],[7]],"")</f>
        <v/>
      </c>
      <c r="J942" s="52">
        <f>IF(Tabla15[[#This Row],[2]]="",0,VLOOKUP(TRAMOS!$H$2,Tabla5[#All],3,FALSE)*Tabla15[[#This Row],[3]])</f>
        <v>0</v>
      </c>
      <c r="K942" s="52" t="str">
        <f>IF(Tabla1[[#This Row],[5]]="TPL",Tabla1[[#This Row],[6]],"")</f>
        <v>2"</v>
      </c>
      <c r="L942" s="52">
        <f>IF(OR(Tabla1[[#This Row],[5]]="TPL"),Tabla1[[#This Row],[7]],"")</f>
        <v>1</v>
      </c>
      <c r="M942" s="52">
        <f>IF(Tabla15[[#This Row],[5]]="",0,VLOOKUP(TRAMOS!$K$2,Tabla5[#All],3,FALSE)*Tabla15[[#This Row],[6]])</f>
        <v>0.9</v>
      </c>
      <c r="N94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4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42" s="52">
        <f>IF(Tabla15[[#This Row],[8]]="",0,VLOOKUP(TRAMOS!$H$2,Tabla5[#All],3,FALSE)*Tabla15[[#This Row],[9]])</f>
        <v>0</v>
      </c>
      <c r="Q94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4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42" s="52">
        <f>IF(Tabla15[[#This Row],[11]]="",0,VLOOKUP(TRAMOS!$Q$2,Tabla5[#All],3,FALSE)*Tabla15[[#This Row],[12]])</f>
        <v>0</v>
      </c>
      <c r="T94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4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4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4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4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4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4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4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42" s="52">
        <f>IF(Tabla15[[#This Row],[20]]="",0,VLOOKUP("VRP",Tabla5[#All],3,FALSE)*Tabla15[[#This Row],[21]])</f>
        <v>0</v>
      </c>
      <c r="AC94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4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42" s="52">
        <f>IF(Tabla15[[#This Row],[23]]="",0,VLOOKUP("VC",Tabla5[#All],3,FALSE)*Tabla15[[#This Row],[24]])</f>
        <v>0</v>
      </c>
      <c r="AF94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4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42" s="52">
        <f>IF(Tabla15[[#This Row],[26]]="",0,VLOOKUP(TRAMOS!$K$2,Tabla5[#All],3,FALSE)*Tabla15[[#This Row],[27]])</f>
        <v>0</v>
      </c>
      <c r="AI94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4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4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4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4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942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94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943" spans="2:41" x14ac:dyDescent="0.25">
      <c r="B943" s="58" t="str">
        <f>Tabla1[[#This Row],[nudo inicial]]</f>
        <v>N499</v>
      </c>
      <c r="C943" s="58" t="str">
        <f>Tabla1[[#This Row],[nudo final]]</f>
        <v>N504</v>
      </c>
      <c r="D943" s="51">
        <f>Tabla1[[#This Row],[longitud]]</f>
        <v>12.66</v>
      </c>
      <c r="E943" s="51" t="str">
        <f>Tabla1[[#This Row],[diametro]]</f>
        <v>1/2"</v>
      </c>
      <c r="F943" s="51" t="str">
        <f>Tabla1[[#This Row],[material]]</f>
        <v>PVC</v>
      </c>
      <c r="G94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943" s="52" t="str">
        <f>IF(Tabla1[[#This Row],[5]]="TPD",Tabla1[[#This Row],[6]],"")</f>
        <v>3"</v>
      </c>
      <c r="I943" s="52">
        <f>IF(OR(Tabla1[[#This Row],[5]]="TPD"),Tabla1[[#This Row],[7]],"")</f>
        <v>1</v>
      </c>
      <c r="J943" s="52">
        <f>IF(Tabla15[[#This Row],[2]]="",0,VLOOKUP(TRAMOS!$H$2,Tabla5[#All],3,FALSE)*Tabla15[[#This Row],[3]])</f>
        <v>0.15</v>
      </c>
      <c r="K943" s="52" t="str">
        <f>IF(Tabla1[[#This Row],[5]]="TPL",Tabla1[[#This Row],[6]],"")</f>
        <v/>
      </c>
      <c r="L943" s="52" t="str">
        <f>IF(OR(Tabla1[[#This Row],[5]]="TPL"),Tabla1[[#This Row],[7]],"")</f>
        <v/>
      </c>
      <c r="M943" s="52">
        <f>IF(Tabla15[[#This Row],[5]]="",0,VLOOKUP(TRAMOS!$K$2,Tabla5[#All],3,FALSE)*Tabla15[[#This Row],[6]])</f>
        <v>0</v>
      </c>
      <c r="N94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4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43" s="52">
        <f>IF(Tabla15[[#This Row],[8]]="",0,VLOOKUP(TRAMOS!$H$2,Tabla5[#All],3,FALSE)*Tabla15[[#This Row],[9]])</f>
        <v>0</v>
      </c>
      <c r="Q94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4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43" s="52">
        <f>IF(Tabla15[[#This Row],[11]]="",0,VLOOKUP(TRAMOS!$Q$2,Tabla5[#All],3,FALSE)*Tabla15[[#This Row],[12]])</f>
        <v>0</v>
      </c>
      <c r="T94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1/2"</v>
      </c>
      <c r="U943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2</v>
      </c>
      <c r="V94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0.92</v>
      </c>
      <c r="W94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4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4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4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4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43" s="52">
        <f>IF(Tabla15[[#This Row],[20]]="",0,VLOOKUP("VRP",Tabla5[#All],3,FALSE)*Tabla15[[#This Row],[21]])</f>
        <v>0</v>
      </c>
      <c r="AC94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4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43" s="52">
        <f>IF(Tabla15[[#This Row],[23]]="",0,VLOOKUP("VC",Tabla5[#All],3,FALSE)*Tabla15[[#This Row],[24]])</f>
        <v>0</v>
      </c>
      <c r="AF94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4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43" s="52">
        <f>IF(Tabla15[[#This Row],[26]]="",0,VLOOKUP(TRAMOS!$K$2,Tabla5[#All],3,FALSE)*Tabla15[[#This Row],[27]])</f>
        <v>0</v>
      </c>
      <c r="AI94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4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4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4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4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4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4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1.07</v>
      </c>
    </row>
    <row r="944" spans="2:41" x14ac:dyDescent="0.25">
      <c r="B944" s="58" t="str">
        <f>Tabla1[[#This Row],[nudo inicial]]</f>
        <v>N504</v>
      </c>
      <c r="C944" s="58" t="str">
        <f>Tabla1[[#This Row],[nudo final]]</f>
        <v>TP334</v>
      </c>
      <c r="D944" s="51">
        <f>Tabla1[[#This Row],[longitud]]</f>
        <v>26.43</v>
      </c>
      <c r="E944" s="51" t="str">
        <f>Tabla1[[#This Row],[diametro]]</f>
        <v>1/2"</v>
      </c>
      <c r="F944" s="51" t="str">
        <f>Tabla1[[#This Row],[material]]</f>
        <v>PVC</v>
      </c>
      <c r="G94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944" s="52" t="str">
        <f>IF(Tabla1[[#This Row],[5]]="TPD",Tabla1[[#This Row],[6]],"")</f>
        <v>3"</v>
      </c>
      <c r="I944" s="52">
        <f>IF(OR(Tabla1[[#This Row],[5]]="TPD"),Tabla1[[#This Row],[7]],"")</f>
        <v>1</v>
      </c>
      <c r="J944" s="52">
        <f>IF(Tabla15[[#This Row],[2]]="",0,VLOOKUP(TRAMOS!$H$2,Tabla5[#All],3,FALSE)*Tabla15[[#This Row],[3]])</f>
        <v>0.15</v>
      </c>
      <c r="K944" s="52" t="str">
        <f>IF(Tabla1[[#This Row],[5]]="TPL",Tabla1[[#This Row],[6]],"")</f>
        <v/>
      </c>
      <c r="L944" s="52" t="str">
        <f>IF(OR(Tabla1[[#This Row],[5]]="TPL"),Tabla1[[#This Row],[7]],"")</f>
        <v/>
      </c>
      <c r="M944" s="52">
        <f>IF(Tabla15[[#This Row],[5]]="",0,VLOOKUP(TRAMOS!$K$2,Tabla5[#All],3,FALSE)*Tabla15[[#This Row],[6]])</f>
        <v>0</v>
      </c>
      <c r="N94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4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44" s="52">
        <f>IF(Tabla15[[#This Row],[8]]="",0,VLOOKUP(TRAMOS!$H$2,Tabla5[#All],3,FALSE)*Tabla15[[#This Row],[9]])</f>
        <v>0</v>
      </c>
      <c r="Q94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4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44" s="52">
        <f>IF(Tabla15[[#This Row],[11]]="",0,VLOOKUP(TRAMOS!$Q$2,Tabla5[#All],3,FALSE)*Tabla15[[#This Row],[12]])</f>
        <v>0</v>
      </c>
      <c r="T94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1/2"</v>
      </c>
      <c r="U944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94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0.46</v>
      </c>
      <c r="W94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4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4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4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4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44" s="52">
        <f>IF(Tabla15[[#This Row],[20]]="",0,VLOOKUP("VRP",Tabla5[#All],3,FALSE)*Tabla15[[#This Row],[21]])</f>
        <v>0</v>
      </c>
      <c r="AC94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4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44" s="52">
        <f>IF(Tabla15[[#This Row],[23]]="",0,VLOOKUP("VC",Tabla5[#All],3,FALSE)*Tabla15[[#This Row],[24]])</f>
        <v>0</v>
      </c>
      <c r="AF94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4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44" s="52">
        <f>IF(Tabla15[[#This Row],[26]]="",0,VLOOKUP(TRAMOS!$K$2,Tabla5[#All],3,FALSE)*Tabla15[[#This Row],[27]])</f>
        <v>0</v>
      </c>
      <c r="AI94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4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4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4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4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1/2"</v>
      </c>
      <c r="AN944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94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0.61</v>
      </c>
    </row>
    <row r="945" spans="2:41" x14ac:dyDescent="0.25">
      <c r="B945" s="58" t="str">
        <f>Tabla1[[#This Row],[nudo inicial]]</f>
        <v>N504</v>
      </c>
      <c r="C945" s="58" t="str">
        <f>Tabla1[[#This Row],[nudo final]]</f>
        <v>N487</v>
      </c>
      <c r="D945" s="51">
        <f>Tabla1[[#This Row],[longitud]]</f>
        <v>50.7</v>
      </c>
      <c r="E945" s="51" t="str">
        <f>Tabla1[[#This Row],[diametro]]</f>
        <v>3"</v>
      </c>
      <c r="F945" s="51" t="str">
        <f>Tabla1[[#This Row],[material]]</f>
        <v>PVC</v>
      </c>
      <c r="G94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945" s="52" t="str">
        <f>IF(Tabla1[[#This Row],[5]]="TPD",Tabla1[[#This Row],[6]],"")</f>
        <v/>
      </c>
      <c r="I945" s="52" t="str">
        <f>IF(OR(Tabla1[[#This Row],[5]]="TPD"),Tabla1[[#This Row],[7]],"")</f>
        <v/>
      </c>
      <c r="J945" s="52">
        <f>IF(Tabla15[[#This Row],[2]]="",0,VLOOKUP(TRAMOS!$H$2,Tabla5[#All],3,FALSE)*Tabla15[[#This Row],[3]])</f>
        <v>0</v>
      </c>
      <c r="K945" s="52" t="str">
        <f>IF(Tabla1[[#This Row],[5]]="TPL",Tabla1[[#This Row],[6]],"")</f>
        <v>3"</v>
      </c>
      <c r="L945" s="52">
        <f>IF(OR(Tabla1[[#This Row],[5]]="TPL"),Tabla1[[#This Row],[7]],"")</f>
        <v>1</v>
      </c>
      <c r="M945" s="52">
        <f>IF(Tabla15[[#This Row],[5]]="",0,VLOOKUP(TRAMOS!$K$2,Tabla5[#All],3,FALSE)*Tabla15[[#This Row],[6]])</f>
        <v>0.9</v>
      </c>
      <c r="N94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4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45" s="52">
        <f>IF(Tabla15[[#This Row],[8]]="",0,VLOOKUP(TRAMOS!$H$2,Tabla5[#All],3,FALSE)*Tabla15[[#This Row],[9]])</f>
        <v>0</v>
      </c>
      <c r="Q94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4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45" s="52">
        <f>IF(Tabla15[[#This Row],[11]]="",0,VLOOKUP(TRAMOS!$Q$2,Tabla5[#All],3,FALSE)*Tabla15[[#This Row],[12]])</f>
        <v>0</v>
      </c>
      <c r="T94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4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4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4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>4"</v>
      </c>
      <c r="X945" s="52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>1</v>
      </c>
      <c r="Y94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0.4740000000000002</v>
      </c>
      <c r="Z94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4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45" s="52">
        <f>IF(Tabla15[[#This Row],[20]]="",0,VLOOKUP("VRP",Tabla5[#All],3,FALSE)*Tabla15[[#This Row],[21]])</f>
        <v>0</v>
      </c>
      <c r="AC94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4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45" s="52">
        <f>IF(Tabla15[[#This Row],[23]]="",0,VLOOKUP("VC",Tabla5[#All],3,FALSE)*Tabla15[[#This Row],[24]])</f>
        <v>0</v>
      </c>
      <c r="AF94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4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45" s="52">
        <f>IF(Tabla15[[#This Row],[26]]="",0,VLOOKUP(TRAMOS!$K$2,Tabla5[#All],3,FALSE)*Tabla15[[#This Row],[27]])</f>
        <v>0</v>
      </c>
      <c r="AI94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4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4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4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4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4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4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1.3740000000000001</v>
      </c>
    </row>
    <row r="946" spans="2:41" x14ac:dyDescent="0.25">
      <c r="B946" s="58" t="str">
        <f>Tabla1[[#This Row],[nudo inicial]]</f>
        <v>N487</v>
      </c>
      <c r="C946" s="58" t="str">
        <f>Tabla1[[#This Row],[nudo final]]</f>
        <v>N505</v>
      </c>
      <c r="D946" s="51">
        <f>Tabla1[[#This Row],[longitud]]</f>
        <v>30.56</v>
      </c>
      <c r="E946" s="51" t="str">
        <f>Tabla1[[#This Row],[diametro]]</f>
        <v>4"</v>
      </c>
      <c r="F946" s="51" t="str">
        <f>Tabla1[[#This Row],[material]]</f>
        <v>PVC</v>
      </c>
      <c r="G94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946" s="52" t="str">
        <f>IF(Tabla1[[#This Row],[5]]="TPD",Tabla1[[#This Row],[6]],"")</f>
        <v>6"</v>
      </c>
      <c r="I946" s="52">
        <f>IF(OR(Tabla1[[#This Row],[5]]="TPD"),Tabla1[[#This Row],[7]],"")</f>
        <v>1</v>
      </c>
      <c r="J946" s="52">
        <f>IF(Tabla15[[#This Row],[2]]="",0,VLOOKUP(TRAMOS!$H$2,Tabla5[#All],3,FALSE)*Tabla15[[#This Row],[3]])</f>
        <v>0.15</v>
      </c>
      <c r="K946" s="52" t="str">
        <f>IF(Tabla1[[#This Row],[5]]="TPL",Tabla1[[#This Row],[6]],"")</f>
        <v/>
      </c>
      <c r="L946" s="52" t="str">
        <f>IF(OR(Tabla1[[#This Row],[5]]="TPL"),Tabla1[[#This Row],[7]],"")</f>
        <v/>
      </c>
      <c r="M946" s="52">
        <f>IF(Tabla15[[#This Row],[5]]="",0,VLOOKUP(TRAMOS!$K$2,Tabla5[#All],3,FALSE)*Tabla15[[#This Row],[6]])</f>
        <v>0</v>
      </c>
      <c r="N94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4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46" s="52">
        <f>IF(Tabla15[[#This Row],[8]]="",0,VLOOKUP(TRAMOS!$H$2,Tabla5[#All],3,FALSE)*Tabla15[[#This Row],[9]])</f>
        <v>0</v>
      </c>
      <c r="Q94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4"</v>
      </c>
      <c r="R946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946" s="52">
        <f>IF(Tabla15[[#This Row],[11]]="",0,VLOOKUP(TRAMOS!$Q$2,Tabla5[#All],3,FALSE)*Tabla15[[#This Row],[12]])</f>
        <v>0.9</v>
      </c>
      <c r="T94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4"</v>
      </c>
      <c r="U946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94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94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4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4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4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4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46" s="52">
        <f>IF(Tabla15[[#This Row],[20]]="",0,VLOOKUP("VRP",Tabla5[#All],3,FALSE)*Tabla15[[#This Row],[21]])</f>
        <v>0</v>
      </c>
      <c r="AC94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4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46" s="52">
        <f>IF(Tabla15[[#This Row],[23]]="",0,VLOOKUP("VC",Tabla5[#All],3,FALSE)*Tabla15[[#This Row],[24]])</f>
        <v>0</v>
      </c>
      <c r="AF94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4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46" s="52">
        <f>IF(Tabla15[[#This Row],[26]]="",0,VLOOKUP(TRAMOS!$K$2,Tabla5[#All],3,FALSE)*Tabla15[[#This Row],[27]])</f>
        <v>0</v>
      </c>
      <c r="AI94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4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4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4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4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4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4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1.2650000000000001</v>
      </c>
    </row>
    <row r="947" spans="2:41" x14ac:dyDescent="0.25">
      <c r="B947" s="58" t="str">
        <f>Tabla1[[#This Row],[nudo inicial]]</f>
        <v>N506</v>
      </c>
      <c r="C947" s="58" t="str">
        <f>Tabla1[[#This Row],[nudo final]]</f>
        <v>N506</v>
      </c>
      <c r="D947" s="51">
        <f>Tabla1[[#This Row],[longitud]]</f>
        <v>49.62</v>
      </c>
      <c r="E947" s="51" t="str">
        <f>Tabla1[[#This Row],[diametro]]</f>
        <v>4"</v>
      </c>
      <c r="F947" s="51" t="str">
        <f>Tabla1[[#This Row],[material]]</f>
        <v>PVC</v>
      </c>
      <c r="G94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947" s="52" t="str">
        <f>IF(Tabla1[[#This Row],[5]]="TPD",Tabla1[[#This Row],[6]],"")</f>
        <v/>
      </c>
      <c r="I947" s="52" t="str">
        <f>IF(OR(Tabla1[[#This Row],[5]]="TPD"),Tabla1[[#This Row],[7]],"")</f>
        <v/>
      </c>
      <c r="J947" s="52">
        <f>IF(Tabla15[[#This Row],[2]]="",0,VLOOKUP(TRAMOS!$H$2,Tabla5[#All],3,FALSE)*Tabla15[[#This Row],[3]])</f>
        <v>0</v>
      </c>
      <c r="K947" s="52" t="str">
        <f>IF(Tabla1[[#This Row],[5]]="TPL",Tabla1[[#This Row],[6]],"")</f>
        <v>4"</v>
      </c>
      <c r="L947" s="52">
        <f>IF(OR(Tabla1[[#This Row],[5]]="TPL"),Tabla1[[#This Row],[7]],"")</f>
        <v>1</v>
      </c>
      <c r="M947" s="52">
        <f>IF(Tabla15[[#This Row],[5]]="",0,VLOOKUP(TRAMOS!$K$2,Tabla5[#All],3,FALSE)*Tabla15[[#This Row],[6]])</f>
        <v>0.9</v>
      </c>
      <c r="N94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4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47" s="52">
        <f>IF(Tabla15[[#This Row],[8]]="",0,VLOOKUP(TRAMOS!$H$2,Tabla5[#All],3,FALSE)*Tabla15[[#This Row],[9]])</f>
        <v>0</v>
      </c>
      <c r="Q94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4"</v>
      </c>
      <c r="R947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2</v>
      </c>
      <c r="S947" s="52">
        <f>IF(Tabla15[[#This Row],[11]]="",0,VLOOKUP(TRAMOS!$Q$2,Tabla5[#All],3,FALSE)*Tabla15[[#This Row],[12]])</f>
        <v>1.8</v>
      </c>
      <c r="T94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4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4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4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4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4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4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4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47" s="52">
        <f>IF(Tabla15[[#This Row],[20]]="",0,VLOOKUP("VRP",Tabla5[#All],3,FALSE)*Tabla15[[#This Row],[21]])</f>
        <v>0</v>
      </c>
      <c r="AC94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4"</v>
      </c>
      <c r="AD947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947" s="52">
        <f>IF(Tabla15[[#This Row],[23]]="",0,VLOOKUP("VC",Tabla5[#All],3,FALSE)*Tabla15[[#This Row],[24]])</f>
        <v>0.25</v>
      </c>
      <c r="AF94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4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47" s="52">
        <f>IF(Tabla15[[#This Row],[26]]="",0,VLOOKUP(TRAMOS!$K$2,Tabla5[#All],3,FALSE)*Tabla15[[#This Row],[27]])</f>
        <v>0</v>
      </c>
      <c r="AI94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4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4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4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4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4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4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2.95</v>
      </c>
    </row>
    <row r="948" spans="2:41" x14ac:dyDescent="0.25">
      <c r="B948" s="58" t="str">
        <f>Tabla1[[#This Row],[nudo inicial]]</f>
        <v>N506</v>
      </c>
      <c r="C948" s="58" t="str">
        <f>Tabla1[[#This Row],[nudo final]]</f>
        <v>N507</v>
      </c>
      <c r="D948" s="51">
        <f>Tabla1[[#This Row],[longitud]]</f>
        <v>70.19</v>
      </c>
      <c r="E948" s="51" t="str">
        <f>Tabla1[[#This Row],[diametro]]</f>
        <v>3"</v>
      </c>
      <c r="F948" s="51" t="str">
        <f>Tabla1[[#This Row],[material]]</f>
        <v>PVC</v>
      </c>
      <c r="G94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948" s="52" t="str">
        <f>IF(Tabla1[[#This Row],[5]]="TPD",Tabla1[[#This Row],[6]],"")</f>
        <v/>
      </c>
      <c r="I948" s="52" t="str">
        <f>IF(OR(Tabla1[[#This Row],[5]]="TPD"),Tabla1[[#This Row],[7]],"")</f>
        <v/>
      </c>
      <c r="J948" s="52">
        <f>IF(Tabla15[[#This Row],[2]]="",0,VLOOKUP(TRAMOS!$H$2,Tabla5[#All],3,FALSE)*Tabla15[[#This Row],[3]])</f>
        <v>0</v>
      </c>
      <c r="K948" s="52" t="str">
        <f>IF(Tabla1[[#This Row],[5]]="TPL",Tabla1[[#This Row],[6]],"")</f>
        <v>4"</v>
      </c>
      <c r="L948" s="52">
        <f>IF(OR(Tabla1[[#This Row],[5]]="TPL"),Tabla1[[#This Row],[7]],"")</f>
        <v>1</v>
      </c>
      <c r="M948" s="52">
        <f>IF(Tabla15[[#This Row],[5]]="",0,VLOOKUP(TRAMOS!$K$2,Tabla5[#All],3,FALSE)*Tabla15[[#This Row],[6]])</f>
        <v>0.9</v>
      </c>
      <c r="N94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4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48" s="52">
        <f>IF(Tabla15[[#This Row],[8]]="",0,VLOOKUP(TRAMOS!$H$2,Tabla5[#All],3,FALSE)*Tabla15[[#This Row],[9]])</f>
        <v>0</v>
      </c>
      <c r="Q94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4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48" s="52">
        <f>IF(Tabla15[[#This Row],[11]]="",0,VLOOKUP(TRAMOS!$Q$2,Tabla5[#All],3,FALSE)*Tabla15[[#This Row],[12]])</f>
        <v>0</v>
      </c>
      <c r="T94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948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94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0.13850000000000007</v>
      </c>
      <c r="W94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4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4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4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4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48" s="52">
        <f>IF(Tabla15[[#This Row],[20]]="",0,VLOOKUP("VRP",Tabla5[#All],3,FALSE)*Tabla15[[#This Row],[21]])</f>
        <v>0</v>
      </c>
      <c r="AC94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948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948" s="52">
        <f>IF(Tabla15[[#This Row],[23]]="",0,VLOOKUP("VC",Tabla5[#All],3,FALSE)*Tabla15[[#This Row],[24]])</f>
        <v>0.25</v>
      </c>
      <c r="AF94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4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48" s="52">
        <f>IF(Tabla15[[#This Row],[26]]="",0,VLOOKUP(TRAMOS!$K$2,Tabla5[#All],3,FALSE)*Tabla15[[#This Row],[27]])</f>
        <v>0</v>
      </c>
      <c r="AI94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4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4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4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4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4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4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1.2885</v>
      </c>
    </row>
    <row r="949" spans="2:41" x14ac:dyDescent="0.25">
      <c r="B949" s="58" t="str">
        <f>Tabla1[[#This Row],[nudo inicial]]</f>
        <v>N507</v>
      </c>
      <c r="C949" s="58" t="str">
        <f>Tabla1[[#This Row],[nudo final]]</f>
        <v>TP335</v>
      </c>
      <c r="D949" s="51">
        <f>Tabla1[[#This Row],[longitud]]</f>
        <v>7.96</v>
      </c>
      <c r="E949" s="51" t="str">
        <f>Tabla1[[#This Row],[diametro]]</f>
        <v>2"</v>
      </c>
      <c r="F949" s="51" t="str">
        <f>Tabla1[[#This Row],[material]]</f>
        <v>PVC</v>
      </c>
      <c r="G94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949" s="52" t="str">
        <f>IF(Tabla1[[#This Row],[5]]="TPD",Tabla1[[#This Row],[6]],"")</f>
        <v/>
      </c>
      <c r="I949" s="52" t="str">
        <f>IF(OR(Tabla1[[#This Row],[5]]="TPD"),Tabla1[[#This Row],[7]],"")</f>
        <v/>
      </c>
      <c r="J949" s="52">
        <f>IF(Tabla15[[#This Row],[2]]="",0,VLOOKUP(TRAMOS!$H$2,Tabla5[#All],3,FALSE)*Tabla15[[#This Row],[3]])</f>
        <v>0</v>
      </c>
      <c r="K949" s="52" t="str">
        <f>IF(Tabla1[[#This Row],[5]]="TPL",Tabla1[[#This Row],[6]],"")</f>
        <v>3"</v>
      </c>
      <c r="L949" s="52">
        <f>IF(OR(Tabla1[[#This Row],[5]]="TPL"),Tabla1[[#This Row],[7]],"")</f>
        <v>1</v>
      </c>
      <c r="M949" s="52">
        <f>IF(Tabla15[[#This Row],[5]]="",0,VLOOKUP(TRAMOS!$K$2,Tabla5[#All],3,FALSE)*Tabla15[[#This Row],[6]])</f>
        <v>0.9</v>
      </c>
      <c r="N94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4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49" s="52">
        <f>IF(Tabla15[[#This Row],[8]]="",0,VLOOKUP(TRAMOS!$H$2,Tabla5[#All],3,FALSE)*Tabla15[[#This Row],[9]])</f>
        <v>0</v>
      </c>
      <c r="Q94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4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49" s="52">
        <f>IF(Tabla15[[#This Row],[11]]="",0,VLOOKUP(TRAMOS!$Q$2,Tabla5[#All],3,FALSE)*Tabla15[[#This Row],[12]])</f>
        <v>0</v>
      </c>
      <c r="T94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949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94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94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4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4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4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4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49" s="52">
        <f>IF(Tabla15[[#This Row],[20]]="",0,VLOOKUP("VRP",Tabla5[#All],3,FALSE)*Tabla15[[#This Row],[21]])</f>
        <v>0</v>
      </c>
      <c r="AC94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4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49" s="52">
        <f>IF(Tabla15[[#This Row],[23]]="",0,VLOOKUP("VC",Tabla5[#All],3,FALSE)*Tabla15[[#This Row],[24]])</f>
        <v>0</v>
      </c>
      <c r="AF94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4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49" s="52">
        <f>IF(Tabla15[[#This Row],[26]]="",0,VLOOKUP(TRAMOS!$K$2,Tabla5[#All],3,FALSE)*Tabla15[[#This Row],[27]])</f>
        <v>0</v>
      </c>
      <c r="AI94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4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4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4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4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949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94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950" spans="2:41" x14ac:dyDescent="0.25">
      <c r="B950" s="58" t="str">
        <f>Tabla1[[#This Row],[nudo inicial]]</f>
        <v>N507</v>
      </c>
      <c r="C950" s="58" t="str">
        <f>Tabla1[[#This Row],[nudo final]]</f>
        <v>N508</v>
      </c>
      <c r="D950" s="51">
        <f>Tabla1[[#This Row],[longitud]]</f>
        <v>33.4</v>
      </c>
      <c r="E950" s="51" t="str">
        <f>Tabla1[[#This Row],[diametro]]</f>
        <v>3"</v>
      </c>
      <c r="F950" s="51" t="str">
        <f>Tabla1[[#This Row],[material]]</f>
        <v>PVC</v>
      </c>
      <c r="G95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950" s="52" t="str">
        <f>IF(Tabla1[[#This Row],[5]]="TPD",Tabla1[[#This Row],[6]],"")</f>
        <v>3"</v>
      </c>
      <c r="I950" s="52">
        <f>IF(OR(Tabla1[[#This Row],[5]]="TPD"),Tabla1[[#This Row],[7]],"")</f>
        <v>1</v>
      </c>
      <c r="J950" s="52">
        <f>IF(Tabla15[[#This Row],[2]]="",0,VLOOKUP(TRAMOS!$H$2,Tabla5[#All],3,FALSE)*Tabla15[[#This Row],[3]])</f>
        <v>0.15</v>
      </c>
      <c r="K950" s="52" t="str">
        <f>IF(Tabla1[[#This Row],[5]]="TPL",Tabla1[[#This Row],[6]],"")</f>
        <v/>
      </c>
      <c r="L950" s="52" t="str">
        <f>IF(OR(Tabla1[[#This Row],[5]]="TPL"),Tabla1[[#This Row],[7]],"")</f>
        <v/>
      </c>
      <c r="M950" s="52">
        <f>IF(Tabla15[[#This Row],[5]]="",0,VLOOKUP(TRAMOS!$K$2,Tabla5[#All],3,FALSE)*Tabla15[[#This Row],[6]])</f>
        <v>0</v>
      </c>
      <c r="N95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5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50" s="52">
        <f>IF(Tabla15[[#This Row],[8]]="",0,VLOOKUP(TRAMOS!$H$2,Tabla5[#All],3,FALSE)*Tabla15[[#This Row],[9]])</f>
        <v>0</v>
      </c>
      <c r="Q95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5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50" s="52">
        <f>IF(Tabla15[[#This Row],[11]]="",0,VLOOKUP(TRAMOS!$Q$2,Tabla5[#All],3,FALSE)*Tabla15[[#This Row],[12]])</f>
        <v>0</v>
      </c>
      <c r="T95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5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5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5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5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5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5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5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50" s="52">
        <f>IF(Tabla15[[#This Row],[20]]="",0,VLOOKUP("VRP",Tabla5[#All],3,FALSE)*Tabla15[[#This Row],[21]])</f>
        <v>0</v>
      </c>
      <c r="AC95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5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50" s="52">
        <f>IF(Tabla15[[#This Row],[23]]="",0,VLOOKUP("VC",Tabla5[#All],3,FALSE)*Tabla15[[#This Row],[24]])</f>
        <v>0</v>
      </c>
      <c r="AF95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5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50" s="52">
        <f>IF(Tabla15[[#This Row],[26]]="",0,VLOOKUP(TRAMOS!$K$2,Tabla5[#All],3,FALSE)*Tabla15[[#This Row],[27]])</f>
        <v>0</v>
      </c>
      <c r="AI95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5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5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5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5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5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5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951" spans="2:41" x14ac:dyDescent="0.25">
      <c r="B951" s="58" t="str">
        <f>Tabla1[[#This Row],[nudo inicial]]</f>
        <v>N508</v>
      </c>
      <c r="C951" s="58" t="str">
        <f>Tabla1[[#This Row],[nudo final]]</f>
        <v>N509</v>
      </c>
      <c r="D951" s="51">
        <f>Tabla1[[#This Row],[longitud]]</f>
        <v>28.32</v>
      </c>
      <c r="E951" s="51" t="str">
        <f>Tabla1[[#This Row],[diametro]]</f>
        <v>4"</v>
      </c>
      <c r="F951" s="51" t="str">
        <f>Tabla1[[#This Row],[material]]</f>
        <v>PVC</v>
      </c>
      <c r="G95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951" s="52" t="str">
        <f>IF(Tabla1[[#This Row],[5]]="TPD",Tabla1[[#This Row],[6]],"")</f>
        <v>3"</v>
      </c>
      <c r="I951" s="52">
        <f>IF(OR(Tabla1[[#This Row],[5]]="TPD"),Tabla1[[#This Row],[7]],"")</f>
        <v>1</v>
      </c>
      <c r="J951" s="52">
        <f>IF(Tabla15[[#This Row],[2]]="",0,VLOOKUP(TRAMOS!$H$2,Tabla5[#All],3,FALSE)*Tabla15[[#This Row],[3]])</f>
        <v>0.15</v>
      </c>
      <c r="K951" s="52" t="str">
        <f>IF(Tabla1[[#This Row],[5]]="TPL",Tabla1[[#This Row],[6]],"")</f>
        <v/>
      </c>
      <c r="L951" s="52" t="str">
        <f>IF(OR(Tabla1[[#This Row],[5]]="TPL"),Tabla1[[#This Row],[7]],"")</f>
        <v/>
      </c>
      <c r="M951" s="52">
        <f>IF(Tabla15[[#This Row],[5]]="",0,VLOOKUP(TRAMOS!$K$2,Tabla5[#All],3,FALSE)*Tabla15[[#This Row],[6]])</f>
        <v>0</v>
      </c>
      <c r="N95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5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51" s="52">
        <f>IF(Tabla15[[#This Row],[8]]="",0,VLOOKUP(TRAMOS!$H$2,Tabla5[#All],3,FALSE)*Tabla15[[#This Row],[9]])</f>
        <v>0</v>
      </c>
      <c r="Q95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5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51" s="52">
        <f>IF(Tabla15[[#This Row],[11]]="",0,VLOOKUP(TRAMOS!$Q$2,Tabla5[#All],3,FALSE)*Tabla15[[#This Row],[12]])</f>
        <v>0</v>
      </c>
      <c r="T95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5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5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5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>4"</v>
      </c>
      <c r="X951" s="52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>1</v>
      </c>
      <c r="Y95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0.4740000000000002</v>
      </c>
      <c r="Z95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5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51" s="52">
        <f>IF(Tabla15[[#This Row],[20]]="",0,VLOOKUP("VRP",Tabla5[#All],3,FALSE)*Tabla15[[#This Row],[21]])</f>
        <v>0</v>
      </c>
      <c r="AC95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4"</v>
      </c>
      <c r="AD951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951" s="52">
        <f>IF(Tabla15[[#This Row],[23]]="",0,VLOOKUP("VC",Tabla5[#All],3,FALSE)*Tabla15[[#This Row],[24]])</f>
        <v>0.25</v>
      </c>
      <c r="AF95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5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51" s="52">
        <f>IF(Tabla15[[#This Row],[26]]="",0,VLOOKUP(TRAMOS!$K$2,Tabla5[#All],3,FALSE)*Tabla15[[#This Row],[27]])</f>
        <v>0</v>
      </c>
      <c r="AI95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5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5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5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5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5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5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0.87400000000000022</v>
      </c>
    </row>
    <row r="952" spans="2:41" x14ac:dyDescent="0.25">
      <c r="B952" s="58" t="str">
        <f>Tabla1[[#This Row],[nudo inicial]]</f>
        <v>N509</v>
      </c>
      <c r="C952" s="58" t="str">
        <f>Tabla1[[#This Row],[nudo final]]</f>
        <v>TP336</v>
      </c>
      <c r="D952" s="51">
        <f>Tabla1[[#This Row],[longitud]]</f>
        <v>6.68</v>
      </c>
      <c r="E952" s="51" t="str">
        <f>Tabla1[[#This Row],[diametro]]</f>
        <v>4"</v>
      </c>
      <c r="F952" s="51" t="str">
        <f>Tabla1[[#This Row],[material]]</f>
        <v>PVC</v>
      </c>
      <c r="G95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952" s="52" t="str">
        <f>IF(Tabla1[[#This Row],[5]]="TPD",Tabla1[[#This Row],[6]],"")</f>
        <v/>
      </c>
      <c r="I952" s="52" t="str">
        <f>IF(OR(Tabla1[[#This Row],[5]]="TPD"),Tabla1[[#This Row],[7]],"")</f>
        <v/>
      </c>
      <c r="J952" s="52">
        <f>IF(Tabla15[[#This Row],[2]]="",0,VLOOKUP(TRAMOS!$H$2,Tabla5[#All],3,FALSE)*Tabla15[[#This Row],[3]])</f>
        <v>0</v>
      </c>
      <c r="K952" s="52" t="str">
        <f>IF(Tabla1[[#This Row],[5]]="TPL",Tabla1[[#This Row],[6]],"")</f>
        <v>4"</v>
      </c>
      <c r="L952" s="52">
        <f>IF(OR(Tabla1[[#This Row],[5]]="TPL"),Tabla1[[#This Row],[7]],"")</f>
        <v>1</v>
      </c>
      <c r="M952" s="52">
        <f>IF(Tabla15[[#This Row],[5]]="",0,VLOOKUP(TRAMOS!$K$2,Tabla5[#All],3,FALSE)*Tabla15[[#This Row],[6]])</f>
        <v>0.9</v>
      </c>
      <c r="N95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5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52" s="52">
        <f>IF(Tabla15[[#This Row],[8]]="",0,VLOOKUP(TRAMOS!$H$2,Tabla5[#All],3,FALSE)*Tabla15[[#This Row],[9]])</f>
        <v>0</v>
      </c>
      <c r="Q95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5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52" s="52">
        <f>IF(Tabla15[[#This Row],[11]]="",0,VLOOKUP(TRAMOS!$Q$2,Tabla5[#All],3,FALSE)*Tabla15[[#This Row],[12]])</f>
        <v>0</v>
      </c>
      <c r="T95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5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5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5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5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5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5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5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52" s="52">
        <f>IF(Tabla15[[#This Row],[20]]="",0,VLOOKUP("VRP",Tabla5[#All],3,FALSE)*Tabla15[[#This Row],[21]])</f>
        <v>0</v>
      </c>
      <c r="AC95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5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52" s="52">
        <f>IF(Tabla15[[#This Row],[23]]="",0,VLOOKUP("VC",Tabla5[#All],3,FALSE)*Tabla15[[#This Row],[24]])</f>
        <v>0</v>
      </c>
      <c r="AF95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5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52" s="52">
        <f>IF(Tabla15[[#This Row],[26]]="",0,VLOOKUP(TRAMOS!$K$2,Tabla5[#All],3,FALSE)*Tabla15[[#This Row],[27]])</f>
        <v>0</v>
      </c>
      <c r="AI95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5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5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5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5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4"</v>
      </c>
      <c r="AN952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95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953" spans="2:41" x14ac:dyDescent="0.25">
      <c r="B953" s="58" t="str">
        <f>Tabla1[[#This Row],[nudo inicial]]</f>
        <v>N509</v>
      </c>
      <c r="C953" s="58" t="str">
        <f>Tabla1[[#This Row],[nudo final]]</f>
        <v>N510</v>
      </c>
      <c r="D953" s="51">
        <f>Tabla1[[#This Row],[longitud]]</f>
        <v>95.16</v>
      </c>
      <c r="E953" s="51" t="str">
        <f>Tabla1[[#This Row],[diametro]]</f>
        <v>4"</v>
      </c>
      <c r="F953" s="51" t="str">
        <f>Tabla1[[#This Row],[material]]</f>
        <v>PVC</v>
      </c>
      <c r="G95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953" s="52" t="str">
        <f>IF(Tabla1[[#This Row],[5]]="TPD",Tabla1[[#This Row],[6]],"")</f>
        <v/>
      </c>
      <c r="I953" s="52" t="str">
        <f>IF(OR(Tabla1[[#This Row],[5]]="TPD"),Tabla1[[#This Row],[7]],"")</f>
        <v/>
      </c>
      <c r="J953" s="52">
        <f>IF(Tabla15[[#This Row],[2]]="",0,VLOOKUP(TRAMOS!$H$2,Tabla5[#All],3,FALSE)*Tabla15[[#This Row],[3]])</f>
        <v>0</v>
      </c>
      <c r="K953" s="52" t="str">
        <f>IF(Tabla1[[#This Row],[5]]="TPL",Tabla1[[#This Row],[6]],"")</f>
        <v>4"</v>
      </c>
      <c r="L953" s="52">
        <f>IF(OR(Tabla1[[#This Row],[5]]="TPL"),Tabla1[[#This Row],[7]],"")</f>
        <v>1</v>
      </c>
      <c r="M953" s="52">
        <f>IF(Tabla15[[#This Row],[5]]="",0,VLOOKUP(TRAMOS!$K$2,Tabla5[#All],3,FALSE)*Tabla15[[#This Row],[6]])</f>
        <v>0.9</v>
      </c>
      <c r="N95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5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53" s="52">
        <f>IF(Tabla15[[#This Row],[8]]="",0,VLOOKUP(TRAMOS!$H$2,Tabla5[#All],3,FALSE)*Tabla15[[#This Row],[9]])</f>
        <v>0</v>
      </c>
      <c r="Q95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5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53" s="52">
        <f>IF(Tabla15[[#This Row],[11]]="",0,VLOOKUP(TRAMOS!$Q$2,Tabla5[#All],3,FALSE)*Tabla15[[#This Row],[12]])</f>
        <v>0</v>
      </c>
      <c r="T95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5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5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5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5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5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5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5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53" s="52">
        <f>IF(Tabla15[[#This Row],[20]]="",0,VLOOKUP("VRP",Tabla5[#All],3,FALSE)*Tabla15[[#This Row],[21]])</f>
        <v>0</v>
      </c>
      <c r="AC95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5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53" s="52">
        <f>IF(Tabla15[[#This Row],[23]]="",0,VLOOKUP("VC",Tabla5[#All],3,FALSE)*Tabla15[[#This Row],[24]])</f>
        <v>0</v>
      </c>
      <c r="AF95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5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53" s="52">
        <f>IF(Tabla15[[#This Row],[26]]="",0,VLOOKUP(TRAMOS!$K$2,Tabla5[#All],3,FALSE)*Tabla15[[#This Row],[27]])</f>
        <v>0</v>
      </c>
      <c r="AI95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5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5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5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5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5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5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954" spans="2:41" x14ac:dyDescent="0.25">
      <c r="B954" s="58" t="str">
        <f>Tabla1[[#This Row],[nudo inicial]]</f>
        <v>N510</v>
      </c>
      <c r="C954" s="58" t="str">
        <f>Tabla1[[#This Row],[nudo final]]</f>
        <v>TP337</v>
      </c>
      <c r="D954" s="51">
        <f>Tabla1[[#This Row],[longitud]]</f>
        <v>86.48</v>
      </c>
      <c r="E954" s="51" t="str">
        <f>Tabla1[[#This Row],[diametro]]</f>
        <v>3/4"</v>
      </c>
      <c r="F954" s="51" t="str">
        <f>Tabla1[[#This Row],[material]]</f>
        <v>PVC</v>
      </c>
      <c r="G95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954" s="52" t="str">
        <f>IF(Tabla1[[#This Row],[5]]="TPD",Tabla1[[#This Row],[6]],"")</f>
        <v/>
      </c>
      <c r="I954" s="52" t="str">
        <f>IF(OR(Tabla1[[#This Row],[5]]="TPD"),Tabla1[[#This Row],[7]],"")</f>
        <v/>
      </c>
      <c r="J954" s="52">
        <f>IF(Tabla15[[#This Row],[2]]="",0,VLOOKUP(TRAMOS!$H$2,Tabla5[#All],3,FALSE)*Tabla15[[#This Row],[3]])</f>
        <v>0</v>
      </c>
      <c r="K954" s="52" t="str">
        <f>IF(Tabla1[[#This Row],[5]]="TPL",Tabla1[[#This Row],[6]],"")</f>
        <v>4"</v>
      </c>
      <c r="L954" s="52">
        <f>IF(OR(Tabla1[[#This Row],[5]]="TPL"),Tabla1[[#This Row],[7]],"")</f>
        <v>1</v>
      </c>
      <c r="M954" s="52">
        <f>IF(Tabla15[[#This Row],[5]]="",0,VLOOKUP(TRAMOS!$K$2,Tabla5[#All],3,FALSE)*Tabla15[[#This Row],[6]])</f>
        <v>0.9</v>
      </c>
      <c r="N95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5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54" s="52">
        <f>IF(Tabla15[[#This Row],[8]]="",0,VLOOKUP(TRAMOS!$H$2,Tabla5[#All],3,FALSE)*Tabla15[[#This Row],[9]])</f>
        <v>0</v>
      </c>
      <c r="Q95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5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54" s="52">
        <f>IF(Tabla15[[#This Row],[11]]="",0,VLOOKUP(TRAMOS!$Q$2,Tabla5[#All],3,FALSE)*Tabla15[[#This Row],[12]])</f>
        <v>0</v>
      </c>
      <c r="T95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3/4"</v>
      </c>
      <c r="U954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95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0.46</v>
      </c>
      <c r="W95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5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5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5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5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54" s="52">
        <f>IF(Tabla15[[#This Row],[20]]="",0,VLOOKUP("VRP",Tabla5[#All],3,FALSE)*Tabla15[[#This Row],[21]])</f>
        <v>0</v>
      </c>
      <c r="AC95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5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54" s="52">
        <f>IF(Tabla15[[#This Row],[23]]="",0,VLOOKUP("VC",Tabla5[#All],3,FALSE)*Tabla15[[#This Row],[24]])</f>
        <v>0</v>
      </c>
      <c r="AF95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5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54" s="52">
        <f>IF(Tabla15[[#This Row],[26]]="",0,VLOOKUP(TRAMOS!$K$2,Tabla5[#All],3,FALSE)*Tabla15[[#This Row],[27]])</f>
        <v>0</v>
      </c>
      <c r="AI95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5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5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5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5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3/4"</v>
      </c>
      <c r="AN954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95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1.36</v>
      </c>
    </row>
    <row r="955" spans="2:41" x14ac:dyDescent="0.25">
      <c r="B955" s="58" t="str">
        <f>Tabla1[[#This Row],[nudo inicial]]</f>
        <v>N510</v>
      </c>
      <c r="C955" s="58" t="str">
        <f>Tabla1[[#This Row],[nudo final]]</f>
        <v>N511</v>
      </c>
      <c r="D955" s="51">
        <f>Tabla1[[#This Row],[longitud]]</f>
        <v>35.46</v>
      </c>
      <c r="E955" s="51" t="str">
        <f>Tabla1[[#This Row],[diametro]]</f>
        <v>4"</v>
      </c>
      <c r="F955" s="51" t="str">
        <f>Tabla1[[#This Row],[material]]</f>
        <v>HF</v>
      </c>
      <c r="G95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955" s="52" t="str">
        <f>IF(Tabla1[[#This Row],[5]]="TPD",Tabla1[[#This Row],[6]],"")</f>
        <v>4"</v>
      </c>
      <c r="I955" s="52">
        <f>IF(OR(Tabla1[[#This Row],[5]]="TPD"),Tabla1[[#This Row],[7]],"")</f>
        <v>1</v>
      </c>
      <c r="J955" s="52">
        <f>IF(Tabla15[[#This Row],[2]]="",0,VLOOKUP(TRAMOS!$H$2,Tabla5[#All],3,FALSE)*Tabla15[[#This Row],[3]])</f>
        <v>0.15</v>
      </c>
      <c r="K955" s="52" t="str">
        <f>IF(Tabla1[[#This Row],[5]]="TPL",Tabla1[[#This Row],[6]],"")</f>
        <v/>
      </c>
      <c r="L955" s="52" t="str">
        <f>IF(OR(Tabla1[[#This Row],[5]]="TPL"),Tabla1[[#This Row],[7]],"")</f>
        <v/>
      </c>
      <c r="M955" s="52">
        <f>IF(Tabla15[[#This Row],[5]]="",0,VLOOKUP(TRAMOS!$K$2,Tabla5[#All],3,FALSE)*Tabla15[[#This Row],[6]])</f>
        <v>0</v>
      </c>
      <c r="N95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5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55" s="52">
        <f>IF(Tabla15[[#This Row],[8]]="",0,VLOOKUP(TRAMOS!$H$2,Tabla5[#All],3,FALSE)*Tabla15[[#This Row],[9]])</f>
        <v>0</v>
      </c>
      <c r="Q95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5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55" s="52">
        <f>IF(Tabla15[[#This Row],[11]]="",0,VLOOKUP(TRAMOS!$Q$2,Tabla5[#All],3,FALSE)*Tabla15[[#This Row],[12]])</f>
        <v>0</v>
      </c>
      <c r="T95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5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5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5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5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5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5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5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55" s="52">
        <f>IF(Tabla15[[#This Row],[20]]="",0,VLOOKUP("VRP",Tabla5[#All],3,FALSE)*Tabla15[[#This Row],[21]])</f>
        <v>0</v>
      </c>
      <c r="AC95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5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55" s="52">
        <f>IF(Tabla15[[#This Row],[23]]="",0,VLOOKUP("VC",Tabla5[#All],3,FALSE)*Tabla15[[#This Row],[24]])</f>
        <v>0</v>
      </c>
      <c r="AF95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5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55" s="52">
        <f>IF(Tabla15[[#This Row],[26]]="",0,VLOOKUP(TRAMOS!$K$2,Tabla5[#All],3,FALSE)*Tabla15[[#This Row],[27]])</f>
        <v>0</v>
      </c>
      <c r="AI95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5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5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5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5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5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5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956" spans="2:41" x14ac:dyDescent="0.25">
      <c r="B956" s="58" t="str">
        <f>Tabla1[[#This Row],[nudo inicial]]</f>
        <v>N511</v>
      </c>
      <c r="C956" s="58" t="str">
        <f>Tabla1[[#This Row],[nudo final]]</f>
        <v>N512</v>
      </c>
      <c r="D956" s="51">
        <f>Tabla1[[#This Row],[longitud]]</f>
        <v>26.72</v>
      </c>
      <c r="E956" s="51" t="str">
        <f>Tabla1[[#This Row],[diametro]]</f>
        <v>4"</v>
      </c>
      <c r="F956" s="51" t="str">
        <f>Tabla1[[#This Row],[material]]</f>
        <v>HF</v>
      </c>
      <c r="G95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956" s="52" t="str">
        <f>IF(Tabla1[[#This Row],[5]]="TPD",Tabla1[[#This Row],[6]],"")</f>
        <v>4"</v>
      </c>
      <c r="I956" s="52">
        <f>IF(OR(Tabla1[[#This Row],[5]]="TPD"),Tabla1[[#This Row],[7]],"")</f>
        <v>1</v>
      </c>
      <c r="J956" s="52">
        <f>IF(Tabla15[[#This Row],[2]]="",0,VLOOKUP(TRAMOS!$H$2,Tabla5[#All],3,FALSE)*Tabla15[[#This Row],[3]])</f>
        <v>0.15</v>
      </c>
      <c r="K956" s="52" t="str">
        <f>IF(Tabla1[[#This Row],[5]]="TPL",Tabla1[[#This Row],[6]],"")</f>
        <v/>
      </c>
      <c r="L956" s="52" t="str">
        <f>IF(OR(Tabla1[[#This Row],[5]]="TPL"),Tabla1[[#This Row],[7]],"")</f>
        <v/>
      </c>
      <c r="M956" s="52">
        <f>IF(Tabla15[[#This Row],[5]]="",0,VLOOKUP(TRAMOS!$K$2,Tabla5[#All],3,FALSE)*Tabla15[[#This Row],[6]])</f>
        <v>0</v>
      </c>
      <c r="N95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5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56" s="52">
        <f>IF(Tabla15[[#This Row],[8]]="",0,VLOOKUP(TRAMOS!$H$2,Tabla5[#All],3,FALSE)*Tabla15[[#This Row],[9]])</f>
        <v>0</v>
      </c>
      <c r="Q95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5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56" s="52">
        <f>IF(Tabla15[[#This Row],[11]]="",0,VLOOKUP(TRAMOS!$Q$2,Tabla5[#All],3,FALSE)*Tabla15[[#This Row],[12]])</f>
        <v>0</v>
      </c>
      <c r="T95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5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5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5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5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5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5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5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56" s="52">
        <f>IF(Tabla15[[#This Row],[20]]="",0,VLOOKUP("VRP",Tabla5[#All],3,FALSE)*Tabla15[[#This Row],[21]])</f>
        <v>0</v>
      </c>
      <c r="AC95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5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56" s="52">
        <f>IF(Tabla15[[#This Row],[23]]="",0,VLOOKUP("VC",Tabla5[#All],3,FALSE)*Tabla15[[#This Row],[24]])</f>
        <v>0</v>
      </c>
      <c r="AF95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5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56" s="52">
        <f>IF(Tabla15[[#This Row],[26]]="",0,VLOOKUP(TRAMOS!$K$2,Tabla5[#All],3,FALSE)*Tabla15[[#This Row],[27]])</f>
        <v>0</v>
      </c>
      <c r="AI95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5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5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5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5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5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5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957" spans="2:41" x14ac:dyDescent="0.25">
      <c r="B957" s="58" t="str">
        <f>Tabla1[[#This Row],[nudo inicial]]</f>
        <v>N512</v>
      </c>
      <c r="C957" s="58" t="str">
        <f>Tabla1[[#This Row],[nudo final]]</f>
        <v>N513</v>
      </c>
      <c r="D957" s="51">
        <f>Tabla1[[#This Row],[longitud]]</f>
        <v>38.22</v>
      </c>
      <c r="E957" s="51" t="str">
        <f>Tabla1[[#This Row],[diametro]]</f>
        <v>4"</v>
      </c>
      <c r="F957" s="51" t="str">
        <f>Tabla1[[#This Row],[material]]</f>
        <v>PVC</v>
      </c>
      <c r="G95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957" s="52" t="str">
        <f>IF(Tabla1[[#This Row],[5]]="TPD",Tabla1[[#This Row],[6]],"")</f>
        <v/>
      </c>
      <c r="I957" s="52" t="str">
        <f>IF(OR(Tabla1[[#This Row],[5]]="TPD"),Tabla1[[#This Row],[7]],"")</f>
        <v/>
      </c>
      <c r="J957" s="52">
        <f>IF(Tabla15[[#This Row],[2]]="",0,VLOOKUP(TRAMOS!$H$2,Tabla5[#All],3,FALSE)*Tabla15[[#This Row],[3]])</f>
        <v>0</v>
      </c>
      <c r="K957" s="52" t="str">
        <f>IF(Tabla1[[#This Row],[5]]="TPL",Tabla1[[#This Row],[6]],"")</f>
        <v/>
      </c>
      <c r="L957" s="52" t="str">
        <f>IF(OR(Tabla1[[#This Row],[5]]="TPL"),Tabla1[[#This Row],[7]],"")</f>
        <v/>
      </c>
      <c r="M957" s="52">
        <f>IF(Tabla15[[#This Row],[5]]="",0,VLOOKUP(TRAMOS!$K$2,Tabla5[#All],3,FALSE)*Tabla15[[#This Row],[6]])</f>
        <v>0</v>
      </c>
      <c r="N95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5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57" s="52">
        <f>IF(Tabla15[[#This Row],[8]]="",0,VLOOKUP(TRAMOS!$H$2,Tabla5[#All],3,FALSE)*Tabla15[[#This Row],[9]])</f>
        <v>0</v>
      </c>
      <c r="Q95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5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57" s="52">
        <f>IF(Tabla15[[#This Row],[11]]="",0,VLOOKUP(TRAMOS!$Q$2,Tabla5[#All],3,FALSE)*Tabla15[[#This Row],[12]])</f>
        <v>0</v>
      </c>
      <c r="T95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5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5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5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5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5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5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5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57" s="52">
        <f>IF(Tabla15[[#This Row],[20]]="",0,VLOOKUP("VRP",Tabla5[#All],3,FALSE)*Tabla15[[#This Row],[21]])</f>
        <v>0</v>
      </c>
      <c r="AC95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5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57" s="52">
        <f>IF(Tabla15[[#This Row],[23]]="",0,VLOOKUP("VC",Tabla5[#All],3,FALSE)*Tabla15[[#This Row],[24]])</f>
        <v>0</v>
      </c>
      <c r="AF95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5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57" s="52">
        <f>IF(Tabla15[[#This Row],[26]]="",0,VLOOKUP(TRAMOS!$K$2,Tabla5[#All],3,FALSE)*Tabla15[[#This Row],[27]])</f>
        <v>0</v>
      </c>
      <c r="AI95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5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5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5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5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5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5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</v>
      </c>
    </row>
    <row r="958" spans="2:41" x14ac:dyDescent="0.25">
      <c r="B958" s="58" t="str">
        <f>Tabla1[[#This Row],[nudo inicial]]</f>
        <v>N513</v>
      </c>
      <c r="C958" s="58" t="str">
        <f>Tabla1[[#This Row],[nudo final]]</f>
        <v>TP338</v>
      </c>
      <c r="D958" s="51">
        <f>Tabla1[[#This Row],[longitud]]</f>
        <v>81.400000000000006</v>
      </c>
      <c r="E958" s="51" t="str">
        <f>Tabla1[[#This Row],[diametro]]</f>
        <v>2"</v>
      </c>
      <c r="F958" s="51" t="str">
        <f>Tabla1[[#This Row],[material]]</f>
        <v>PVC</v>
      </c>
      <c r="G95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958" s="52" t="str">
        <f>IF(Tabla1[[#This Row],[5]]="TPD",Tabla1[[#This Row],[6]],"")</f>
        <v/>
      </c>
      <c r="I958" s="52" t="str">
        <f>IF(OR(Tabla1[[#This Row],[5]]="TPD"),Tabla1[[#This Row],[7]],"")</f>
        <v/>
      </c>
      <c r="J958" s="52">
        <f>IF(Tabla15[[#This Row],[2]]="",0,VLOOKUP(TRAMOS!$H$2,Tabla5[#All],3,FALSE)*Tabla15[[#This Row],[3]])</f>
        <v>0</v>
      </c>
      <c r="K958" s="52" t="str">
        <f>IF(Tabla1[[#This Row],[5]]="TPL",Tabla1[[#This Row],[6]],"")</f>
        <v>4"</v>
      </c>
      <c r="L958" s="52">
        <f>IF(OR(Tabla1[[#This Row],[5]]="TPL"),Tabla1[[#This Row],[7]],"")</f>
        <v>1</v>
      </c>
      <c r="M958" s="52">
        <f>IF(Tabla15[[#This Row],[5]]="",0,VLOOKUP(TRAMOS!$K$2,Tabla5[#All],3,FALSE)*Tabla15[[#This Row],[6]])</f>
        <v>0.9</v>
      </c>
      <c r="N95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5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58" s="52">
        <f>IF(Tabla15[[#This Row],[8]]="",0,VLOOKUP(TRAMOS!$H$2,Tabla5[#All],3,FALSE)*Tabla15[[#This Row],[9]])</f>
        <v>0</v>
      </c>
      <c r="Q95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5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58" s="52">
        <f>IF(Tabla15[[#This Row],[11]]="",0,VLOOKUP(TRAMOS!$Q$2,Tabla5[#All],3,FALSE)*Tabla15[[#This Row],[12]])</f>
        <v>0</v>
      </c>
      <c r="T95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958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95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95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5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5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5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5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58" s="52">
        <f>IF(Tabla15[[#This Row],[20]]="",0,VLOOKUP("VRP",Tabla5[#All],3,FALSE)*Tabla15[[#This Row],[21]])</f>
        <v>0</v>
      </c>
      <c r="AC95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5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58" s="52">
        <f>IF(Tabla15[[#This Row],[23]]="",0,VLOOKUP("VC",Tabla5[#All],3,FALSE)*Tabla15[[#This Row],[24]])</f>
        <v>0</v>
      </c>
      <c r="AF95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5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58" s="52">
        <f>IF(Tabla15[[#This Row],[26]]="",0,VLOOKUP(TRAMOS!$K$2,Tabla5[#All],3,FALSE)*Tabla15[[#This Row],[27]])</f>
        <v>0</v>
      </c>
      <c r="AI95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5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5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5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5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958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95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1.27</v>
      </c>
    </row>
    <row r="959" spans="2:41" x14ac:dyDescent="0.25">
      <c r="B959" s="58" t="str">
        <f>Tabla1[[#This Row],[nudo inicial]]</f>
        <v>N513</v>
      </c>
      <c r="C959" s="58" t="str">
        <f>Tabla1[[#This Row],[nudo final]]</f>
        <v>N390</v>
      </c>
      <c r="D959" s="51">
        <f>Tabla1[[#This Row],[longitud]]</f>
        <v>56.86</v>
      </c>
      <c r="E959" s="51" t="str">
        <f>Tabla1[[#This Row],[diametro]]</f>
        <v>4"</v>
      </c>
      <c r="F959" s="51" t="str">
        <f>Tabla1[[#This Row],[material]]</f>
        <v>PVC</v>
      </c>
      <c r="G95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959" s="52" t="str">
        <f>IF(Tabla1[[#This Row],[5]]="TPD",Tabla1[[#This Row],[6]],"")</f>
        <v>4"</v>
      </c>
      <c r="I959" s="52">
        <f>IF(OR(Tabla1[[#This Row],[5]]="TPD"),Tabla1[[#This Row],[7]],"")</f>
        <v>1</v>
      </c>
      <c r="J959" s="52">
        <f>IF(Tabla15[[#This Row],[2]]="",0,VLOOKUP(TRAMOS!$H$2,Tabla5[#All],3,FALSE)*Tabla15[[#This Row],[3]])</f>
        <v>0.15</v>
      </c>
      <c r="K959" s="52" t="str">
        <f>IF(Tabla1[[#This Row],[5]]="TPL",Tabla1[[#This Row],[6]],"")</f>
        <v/>
      </c>
      <c r="L959" s="52" t="str">
        <f>IF(OR(Tabla1[[#This Row],[5]]="TPL"),Tabla1[[#This Row],[7]],"")</f>
        <v/>
      </c>
      <c r="M959" s="52">
        <f>IF(Tabla15[[#This Row],[5]]="",0,VLOOKUP(TRAMOS!$K$2,Tabla5[#All],3,FALSE)*Tabla15[[#This Row],[6]])</f>
        <v>0</v>
      </c>
      <c r="N95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5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59" s="52">
        <f>IF(Tabla15[[#This Row],[8]]="",0,VLOOKUP(TRAMOS!$H$2,Tabla5[#All],3,FALSE)*Tabla15[[#This Row],[9]])</f>
        <v>0</v>
      </c>
      <c r="Q95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5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59" s="52">
        <f>IF(Tabla15[[#This Row],[11]]="",0,VLOOKUP(TRAMOS!$Q$2,Tabla5[#All],3,FALSE)*Tabla15[[#This Row],[12]])</f>
        <v>0</v>
      </c>
      <c r="T95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5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5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5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5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5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5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5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59" s="52">
        <f>IF(Tabla15[[#This Row],[20]]="",0,VLOOKUP("VRP",Tabla5[#All],3,FALSE)*Tabla15[[#This Row],[21]])</f>
        <v>0</v>
      </c>
      <c r="AC95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5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59" s="52">
        <f>IF(Tabla15[[#This Row],[23]]="",0,VLOOKUP("VC",Tabla5[#All],3,FALSE)*Tabla15[[#This Row],[24]])</f>
        <v>0</v>
      </c>
      <c r="AF95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5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59" s="52">
        <f>IF(Tabla15[[#This Row],[26]]="",0,VLOOKUP(TRAMOS!$K$2,Tabla5[#All],3,FALSE)*Tabla15[[#This Row],[27]])</f>
        <v>0</v>
      </c>
      <c r="AI959" s="52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>0</v>
      </c>
      <c r="AJ959" s="52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>0</v>
      </c>
      <c r="AK95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5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5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5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5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960" spans="2:41" x14ac:dyDescent="0.25">
      <c r="B960" s="58" t="str">
        <f>Tabla1[[#This Row],[nudo inicial]]</f>
        <v>N506</v>
      </c>
      <c r="C960" s="58" t="str">
        <f>Tabla1[[#This Row],[nudo final]]</f>
        <v>N514</v>
      </c>
      <c r="D960" s="51">
        <f>Tabla1[[#This Row],[longitud]]</f>
        <v>34.24</v>
      </c>
      <c r="E960" s="51" t="str">
        <f>Tabla1[[#This Row],[diametro]]</f>
        <v>4"</v>
      </c>
      <c r="F960" s="51" t="str">
        <f>Tabla1[[#This Row],[material]]</f>
        <v>PVC</v>
      </c>
      <c r="G96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960" s="52" t="str">
        <f>IF(Tabla1[[#This Row],[5]]="TPD",Tabla1[[#This Row],[6]],"")</f>
        <v>4"</v>
      </c>
      <c r="I960" s="52">
        <f>IF(OR(Tabla1[[#This Row],[5]]="TPD"),Tabla1[[#This Row],[7]],"")</f>
        <v>1</v>
      </c>
      <c r="J960" s="52">
        <f>IF(Tabla15[[#This Row],[2]]="",0,VLOOKUP(TRAMOS!$H$2,Tabla5[#All],3,FALSE)*Tabla15[[#This Row],[3]])</f>
        <v>0.15</v>
      </c>
      <c r="K960" s="52" t="str">
        <f>IF(Tabla1[[#This Row],[5]]="TPL",Tabla1[[#This Row],[6]],"")</f>
        <v/>
      </c>
      <c r="L960" s="52" t="str">
        <f>IF(OR(Tabla1[[#This Row],[5]]="TPL"),Tabla1[[#This Row],[7]],"")</f>
        <v/>
      </c>
      <c r="M960" s="52">
        <f>IF(Tabla15[[#This Row],[5]]="",0,VLOOKUP(TRAMOS!$K$2,Tabla5[#All],3,FALSE)*Tabla15[[#This Row],[6]])</f>
        <v>0</v>
      </c>
      <c r="N96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6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60" s="52">
        <f>IF(Tabla15[[#This Row],[8]]="",0,VLOOKUP(TRAMOS!$H$2,Tabla5[#All],3,FALSE)*Tabla15[[#This Row],[9]])</f>
        <v>0</v>
      </c>
      <c r="Q96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6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60" s="52">
        <f>IF(Tabla15[[#This Row],[11]]="",0,VLOOKUP(TRAMOS!$Q$2,Tabla5[#All],3,FALSE)*Tabla15[[#This Row],[12]])</f>
        <v>0</v>
      </c>
      <c r="T96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6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6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6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6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6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6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6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60" s="52">
        <f>IF(Tabla15[[#This Row],[20]]="",0,VLOOKUP("VRP",Tabla5[#All],3,FALSE)*Tabla15[[#This Row],[21]])</f>
        <v>0</v>
      </c>
      <c r="AC96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4"</v>
      </c>
      <c r="AD960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960" s="52">
        <f>IF(Tabla15[[#This Row],[23]]="",0,VLOOKUP("VC",Tabla5[#All],3,FALSE)*Tabla15[[#This Row],[24]])</f>
        <v>0.25</v>
      </c>
      <c r="AF96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6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60" s="52">
        <f>IF(Tabla15[[#This Row],[26]]="",0,VLOOKUP(TRAMOS!$K$2,Tabla5[#All],3,FALSE)*Tabla15[[#This Row],[27]])</f>
        <v>0</v>
      </c>
      <c r="AI96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6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6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6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6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6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6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0.4</v>
      </c>
    </row>
    <row r="961" spans="2:41" x14ac:dyDescent="0.25">
      <c r="B961" s="58" t="str">
        <f>Tabla1[[#This Row],[nudo inicial]]</f>
        <v>N514</v>
      </c>
      <c r="C961" s="58" t="str">
        <f>Tabla1[[#This Row],[nudo final]]</f>
        <v>TP339</v>
      </c>
      <c r="D961" s="51">
        <f>Tabla1[[#This Row],[longitud]]</f>
        <v>78.02</v>
      </c>
      <c r="E961" s="51" t="str">
        <f>Tabla1[[#This Row],[diametro]]</f>
        <v>2"</v>
      </c>
      <c r="F961" s="51" t="str">
        <f>Tabla1[[#This Row],[material]]</f>
        <v>PVC</v>
      </c>
      <c r="G96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961" s="52" t="str">
        <f>IF(Tabla1[[#This Row],[5]]="TPD",Tabla1[[#This Row],[6]],"")</f>
        <v/>
      </c>
      <c r="I961" s="52" t="str">
        <f>IF(OR(Tabla1[[#This Row],[5]]="TPD"),Tabla1[[#This Row],[7]],"")</f>
        <v/>
      </c>
      <c r="J961" s="52">
        <f>IF(Tabla15[[#This Row],[2]]="",0,VLOOKUP(TRAMOS!$H$2,Tabla5[#All],3,FALSE)*Tabla15[[#This Row],[3]])</f>
        <v>0</v>
      </c>
      <c r="K961" s="52" t="str">
        <f>IF(Tabla1[[#This Row],[5]]="TPL",Tabla1[[#This Row],[6]],"")</f>
        <v>4"</v>
      </c>
      <c r="L961" s="52">
        <f>IF(OR(Tabla1[[#This Row],[5]]="TPL"),Tabla1[[#This Row],[7]],"")</f>
        <v>1</v>
      </c>
      <c r="M961" s="52">
        <f>IF(Tabla15[[#This Row],[5]]="",0,VLOOKUP(TRAMOS!$K$2,Tabla5[#All],3,FALSE)*Tabla15[[#This Row],[6]])</f>
        <v>0.9</v>
      </c>
      <c r="N96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6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61" s="52">
        <f>IF(Tabla15[[#This Row],[8]]="",0,VLOOKUP(TRAMOS!$H$2,Tabla5[#All],3,FALSE)*Tabla15[[#This Row],[9]])</f>
        <v>0</v>
      </c>
      <c r="Q96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6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61" s="52">
        <f>IF(Tabla15[[#This Row],[11]]="",0,VLOOKUP(TRAMOS!$Q$2,Tabla5[#All],3,FALSE)*Tabla15[[#This Row],[12]])</f>
        <v>0</v>
      </c>
      <c r="T96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961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96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96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6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6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6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6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61" s="52">
        <f>IF(Tabla15[[#This Row],[20]]="",0,VLOOKUP("VRP",Tabla5[#All],3,FALSE)*Tabla15[[#This Row],[21]])</f>
        <v>0</v>
      </c>
      <c r="AC96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6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61" s="52">
        <f>IF(Tabla15[[#This Row],[23]]="",0,VLOOKUP("VC",Tabla5[#All],3,FALSE)*Tabla15[[#This Row],[24]])</f>
        <v>0</v>
      </c>
      <c r="AF96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6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61" s="52">
        <f>IF(Tabla15[[#This Row],[26]]="",0,VLOOKUP(TRAMOS!$K$2,Tabla5[#All],3,FALSE)*Tabla15[[#This Row],[27]])</f>
        <v>0</v>
      </c>
      <c r="AI96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6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6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6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6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961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96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1.27</v>
      </c>
    </row>
    <row r="962" spans="2:41" x14ac:dyDescent="0.25">
      <c r="B962" s="58" t="str">
        <f>Tabla1[[#This Row],[nudo inicial]]</f>
        <v>N514</v>
      </c>
      <c r="C962" s="58" t="str">
        <f>Tabla1[[#This Row],[nudo final]]</f>
        <v>N515</v>
      </c>
      <c r="D962" s="51">
        <f>Tabla1[[#This Row],[longitud]]</f>
        <v>52.77</v>
      </c>
      <c r="E962" s="51" t="str">
        <f>Tabla1[[#This Row],[diametro]]</f>
        <v>4"</v>
      </c>
      <c r="F962" s="51" t="str">
        <f>Tabla1[[#This Row],[material]]</f>
        <v>PVC</v>
      </c>
      <c r="G96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962" s="52" t="str">
        <f>IF(Tabla1[[#This Row],[5]]="TPD",Tabla1[[#This Row],[6]],"")</f>
        <v>4"</v>
      </c>
      <c r="I962" s="52">
        <f>IF(OR(Tabla1[[#This Row],[5]]="TPD"),Tabla1[[#This Row],[7]],"")</f>
        <v>1</v>
      </c>
      <c r="J962" s="52">
        <f>IF(Tabla15[[#This Row],[2]]="",0,VLOOKUP(TRAMOS!$H$2,Tabla5[#All],3,FALSE)*Tabla15[[#This Row],[3]])</f>
        <v>0.15</v>
      </c>
      <c r="K962" s="52" t="str">
        <f>IF(Tabla1[[#This Row],[5]]="TPL",Tabla1[[#This Row],[6]],"")</f>
        <v/>
      </c>
      <c r="L962" s="52" t="str">
        <f>IF(OR(Tabla1[[#This Row],[5]]="TPL"),Tabla1[[#This Row],[7]],"")</f>
        <v/>
      </c>
      <c r="M962" s="52">
        <f>IF(Tabla15[[#This Row],[5]]="",0,VLOOKUP(TRAMOS!$K$2,Tabla5[#All],3,FALSE)*Tabla15[[#This Row],[6]])</f>
        <v>0</v>
      </c>
      <c r="N96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6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62" s="52">
        <f>IF(Tabla15[[#This Row],[8]]="",0,VLOOKUP(TRAMOS!$H$2,Tabla5[#All],3,FALSE)*Tabla15[[#This Row],[9]])</f>
        <v>0</v>
      </c>
      <c r="Q96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6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62" s="52">
        <f>IF(Tabla15[[#This Row],[11]]="",0,VLOOKUP(TRAMOS!$Q$2,Tabla5[#All],3,FALSE)*Tabla15[[#This Row],[12]])</f>
        <v>0</v>
      </c>
      <c r="T96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6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6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6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6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6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6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6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62" s="52">
        <f>IF(Tabla15[[#This Row],[20]]="",0,VLOOKUP("VRP",Tabla5[#All],3,FALSE)*Tabla15[[#This Row],[21]])</f>
        <v>0</v>
      </c>
      <c r="AC96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6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62" s="52">
        <f>IF(Tabla15[[#This Row],[23]]="",0,VLOOKUP("VC",Tabla5[#All],3,FALSE)*Tabla15[[#This Row],[24]])</f>
        <v>0</v>
      </c>
      <c r="AF96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6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62" s="52">
        <f>IF(Tabla15[[#This Row],[26]]="",0,VLOOKUP(TRAMOS!$K$2,Tabla5[#All],3,FALSE)*Tabla15[[#This Row],[27]])</f>
        <v>0</v>
      </c>
      <c r="AI96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6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6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6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6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6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6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963" spans="2:41" x14ac:dyDescent="0.25">
      <c r="B963" s="58" t="str">
        <f>Tabla1[[#This Row],[nudo inicial]]</f>
        <v>N515</v>
      </c>
      <c r="C963" s="58" t="str">
        <f>Tabla1[[#This Row],[nudo final]]</f>
        <v>TP340</v>
      </c>
      <c r="D963" s="51">
        <f>Tabla1[[#This Row],[longitud]]</f>
        <v>73.510000000000005</v>
      </c>
      <c r="E963" s="51" t="str">
        <f>Tabla1[[#This Row],[diametro]]</f>
        <v>2"</v>
      </c>
      <c r="F963" s="51" t="str">
        <f>Tabla1[[#This Row],[material]]</f>
        <v>PVC</v>
      </c>
      <c r="G96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963" s="52" t="str">
        <f>IF(Tabla1[[#This Row],[5]]="TPD",Tabla1[[#This Row],[6]],"")</f>
        <v/>
      </c>
      <c r="I963" s="52" t="str">
        <f>IF(OR(Tabla1[[#This Row],[5]]="TPD"),Tabla1[[#This Row],[7]],"")</f>
        <v/>
      </c>
      <c r="J963" s="52">
        <f>IF(Tabla15[[#This Row],[2]]="",0,VLOOKUP(TRAMOS!$H$2,Tabla5[#All],3,FALSE)*Tabla15[[#This Row],[3]])</f>
        <v>0</v>
      </c>
      <c r="K963" s="52" t="str">
        <f>IF(Tabla1[[#This Row],[5]]="TPL",Tabla1[[#This Row],[6]],"")</f>
        <v>4"</v>
      </c>
      <c r="L963" s="52">
        <f>IF(OR(Tabla1[[#This Row],[5]]="TPL"),Tabla1[[#This Row],[7]],"")</f>
        <v>1</v>
      </c>
      <c r="M963" s="52">
        <f>IF(Tabla15[[#This Row],[5]]="",0,VLOOKUP(TRAMOS!$K$2,Tabla5[#All],3,FALSE)*Tabla15[[#This Row],[6]])</f>
        <v>0.9</v>
      </c>
      <c r="N96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6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63" s="52">
        <f>IF(Tabla15[[#This Row],[8]]="",0,VLOOKUP(TRAMOS!$H$2,Tabla5[#All],3,FALSE)*Tabla15[[#This Row],[9]])</f>
        <v>0</v>
      </c>
      <c r="Q96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6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63" s="52">
        <f>IF(Tabla15[[#This Row],[11]]="",0,VLOOKUP(TRAMOS!$Q$2,Tabla5[#All],3,FALSE)*Tabla15[[#This Row],[12]])</f>
        <v>0</v>
      </c>
      <c r="T96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963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96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96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6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6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6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6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63" s="52">
        <f>IF(Tabla15[[#This Row],[20]]="",0,VLOOKUP("VRP",Tabla5[#All],3,FALSE)*Tabla15[[#This Row],[21]])</f>
        <v>0</v>
      </c>
      <c r="AC96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6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63" s="52">
        <f>IF(Tabla15[[#This Row],[23]]="",0,VLOOKUP("VC",Tabla5[#All],3,FALSE)*Tabla15[[#This Row],[24]])</f>
        <v>0</v>
      </c>
      <c r="AF96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6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63" s="52">
        <f>IF(Tabla15[[#This Row],[26]]="",0,VLOOKUP(TRAMOS!$K$2,Tabla5[#All],3,FALSE)*Tabla15[[#This Row],[27]])</f>
        <v>0</v>
      </c>
      <c r="AI96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6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6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6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6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963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96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1.27</v>
      </c>
    </row>
    <row r="964" spans="2:41" x14ac:dyDescent="0.25">
      <c r="B964" s="58" t="str">
        <f>Tabla1[[#This Row],[nudo inicial]]</f>
        <v>N515</v>
      </c>
      <c r="C964" s="58" t="str">
        <f>Tabla1[[#This Row],[nudo final]]</f>
        <v>N516</v>
      </c>
      <c r="D964" s="51">
        <f>Tabla1[[#This Row],[longitud]]</f>
        <v>24.56</v>
      </c>
      <c r="E964" s="51" t="str">
        <f>Tabla1[[#This Row],[diametro]]</f>
        <v>4"</v>
      </c>
      <c r="F964" s="51" t="str">
        <f>Tabla1[[#This Row],[material]]</f>
        <v>PVC</v>
      </c>
      <c r="G96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964" s="52" t="str">
        <f>IF(Tabla1[[#This Row],[5]]="TPD",Tabla1[[#This Row],[6]],"")</f>
        <v>4"</v>
      </c>
      <c r="I964" s="52">
        <f>IF(OR(Tabla1[[#This Row],[5]]="TPD"),Tabla1[[#This Row],[7]],"")</f>
        <v>1</v>
      </c>
      <c r="J964" s="52">
        <f>IF(Tabla15[[#This Row],[2]]="",0,VLOOKUP(TRAMOS!$H$2,Tabla5[#All],3,FALSE)*Tabla15[[#This Row],[3]])</f>
        <v>0.15</v>
      </c>
      <c r="K964" s="52" t="str">
        <f>IF(Tabla1[[#This Row],[5]]="TPL",Tabla1[[#This Row],[6]],"")</f>
        <v/>
      </c>
      <c r="L964" s="52" t="str">
        <f>IF(OR(Tabla1[[#This Row],[5]]="TPL"),Tabla1[[#This Row],[7]],"")</f>
        <v/>
      </c>
      <c r="M964" s="52">
        <f>IF(Tabla15[[#This Row],[5]]="",0,VLOOKUP(TRAMOS!$K$2,Tabla5[#All],3,FALSE)*Tabla15[[#This Row],[6]])</f>
        <v>0</v>
      </c>
      <c r="N96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6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64" s="52">
        <f>IF(Tabla15[[#This Row],[8]]="",0,VLOOKUP(TRAMOS!$H$2,Tabla5[#All],3,FALSE)*Tabla15[[#This Row],[9]])</f>
        <v>0</v>
      </c>
      <c r="Q96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6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64" s="52">
        <f>IF(Tabla15[[#This Row],[11]]="",0,VLOOKUP(TRAMOS!$Q$2,Tabla5[#All],3,FALSE)*Tabla15[[#This Row],[12]])</f>
        <v>0</v>
      </c>
      <c r="T96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6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6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6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6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6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6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6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64" s="52">
        <f>IF(Tabla15[[#This Row],[20]]="",0,VLOOKUP("VRP",Tabla5[#All],3,FALSE)*Tabla15[[#This Row],[21]])</f>
        <v>0</v>
      </c>
      <c r="AC96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6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64" s="52">
        <f>IF(Tabla15[[#This Row],[23]]="",0,VLOOKUP("VC",Tabla5[#All],3,FALSE)*Tabla15[[#This Row],[24]])</f>
        <v>0</v>
      </c>
      <c r="AF96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6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64" s="52">
        <f>IF(Tabla15[[#This Row],[26]]="",0,VLOOKUP(TRAMOS!$K$2,Tabla5[#All],3,FALSE)*Tabla15[[#This Row],[27]])</f>
        <v>0</v>
      </c>
      <c r="AI96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6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6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6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6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6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6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965" spans="2:41" x14ac:dyDescent="0.25">
      <c r="B965" s="58" t="str">
        <f>Tabla1[[#This Row],[nudo inicial]]</f>
        <v>N516</v>
      </c>
      <c r="C965" s="58" t="str">
        <f>Tabla1[[#This Row],[nudo final]]</f>
        <v>TP341</v>
      </c>
      <c r="D965" s="51">
        <f>Tabla1[[#This Row],[longitud]]</f>
        <v>73.66</v>
      </c>
      <c r="E965" s="51" t="str">
        <f>Tabla1[[#This Row],[diametro]]</f>
        <v>2"</v>
      </c>
      <c r="F965" s="51" t="str">
        <f>Tabla1[[#This Row],[material]]</f>
        <v>PVC</v>
      </c>
      <c r="G96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965" s="52" t="str">
        <f>IF(Tabla1[[#This Row],[5]]="TPD",Tabla1[[#This Row],[6]],"")</f>
        <v/>
      </c>
      <c r="I965" s="52" t="str">
        <f>IF(OR(Tabla1[[#This Row],[5]]="TPD"),Tabla1[[#This Row],[7]],"")</f>
        <v/>
      </c>
      <c r="J965" s="52">
        <f>IF(Tabla15[[#This Row],[2]]="",0,VLOOKUP(TRAMOS!$H$2,Tabla5[#All],3,FALSE)*Tabla15[[#This Row],[3]])</f>
        <v>0</v>
      </c>
      <c r="K965" s="52" t="str">
        <f>IF(Tabla1[[#This Row],[5]]="TPL",Tabla1[[#This Row],[6]],"")</f>
        <v>4"</v>
      </c>
      <c r="L965" s="52">
        <f>IF(OR(Tabla1[[#This Row],[5]]="TPL"),Tabla1[[#This Row],[7]],"")</f>
        <v>1</v>
      </c>
      <c r="M965" s="52">
        <f>IF(Tabla15[[#This Row],[5]]="",0,VLOOKUP(TRAMOS!$K$2,Tabla5[#All],3,FALSE)*Tabla15[[#This Row],[6]])</f>
        <v>0.9</v>
      </c>
      <c r="N96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6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65" s="52">
        <f>IF(Tabla15[[#This Row],[8]]="",0,VLOOKUP(TRAMOS!$H$2,Tabla5[#All],3,FALSE)*Tabla15[[#This Row],[9]])</f>
        <v>0</v>
      </c>
      <c r="Q96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6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65" s="52">
        <f>IF(Tabla15[[#This Row],[11]]="",0,VLOOKUP(TRAMOS!$Q$2,Tabla5[#All],3,FALSE)*Tabla15[[#This Row],[12]])</f>
        <v>0</v>
      </c>
      <c r="T96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965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96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96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6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6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6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6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65" s="52">
        <f>IF(Tabla15[[#This Row],[20]]="",0,VLOOKUP("VRP",Tabla5[#All],3,FALSE)*Tabla15[[#This Row],[21]])</f>
        <v>0</v>
      </c>
      <c r="AC96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6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65" s="52">
        <f>IF(Tabla15[[#This Row],[23]]="",0,VLOOKUP("VC",Tabla5[#All],3,FALSE)*Tabla15[[#This Row],[24]])</f>
        <v>0</v>
      </c>
      <c r="AF96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6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65" s="52">
        <f>IF(Tabla15[[#This Row],[26]]="",0,VLOOKUP(TRAMOS!$K$2,Tabla5[#All],3,FALSE)*Tabla15[[#This Row],[27]])</f>
        <v>0</v>
      </c>
      <c r="AI96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6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6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6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6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965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96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1.27</v>
      </c>
    </row>
    <row r="966" spans="2:41" x14ac:dyDescent="0.25">
      <c r="B966" s="58" t="str">
        <f>Tabla1[[#This Row],[nudo inicial]]</f>
        <v>N516</v>
      </c>
      <c r="C966" s="58" t="str">
        <f>Tabla1[[#This Row],[nudo final]]</f>
        <v>N517</v>
      </c>
      <c r="D966" s="51">
        <f>Tabla1[[#This Row],[longitud]]</f>
        <v>16.62</v>
      </c>
      <c r="E966" s="51" t="str">
        <f>Tabla1[[#This Row],[diametro]]</f>
        <v>4"</v>
      </c>
      <c r="F966" s="51" t="str">
        <f>Tabla1[[#This Row],[material]]</f>
        <v>PVC</v>
      </c>
      <c r="G96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966" s="52" t="str">
        <f>IF(Tabla1[[#This Row],[5]]="TPD",Tabla1[[#This Row],[6]],"")</f>
        <v>4"</v>
      </c>
      <c r="I966" s="52">
        <f>IF(OR(Tabla1[[#This Row],[5]]="TPD"),Tabla1[[#This Row],[7]],"")</f>
        <v>1</v>
      </c>
      <c r="J966" s="52">
        <f>IF(Tabla15[[#This Row],[2]]="",0,VLOOKUP(TRAMOS!$H$2,Tabla5[#All],3,FALSE)*Tabla15[[#This Row],[3]])</f>
        <v>0.15</v>
      </c>
      <c r="K966" s="52" t="str">
        <f>IF(Tabla1[[#This Row],[5]]="TPL",Tabla1[[#This Row],[6]],"")</f>
        <v/>
      </c>
      <c r="L966" s="52" t="str">
        <f>IF(OR(Tabla1[[#This Row],[5]]="TPL"),Tabla1[[#This Row],[7]],"")</f>
        <v/>
      </c>
      <c r="M966" s="52">
        <f>IF(Tabla15[[#This Row],[5]]="",0,VLOOKUP(TRAMOS!$K$2,Tabla5[#All],3,FALSE)*Tabla15[[#This Row],[6]])</f>
        <v>0</v>
      </c>
      <c r="N96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6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66" s="52">
        <f>IF(Tabla15[[#This Row],[8]]="",0,VLOOKUP(TRAMOS!$H$2,Tabla5[#All],3,FALSE)*Tabla15[[#This Row],[9]])</f>
        <v>0</v>
      </c>
      <c r="Q96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6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66" s="52">
        <f>IF(Tabla15[[#This Row],[11]]="",0,VLOOKUP(TRAMOS!$Q$2,Tabla5[#All],3,FALSE)*Tabla15[[#This Row],[12]])</f>
        <v>0</v>
      </c>
      <c r="T96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6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6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6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6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6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6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6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66" s="52">
        <f>IF(Tabla15[[#This Row],[20]]="",0,VLOOKUP("VRP",Tabla5[#All],3,FALSE)*Tabla15[[#This Row],[21]])</f>
        <v>0</v>
      </c>
      <c r="AC96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6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66" s="52">
        <f>IF(Tabla15[[#This Row],[23]]="",0,VLOOKUP("VC",Tabla5[#All],3,FALSE)*Tabla15[[#This Row],[24]])</f>
        <v>0</v>
      </c>
      <c r="AF96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6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66" s="52">
        <f>IF(Tabla15[[#This Row],[26]]="",0,VLOOKUP(TRAMOS!$K$2,Tabla5[#All],3,FALSE)*Tabla15[[#This Row],[27]])</f>
        <v>0</v>
      </c>
      <c r="AI96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6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66" s="52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>0</v>
      </c>
      <c r="AL966" s="52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>1</v>
      </c>
      <c r="AM96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6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6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967" spans="2:41" x14ac:dyDescent="0.25">
      <c r="B967" s="58" t="str">
        <f>Tabla1[[#This Row],[nudo inicial]]</f>
        <v>N517</v>
      </c>
      <c r="C967" s="58" t="str">
        <f>Tabla1[[#This Row],[nudo final]]</f>
        <v>N518</v>
      </c>
      <c r="D967" s="51">
        <f>Tabla1[[#This Row],[longitud]]</f>
        <v>50.7</v>
      </c>
      <c r="E967" s="51" t="str">
        <f>Tabla1[[#This Row],[diametro]]</f>
        <v>3"</v>
      </c>
      <c r="F967" s="51" t="str">
        <f>Tabla1[[#This Row],[material]]</f>
        <v>PVC</v>
      </c>
      <c r="G96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967" s="52" t="str">
        <f>IF(Tabla1[[#This Row],[5]]="TPD",Tabla1[[#This Row],[6]],"")</f>
        <v/>
      </c>
      <c r="I967" s="52" t="str">
        <f>IF(OR(Tabla1[[#This Row],[5]]="TPD"),Tabla1[[#This Row],[7]],"")</f>
        <v/>
      </c>
      <c r="J967" s="52">
        <f>IF(Tabla15[[#This Row],[2]]="",0,VLOOKUP(TRAMOS!$H$2,Tabla5[#All],3,FALSE)*Tabla15[[#This Row],[3]])</f>
        <v>0</v>
      </c>
      <c r="K967" s="52" t="str">
        <f>IF(Tabla1[[#This Row],[5]]="TPL",Tabla1[[#This Row],[6]],"")</f>
        <v>4"</v>
      </c>
      <c r="L967" s="52">
        <f>IF(OR(Tabla1[[#This Row],[5]]="TPL"),Tabla1[[#This Row],[7]],"")</f>
        <v>1</v>
      </c>
      <c r="M967" s="52">
        <f>IF(Tabla15[[#This Row],[5]]="",0,VLOOKUP(TRAMOS!$K$2,Tabla5[#All],3,FALSE)*Tabla15[[#This Row],[6]])</f>
        <v>0.9</v>
      </c>
      <c r="N96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6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67" s="52">
        <f>IF(Tabla15[[#This Row],[8]]="",0,VLOOKUP(TRAMOS!$H$2,Tabla5[#All],3,FALSE)*Tabla15[[#This Row],[9]])</f>
        <v>0</v>
      </c>
      <c r="Q96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6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67" s="52">
        <f>IF(Tabla15[[#This Row],[11]]="",0,VLOOKUP(TRAMOS!$Q$2,Tabla5[#All],3,FALSE)*Tabla15[[#This Row],[12]])</f>
        <v>0</v>
      </c>
      <c r="T96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967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96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0.13850000000000007</v>
      </c>
      <c r="W96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6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6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6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6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67" s="52">
        <f>IF(Tabla15[[#This Row],[20]]="",0,VLOOKUP("VRP",Tabla5[#All],3,FALSE)*Tabla15[[#This Row],[21]])</f>
        <v>0</v>
      </c>
      <c r="AC96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6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67" s="52">
        <f>IF(Tabla15[[#This Row],[23]]="",0,VLOOKUP("VC",Tabla5[#All],3,FALSE)*Tabla15[[#This Row],[24]])</f>
        <v>0</v>
      </c>
      <c r="AF96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6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67" s="52">
        <f>IF(Tabla15[[#This Row],[26]]="",0,VLOOKUP(TRAMOS!$K$2,Tabla5[#All],3,FALSE)*Tabla15[[#This Row],[27]])</f>
        <v>0</v>
      </c>
      <c r="AI96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6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6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6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6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6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6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1.0385</v>
      </c>
    </row>
    <row r="968" spans="2:41" x14ac:dyDescent="0.25">
      <c r="B968" s="58" t="str">
        <f>Tabla1[[#This Row],[nudo inicial]]</f>
        <v>N508</v>
      </c>
      <c r="C968" s="58" t="str">
        <f>Tabla1[[#This Row],[nudo final]]</f>
        <v>N518</v>
      </c>
      <c r="D968" s="51">
        <f>Tabla1[[#This Row],[longitud]]</f>
        <v>178.8</v>
      </c>
      <c r="E968" s="51" t="str">
        <f>Tabla1[[#This Row],[diametro]]</f>
        <v>2"</v>
      </c>
      <c r="F968" s="51" t="str">
        <f>Tabla1[[#This Row],[material]]</f>
        <v>PVC</v>
      </c>
      <c r="G96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968" s="52" t="str">
        <f>IF(Tabla1[[#This Row],[5]]="TPD",Tabla1[[#This Row],[6]],"")</f>
        <v/>
      </c>
      <c r="I968" s="52" t="str">
        <f>IF(OR(Tabla1[[#This Row],[5]]="TPD"),Tabla1[[#This Row],[7]],"")</f>
        <v/>
      </c>
      <c r="J968" s="52">
        <f>IF(Tabla15[[#This Row],[2]]="",0,VLOOKUP(TRAMOS!$H$2,Tabla5[#All],3,FALSE)*Tabla15[[#This Row],[3]])</f>
        <v>0</v>
      </c>
      <c r="K968" s="52" t="str">
        <f>IF(Tabla1[[#This Row],[5]]="TPL",Tabla1[[#This Row],[6]],"")</f>
        <v>3"</v>
      </c>
      <c r="L968" s="52">
        <f>IF(OR(Tabla1[[#This Row],[5]]="TPL"),Tabla1[[#This Row],[7]],"")</f>
        <v>1</v>
      </c>
      <c r="M968" s="52">
        <f>IF(Tabla15[[#This Row],[5]]="",0,VLOOKUP(TRAMOS!$K$2,Tabla5[#All],3,FALSE)*Tabla15[[#This Row],[6]])</f>
        <v>0.9</v>
      </c>
      <c r="N96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6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68" s="52">
        <f>IF(Tabla15[[#This Row],[8]]="",0,VLOOKUP(TRAMOS!$H$2,Tabla5[#All],3,FALSE)*Tabla15[[#This Row],[9]])</f>
        <v>0</v>
      </c>
      <c r="Q96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6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68" s="52">
        <f>IF(Tabla15[[#This Row],[11]]="",0,VLOOKUP(TRAMOS!$Q$2,Tabla5[#All],3,FALSE)*Tabla15[[#This Row],[12]])</f>
        <v>0</v>
      </c>
      <c r="T96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968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2</v>
      </c>
      <c r="V96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0.43000000000000005</v>
      </c>
      <c r="W96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6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6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6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6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68" s="52">
        <f>IF(Tabla15[[#This Row],[20]]="",0,VLOOKUP("VRP",Tabla5[#All],3,FALSE)*Tabla15[[#This Row],[21]])</f>
        <v>0</v>
      </c>
      <c r="AC96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6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68" s="52">
        <f>IF(Tabla15[[#This Row],[23]]="",0,VLOOKUP("VC",Tabla5[#All],3,FALSE)*Tabla15[[#This Row],[24]])</f>
        <v>0</v>
      </c>
      <c r="AF96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6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68" s="52">
        <f>IF(Tabla15[[#This Row],[26]]="",0,VLOOKUP(TRAMOS!$K$2,Tabla5[#All],3,FALSE)*Tabla15[[#This Row],[27]])</f>
        <v>0</v>
      </c>
      <c r="AI96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6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6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6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6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6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6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1.33</v>
      </c>
    </row>
    <row r="969" spans="2:41" x14ac:dyDescent="0.25">
      <c r="B969" s="58" t="str">
        <f>Tabla1[[#This Row],[nudo inicial]]</f>
        <v>N518</v>
      </c>
      <c r="C969" s="58" t="str">
        <f>Tabla1[[#This Row],[nudo final]]</f>
        <v>N511</v>
      </c>
      <c r="D969" s="51">
        <f>Tabla1[[#This Row],[longitud]]</f>
        <v>88.91</v>
      </c>
      <c r="E969" s="51" t="str">
        <f>Tabla1[[#This Row],[diametro]]</f>
        <v>3"</v>
      </c>
      <c r="F969" s="51" t="str">
        <f>Tabla1[[#This Row],[material]]</f>
        <v>PVC</v>
      </c>
      <c r="G96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969" s="52" t="str">
        <f>IF(Tabla1[[#This Row],[5]]="TPD",Tabla1[[#This Row],[6]],"")</f>
        <v>3"</v>
      </c>
      <c r="I969" s="52">
        <f>IF(OR(Tabla1[[#This Row],[5]]="TPD"),Tabla1[[#This Row],[7]],"")</f>
        <v>1</v>
      </c>
      <c r="J969" s="52">
        <f>IF(Tabla15[[#This Row],[2]]="",0,VLOOKUP(TRAMOS!$H$2,Tabla5[#All],3,FALSE)*Tabla15[[#This Row],[3]])</f>
        <v>0.15</v>
      </c>
      <c r="K969" s="52" t="str">
        <f>IF(Tabla1[[#This Row],[5]]="TPL",Tabla1[[#This Row],[6]],"")</f>
        <v/>
      </c>
      <c r="L969" s="52" t="str">
        <f>IF(OR(Tabla1[[#This Row],[5]]="TPL"),Tabla1[[#This Row],[7]],"")</f>
        <v/>
      </c>
      <c r="M969" s="52">
        <f>IF(Tabla15[[#This Row],[5]]="",0,VLOOKUP(TRAMOS!$K$2,Tabla5[#All],3,FALSE)*Tabla15[[#This Row],[6]])</f>
        <v>0</v>
      </c>
      <c r="N96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6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69" s="52">
        <f>IF(Tabla15[[#This Row],[8]]="",0,VLOOKUP(TRAMOS!$H$2,Tabla5[#All],3,FALSE)*Tabla15[[#This Row],[9]])</f>
        <v>0</v>
      </c>
      <c r="Q96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6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69" s="52">
        <f>IF(Tabla15[[#This Row],[11]]="",0,VLOOKUP(TRAMOS!$Q$2,Tabla5[#All],3,FALSE)*Tabla15[[#This Row],[12]])</f>
        <v>0</v>
      </c>
      <c r="T96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6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6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6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6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6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6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6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69" s="52">
        <f>IF(Tabla15[[#This Row],[20]]="",0,VLOOKUP("VRP",Tabla5[#All],3,FALSE)*Tabla15[[#This Row],[21]])</f>
        <v>0</v>
      </c>
      <c r="AC96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6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69" s="52">
        <f>IF(Tabla15[[#This Row],[23]]="",0,VLOOKUP("VC",Tabla5[#All],3,FALSE)*Tabla15[[#This Row],[24]])</f>
        <v>0</v>
      </c>
      <c r="AF96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6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69" s="52">
        <f>IF(Tabla15[[#This Row],[26]]="",0,VLOOKUP(TRAMOS!$K$2,Tabla5[#All],3,FALSE)*Tabla15[[#This Row],[27]])</f>
        <v>0</v>
      </c>
      <c r="AI96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6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6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6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6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6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6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970" spans="2:41" x14ac:dyDescent="0.25">
      <c r="B970" s="58" t="str">
        <f>Tabla1[[#This Row],[nudo inicial]]</f>
        <v>N517</v>
      </c>
      <c r="C970" s="58" t="str">
        <f>Tabla1[[#This Row],[nudo final]]</f>
        <v>N519</v>
      </c>
      <c r="D970" s="51">
        <f>Tabla1[[#This Row],[longitud]]</f>
        <v>7.37</v>
      </c>
      <c r="E970" s="51" t="str">
        <f>Tabla1[[#This Row],[diametro]]</f>
        <v>4"</v>
      </c>
      <c r="F970" s="51" t="str">
        <f>Tabla1[[#This Row],[material]]</f>
        <v>PVC</v>
      </c>
      <c r="G97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970" s="52" t="str">
        <f>IF(Tabla1[[#This Row],[5]]="TPD",Tabla1[[#This Row],[6]],"")</f>
        <v>4"</v>
      </c>
      <c r="I970" s="52">
        <f>IF(OR(Tabla1[[#This Row],[5]]="TPD"),Tabla1[[#This Row],[7]],"")</f>
        <v>1</v>
      </c>
      <c r="J970" s="52">
        <f>IF(Tabla15[[#This Row],[2]]="",0,VLOOKUP(TRAMOS!$H$2,Tabla5[#All],3,FALSE)*Tabla15[[#This Row],[3]])</f>
        <v>0.15</v>
      </c>
      <c r="K970" s="52" t="str">
        <f>IF(Tabla1[[#This Row],[5]]="TPL",Tabla1[[#This Row],[6]],"")</f>
        <v/>
      </c>
      <c r="L970" s="52" t="str">
        <f>IF(OR(Tabla1[[#This Row],[5]]="TPL"),Tabla1[[#This Row],[7]],"")</f>
        <v/>
      </c>
      <c r="M970" s="52">
        <f>IF(Tabla15[[#This Row],[5]]="",0,VLOOKUP(TRAMOS!$K$2,Tabla5[#All],3,FALSE)*Tabla15[[#This Row],[6]])</f>
        <v>0</v>
      </c>
      <c r="N97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7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70" s="52">
        <f>IF(Tabla15[[#This Row],[8]]="",0,VLOOKUP(TRAMOS!$H$2,Tabla5[#All],3,FALSE)*Tabla15[[#This Row],[9]])</f>
        <v>0</v>
      </c>
      <c r="Q97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7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70" s="52">
        <f>IF(Tabla15[[#This Row],[11]]="",0,VLOOKUP(TRAMOS!$Q$2,Tabla5[#All],3,FALSE)*Tabla15[[#This Row],[12]])</f>
        <v>0</v>
      </c>
      <c r="T97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7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7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7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7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7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7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7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70" s="52">
        <f>IF(Tabla15[[#This Row],[20]]="",0,VLOOKUP("VRP",Tabla5[#All],3,FALSE)*Tabla15[[#This Row],[21]])</f>
        <v>0</v>
      </c>
      <c r="AC97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7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70" s="52">
        <f>IF(Tabla15[[#This Row],[23]]="",0,VLOOKUP("VC",Tabla5[#All],3,FALSE)*Tabla15[[#This Row],[24]])</f>
        <v>0</v>
      </c>
      <c r="AF97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7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70" s="52">
        <f>IF(Tabla15[[#This Row],[26]]="",0,VLOOKUP(TRAMOS!$K$2,Tabla5[#All],3,FALSE)*Tabla15[[#This Row],[27]])</f>
        <v>0</v>
      </c>
      <c r="AI97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7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7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7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7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7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7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971" spans="2:41" x14ac:dyDescent="0.25">
      <c r="B971" s="58" t="str">
        <f>Tabla1[[#This Row],[nudo inicial]]</f>
        <v>N519</v>
      </c>
      <c r="C971" s="58" t="str">
        <f>Tabla1[[#This Row],[nudo final]]</f>
        <v>N646</v>
      </c>
      <c r="D971" s="51">
        <f>Tabla1[[#This Row],[longitud]]</f>
        <v>16.100000000000001</v>
      </c>
      <c r="E971" s="51" t="str">
        <f>Tabla1[[#This Row],[diametro]]</f>
        <v>4"</v>
      </c>
      <c r="F971" s="51" t="str">
        <f>Tabla1[[#This Row],[material]]</f>
        <v>PVC</v>
      </c>
      <c r="G97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971" s="52" t="str">
        <f>IF(Tabla1[[#This Row],[5]]="TPD",Tabla1[[#This Row],[6]],"")</f>
        <v>4"</v>
      </c>
      <c r="I971" s="52">
        <f>IF(OR(Tabla1[[#This Row],[5]]="TPD"),Tabla1[[#This Row],[7]],"")</f>
        <v>1</v>
      </c>
      <c r="J971" s="52">
        <f>IF(Tabla15[[#This Row],[2]]="",0,VLOOKUP(TRAMOS!$H$2,Tabla5[#All],3,FALSE)*Tabla15[[#This Row],[3]])</f>
        <v>0.15</v>
      </c>
      <c r="K971" s="52" t="str">
        <f>IF(Tabla1[[#This Row],[5]]="TPL",Tabla1[[#This Row],[6]],"")</f>
        <v/>
      </c>
      <c r="L971" s="52" t="str">
        <f>IF(OR(Tabla1[[#This Row],[5]]="TPL"),Tabla1[[#This Row],[7]],"")</f>
        <v/>
      </c>
      <c r="M971" s="52">
        <f>IF(Tabla15[[#This Row],[5]]="",0,VLOOKUP(TRAMOS!$K$2,Tabla5[#All],3,FALSE)*Tabla15[[#This Row],[6]])</f>
        <v>0</v>
      </c>
      <c r="N97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7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71" s="52">
        <f>IF(Tabla15[[#This Row],[8]]="",0,VLOOKUP(TRAMOS!$H$2,Tabla5[#All],3,FALSE)*Tabla15[[#This Row],[9]])</f>
        <v>0</v>
      </c>
      <c r="Q97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7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71" s="52">
        <f>IF(Tabla15[[#This Row],[11]]="",0,VLOOKUP(TRAMOS!$Q$2,Tabla5[#All],3,FALSE)*Tabla15[[#This Row],[12]])</f>
        <v>0</v>
      </c>
      <c r="T97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7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7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7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7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7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7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7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71" s="52">
        <f>IF(Tabla15[[#This Row],[20]]="",0,VLOOKUP("VRP",Tabla5[#All],3,FALSE)*Tabla15[[#This Row],[21]])</f>
        <v>0</v>
      </c>
      <c r="AC97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7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71" s="52">
        <f>IF(Tabla15[[#This Row],[23]]="",0,VLOOKUP("VC",Tabla5[#All],3,FALSE)*Tabla15[[#This Row],[24]])</f>
        <v>0</v>
      </c>
      <c r="AF97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7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71" s="52">
        <f>IF(Tabla15[[#This Row],[26]]="",0,VLOOKUP(TRAMOS!$K$2,Tabla5[#All],3,FALSE)*Tabla15[[#This Row],[27]])</f>
        <v>0</v>
      </c>
      <c r="AI97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7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7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7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7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7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7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972" spans="2:41" x14ac:dyDescent="0.25">
      <c r="B972" s="58" t="str">
        <f>Tabla1[[#This Row],[nudo inicial]]</f>
        <v>N646</v>
      </c>
      <c r="C972" s="58" t="str">
        <f>Tabla1[[#This Row],[nudo final]]</f>
        <v>TP342</v>
      </c>
      <c r="D972" s="51">
        <f>Tabla1[[#This Row],[longitud]]</f>
        <v>139.38999999999999</v>
      </c>
      <c r="E972" s="51" t="str">
        <f>Tabla1[[#This Row],[diametro]]</f>
        <v>2"</v>
      </c>
      <c r="F972" s="51" t="str">
        <f>Tabla1[[#This Row],[material]]</f>
        <v>PVC</v>
      </c>
      <c r="G97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972" s="52" t="str">
        <f>IF(Tabla1[[#This Row],[5]]="TPD",Tabla1[[#This Row],[6]],"")</f>
        <v/>
      </c>
      <c r="I972" s="52" t="str">
        <f>IF(OR(Tabla1[[#This Row],[5]]="TPD"),Tabla1[[#This Row],[7]],"")</f>
        <v/>
      </c>
      <c r="J972" s="52">
        <f>IF(Tabla15[[#This Row],[2]]="",0,VLOOKUP(TRAMOS!$H$2,Tabla5[#All],3,FALSE)*Tabla15[[#This Row],[3]])</f>
        <v>0</v>
      </c>
      <c r="K972" s="52" t="str">
        <f>IF(Tabla1[[#This Row],[5]]="TPL",Tabla1[[#This Row],[6]],"")</f>
        <v>4"</v>
      </c>
      <c r="L972" s="52">
        <f>IF(OR(Tabla1[[#This Row],[5]]="TPL"),Tabla1[[#This Row],[7]],"")</f>
        <v>1</v>
      </c>
      <c r="M972" s="52">
        <f>IF(Tabla15[[#This Row],[5]]="",0,VLOOKUP(TRAMOS!$K$2,Tabla5[#All],3,FALSE)*Tabla15[[#This Row],[6]])</f>
        <v>0.9</v>
      </c>
      <c r="N97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7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72" s="52">
        <f>IF(Tabla15[[#This Row],[8]]="",0,VLOOKUP(TRAMOS!$H$2,Tabla5[#All],3,FALSE)*Tabla15[[#This Row],[9]])</f>
        <v>0</v>
      </c>
      <c r="Q97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7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72" s="52">
        <f>IF(Tabla15[[#This Row],[11]]="",0,VLOOKUP(TRAMOS!$Q$2,Tabla5[#All],3,FALSE)*Tabla15[[#This Row],[12]])</f>
        <v>0</v>
      </c>
      <c r="T97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972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97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97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7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7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7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7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72" s="52">
        <f>IF(Tabla15[[#This Row],[20]]="",0,VLOOKUP("VRP",Tabla5[#All],3,FALSE)*Tabla15[[#This Row],[21]])</f>
        <v>0</v>
      </c>
      <c r="AC97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7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72" s="52">
        <f>IF(Tabla15[[#This Row],[23]]="",0,VLOOKUP("VC",Tabla5[#All],3,FALSE)*Tabla15[[#This Row],[24]])</f>
        <v>0</v>
      </c>
      <c r="AF97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7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72" s="52">
        <f>IF(Tabla15[[#This Row],[26]]="",0,VLOOKUP(TRAMOS!$K$2,Tabla5[#All],3,FALSE)*Tabla15[[#This Row],[27]])</f>
        <v>0</v>
      </c>
      <c r="AI97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7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7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7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7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972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97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1.27</v>
      </c>
    </row>
    <row r="973" spans="2:41" x14ac:dyDescent="0.25">
      <c r="B973" s="58" t="str">
        <f>Tabla1[[#This Row],[nudo inicial]]</f>
        <v>N388</v>
      </c>
      <c r="C973" s="58" t="str">
        <f>Tabla1[[#This Row],[nudo final]]</f>
        <v>N520</v>
      </c>
      <c r="D973" s="51">
        <f>Tabla1[[#This Row],[longitud]]</f>
        <v>13.14</v>
      </c>
      <c r="E973" s="51" t="str">
        <f>Tabla1[[#This Row],[diametro]]</f>
        <v>8"</v>
      </c>
      <c r="F973" s="51" t="str">
        <f>Tabla1[[#This Row],[material]]</f>
        <v>PVC</v>
      </c>
      <c r="G97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973" s="52" t="str">
        <f>IF(Tabla1[[#This Row],[5]]="TPD",Tabla1[[#This Row],[6]],"")</f>
        <v/>
      </c>
      <c r="I973" s="52" t="str">
        <f>IF(OR(Tabla1[[#This Row],[5]]="TPD"),Tabla1[[#This Row],[7]],"")</f>
        <v/>
      </c>
      <c r="J973" s="52">
        <f>IF(Tabla15[[#This Row],[2]]="",0,VLOOKUP(TRAMOS!$H$2,Tabla5[#All],3,FALSE)*Tabla15[[#This Row],[3]])</f>
        <v>0</v>
      </c>
      <c r="K973" s="52" t="str">
        <f>IF(Tabla1[[#This Row],[5]]="TPL",Tabla1[[#This Row],[6]],"")</f>
        <v/>
      </c>
      <c r="L973" s="52" t="str">
        <f>IF(OR(Tabla1[[#This Row],[5]]="TPL"),Tabla1[[#This Row],[7]],"")</f>
        <v/>
      </c>
      <c r="M973" s="52">
        <f>IF(Tabla15[[#This Row],[5]]="",0,VLOOKUP(TRAMOS!$K$2,Tabla5[#All],3,FALSE)*Tabla15[[#This Row],[6]])</f>
        <v>0</v>
      </c>
      <c r="N97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8"</v>
      </c>
      <c r="O973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973" s="52">
        <f>IF(Tabla15[[#This Row],[8]]="",0,VLOOKUP(TRAMOS!$H$2,Tabla5[#All],3,FALSE)*Tabla15[[#This Row],[9]])</f>
        <v>0.15</v>
      </c>
      <c r="Q97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7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73" s="52">
        <f>IF(Tabla15[[#This Row],[11]]="",0,VLOOKUP(TRAMOS!$Q$2,Tabla5[#All],3,FALSE)*Tabla15[[#This Row],[12]])</f>
        <v>0</v>
      </c>
      <c r="T97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7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7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7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7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7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7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7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73" s="52">
        <f>IF(Tabla15[[#This Row],[20]]="",0,VLOOKUP("VRP",Tabla5[#All],3,FALSE)*Tabla15[[#This Row],[21]])</f>
        <v>0</v>
      </c>
      <c r="AC97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7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73" s="52">
        <f>IF(Tabla15[[#This Row],[23]]="",0,VLOOKUP("VC",Tabla5[#All],3,FALSE)*Tabla15[[#This Row],[24]])</f>
        <v>0</v>
      </c>
      <c r="AF97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7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73" s="52">
        <f>IF(Tabla15[[#This Row],[26]]="",0,VLOOKUP(TRAMOS!$K$2,Tabla5[#All],3,FALSE)*Tabla15[[#This Row],[27]])</f>
        <v>0</v>
      </c>
      <c r="AI97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7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7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7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7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7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7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974" spans="2:41" x14ac:dyDescent="0.25">
      <c r="B974" s="58" t="str">
        <f>Tabla1[[#This Row],[nudo inicial]]</f>
        <v>N520</v>
      </c>
      <c r="C974" s="58" t="str">
        <f>Tabla1[[#This Row],[nudo final]]</f>
        <v>N521</v>
      </c>
      <c r="D974" s="51">
        <f>Tabla1[[#This Row],[longitud]]</f>
        <v>93.84</v>
      </c>
      <c r="E974" s="51" t="str">
        <f>Tabla1[[#This Row],[diametro]]</f>
        <v>4"</v>
      </c>
      <c r="F974" s="51" t="str">
        <f>Tabla1[[#This Row],[material]]</f>
        <v>HF</v>
      </c>
      <c r="G97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974" s="52" t="str">
        <f>IF(Tabla1[[#This Row],[5]]="TPD",Tabla1[[#This Row],[6]],"")</f>
        <v/>
      </c>
      <c r="I974" s="52" t="str">
        <f>IF(OR(Tabla1[[#This Row],[5]]="TPD"),Tabla1[[#This Row],[7]],"")</f>
        <v/>
      </c>
      <c r="J974" s="52">
        <f>IF(Tabla15[[#This Row],[2]]="",0,VLOOKUP(TRAMOS!$H$2,Tabla5[#All],3,FALSE)*Tabla15[[#This Row],[3]])</f>
        <v>0</v>
      </c>
      <c r="K974" s="52" t="str">
        <f>IF(Tabla1[[#This Row],[5]]="TPL",Tabla1[[#This Row],[6]],"")</f>
        <v/>
      </c>
      <c r="L974" s="52" t="str">
        <f>IF(OR(Tabla1[[#This Row],[5]]="TPL"),Tabla1[[#This Row],[7]],"")</f>
        <v/>
      </c>
      <c r="M974" s="52">
        <f>IF(Tabla15[[#This Row],[5]]="",0,VLOOKUP(TRAMOS!$K$2,Tabla5[#All],3,FALSE)*Tabla15[[#This Row],[6]])</f>
        <v>0</v>
      </c>
      <c r="N97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7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74" s="52">
        <f>IF(Tabla15[[#This Row],[8]]="",0,VLOOKUP(TRAMOS!$H$2,Tabla5[#All],3,FALSE)*Tabla15[[#This Row],[9]])</f>
        <v>0</v>
      </c>
      <c r="Q97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7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74" s="52">
        <f>IF(Tabla15[[#This Row],[11]]="",0,VLOOKUP(TRAMOS!$Q$2,Tabla5[#All],3,FALSE)*Tabla15[[#This Row],[12]])</f>
        <v>0</v>
      </c>
      <c r="T97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4"</v>
      </c>
      <c r="U974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97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97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7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7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7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7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74" s="52">
        <f>IF(Tabla15[[#This Row],[20]]="",0,VLOOKUP("VRP",Tabla5[#All],3,FALSE)*Tabla15[[#This Row],[21]])</f>
        <v>0</v>
      </c>
      <c r="AC97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7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74" s="52">
        <f>IF(Tabla15[[#This Row],[23]]="",0,VLOOKUP("VC",Tabla5[#All],3,FALSE)*Tabla15[[#This Row],[24]])</f>
        <v>0</v>
      </c>
      <c r="AF97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7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74" s="52">
        <f>IF(Tabla15[[#This Row],[26]]="",0,VLOOKUP(TRAMOS!$K$2,Tabla5[#All],3,FALSE)*Tabla15[[#This Row],[27]])</f>
        <v>0</v>
      </c>
      <c r="AI97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7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7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7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7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7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7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0.37</v>
      </c>
    </row>
    <row r="975" spans="2:41" x14ac:dyDescent="0.25">
      <c r="B975" s="58" t="str">
        <f>Tabla1[[#This Row],[nudo inicial]]</f>
        <v>N521</v>
      </c>
      <c r="C975" s="58" t="str">
        <f>Tabla1[[#This Row],[nudo final]]</f>
        <v>TP343</v>
      </c>
      <c r="D975" s="51">
        <f>Tabla1[[#This Row],[longitud]]</f>
        <v>113.35</v>
      </c>
      <c r="E975" s="51" t="str">
        <f>Tabla1[[#This Row],[diametro]]</f>
        <v>2"</v>
      </c>
      <c r="F975" s="51" t="str">
        <f>Tabla1[[#This Row],[material]]</f>
        <v>PVC</v>
      </c>
      <c r="G97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975" s="52" t="str">
        <f>IF(Tabla1[[#This Row],[5]]="TPD",Tabla1[[#This Row],[6]],"")</f>
        <v/>
      </c>
      <c r="I975" s="52" t="str">
        <f>IF(OR(Tabla1[[#This Row],[5]]="TPD"),Tabla1[[#This Row],[7]],"")</f>
        <v/>
      </c>
      <c r="J975" s="52">
        <f>IF(Tabla15[[#This Row],[2]]="",0,VLOOKUP(TRAMOS!$H$2,Tabla5[#All],3,FALSE)*Tabla15[[#This Row],[3]])</f>
        <v>0</v>
      </c>
      <c r="K975" s="52" t="str">
        <f>IF(Tabla1[[#This Row],[5]]="TPL",Tabla1[[#This Row],[6]],"")</f>
        <v>4"</v>
      </c>
      <c r="L975" s="52">
        <f>IF(OR(Tabla1[[#This Row],[5]]="TPL"),Tabla1[[#This Row],[7]],"")</f>
        <v>1</v>
      </c>
      <c r="M975" s="52">
        <f>IF(Tabla15[[#This Row],[5]]="",0,VLOOKUP(TRAMOS!$K$2,Tabla5[#All],3,FALSE)*Tabla15[[#This Row],[6]])</f>
        <v>0.9</v>
      </c>
      <c r="N97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7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75" s="52">
        <f>IF(Tabla15[[#This Row],[8]]="",0,VLOOKUP(TRAMOS!$H$2,Tabla5[#All],3,FALSE)*Tabla15[[#This Row],[9]])</f>
        <v>0</v>
      </c>
      <c r="Q97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7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75" s="52">
        <f>IF(Tabla15[[#This Row],[11]]="",0,VLOOKUP(TRAMOS!$Q$2,Tabla5[#All],3,FALSE)*Tabla15[[#This Row],[12]])</f>
        <v>0</v>
      </c>
      <c r="T97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975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97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97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7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7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7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7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75" s="52">
        <f>IF(Tabla15[[#This Row],[20]]="",0,VLOOKUP("VRP",Tabla5[#All],3,FALSE)*Tabla15[[#This Row],[21]])</f>
        <v>0</v>
      </c>
      <c r="AC97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7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75" s="52">
        <f>IF(Tabla15[[#This Row],[23]]="",0,VLOOKUP("VC",Tabla5[#All],3,FALSE)*Tabla15[[#This Row],[24]])</f>
        <v>0</v>
      </c>
      <c r="AF97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7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75" s="52">
        <f>IF(Tabla15[[#This Row],[26]]="",0,VLOOKUP(TRAMOS!$K$2,Tabla5[#All],3,FALSE)*Tabla15[[#This Row],[27]])</f>
        <v>0</v>
      </c>
      <c r="AI97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7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7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7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7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975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97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1.27</v>
      </c>
    </row>
    <row r="976" spans="2:41" x14ac:dyDescent="0.25">
      <c r="B976" s="58" t="str">
        <f>Tabla1[[#This Row],[nudo inicial]]</f>
        <v>N387</v>
      </c>
      <c r="C976" s="58" t="str">
        <f>Tabla1[[#This Row],[nudo final]]</f>
        <v>N522</v>
      </c>
      <c r="D976" s="51">
        <f>Tabla1[[#This Row],[longitud]]</f>
        <v>83.15</v>
      </c>
      <c r="E976" s="51" t="str">
        <f>Tabla1[[#This Row],[diametro]]</f>
        <v>3"</v>
      </c>
      <c r="F976" s="51" t="str">
        <f>Tabla1[[#This Row],[material]]</f>
        <v>PVC</v>
      </c>
      <c r="G97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976" s="52" t="str">
        <f>IF(Tabla1[[#This Row],[5]]="TPD",Tabla1[[#This Row],[6]],"")</f>
        <v/>
      </c>
      <c r="I976" s="52" t="str">
        <f>IF(OR(Tabla1[[#This Row],[5]]="TPD"),Tabla1[[#This Row],[7]],"")</f>
        <v/>
      </c>
      <c r="J976" s="52">
        <f>IF(Tabla15[[#This Row],[2]]="",0,VLOOKUP(TRAMOS!$H$2,Tabla5[#All],3,FALSE)*Tabla15[[#This Row],[3]])</f>
        <v>0</v>
      </c>
      <c r="K976" s="52" t="str">
        <f>IF(Tabla1[[#This Row],[5]]="TPL",Tabla1[[#This Row],[6]],"")</f>
        <v>6"</v>
      </c>
      <c r="L976" s="52">
        <f>IF(OR(Tabla1[[#This Row],[5]]="TPL"),Tabla1[[#This Row],[7]],"")</f>
        <v>1</v>
      </c>
      <c r="M976" s="52">
        <f>IF(Tabla15[[#This Row],[5]]="",0,VLOOKUP(TRAMOS!$K$2,Tabla5[#All],3,FALSE)*Tabla15[[#This Row],[6]])</f>
        <v>0.9</v>
      </c>
      <c r="N97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7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76" s="52">
        <f>IF(Tabla15[[#This Row],[8]]="",0,VLOOKUP(TRAMOS!$H$2,Tabla5[#All],3,FALSE)*Tabla15[[#This Row],[9]])</f>
        <v>0</v>
      </c>
      <c r="Q97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7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76" s="52">
        <f>IF(Tabla15[[#This Row],[11]]="",0,VLOOKUP(TRAMOS!$Q$2,Tabla5[#All],3,FALSE)*Tabla15[[#This Row],[12]])</f>
        <v>0</v>
      </c>
      <c r="T97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976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97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97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7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7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7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7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76" s="52">
        <f>IF(Tabla15[[#This Row],[20]]="",0,VLOOKUP("VRP",Tabla5[#All],3,FALSE)*Tabla15[[#This Row],[21]])</f>
        <v>0</v>
      </c>
      <c r="AC97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976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976" s="52">
        <f>IF(Tabla15[[#This Row],[23]]="",0,VLOOKUP("VC",Tabla5[#All],3,FALSE)*Tabla15[[#This Row],[24]])</f>
        <v>0.25</v>
      </c>
      <c r="AF97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7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76" s="52">
        <f>IF(Tabla15[[#This Row],[26]]="",0,VLOOKUP(TRAMOS!$K$2,Tabla5[#All],3,FALSE)*Tabla15[[#This Row],[27]])</f>
        <v>0</v>
      </c>
      <c r="AI97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7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7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7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7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7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7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1.52</v>
      </c>
    </row>
    <row r="977" spans="2:41" x14ac:dyDescent="0.25">
      <c r="B977" s="58" t="str">
        <f>Tabla1[[#This Row],[nudo inicial]]</f>
        <v>N522</v>
      </c>
      <c r="C977" s="58" t="str">
        <f>Tabla1[[#This Row],[nudo final]]</f>
        <v>TP344</v>
      </c>
      <c r="D977" s="51">
        <f>Tabla1[[#This Row],[longitud]]</f>
        <v>107.94</v>
      </c>
      <c r="E977" s="51" t="str">
        <f>Tabla1[[#This Row],[diametro]]</f>
        <v>2"</v>
      </c>
      <c r="F977" s="51" t="str">
        <f>Tabla1[[#This Row],[material]]</f>
        <v>PVC</v>
      </c>
      <c r="G97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977" s="52" t="str">
        <f>IF(Tabla1[[#This Row],[5]]="TPD",Tabla1[[#This Row],[6]],"")</f>
        <v/>
      </c>
      <c r="I977" s="52" t="str">
        <f>IF(OR(Tabla1[[#This Row],[5]]="TPD"),Tabla1[[#This Row],[7]],"")</f>
        <v/>
      </c>
      <c r="J977" s="52">
        <f>IF(Tabla15[[#This Row],[2]]="",0,VLOOKUP(TRAMOS!$H$2,Tabla5[#All],3,FALSE)*Tabla15[[#This Row],[3]])</f>
        <v>0</v>
      </c>
      <c r="K977" s="52" t="str">
        <f>IF(Tabla1[[#This Row],[5]]="TPL",Tabla1[[#This Row],[6]],"")</f>
        <v>3"</v>
      </c>
      <c r="L977" s="52">
        <f>IF(OR(Tabla1[[#This Row],[5]]="TPL"),Tabla1[[#This Row],[7]],"")</f>
        <v>1</v>
      </c>
      <c r="M977" s="52">
        <f>IF(Tabla15[[#This Row],[5]]="",0,VLOOKUP(TRAMOS!$K$2,Tabla5[#All],3,FALSE)*Tabla15[[#This Row],[6]])</f>
        <v>0.9</v>
      </c>
      <c r="N97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7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77" s="52">
        <f>IF(Tabla15[[#This Row],[8]]="",0,VLOOKUP(TRAMOS!$H$2,Tabla5[#All],3,FALSE)*Tabla15[[#This Row],[9]])</f>
        <v>0</v>
      </c>
      <c r="Q97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7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77" s="52">
        <f>IF(Tabla15[[#This Row],[11]]="",0,VLOOKUP(TRAMOS!$Q$2,Tabla5[#All],3,FALSE)*Tabla15[[#This Row],[12]])</f>
        <v>0</v>
      </c>
      <c r="T97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977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97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97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7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7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7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7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77" s="52">
        <f>IF(Tabla15[[#This Row],[20]]="",0,VLOOKUP("VRP",Tabla5[#All],3,FALSE)*Tabla15[[#This Row],[21]])</f>
        <v>0</v>
      </c>
      <c r="AC97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7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77" s="52">
        <f>IF(Tabla15[[#This Row],[23]]="",0,VLOOKUP("VC",Tabla5[#All],3,FALSE)*Tabla15[[#This Row],[24]])</f>
        <v>0</v>
      </c>
      <c r="AF97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7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77" s="52">
        <f>IF(Tabla15[[#This Row],[26]]="",0,VLOOKUP(TRAMOS!$K$2,Tabla5[#All],3,FALSE)*Tabla15[[#This Row],[27]])</f>
        <v>0</v>
      </c>
      <c r="AI97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7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7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7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7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977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97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978" spans="2:41" x14ac:dyDescent="0.25">
      <c r="B978" s="58" t="str">
        <f>Tabla1[[#This Row],[nudo inicial]]</f>
        <v>N522</v>
      </c>
      <c r="C978" s="58" t="str">
        <f>Tabla1[[#This Row],[nudo final]]</f>
        <v>N523</v>
      </c>
      <c r="D978" s="51">
        <f>Tabla1[[#This Row],[longitud]]</f>
        <v>21.31</v>
      </c>
      <c r="E978" s="51" t="str">
        <f>Tabla1[[#This Row],[diametro]]</f>
        <v>3"</v>
      </c>
      <c r="F978" s="51" t="str">
        <f>Tabla1[[#This Row],[material]]</f>
        <v>PVC</v>
      </c>
      <c r="G97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978" s="52" t="str">
        <f>IF(Tabla1[[#This Row],[5]]="TPD",Tabla1[[#This Row],[6]],"")</f>
        <v>3"</v>
      </c>
      <c r="I978" s="52">
        <f>IF(OR(Tabla1[[#This Row],[5]]="TPD"),Tabla1[[#This Row],[7]],"")</f>
        <v>1</v>
      </c>
      <c r="J978" s="52">
        <f>IF(Tabla15[[#This Row],[2]]="",0,VLOOKUP(TRAMOS!$H$2,Tabla5[#All],3,FALSE)*Tabla15[[#This Row],[3]])</f>
        <v>0.15</v>
      </c>
      <c r="K978" s="52" t="str">
        <f>IF(Tabla1[[#This Row],[5]]="TPL",Tabla1[[#This Row],[6]],"")</f>
        <v/>
      </c>
      <c r="L978" s="52" t="str">
        <f>IF(OR(Tabla1[[#This Row],[5]]="TPL"),Tabla1[[#This Row],[7]],"")</f>
        <v/>
      </c>
      <c r="M978" s="52">
        <f>IF(Tabla15[[#This Row],[5]]="",0,VLOOKUP(TRAMOS!$K$2,Tabla5[#All],3,FALSE)*Tabla15[[#This Row],[6]])</f>
        <v>0</v>
      </c>
      <c r="N97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7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78" s="52">
        <f>IF(Tabla15[[#This Row],[8]]="",0,VLOOKUP(TRAMOS!$H$2,Tabla5[#All],3,FALSE)*Tabla15[[#This Row],[9]])</f>
        <v>0</v>
      </c>
      <c r="Q97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7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78" s="52">
        <f>IF(Tabla15[[#This Row],[11]]="",0,VLOOKUP(TRAMOS!$Q$2,Tabla5[#All],3,FALSE)*Tabla15[[#This Row],[12]])</f>
        <v>0</v>
      </c>
      <c r="T97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7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7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7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7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7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7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7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78" s="52">
        <f>IF(Tabla15[[#This Row],[20]]="",0,VLOOKUP("VRP",Tabla5[#All],3,FALSE)*Tabla15[[#This Row],[21]])</f>
        <v>0</v>
      </c>
      <c r="AC97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7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78" s="52">
        <f>IF(Tabla15[[#This Row],[23]]="",0,VLOOKUP("VC",Tabla5[#All],3,FALSE)*Tabla15[[#This Row],[24]])</f>
        <v>0</v>
      </c>
      <c r="AF97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7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78" s="52">
        <f>IF(Tabla15[[#This Row],[26]]="",0,VLOOKUP(TRAMOS!$K$2,Tabla5[#All],3,FALSE)*Tabla15[[#This Row],[27]])</f>
        <v>0</v>
      </c>
      <c r="AI97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7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7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7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7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7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7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979" spans="2:41" x14ac:dyDescent="0.25">
      <c r="B979" s="58" t="str">
        <f>Tabla1[[#This Row],[nudo inicial]]</f>
        <v>N383</v>
      </c>
      <c r="C979" s="58" t="str">
        <f>Tabla1[[#This Row],[nudo final]]</f>
        <v>TP345</v>
      </c>
      <c r="D979" s="51">
        <f>Tabla1[[#This Row],[longitud]]</f>
        <v>112.94</v>
      </c>
      <c r="E979" s="51" t="str">
        <f>Tabla1[[#This Row],[diametro]]</f>
        <v>2"</v>
      </c>
      <c r="F979" s="51" t="str">
        <f>Tabla1[[#This Row],[material]]</f>
        <v>PVC</v>
      </c>
      <c r="G97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979" s="52" t="str">
        <f>IF(Tabla1[[#This Row],[5]]="TPD",Tabla1[[#This Row],[6]],"")</f>
        <v/>
      </c>
      <c r="I979" s="52" t="str">
        <f>IF(OR(Tabla1[[#This Row],[5]]="TPD"),Tabla1[[#This Row],[7]],"")</f>
        <v/>
      </c>
      <c r="J979" s="52">
        <f>IF(Tabla15[[#This Row],[2]]="",0,VLOOKUP(TRAMOS!$H$2,Tabla5[#All],3,FALSE)*Tabla15[[#This Row],[3]])</f>
        <v>0</v>
      </c>
      <c r="K979" s="52" t="str">
        <f>IF(Tabla1[[#This Row],[5]]="TPL",Tabla1[[#This Row],[6]],"")</f>
        <v>3"</v>
      </c>
      <c r="L979" s="52">
        <f>IF(OR(Tabla1[[#This Row],[5]]="TPL"),Tabla1[[#This Row],[7]],"")</f>
        <v>1</v>
      </c>
      <c r="M979" s="52">
        <f>IF(Tabla15[[#This Row],[5]]="",0,VLOOKUP(TRAMOS!$K$2,Tabla5[#All],3,FALSE)*Tabla15[[#This Row],[6]])</f>
        <v>0.9</v>
      </c>
      <c r="N97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7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79" s="52">
        <f>IF(Tabla15[[#This Row],[8]]="",0,VLOOKUP(TRAMOS!$H$2,Tabla5[#All],3,FALSE)*Tabla15[[#This Row],[9]])</f>
        <v>0</v>
      </c>
      <c r="Q97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7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79" s="52">
        <f>IF(Tabla15[[#This Row],[11]]="",0,VLOOKUP(TRAMOS!$Q$2,Tabla5[#All],3,FALSE)*Tabla15[[#This Row],[12]])</f>
        <v>0</v>
      </c>
      <c r="T97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979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97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97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7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7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7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7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79" s="52">
        <f>IF(Tabla15[[#This Row],[20]]="",0,VLOOKUP("VRP",Tabla5[#All],3,FALSE)*Tabla15[[#This Row],[21]])</f>
        <v>0</v>
      </c>
      <c r="AC97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7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79" s="52">
        <f>IF(Tabla15[[#This Row],[23]]="",0,VLOOKUP("VC",Tabla5[#All],3,FALSE)*Tabla15[[#This Row],[24]])</f>
        <v>0</v>
      </c>
      <c r="AF97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7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79" s="52">
        <f>IF(Tabla15[[#This Row],[26]]="",0,VLOOKUP(TRAMOS!$K$2,Tabla5[#All],3,FALSE)*Tabla15[[#This Row],[27]])</f>
        <v>0</v>
      </c>
      <c r="AI97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7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7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7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7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979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97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980" spans="2:41" x14ac:dyDescent="0.25">
      <c r="B980" s="58" t="str">
        <f>Tabla1[[#This Row],[nudo inicial]]</f>
        <v>N382</v>
      </c>
      <c r="C980" s="58" t="str">
        <f>Tabla1[[#This Row],[nudo final]]</f>
        <v>N524</v>
      </c>
      <c r="D980" s="51">
        <f>Tabla1[[#This Row],[longitud]]</f>
        <v>60.99</v>
      </c>
      <c r="E980" s="51" t="str">
        <f>Tabla1[[#This Row],[diametro]]</f>
        <v>3"</v>
      </c>
      <c r="F980" s="51" t="str">
        <f>Tabla1[[#This Row],[material]]</f>
        <v>HF</v>
      </c>
      <c r="G98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980" s="52" t="str">
        <f>IF(Tabla1[[#This Row],[5]]="TPD",Tabla1[[#This Row],[6]],"")</f>
        <v>3"</v>
      </c>
      <c r="I980" s="52">
        <f>IF(OR(Tabla1[[#This Row],[5]]="TPD"),Tabla1[[#This Row],[7]],"")</f>
        <v>1</v>
      </c>
      <c r="J980" s="52">
        <f>IF(Tabla15[[#This Row],[2]]="",0,VLOOKUP(TRAMOS!$H$2,Tabla5[#All],3,FALSE)*Tabla15[[#This Row],[3]])</f>
        <v>0.15</v>
      </c>
      <c r="K980" s="52" t="str">
        <f>IF(Tabla1[[#This Row],[5]]="TPL",Tabla1[[#This Row],[6]],"")</f>
        <v/>
      </c>
      <c r="L980" s="52" t="str">
        <f>IF(OR(Tabla1[[#This Row],[5]]="TPL"),Tabla1[[#This Row],[7]],"")</f>
        <v/>
      </c>
      <c r="M980" s="52">
        <f>IF(Tabla15[[#This Row],[5]]="",0,VLOOKUP(TRAMOS!$K$2,Tabla5[#All],3,FALSE)*Tabla15[[#This Row],[6]])</f>
        <v>0</v>
      </c>
      <c r="N98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8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80" s="52">
        <f>IF(Tabla15[[#This Row],[8]]="",0,VLOOKUP(TRAMOS!$H$2,Tabla5[#All],3,FALSE)*Tabla15[[#This Row],[9]])</f>
        <v>0</v>
      </c>
      <c r="Q98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8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80" s="52">
        <f>IF(Tabla15[[#This Row],[11]]="",0,VLOOKUP(TRAMOS!$Q$2,Tabla5[#All],3,FALSE)*Tabla15[[#This Row],[12]])</f>
        <v>0</v>
      </c>
      <c r="T98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8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8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8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8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8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8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8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80" s="52">
        <f>IF(Tabla15[[#This Row],[20]]="",0,VLOOKUP("VRP",Tabla5[#All],3,FALSE)*Tabla15[[#This Row],[21]])</f>
        <v>0</v>
      </c>
      <c r="AC98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980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980" s="52">
        <f>IF(Tabla15[[#This Row],[23]]="",0,VLOOKUP("VC",Tabla5[#All],3,FALSE)*Tabla15[[#This Row],[24]])</f>
        <v>0.25</v>
      </c>
      <c r="AF98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8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80" s="52">
        <f>IF(Tabla15[[#This Row],[26]]="",0,VLOOKUP(TRAMOS!$K$2,Tabla5[#All],3,FALSE)*Tabla15[[#This Row],[27]])</f>
        <v>0</v>
      </c>
      <c r="AI98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8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8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8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8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8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8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0.4</v>
      </c>
    </row>
    <row r="981" spans="2:41" x14ac:dyDescent="0.25">
      <c r="B981" s="58" t="str">
        <f>Tabla1[[#This Row],[nudo inicial]]</f>
        <v>N524</v>
      </c>
      <c r="C981" s="58" t="str">
        <f>Tabla1[[#This Row],[nudo final]]</f>
        <v>N523</v>
      </c>
      <c r="D981" s="51">
        <f>Tabla1[[#This Row],[longitud]]</f>
        <v>137.31</v>
      </c>
      <c r="E981" s="51" t="str">
        <f>Tabla1[[#This Row],[diametro]]</f>
        <v>3"</v>
      </c>
      <c r="F981" s="51" t="str">
        <f>Tabla1[[#This Row],[material]]</f>
        <v>HF</v>
      </c>
      <c r="G98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981" s="52" t="str">
        <f>IF(Tabla1[[#This Row],[5]]="TPD",Tabla1[[#This Row],[6]],"")</f>
        <v>3"</v>
      </c>
      <c r="I981" s="52">
        <f>IF(OR(Tabla1[[#This Row],[5]]="TPD"),Tabla1[[#This Row],[7]],"")</f>
        <v>1</v>
      </c>
      <c r="J981" s="52">
        <f>IF(Tabla15[[#This Row],[2]]="",0,VLOOKUP(TRAMOS!$H$2,Tabla5[#All],3,FALSE)*Tabla15[[#This Row],[3]])</f>
        <v>0.15</v>
      </c>
      <c r="K981" s="52" t="str">
        <f>IF(Tabla1[[#This Row],[5]]="TPL",Tabla1[[#This Row],[6]],"")</f>
        <v/>
      </c>
      <c r="L981" s="52" t="str">
        <f>IF(OR(Tabla1[[#This Row],[5]]="TPL"),Tabla1[[#This Row],[7]],"")</f>
        <v/>
      </c>
      <c r="M981" s="52">
        <f>IF(Tabla15[[#This Row],[5]]="",0,VLOOKUP(TRAMOS!$K$2,Tabla5[#All],3,FALSE)*Tabla15[[#This Row],[6]])</f>
        <v>0</v>
      </c>
      <c r="N98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8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81" s="52">
        <f>IF(Tabla15[[#This Row],[8]]="",0,VLOOKUP(TRAMOS!$H$2,Tabla5[#All],3,FALSE)*Tabla15[[#This Row],[9]])</f>
        <v>0</v>
      </c>
      <c r="Q98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3"</v>
      </c>
      <c r="R981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981" s="52">
        <f>IF(Tabla15[[#This Row],[11]]="",0,VLOOKUP(TRAMOS!$Q$2,Tabla5[#All],3,FALSE)*Tabla15[[#This Row],[12]])</f>
        <v>0.9</v>
      </c>
      <c r="T98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8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8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8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8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8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8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8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81" s="52">
        <f>IF(Tabla15[[#This Row],[20]]="",0,VLOOKUP("VRP",Tabla5[#All],3,FALSE)*Tabla15[[#This Row],[21]])</f>
        <v>0</v>
      </c>
      <c r="AC98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8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81" s="52">
        <f>IF(Tabla15[[#This Row],[23]]="",0,VLOOKUP("VC",Tabla5[#All],3,FALSE)*Tabla15[[#This Row],[24]])</f>
        <v>0</v>
      </c>
      <c r="AF98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8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81" s="52">
        <f>IF(Tabla15[[#This Row],[26]]="",0,VLOOKUP(TRAMOS!$K$2,Tabla5[#All],3,FALSE)*Tabla15[[#This Row],[27]])</f>
        <v>0</v>
      </c>
      <c r="AI98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8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8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8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8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8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8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982" spans="2:41" x14ac:dyDescent="0.25">
      <c r="B982" s="58" t="str">
        <f>Tabla1[[#This Row],[nudo inicial]]</f>
        <v>N523</v>
      </c>
      <c r="C982" s="58" t="str">
        <f>Tabla1[[#This Row],[nudo final]]</f>
        <v>N525</v>
      </c>
      <c r="D982" s="51">
        <f>Tabla1[[#This Row],[longitud]]</f>
        <v>12.82</v>
      </c>
      <c r="E982" s="51" t="str">
        <f>Tabla1[[#This Row],[diametro]]</f>
        <v>3"</v>
      </c>
      <c r="F982" s="51" t="str">
        <f>Tabla1[[#This Row],[material]]</f>
        <v>PVC</v>
      </c>
      <c r="G98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982" s="52" t="str">
        <f>IF(Tabla1[[#This Row],[5]]="TPD",Tabla1[[#This Row],[6]],"")</f>
        <v>3"</v>
      </c>
      <c r="I982" s="52">
        <f>IF(OR(Tabla1[[#This Row],[5]]="TPD"),Tabla1[[#This Row],[7]],"")</f>
        <v>1</v>
      </c>
      <c r="J982" s="52">
        <f>IF(Tabla15[[#This Row],[2]]="",0,VLOOKUP(TRAMOS!$H$2,Tabla5[#All],3,FALSE)*Tabla15[[#This Row],[3]])</f>
        <v>0.15</v>
      </c>
      <c r="K982" s="52" t="str">
        <f>IF(Tabla1[[#This Row],[5]]="TPL",Tabla1[[#This Row],[6]],"")</f>
        <v/>
      </c>
      <c r="L982" s="52" t="str">
        <f>IF(OR(Tabla1[[#This Row],[5]]="TPL"),Tabla1[[#This Row],[7]],"")</f>
        <v/>
      </c>
      <c r="M982" s="52">
        <f>IF(Tabla15[[#This Row],[5]]="",0,VLOOKUP(TRAMOS!$K$2,Tabla5[#All],3,FALSE)*Tabla15[[#This Row],[6]])</f>
        <v>0</v>
      </c>
      <c r="N98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8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82" s="52">
        <f>IF(Tabla15[[#This Row],[8]]="",0,VLOOKUP(TRAMOS!$H$2,Tabla5[#All],3,FALSE)*Tabla15[[#This Row],[9]])</f>
        <v>0</v>
      </c>
      <c r="Q98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8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82" s="52">
        <f>IF(Tabla15[[#This Row],[11]]="",0,VLOOKUP(TRAMOS!$Q$2,Tabla5[#All],3,FALSE)*Tabla15[[#This Row],[12]])</f>
        <v>0</v>
      </c>
      <c r="T98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8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8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8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8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8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8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8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82" s="52">
        <f>IF(Tabla15[[#This Row],[20]]="",0,VLOOKUP("VRP",Tabla5[#All],3,FALSE)*Tabla15[[#This Row],[21]])</f>
        <v>0</v>
      </c>
      <c r="AC98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982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982" s="52">
        <f>IF(Tabla15[[#This Row],[23]]="",0,VLOOKUP("VC",Tabla5[#All],3,FALSE)*Tabla15[[#This Row],[24]])</f>
        <v>0.25</v>
      </c>
      <c r="AF98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8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82" s="52">
        <f>IF(Tabla15[[#This Row],[26]]="",0,VLOOKUP(TRAMOS!$K$2,Tabla5[#All],3,FALSE)*Tabla15[[#This Row],[27]])</f>
        <v>0</v>
      </c>
      <c r="AI98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8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8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8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8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8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8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0.4</v>
      </c>
    </row>
    <row r="983" spans="2:41" x14ac:dyDescent="0.25">
      <c r="B983" s="58" t="str">
        <f>Tabla1[[#This Row],[nudo inicial]]</f>
        <v>N519</v>
      </c>
      <c r="C983" s="58" t="str">
        <f>Tabla1[[#This Row],[nudo final]]</f>
        <v>N525</v>
      </c>
      <c r="D983" s="51">
        <f>Tabla1[[#This Row],[longitud]]</f>
        <v>156.88</v>
      </c>
      <c r="E983" s="51" t="str">
        <f>Tabla1[[#This Row],[diametro]]</f>
        <v>3"</v>
      </c>
      <c r="F983" s="51" t="str">
        <f>Tabla1[[#This Row],[material]]</f>
        <v>PVC</v>
      </c>
      <c r="G98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983" s="52" t="str">
        <f>IF(Tabla1[[#This Row],[5]]="TPD",Tabla1[[#This Row],[6]],"")</f>
        <v/>
      </c>
      <c r="I983" s="52" t="str">
        <f>IF(OR(Tabla1[[#This Row],[5]]="TPD"),Tabla1[[#This Row],[7]],"")</f>
        <v/>
      </c>
      <c r="J983" s="52">
        <f>IF(Tabla15[[#This Row],[2]]="",0,VLOOKUP(TRAMOS!$H$2,Tabla5[#All],3,FALSE)*Tabla15[[#This Row],[3]])</f>
        <v>0</v>
      </c>
      <c r="K983" s="52" t="str">
        <f>IF(Tabla1[[#This Row],[5]]="TPL",Tabla1[[#This Row],[6]],"")</f>
        <v>4"</v>
      </c>
      <c r="L983" s="52">
        <f>IF(OR(Tabla1[[#This Row],[5]]="TPL"),Tabla1[[#This Row],[7]],"")</f>
        <v>1</v>
      </c>
      <c r="M983" s="52">
        <f>IF(Tabla15[[#This Row],[5]]="",0,VLOOKUP(TRAMOS!$K$2,Tabla5[#All],3,FALSE)*Tabla15[[#This Row],[6]])</f>
        <v>0.9</v>
      </c>
      <c r="N98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8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83" s="52">
        <f>IF(Tabla15[[#This Row],[8]]="",0,VLOOKUP(TRAMOS!$H$2,Tabla5[#All],3,FALSE)*Tabla15[[#This Row],[9]])</f>
        <v>0</v>
      </c>
      <c r="Q98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8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83" s="52">
        <f>IF(Tabla15[[#This Row],[11]]="",0,VLOOKUP(TRAMOS!$Q$2,Tabla5[#All],3,FALSE)*Tabla15[[#This Row],[12]])</f>
        <v>0</v>
      </c>
      <c r="T98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983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98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0.13850000000000007</v>
      </c>
      <c r="W98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8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8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8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8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83" s="52">
        <f>IF(Tabla15[[#This Row],[20]]="",0,VLOOKUP("VRP",Tabla5[#All],3,FALSE)*Tabla15[[#This Row],[21]])</f>
        <v>0</v>
      </c>
      <c r="AC98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8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83" s="52">
        <f>IF(Tabla15[[#This Row],[23]]="",0,VLOOKUP("VC",Tabla5[#All],3,FALSE)*Tabla15[[#This Row],[24]])</f>
        <v>0</v>
      </c>
      <c r="AF98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8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83" s="52">
        <f>IF(Tabla15[[#This Row],[26]]="",0,VLOOKUP(TRAMOS!$K$2,Tabla5[#All],3,FALSE)*Tabla15[[#This Row],[27]])</f>
        <v>0</v>
      </c>
      <c r="AI98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8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8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8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8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8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8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1.0385</v>
      </c>
    </row>
    <row r="984" spans="2:41" x14ac:dyDescent="0.25">
      <c r="B984" s="58" t="str">
        <f>Tabla1[[#This Row],[nudo inicial]]</f>
        <v>N525</v>
      </c>
      <c r="C984" s="58" t="str">
        <f>Tabla1[[#This Row],[nudo final]]</f>
        <v>N526</v>
      </c>
      <c r="D984" s="51">
        <f>Tabla1[[#This Row],[longitud]]</f>
        <v>70.41</v>
      </c>
      <c r="E984" s="51" t="str">
        <f>Tabla1[[#This Row],[diametro]]</f>
        <v>4"</v>
      </c>
      <c r="F984" s="51" t="str">
        <f>Tabla1[[#This Row],[material]]</f>
        <v>PVC</v>
      </c>
      <c r="G98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984" s="52" t="str">
        <f>IF(Tabla1[[#This Row],[5]]="TPD",Tabla1[[#This Row],[6]],"")</f>
        <v>3"</v>
      </c>
      <c r="I984" s="52">
        <f>IF(OR(Tabla1[[#This Row],[5]]="TPD"),Tabla1[[#This Row],[7]],"")</f>
        <v>1</v>
      </c>
      <c r="J984" s="52">
        <f>IF(Tabla15[[#This Row],[2]]="",0,VLOOKUP(TRAMOS!$H$2,Tabla5[#All],3,FALSE)*Tabla15[[#This Row],[3]])</f>
        <v>0.15</v>
      </c>
      <c r="K984" s="52" t="str">
        <f>IF(Tabla1[[#This Row],[5]]="TPL",Tabla1[[#This Row],[6]],"")</f>
        <v/>
      </c>
      <c r="L984" s="52" t="str">
        <f>IF(OR(Tabla1[[#This Row],[5]]="TPL"),Tabla1[[#This Row],[7]],"")</f>
        <v/>
      </c>
      <c r="M984" s="52">
        <f>IF(Tabla15[[#This Row],[5]]="",0,VLOOKUP(TRAMOS!$K$2,Tabla5[#All],3,FALSE)*Tabla15[[#This Row],[6]])</f>
        <v>0</v>
      </c>
      <c r="N98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8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84" s="52">
        <f>IF(Tabla15[[#This Row],[8]]="",0,VLOOKUP(TRAMOS!$H$2,Tabla5[#All],3,FALSE)*Tabla15[[#This Row],[9]])</f>
        <v>0</v>
      </c>
      <c r="Q98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8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84" s="52">
        <f>IF(Tabla15[[#This Row],[11]]="",0,VLOOKUP(TRAMOS!$Q$2,Tabla5[#All],3,FALSE)*Tabla15[[#This Row],[12]])</f>
        <v>0</v>
      </c>
      <c r="T98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8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8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8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>4"</v>
      </c>
      <c r="X984" s="52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>1</v>
      </c>
      <c r="Y98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0.4740000000000002</v>
      </c>
      <c r="Z98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8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84" s="52">
        <f>IF(Tabla15[[#This Row],[20]]="",0,VLOOKUP("VRP",Tabla5[#All],3,FALSE)*Tabla15[[#This Row],[21]])</f>
        <v>0</v>
      </c>
      <c r="AC98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4"</v>
      </c>
      <c r="AD984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984" s="52">
        <f>IF(Tabla15[[#This Row],[23]]="",0,VLOOKUP("VC",Tabla5[#All],3,FALSE)*Tabla15[[#This Row],[24]])</f>
        <v>0.25</v>
      </c>
      <c r="AF98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8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84" s="52">
        <f>IF(Tabla15[[#This Row],[26]]="",0,VLOOKUP(TRAMOS!$K$2,Tabla5[#All],3,FALSE)*Tabla15[[#This Row],[27]])</f>
        <v>0</v>
      </c>
      <c r="AI98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8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8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8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8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8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8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0.87400000000000022</v>
      </c>
    </row>
    <row r="985" spans="2:41" x14ac:dyDescent="0.25">
      <c r="B985" s="58" t="str">
        <f>Tabla1[[#This Row],[nudo inicial]]</f>
        <v>N526</v>
      </c>
      <c r="C985" s="58" t="str">
        <f>Tabla1[[#This Row],[nudo final]]</f>
        <v>TP346</v>
      </c>
      <c r="D985" s="51">
        <f>Tabla1[[#This Row],[longitud]]</f>
        <v>107.71</v>
      </c>
      <c r="E985" s="51" t="str">
        <f>Tabla1[[#This Row],[diametro]]</f>
        <v>1"</v>
      </c>
      <c r="F985" s="51" t="str">
        <f>Tabla1[[#This Row],[material]]</f>
        <v>PVC</v>
      </c>
      <c r="G98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985" s="52" t="str">
        <f>IF(Tabla1[[#This Row],[5]]="TPD",Tabla1[[#This Row],[6]],"")</f>
        <v/>
      </c>
      <c r="I985" s="52" t="str">
        <f>IF(OR(Tabla1[[#This Row],[5]]="TPD"),Tabla1[[#This Row],[7]],"")</f>
        <v/>
      </c>
      <c r="J985" s="52">
        <f>IF(Tabla15[[#This Row],[2]]="",0,VLOOKUP(TRAMOS!$H$2,Tabla5[#All],3,FALSE)*Tabla15[[#This Row],[3]])</f>
        <v>0</v>
      </c>
      <c r="K985" s="52" t="str">
        <f>IF(Tabla1[[#This Row],[5]]="TPL",Tabla1[[#This Row],[6]],"")</f>
        <v>4"</v>
      </c>
      <c r="L985" s="52">
        <f>IF(OR(Tabla1[[#This Row],[5]]="TPL"),Tabla1[[#This Row],[7]],"")</f>
        <v>1</v>
      </c>
      <c r="M985" s="52">
        <f>IF(Tabla15[[#This Row],[5]]="",0,VLOOKUP(TRAMOS!$K$2,Tabla5[#All],3,FALSE)*Tabla15[[#This Row],[6]])</f>
        <v>0.9</v>
      </c>
      <c r="N98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8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85" s="52">
        <f>IF(Tabla15[[#This Row],[8]]="",0,VLOOKUP(TRAMOS!$H$2,Tabla5[#All],3,FALSE)*Tabla15[[#This Row],[9]])</f>
        <v>0</v>
      </c>
      <c r="Q98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8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85" s="52">
        <f>IF(Tabla15[[#This Row],[11]]="",0,VLOOKUP(TRAMOS!$Q$2,Tabla5[#All],3,FALSE)*Tabla15[[#This Row],[12]])</f>
        <v>0</v>
      </c>
      <c r="T98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1"</v>
      </c>
      <c r="U985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98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0.45</v>
      </c>
      <c r="W98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8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8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8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8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85" s="52">
        <f>IF(Tabla15[[#This Row],[20]]="",0,VLOOKUP("VRP",Tabla5[#All],3,FALSE)*Tabla15[[#This Row],[21]])</f>
        <v>0</v>
      </c>
      <c r="AC98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8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85" s="52">
        <f>IF(Tabla15[[#This Row],[23]]="",0,VLOOKUP("VC",Tabla5[#All],3,FALSE)*Tabla15[[#This Row],[24]])</f>
        <v>0</v>
      </c>
      <c r="AF98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8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85" s="52">
        <f>IF(Tabla15[[#This Row],[26]]="",0,VLOOKUP(TRAMOS!$K$2,Tabla5[#All],3,FALSE)*Tabla15[[#This Row],[27]])</f>
        <v>0</v>
      </c>
      <c r="AI98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8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8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8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8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1"</v>
      </c>
      <c r="AN985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98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1.35</v>
      </c>
    </row>
    <row r="986" spans="2:41" x14ac:dyDescent="0.25">
      <c r="B986" s="58" t="str">
        <f>Tabla1[[#This Row],[nudo inicial]]</f>
        <v>N526</v>
      </c>
      <c r="C986" s="58" t="str">
        <f>Tabla1[[#This Row],[nudo final]]</f>
        <v>TP347</v>
      </c>
      <c r="D986" s="51">
        <f>Tabla1[[#This Row],[longitud]]</f>
        <v>14.25</v>
      </c>
      <c r="E986" s="51" t="str">
        <f>Tabla1[[#This Row],[diametro]]</f>
        <v>4"</v>
      </c>
      <c r="F986" s="51" t="str">
        <f>Tabla1[[#This Row],[material]]</f>
        <v>PVC</v>
      </c>
      <c r="G98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986" s="52" t="str">
        <f>IF(Tabla1[[#This Row],[5]]="TPD",Tabla1[[#This Row],[6]],"")</f>
        <v>4"</v>
      </c>
      <c r="I986" s="52">
        <f>IF(OR(Tabla1[[#This Row],[5]]="TPD"),Tabla1[[#This Row],[7]],"")</f>
        <v>1</v>
      </c>
      <c r="J986" s="52">
        <f>IF(Tabla15[[#This Row],[2]]="",0,VLOOKUP(TRAMOS!$H$2,Tabla5[#All],3,FALSE)*Tabla15[[#This Row],[3]])</f>
        <v>0.15</v>
      </c>
      <c r="K986" s="52" t="str">
        <f>IF(Tabla1[[#This Row],[5]]="TPL",Tabla1[[#This Row],[6]],"")</f>
        <v/>
      </c>
      <c r="L986" s="52" t="str">
        <f>IF(OR(Tabla1[[#This Row],[5]]="TPL"),Tabla1[[#This Row],[7]],"")</f>
        <v/>
      </c>
      <c r="M986" s="52">
        <f>IF(Tabla15[[#This Row],[5]]="",0,VLOOKUP(TRAMOS!$K$2,Tabla5[#All],3,FALSE)*Tabla15[[#This Row],[6]])</f>
        <v>0</v>
      </c>
      <c r="N98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8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86" s="52">
        <f>IF(Tabla15[[#This Row],[8]]="",0,VLOOKUP(TRAMOS!$H$2,Tabla5[#All],3,FALSE)*Tabla15[[#This Row],[9]])</f>
        <v>0</v>
      </c>
      <c r="Q98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8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86" s="52">
        <f>IF(Tabla15[[#This Row],[11]]="",0,VLOOKUP(TRAMOS!$Q$2,Tabla5[#All],3,FALSE)*Tabla15[[#This Row],[12]])</f>
        <v>0</v>
      </c>
      <c r="T98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8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8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8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8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8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8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8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86" s="52">
        <f>IF(Tabla15[[#This Row],[20]]="",0,VLOOKUP("VRP",Tabla5[#All],3,FALSE)*Tabla15[[#This Row],[21]])</f>
        <v>0</v>
      </c>
      <c r="AC98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8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86" s="52">
        <f>IF(Tabla15[[#This Row],[23]]="",0,VLOOKUP("VC",Tabla5[#All],3,FALSE)*Tabla15[[#This Row],[24]])</f>
        <v>0</v>
      </c>
      <c r="AF98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8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86" s="52">
        <f>IF(Tabla15[[#This Row],[26]]="",0,VLOOKUP(TRAMOS!$K$2,Tabla5[#All],3,FALSE)*Tabla15[[#This Row],[27]])</f>
        <v>0</v>
      </c>
      <c r="AI98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8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8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8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8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4"</v>
      </c>
      <c r="AN98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98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987" spans="2:41" x14ac:dyDescent="0.25">
      <c r="B987" s="58" t="str">
        <f>Tabla1[[#This Row],[nudo inicial]]</f>
        <v>N492</v>
      </c>
      <c r="C987" s="58" t="str">
        <f>Tabla1[[#This Row],[nudo final]]</f>
        <v>N527</v>
      </c>
      <c r="D987" s="51">
        <f>Tabla1[[#This Row],[longitud]]</f>
        <v>38.15</v>
      </c>
      <c r="E987" s="51" t="str">
        <f>Tabla1[[#This Row],[diametro]]</f>
        <v>3"</v>
      </c>
      <c r="F987" s="51" t="str">
        <f>Tabla1[[#This Row],[material]]</f>
        <v>PVC</v>
      </c>
      <c r="G98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987" s="52" t="str">
        <f>IF(Tabla1[[#This Row],[5]]="TPD",Tabla1[[#This Row],[6]],"")</f>
        <v/>
      </c>
      <c r="I987" s="52" t="str">
        <f>IF(OR(Tabla1[[#This Row],[5]]="TPD"),Tabla1[[#This Row],[7]],"")</f>
        <v/>
      </c>
      <c r="J987" s="52">
        <f>IF(Tabla15[[#This Row],[2]]="",0,VLOOKUP(TRAMOS!$H$2,Tabla5[#All],3,FALSE)*Tabla15[[#This Row],[3]])</f>
        <v>0</v>
      </c>
      <c r="K987" s="52" t="str">
        <f>IF(Tabla1[[#This Row],[5]]="TPL",Tabla1[[#This Row],[6]],"")</f>
        <v>3"</v>
      </c>
      <c r="L987" s="52">
        <f>IF(OR(Tabla1[[#This Row],[5]]="TPL"),Tabla1[[#This Row],[7]],"")</f>
        <v>1</v>
      </c>
      <c r="M987" s="52">
        <f>IF(Tabla15[[#This Row],[5]]="",0,VLOOKUP(TRAMOS!$K$2,Tabla5[#All],3,FALSE)*Tabla15[[#This Row],[6]])</f>
        <v>0.9</v>
      </c>
      <c r="N98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8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87" s="52">
        <f>IF(Tabla15[[#This Row],[8]]="",0,VLOOKUP(TRAMOS!$H$2,Tabla5[#All],3,FALSE)*Tabla15[[#This Row],[9]])</f>
        <v>0</v>
      </c>
      <c r="Q98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8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87" s="52">
        <f>IF(Tabla15[[#This Row],[11]]="",0,VLOOKUP(TRAMOS!$Q$2,Tabla5[#All],3,FALSE)*Tabla15[[#This Row],[12]])</f>
        <v>0</v>
      </c>
      <c r="T98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8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8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8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8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8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8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8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87" s="52">
        <f>IF(Tabla15[[#This Row],[20]]="",0,VLOOKUP("VRP",Tabla5[#All],3,FALSE)*Tabla15[[#This Row],[21]])</f>
        <v>0</v>
      </c>
      <c r="AC98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8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87" s="52">
        <f>IF(Tabla15[[#This Row],[23]]="",0,VLOOKUP("VC",Tabla5[#All],3,FALSE)*Tabla15[[#This Row],[24]])</f>
        <v>0</v>
      </c>
      <c r="AF98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8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87" s="52">
        <f>IF(Tabla15[[#This Row],[26]]="",0,VLOOKUP(TRAMOS!$K$2,Tabla5[#All],3,FALSE)*Tabla15[[#This Row],[27]])</f>
        <v>0</v>
      </c>
      <c r="AI98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8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8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8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8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8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8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988" spans="2:41" x14ac:dyDescent="0.25">
      <c r="B988" s="58" t="str">
        <f>Tabla1[[#This Row],[nudo inicial]]</f>
        <v>N527</v>
      </c>
      <c r="C988" s="58" t="str">
        <f>Tabla1[[#This Row],[nudo final]]</f>
        <v>N528</v>
      </c>
      <c r="D988" s="51">
        <f>Tabla1[[#This Row],[longitud]]</f>
        <v>215.8</v>
      </c>
      <c r="E988" s="51" t="str">
        <f>Tabla1[[#This Row],[diametro]]</f>
        <v>3"</v>
      </c>
      <c r="F988" s="51" t="str">
        <f>Tabla1[[#This Row],[material]]</f>
        <v>AC</v>
      </c>
      <c r="G98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988" s="52" t="str">
        <f>IF(Tabla1[[#This Row],[5]]="TPD",Tabla1[[#This Row],[6]],"")</f>
        <v/>
      </c>
      <c r="I988" s="52" t="str">
        <f>IF(OR(Tabla1[[#This Row],[5]]="TPD"),Tabla1[[#This Row],[7]],"")</f>
        <v/>
      </c>
      <c r="J988" s="52">
        <f>IF(Tabla15[[#This Row],[2]]="",0,VLOOKUP(TRAMOS!$H$2,Tabla5[#All],3,FALSE)*Tabla15[[#This Row],[3]])</f>
        <v>0</v>
      </c>
      <c r="K988" s="52" t="str">
        <f>IF(Tabla1[[#This Row],[5]]="TPL",Tabla1[[#This Row],[6]],"")</f>
        <v/>
      </c>
      <c r="L988" s="52" t="str">
        <f>IF(OR(Tabla1[[#This Row],[5]]="TPL"),Tabla1[[#This Row],[7]],"")</f>
        <v/>
      </c>
      <c r="M988" s="52">
        <f>IF(Tabla15[[#This Row],[5]]="",0,VLOOKUP(TRAMOS!$K$2,Tabla5[#All],3,FALSE)*Tabla15[[#This Row],[6]])</f>
        <v>0</v>
      </c>
      <c r="N98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8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88" s="52">
        <f>IF(Tabla15[[#This Row],[8]]="",0,VLOOKUP(TRAMOS!$H$2,Tabla5[#All],3,FALSE)*Tabla15[[#This Row],[9]])</f>
        <v>0</v>
      </c>
      <c r="Q98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8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88" s="52">
        <f>IF(Tabla15[[#This Row],[11]]="",0,VLOOKUP(TRAMOS!$Q$2,Tabla5[#All],3,FALSE)*Tabla15[[#This Row],[12]])</f>
        <v>0</v>
      </c>
      <c r="T98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8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8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8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8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8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8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8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88" s="52">
        <f>IF(Tabla15[[#This Row],[20]]="",0,VLOOKUP("VRP",Tabla5[#All],3,FALSE)*Tabla15[[#This Row],[21]])</f>
        <v>0</v>
      </c>
      <c r="AC98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8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88" s="52">
        <f>IF(Tabla15[[#This Row],[23]]="",0,VLOOKUP("VC",Tabla5[#All],3,FALSE)*Tabla15[[#This Row],[24]])</f>
        <v>0</v>
      </c>
      <c r="AF98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8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88" s="52">
        <f>IF(Tabla15[[#This Row],[26]]="",0,VLOOKUP(TRAMOS!$K$2,Tabla5[#All],3,FALSE)*Tabla15[[#This Row],[27]])</f>
        <v>0</v>
      </c>
      <c r="AI98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8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8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8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8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8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8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</v>
      </c>
    </row>
    <row r="989" spans="2:41" x14ac:dyDescent="0.25">
      <c r="B989" s="58" t="str">
        <f>Tabla1[[#This Row],[nudo inicial]]</f>
        <v>N528</v>
      </c>
      <c r="C989" s="58" t="str">
        <f>Tabla1[[#This Row],[nudo final]]</f>
        <v>N529</v>
      </c>
      <c r="D989" s="51">
        <f>Tabla1[[#This Row],[longitud]]</f>
        <v>111.58</v>
      </c>
      <c r="E989" s="51" t="str">
        <f>Tabla1[[#This Row],[diametro]]</f>
        <v>2"</v>
      </c>
      <c r="F989" s="51" t="str">
        <f>Tabla1[[#This Row],[material]]</f>
        <v>PVC</v>
      </c>
      <c r="G98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989" s="52" t="str">
        <f>IF(Tabla1[[#This Row],[5]]="TPD",Tabla1[[#This Row],[6]],"")</f>
        <v/>
      </c>
      <c r="I989" s="52" t="str">
        <f>IF(OR(Tabla1[[#This Row],[5]]="TPD"),Tabla1[[#This Row],[7]],"")</f>
        <v/>
      </c>
      <c r="J989" s="52">
        <f>IF(Tabla15[[#This Row],[2]]="",0,VLOOKUP(TRAMOS!$H$2,Tabla5[#All],3,FALSE)*Tabla15[[#This Row],[3]])</f>
        <v>0</v>
      </c>
      <c r="K989" s="52" t="str">
        <f>IF(Tabla1[[#This Row],[5]]="TPL",Tabla1[[#This Row],[6]],"")</f>
        <v/>
      </c>
      <c r="L989" s="52" t="str">
        <f>IF(OR(Tabla1[[#This Row],[5]]="TPL"),Tabla1[[#This Row],[7]],"")</f>
        <v/>
      </c>
      <c r="M989" s="52">
        <f>IF(Tabla15[[#This Row],[5]]="",0,VLOOKUP(TRAMOS!$K$2,Tabla5[#All],3,FALSE)*Tabla15[[#This Row],[6]])</f>
        <v>0</v>
      </c>
      <c r="N98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8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89" s="52">
        <f>IF(Tabla15[[#This Row],[8]]="",0,VLOOKUP(TRAMOS!$H$2,Tabla5[#All],3,FALSE)*Tabla15[[#This Row],[9]])</f>
        <v>0</v>
      </c>
      <c r="Q98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8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89" s="52">
        <f>IF(Tabla15[[#This Row],[11]]="",0,VLOOKUP(TRAMOS!$Q$2,Tabla5[#All],3,FALSE)*Tabla15[[#This Row],[12]])</f>
        <v>0</v>
      </c>
      <c r="T98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989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98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98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8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8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8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8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89" s="52">
        <f>IF(Tabla15[[#This Row],[20]]="",0,VLOOKUP("VRP",Tabla5[#All],3,FALSE)*Tabla15[[#This Row],[21]])</f>
        <v>0</v>
      </c>
      <c r="AC98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8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89" s="52">
        <f>IF(Tabla15[[#This Row],[23]]="",0,VLOOKUP("VC",Tabla5[#All],3,FALSE)*Tabla15[[#This Row],[24]])</f>
        <v>0</v>
      </c>
      <c r="AF98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8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89" s="52">
        <f>IF(Tabla15[[#This Row],[26]]="",0,VLOOKUP(TRAMOS!$K$2,Tabla5[#All],3,FALSE)*Tabla15[[#This Row],[27]])</f>
        <v>0</v>
      </c>
      <c r="AI98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8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8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8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8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8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8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0.21500000000000002</v>
      </c>
    </row>
    <row r="990" spans="2:41" x14ac:dyDescent="0.25">
      <c r="B990" s="58" t="str">
        <f>Tabla1[[#This Row],[nudo inicial]]</f>
        <v>N529</v>
      </c>
      <c r="C990" s="58" t="str">
        <f>Tabla1[[#This Row],[nudo final]]</f>
        <v>TP348</v>
      </c>
      <c r="D990" s="51">
        <f>Tabla1[[#This Row],[longitud]]</f>
        <v>68</v>
      </c>
      <c r="E990" s="51" t="str">
        <f>Tabla1[[#This Row],[diametro]]</f>
        <v>2"</v>
      </c>
      <c r="F990" s="51" t="str">
        <f>Tabla1[[#This Row],[material]]</f>
        <v>PVC</v>
      </c>
      <c r="G99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990" s="52" t="str">
        <f>IF(Tabla1[[#This Row],[5]]="TPD",Tabla1[[#This Row],[6]],"")</f>
        <v>2"</v>
      </c>
      <c r="I990" s="52">
        <f>IF(OR(Tabla1[[#This Row],[5]]="TPD"),Tabla1[[#This Row],[7]],"")</f>
        <v>1</v>
      </c>
      <c r="J990" s="52">
        <f>IF(Tabla15[[#This Row],[2]]="",0,VLOOKUP(TRAMOS!$H$2,Tabla5[#All],3,FALSE)*Tabla15[[#This Row],[3]])</f>
        <v>0.15</v>
      </c>
      <c r="K990" s="52" t="str">
        <f>IF(Tabla1[[#This Row],[5]]="TPL",Tabla1[[#This Row],[6]],"")</f>
        <v/>
      </c>
      <c r="L990" s="52" t="str">
        <f>IF(OR(Tabla1[[#This Row],[5]]="TPL"),Tabla1[[#This Row],[7]],"")</f>
        <v/>
      </c>
      <c r="M990" s="52">
        <f>IF(Tabla15[[#This Row],[5]]="",0,VLOOKUP(TRAMOS!$K$2,Tabla5[#All],3,FALSE)*Tabla15[[#This Row],[6]])</f>
        <v>0</v>
      </c>
      <c r="N99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9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90" s="52">
        <f>IF(Tabla15[[#This Row],[8]]="",0,VLOOKUP(TRAMOS!$H$2,Tabla5[#All],3,FALSE)*Tabla15[[#This Row],[9]])</f>
        <v>0</v>
      </c>
      <c r="Q99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9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90" s="52">
        <f>IF(Tabla15[[#This Row],[11]]="",0,VLOOKUP(TRAMOS!$Q$2,Tabla5[#All],3,FALSE)*Tabla15[[#This Row],[12]])</f>
        <v>0</v>
      </c>
      <c r="T99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9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9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9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9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9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9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9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90" s="52">
        <f>IF(Tabla15[[#This Row],[20]]="",0,VLOOKUP("VRP",Tabla5[#All],3,FALSE)*Tabla15[[#This Row],[21]])</f>
        <v>0</v>
      </c>
      <c r="AC99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9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90" s="52">
        <f>IF(Tabla15[[#This Row],[23]]="",0,VLOOKUP("VC",Tabla5[#All],3,FALSE)*Tabla15[[#This Row],[24]])</f>
        <v>0</v>
      </c>
      <c r="AF99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9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90" s="52">
        <f>IF(Tabla15[[#This Row],[26]]="",0,VLOOKUP(TRAMOS!$K$2,Tabla5[#All],3,FALSE)*Tabla15[[#This Row],[27]])</f>
        <v>0</v>
      </c>
      <c r="AI99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9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9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9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9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990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99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991" spans="2:41" x14ac:dyDescent="0.25">
      <c r="B991" s="58" t="str">
        <f>Tabla1[[#This Row],[nudo inicial]]</f>
        <v>N529</v>
      </c>
      <c r="C991" s="58" t="str">
        <f>Tabla1[[#This Row],[nudo final]]</f>
        <v>N530</v>
      </c>
      <c r="D991" s="51">
        <f>Tabla1[[#This Row],[longitud]]</f>
        <v>210.26</v>
      </c>
      <c r="E991" s="51" t="str">
        <f>Tabla1[[#This Row],[diametro]]</f>
        <v>2"</v>
      </c>
      <c r="F991" s="51" t="str">
        <f>Tabla1[[#This Row],[material]]</f>
        <v>PVC</v>
      </c>
      <c r="G99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991" s="52" t="str">
        <f>IF(Tabla1[[#This Row],[5]]="TPD",Tabla1[[#This Row],[6]],"")</f>
        <v/>
      </c>
      <c r="I991" s="52" t="str">
        <f>IF(OR(Tabla1[[#This Row],[5]]="TPD"),Tabla1[[#This Row],[7]],"")</f>
        <v/>
      </c>
      <c r="J991" s="52">
        <f>IF(Tabla15[[#This Row],[2]]="",0,VLOOKUP(TRAMOS!$H$2,Tabla5[#All],3,FALSE)*Tabla15[[#This Row],[3]])</f>
        <v>0</v>
      </c>
      <c r="K991" s="52" t="str">
        <f>IF(Tabla1[[#This Row],[5]]="TPL",Tabla1[[#This Row],[6]],"")</f>
        <v>2"</v>
      </c>
      <c r="L991" s="52">
        <f>IF(OR(Tabla1[[#This Row],[5]]="TPL"),Tabla1[[#This Row],[7]],"")</f>
        <v>1</v>
      </c>
      <c r="M991" s="52">
        <f>IF(Tabla15[[#This Row],[5]]="",0,VLOOKUP(TRAMOS!$K$2,Tabla5[#All],3,FALSE)*Tabla15[[#This Row],[6]])</f>
        <v>0.9</v>
      </c>
      <c r="N99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9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91" s="52">
        <f>IF(Tabla15[[#This Row],[8]]="",0,VLOOKUP(TRAMOS!$H$2,Tabla5[#All],3,FALSE)*Tabla15[[#This Row],[9]])</f>
        <v>0</v>
      </c>
      <c r="Q99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991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991" s="52">
        <f>IF(Tabla15[[#This Row],[11]]="",0,VLOOKUP(TRAMOS!$Q$2,Tabla5[#All],3,FALSE)*Tabla15[[#This Row],[12]])</f>
        <v>0.9</v>
      </c>
      <c r="T99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9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9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9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9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9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9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9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91" s="52">
        <f>IF(Tabla15[[#This Row],[20]]="",0,VLOOKUP("VRP",Tabla5[#All],3,FALSE)*Tabla15[[#This Row],[21]])</f>
        <v>0</v>
      </c>
      <c r="AC99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9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91" s="52">
        <f>IF(Tabla15[[#This Row],[23]]="",0,VLOOKUP("VC",Tabla5[#All],3,FALSE)*Tabla15[[#This Row],[24]])</f>
        <v>0</v>
      </c>
      <c r="AF99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9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91" s="52">
        <f>IF(Tabla15[[#This Row],[26]]="",0,VLOOKUP(TRAMOS!$K$2,Tabla5[#All],3,FALSE)*Tabla15[[#This Row],[27]])</f>
        <v>0</v>
      </c>
      <c r="AI99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9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9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9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9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9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9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1.8</v>
      </c>
    </row>
    <row r="992" spans="2:41" x14ac:dyDescent="0.25">
      <c r="B992" s="58" t="str">
        <f>Tabla1[[#This Row],[nudo inicial]]</f>
        <v>N530</v>
      </c>
      <c r="C992" s="58" t="str">
        <f>Tabla1[[#This Row],[nudo final]]</f>
        <v>TP349</v>
      </c>
      <c r="D992" s="51">
        <f>Tabla1[[#This Row],[longitud]]</f>
        <v>47.22</v>
      </c>
      <c r="E992" s="51" t="str">
        <f>Tabla1[[#This Row],[diametro]]</f>
        <v>2"</v>
      </c>
      <c r="F992" s="51" t="str">
        <f>Tabla1[[#This Row],[material]]</f>
        <v>PVC</v>
      </c>
      <c r="G99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992" s="52" t="str">
        <f>IF(Tabla1[[#This Row],[5]]="TPD",Tabla1[[#This Row],[6]],"")</f>
        <v/>
      </c>
      <c r="I992" s="52" t="str">
        <f>IF(OR(Tabla1[[#This Row],[5]]="TPD"),Tabla1[[#This Row],[7]],"")</f>
        <v/>
      </c>
      <c r="J992" s="52">
        <f>IF(Tabla15[[#This Row],[2]]="",0,VLOOKUP(TRAMOS!$H$2,Tabla5[#All],3,FALSE)*Tabla15[[#This Row],[3]])</f>
        <v>0</v>
      </c>
      <c r="K992" s="52" t="str">
        <f>IF(Tabla1[[#This Row],[5]]="TPL",Tabla1[[#This Row],[6]],"")</f>
        <v>2"</v>
      </c>
      <c r="L992" s="52">
        <f>IF(OR(Tabla1[[#This Row],[5]]="TPL"),Tabla1[[#This Row],[7]],"")</f>
        <v>1</v>
      </c>
      <c r="M992" s="52">
        <f>IF(Tabla15[[#This Row],[5]]="",0,VLOOKUP(TRAMOS!$K$2,Tabla5[#All],3,FALSE)*Tabla15[[#This Row],[6]])</f>
        <v>0.9</v>
      </c>
      <c r="N99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9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92" s="52">
        <f>IF(Tabla15[[#This Row],[8]]="",0,VLOOKUP(TRAMOS!$H$2,Tabla5[#All],3,FALSE)*Tabla15[[#This Row],[9]])</f>
        <v>0</v>
      </c>
      <c r="Q99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9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92" s="52">
        <f>IF(Tabla15[[#This Row],[11]]="",0,VLOOKUP(TRAMOS!$Q$2,Tabla5[#All],3,FALSE)*Tabla15[[#This Row],[12]])</f>
        <v>0</v>
      </c>
      <c r="T99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9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9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9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9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9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9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9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92" s="52">
        <f>IF(Tabla15[[#This Row],[20]]="",0,VLOOKUP("VRP",Tabla5[#All],3,FALSE)*Tabla15[[#This Row],[21]])</f>
        <v>0</v>
      </c>
      <c r="AC99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9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92" s="52">
        <f>IF(Tabla15[[#This Row],[23]]="",0,VLOOKUP("VC",Tabla5[#All],3,FALSE)*Tabla15[[#This Row],[24]])</f>
        <v>0</v>
      </c>
      <c r="AF99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9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92" s="52">
        <f>IF(Tabla15[[#This Row],[26]]="",0,VLOOKUP(TRAMOS!$K$2,Tabla5[#All],3,FALSE)*Tabla15[[#This Row],[27]])</f>
        <v>0</v>
      </c>
      <c r="AI99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9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9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9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9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992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99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993" spans="2:41" x14ac:dyDescent="0.25">
      <c r="B993" s="58" t="str">
        <f>Tabla1[[#This Row],[nudo inicial]]</f>
        <v>N530</v>
      </c>
      <c r="C993" s="58" t="str">
        <f>Tabla1[[#This Row],[nudo final]]</f>
        <v>N531</v>
      </c>
      <c r="D993" s="51">
        <f>Tabla1[[#This Row],[longitud]]</f>
        <v>178.16</v>
      </c>
      <c r="E993" s="51" t="str">
        <f>Tabla1[[#This Row],[diametro]]</f>
        <v>2"</v>
      </c>
      <c r="F993" s="51" t="str">
        <f>Tabla1[[#This Row],[material]]</f>
        <v>PVC</v>
      </c>
      <c r="G99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993" s="52" t="str">
        <f>IF(Tabla1[[#This Row],[5]]="TPD",Tabla1[[#This Row],[6]],"")</f>
        <v/>
      </c>
      <c r="I993" s="52" t="str">
        <f>IF(OR(Tabla1[[#This Row],[5]]="TPD"),Tabla1[[#This Row],[7]],"")</f>
        <v/>
      </c>
      <c r="J993" s="52">
        <f>IF(Tabla15[[#This Row],[2]]="",0,VLOOKUP(TRAMOS!$H$2,Tabla5[#All],3,FALSE)*Tabla15[[#This Row],[3]])</f>
        <v>0</v>
      </c>
      <c r="K993" s="52" t="str">
        <f>IF(Tabla1[[#This Row],[5]]="TPL",Tabla1[[#This Row],[6]],"")</f>
        <v>2"</v>
      </c>
      <c r="L993" s="52">
        <f>IF(OR(Tabla1[[#This Row],[5]]="TPL"),Tabla1[[#This Row],[7]],"")</f>
        <v>1</v>
      </c>
      <c r="M993" s="52">
        <f>IF(Tabla15[[#This Row],[5]]="",0,VLOOKUP(TRAMOS!$K$2,Tabla5[#All],3,FALSE)*Tabla15[[#This Row],[6]])</f>
        <v>0.9</v>
      </c>
      <c r="N99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9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93" s="52">
        <f>IF(Tabla15[[#This Row],[8]]="",0,VLOOKUP(TRAMOS!$H$2,Tabla5[#All],3,FALSE)*Tabla15[[#This Row],[9]])</f>
        <v>0</v>
      </c>
      <c r="Q99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9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93" s="52">
        <f>IF(Tabla15[[#This Row],[11]]="",0,VLOOKUP(TRAMOS!$Q$2,Tabla5[#All],3,FALSE)*Tabla15[[#This Row],[12]])</f>
        <v>0</v>
      </c>
      <c r="T99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9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9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9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9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9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9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9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93" s="52">
        <f>IF(Tabla15[[#This Row],[20]]="",0,VLOOKUP("VRP",Tabla5[#All],3,FALSE)*Tabla15[[#This Row],[21]])</f>
        <v>0</v>
      </c>
      <c r="AC99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9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93" s="52">
        <f>IF(Tabla15[[#This Row],[23]]="",0,VLOOKUP("VC",Tabla5[#All],3,FALSE)*Tabla15[[#This Row],[24]])</f>
        <v>0</v>
      </c>
      <c r="AF99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9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93" s="52">
        <f>IF(Tabla15[[#This Row],[26]]="",0,VLOOKUP(TRAMOS!$K$2,Tabla5[#All],3,FALSE)*Tabla15[[#This Row],[27]])</f>
        <v>0</v>
      </c>
      <c r="AI99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9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9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9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9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9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9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994" spans="2:41" x14ac:dyDescent="0.25">
      <c r="B994" s="58" t="str">
        <f>Tabla1[[#This Row],[nudo inicial]]</f>
        <v>N531</v>
      </c>
      <c r="C994" s="58" t="str">
        <f>Tabla1[[#This Row],[nudo final]]</f>
        <v>TP350</v>
      </c>
      <c r="D994" s="51">
        <f>Tabla1[[#This Row],[longitud]]</f>
        <v>87.03</v>
      </c>
      <c r="E994" s="51" t="str">
        <f>Tabla1[[#This Row],[diametro]]</f>
        <v>1"</v>
      </c>
      <c r="F994" s="51" t="str">
        <f>Tabla1[[#This Row],[material]]</f>
        <v>PVC</v>
      </c>
      <c r="G99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994" s="52" t="str">
        <f>IF(Tabla1[[#This Row],[5]]="TPD",Tabla1[[#This Row],[6]],"")</f>
        <v/>
      </c>
      <c r="I994" s="52" t="str">
        <f>IF(OR(Tabla1[[#This Row],[5]]="TPD"),Tabla1[[#This Row],[7]],"")</f>
        <v/>
      </c>
      <c r="J994" s="52">
        <f>IF(Tabla15[[#This Row],[2]]="",0,VLOOKUP(TRAMOS!$H$2,Tabla5[#All],3,FALSE)*Tabla15[[#This Row],[3]])</f>
        <v>0</v>
      </c>
      <c r="K994" s="52" t="str">
        <f>IF(Tabla1[[#This Row],[5]]="TPL",Tabla1[[#This Row],[6]],"")</f>
        <v>2"</v>
      </c>
      <c r="L994" s="52">
        <f>IF(OR(Tabla1[[#This Row],[5]]="TPL"),Tabla1[[#This Row],[7]],"")</f>
        <v>1</v>
      </c>
      <c r="M994" s="52">
        <f>IF(Tabla15[[#This Row],[5]]="",0,VLOOKUP(TRAMOS!$K$2,Tabla5[#All],3,FALSE)*Tabla15[[#This Row],[6]])</f>
        <v>0.9</v>
      </c>
      <c r="N99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9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94" s="52">
        <f>IF(Tabla15[[#This Row],[8]]="",0,VLOOKUP(TRAMOS!$H$2,Tabla5[#All],3,FALSE)*Tabla15[[#This Row],[9]])</f>
        <v>0</v>
      </c>
      <c r="Q99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9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94" s="52">
        <f>IF(Tabla15[[#This Row],[11]]="",0,VLOOKUP(TRAMOS!$Q$2,Tabla5[#All],3,FALSE)*Tabla15[[#This Row],[12]])</f>
        <v>0</v>
      </c>
      <c r="T99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1"</v>
      </c>
      <c r="U994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99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99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9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9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9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9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94" s="52">
        <f>IF(Tabla15[[#This Row],[20]]="",0,VLOOKUP("VRP",Tabla5[#All],3,FALSE)*Tabla15[[#This Row],[21]])</f>
        <v>0</v>
      </c>
      <c r="AC99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9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94" s="52">
        <f>IF(Tabla15[[#This Row],[23]]="",0,VLOOKUP("VC",Tabla5[#All],3,FALSE)*Tabla15[[#This Row],[24]])</f>
        <v>0</v>
      </c>
      <c r="AF99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9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94" s="52">
        <f>IF(Tabla15[[#This Row],[26]]="",0,VLOOKUP(TRAMOS!$K$2,Tabla5[#All],3,FALSE)*Tabla15[[#This Row],[27]])</f>
        <v>0</v>
      </c>
      <c r="AI99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9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9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9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9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1"</v>
      </c>
      <c r="AN994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99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1.27</v>
      </c>
    </row>
    <row r="995" spans="2:41" x14ac:dyDescent="0.25">
      <c r="B995" s="58" t="str">
        <f>Tabla1[[#This Row],[nudo inicial]]</f>
        <v>N531</v>
      </c>
      <c r="C995" s="58" t="str">
        <f>Tabla1[[#This Row],[nudo final]]</f>
        <v>N532</v>
      </c>
      <c r="D995" s="51">
        <f>Tabla1[[#This Row],[longitud]]</f>
        <v>39.93</v>
      </c>
      <c r="E995" s="51" t="str">
        <f>Tabla1[[#This Row],[diametro]]</f>
        <v>2"</v>
      </c>
      <c r="F995" s="51" t="str">
        <f>Tabla1[[#This Row],[material]]</f>
        <v>PVC</v>
      </c>
      <c r="G99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995" s="52" t="str">
        <f>IF(Tabla1[[#This Row],[5]]="TPD",Tabla1[[#This Row],[6]],"")</f>
        <v>2"</v>
      </c>
      <c r="I995" s="52">
        <f>IF(OR(Tabla1[[#This Row],[5]]="TPD"),Tabla1[[#This Row],[7]],"")</f>
        <v>1</v>
      </c>
      <c r="J995" s="52">
        <f>IF(Tabla15[[#This Row],[2]]="",0,VLOOKUP(TRAMOS!$H$2,Tabla5[#All],3,FALSE)*Tabla15[[#This Row],[3]])</f>
        <v>0.15</v>
      </c>
      <c r="K995" s="52" t="str">
        <f>IF(Tabla1[[#This Row],[5]]="TPL",Tabla1[[#This Row],[6]],"")</f>
        <v/>
      </c>
      <c r="L995" s="52" t="str">
        <f>IF(OR(Tabla1[[#This Row],[5]]="TPL"),Tabla1[[#This Row],[7]],"")</f>
        <v/>
      </c>
      <c r="M995" s="52">
        <f>IF(Tabla15[[#This Row],[5]]="",0,VLOOKUP(TRAMOS!$K$2,Tabla5[#All],3,FALSE)*Tabla15[[#This Row],[6]])</f>
        <v>0</v>
      </c>
      <c r="N99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9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95" s="52">
        <f>IF(Tabla15[[#This Row],[8]]="",0,VLOOKUP(TRAMOS!$H$2,Tabla5[#All],3,FALSE)*Tabla15[[#This Row],[9]])</f>
        <v>0</v>
      </c>
      <c r="Q99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9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95" s="52">
        <f>IF(Tabla15[[#This Row],[11]]="",0,VLOOKUP(TRAMOS!$Q$2,Tabla5[#All],3,FALSE)*Tabla15[[#This Row],[12]])</f>
        <v>0</v>
      </c>
      <c r="T99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9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9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9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9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9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9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9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95" s="52">
        <f>IF(Tabla15[[#This Row],[20]]="",0,VLOOKUP("VRP",Tabla5[#All],3,FALSE)*Tabla15[[#This Row],[21]])</f>
        <v>0</v>
      </c>
      <c r="AC99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9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95" s="52">
        <f>IF(Tabla15[[#This Row],[23]]="",0,VLOOKUP("VC",Tabla5[#All],3,FALSE)*Tabla15[[#This Row],[24]])</f>
        <v>0</v>
      </c>
      <c r="AF99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9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95" s="52">
        <f>IF(Tabla15[[#This Row],[26]]="",0,VLOOKUP(TRAMOS!$K$2,Tabla5[#All],3,FALSE)*Tabla15[[#This Row],[27]])</f>
        <v>0</v>
      </c>
      <c r="AI99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9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9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9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9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9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9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996" spans="2:41" x14ac:dyDescent="0.25">
      <c r="B996" s="58" t="str">
        <f>Tabla1[[#This Row],[nudo inicial]]</f>
        <v>N532</v>
      </c>
      <c r="C996" s="58" t="str">
        <f>Tabla1[[#This Row],[nudo final]]</f>
        <v>N533</v>
      </c>
      <c r="D996" s="51">
        <f>Tabla1[[#This Row],[longitud]]</f>
        <v>56.55</v>
      </c>
      <c r="E996" s="51" t="str">
        <f>Tabla1[[#This Row],[diametro]]</f>
        <v>2"</v>
      </c>
      <c r="F996" s="51" t="str">
        <f>Tabla1[[#This Row],[material]]</f>
        <v>PVC</v>
      </c>
      <c r="G99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996" s="52" t="str">
        <f>IF(Tabla1[[#This Row],[5]]="TPD",Tabla1[[#This Row],[6]],"")</f>
        <v/>
      </c>
      <c r="I996" s="52" t="str">
        <f>IF(OR(Tabla1[[#This Row],[5]]="TPD"),Tabla1[[#This Row],[7]],"")</f>
        <v/>
      </c>
      <c r="J996" s="52">
        <f>IF(Tabla15[[#This Row],[2]]="",0,VLOOKUP(TRAMOS!$H$2,Tabla5[#All],3,FALSE)*Tabla15[[#This Row],[3]])</f>
        <v>0</v>
      </c>
      <c r="K996" s="52" t="str">
        <f>IF(Tabla1[[#This Row],[5]]="TPL",Tabla1[[#This Row],[6]],"")</f>
        <v>2"</v>
      </c>
      <c r="L996" s="52">
        <f>IF(OR(Tabla1[[#This Row],[5]]="TPL"),Tabla1[[#This Row],[7]],"")</f>
        <v>1</v>
      </c>
      <c r="M996" s="52">
        <f>IF(Tabla15[[#This Row],[5]]="",0,VLOOKUP(TRAMOS!$K$2,Tabla5[#All],3,FALSE)*Tabla15[[#This Row],[6]])</f>
        <v>0.9</v>
      </c>
      <c r="N99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9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96" s="52">
        <f>IF(Tabla15[[#This Row],[8]]="",0,VLOOKUP(TRAMOS!$H$2,Tabla5[#All],3,FALSE)*Tabla15[[#This Row],[9]])</f>
        <v>0</v>
      </c>
      <c r="Q99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9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96" s="52">
        <f>IF(Tabla15[[#This Row],[11]]="",0,VLOOKUP(TRAMOS!$Q$2,Tabla5[#All],3,FALSE)*Tabla15[[#This Row],[12]])</f>
        <v>0</v>
      </c>
      <c r="T99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9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9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9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9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9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9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9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96" s="52">
        <f>IF(Tabla15[[#This Row],[20]]="",0,VLOOKUP("VRP",Tabla5[#All],3,FALSE)*Tabla15[[#This Row],[21]])</f>
        <v>0</v>
      </c>
      <c r="AC99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9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96" s="52">
        <f>IF(Tabla15[[#This Row],[23]]="",0,VLOOKUP("VC",Tabla5[#All],3,FALSE)*Tabla15[[#This Row],[24]])</f>
        <v>0</v>
      </c>
      <c r="AF99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9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96" s="52">
        <f>IF(Tabla15[[#This Row],[26]]="",0,VLOOKUP(TRAMOS!$K$2,Tabla5[#All],3,FALSE)*Tabla15[[#This Row],[27]])</f>
        <v>0</v>
      </c>
      <c r="AI99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9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9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9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9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9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9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997" spans="2:41" x14ac:dyDescent="0.25">
      <c r="B997" s="58" t="str">
        <f>Tabla1[[#This Row],[nudo inicial]]</f>
        <v>N533</v>
      </c>
      <c r="C997" s="58" t="str">
        <f>Tabla1[[#This Row],[nudo final]]</f>
        <v>TP351</v>
      </c>
      <c r="D997" s="51">
        <f>Tabla1[[#This Row],[longitud]]</f>
        <v>74.849999999999994</v>
      </c>
      <c r="E997" s="51" t="str">
        <f>Tabla1[[#This Row],[diametro]]</f>
        <v>2"</v>
      </c>
      <c r="F997" s="51" t="str">
        <f>Tabla1[[#This Row],[material]]</f>
        <v>PVC</v>
      </c>
      <c r="G99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997" s="52" t="str">
        <f>IF(Tabla1[[#This Row],[5]]="TPD",Tabla1[[#This Row],[6]],"")</f>
        <v>2"</v>
      </c>
      <c r="I997" s="52">
        <f>IF(OR(Tabla1[[#This Row],[5]]="TPD"),Tabla1[[#This Row],[7]],"")</f>
        <v>1</v>
      </c>
      <c r="J997" s="52">
        <f>IF(Tabla15[[#This Row],[2]]="",0,VLOOKUP(TRAMOS!$H$2,Tabla5[#All],3,FALSE)*Tabla15[[#This Row],[3]])</f>
        <v>0.15</v>
      </c>
      <c r="K997" s="52" t="str">
        <f>IF(Tabla1[[#This Row],[5]]="TPL",Tabla1[[#This Row],[6]],"")</f>
        <v/>
      </c>
      <c r="L997" s="52" t="str">
        <f>IF(OR(Tabla1[[#This Row],[5]]="TPL"),Tabla1[[#This Row],[7]],"")</f>
        <v/>
      </c>
      <c r="M997" s="52">
        <f>IF(Tabla15[[#This Row],[5]]="",0,VLOOKUP(TRAMOS!$K$2,Tabla5[#All],3,FALSE)*Tabla15[[#This Row],[6]])</f>
        <v>0</v>
      </c>
      <c r="N99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9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97" s="52">
        <f>IF(Tabla15[[#This Row],[8]]="",0,VLOOKUP(TRAMOS!$H$2,Tabla5[#All],3,FALSE)*Tabla15[[#This Row],[9]])</f>
        <v>0</v>
      </c>
      <c r="Q99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9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97" s="52">
        <f>IF(Tabla15[[#This Row],[11]]="",0,VLOOKUP(TRAMOS!$Q$2,Tabla5[#All],3,FALSE)*Tabla15[[#This Row],[12]])</f>
        <v>0</v>
      </c>
      <c r="T99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9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9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9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9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9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9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9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97" s="52">
        <f>IF(Tabla15[[#This Row],[20]]="",0,VLOOKUP("VRP",Tabla5[#All],3,FALSE)*Tabla15[[#This Row],[21]])</f>
        <v>0</v>
      </c>
      <c r="AC99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9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97" s="52">
        <f>IF(Tabla15[[#This Row],[23]]="",0,VLOOKUP("VC",Tabla5[#All],3,FALSE)*Tabla15[[#This Row],[24]])</f>
        <v>0</v>
      </c>
      <c r="AF99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9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97" s="52">
        <f>IF(Tabla15[[#This Row],[26]]="",0,VLOOKUP(TRAMOS!$K$2,Tabla5[#All],3,FALSE)*Tabla15[[#This Row],[27]])</f>
        <v>0</v>
      </c>
      <c r="AI99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9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9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9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9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997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99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998" spans="2:41" x14ac:dyDescent="0.25">
      <c r="B998" s="58" t="str">
        <f>Tabla1[[#This Row],[nudo inicial]]</f>
        <v>N533</v>
      </c>
      <c r="C998" s="58" t="str">
        <f>Tabla1[[#This Row],[nudo final]]</f>
        <v>TP352</v>
      </c>
      <c r="D998" s="51">
        <f>Tabla1[[#This Row],[longitud]]</f>
        <v>57.68</v>
      </c>
      <c r="E998" s="51" t="str">
        <f>Tabla1[[#This Row],[diametro]]</f>
        <v>2"</v>
      </c>
      <c r="F998" s="51" t="str">
        <f>Tabla1[[#This Row],[material]]</f>
        <v>PVC</v>
      </c>
      <c r="G99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998" s="52" t="str">
        <f>IF(Tabla1[[#This Row],[5]]="TPD",Tabla1[[#This Row],[6]],"")</f>
        <v/>
      </c>
      <c r="I998" s="52" t="str">
        <f>IF(OR(Tabla1[[#This Row],[5]]="TPD"),Tabla1[[#This Row],[7]],"")</f>
        <v/>
      </c>
      <c r="J998" s="52">
        <f>IF(Tabla15[[#This Row],[2]]="",0,VLOOKUP(TRAMOS!$H$2,Tabla5[#All],3,FALSE)*Tabla15[[#This Row],[3]])</f>
        <v>0</v>
      </c>
      <c r="K998" s="52" t="str">
        <f>IF(Tabla1[[#This Row],[5]]="TPL",Tabla1[[#This Row],[6]],"")</f>
        <v>2"</v>
      </c>
      <c r="L998" s="52">
        <f>IF(OR(Tabla1[[#This Row],[5]]="TPL"),Tabla1[[#This Row],[7]],"")</f>
        <v>1</v>
      </c>
      <c r="M998" s="52">
        <f>IF(Tabla15[[#This Row],[5]]="",0,VLOOKUP(TRAMOS!$K$2,Tabla5[#All],3,FALSE)*Tabla15[[#This Row],[6]])</f>
        <v>0.9</v>
      </c>
      <c r="N99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9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98" s="52">
        <f>IF(Tabla15[[#This Row],[8]]="",0,VLOOKUP(TRAMOS!$H$2,Tabla5[#All],3,FALSE)*Tabla15[[#This Row],[9]])</f>
        <v>0</v>
      </c>
      <c r="Q99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9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98" s="52">
        <f>IF(Tabla15[[#This Row],[11]]="",0,VLOOKUP(TRAMOS!$Q$2,Tabla5[#All],3,FALSE)*Tabla15[[#This Row],[12]])</f>
        <v>0</v>
      </c>
      <c r="T99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99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99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99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9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9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9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9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98" s="52">
        <f>IF(Tabla15[[#This Row],[20]]="",0,VLOOKUP("VRP",Tabla5[#All],3,FALSE)*Tabla15[[#This Row],[21]])</f>
        <v>0</v>
      </c>
      <c r="AC99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9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98" s="52">
        <f>IF(Tabla15[[#This Row],[23]]="",0,VLOOKUP("VC",Tabla5[#All],3,FALSE)*Tabla15[[#This Row],[24]])</f>
        <v>0</v>
      </c>
      <c r="AF99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9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98" s="52">
        <f>IF(Tabla15[[#This Row],[26]]="",0,VLOOKUP(TRAMOS!$K$2,Tabla5[#All],3,FALSE)*Tabla15[[#This Row],[27]])</f>
        <v>0</v>
      </c>
      <c r="AI99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9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9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9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9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998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99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999" spans="2:41" x14ac:dyDescent="0.25">
      <c r="B999" s="58" t="str">
        <f>Tabla1[[#This Row],[nudo inicial]]</f>
        <v>N532</v>
      </c>
      <c r="C999" s="58" t="str">
        <f>Tabla1[[#This Row],[nudo final]]</f>
        <v>N534</v>
      </c>
      <c r="D999" s="51">
        <f>Tabla1[[#This Row],[longitud]]</f>
        <v>9.11</v>
      </c>
      <c r="E999" s="51" t="str">
        <f>Tabla1[[#This Row],[diametro]]</f>
        <v>3/4"</v>
      </c>
      <c r="F999" s="51" t="str">
        <f>Tabla1[[#This Row],[material]]</f>
        <v>PVC</v>
      </c>
      <c r="G99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999" s="52" t="str">
        <f>IF(Tabla1[[#This Row],[5]]="TPD",Tabla1[[#This Row],[6]],"")</f>
        <v/>
      </c>
      <c r="I999" s="52" t="str">
        <f>IF(OR(Tabla1[[#This Row],[5]]="TPD"),Tabla1[[#This Row],[7]],"")</f>
        <v/>
      </c>
      <c r="J999" s="52">
        <f>IF(Tabla15[[#This Row],[2]]="",0,VLOOKUP(TRAMOS!$H$2,Tabla5[#All],3,FALSE)*Tabla15[[#This Row],[3]])</f>
        <v>0</v>
      </c>
      <c r="K999" s="52" t="str">
        <f>IF(Tabla1[[#This Row],[5]]="TPL",Tabla1[[#This Row],[6]],"")</f>
        <v>2"</v>
      </c>
      <c r="L999" s="52">
        <f>IF(OR(Tabla1[[#This Row],[5]]="TPL"),Tabla1[[#This Row],[7]],"")</f>
        <v>1</v>
      </c>
      <c r="M999" s="52">
        <f>IF(Tabla15[[#This Row],[5]]="",0,VLOOKUP(TRAMOS!$K$2,Tabla5[#All],3,FALSE)*Tabla15[[#This Row],[6]])</f>
        <v>0.9</v>
      </c>
      <c r="N99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99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999" s="52">
        <f>IF(Tabla15[[#This Row],[8]]="",0,VLOOKUP(TRAMOS!$H$2,Tabla5[#All],3,FALSE)*Tabla15[[#This Row],[9]])</f>
        <v>0</v>
      </c>
      <c r="Q99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99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999" s="52">
        <f>IF(Tabla15[[#This Row],[11]]="",0,VLOOKUP(TRAMOS!$Q$2,Tabla5[#All],3,FALSE)*Tabla15[[#This Row],[12]])</f>
        <v>0</v>
      </c>
      <c r="T99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3/4"</v>
      </c>
      <c r="U999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2</v>
      </c>
      <c r="V99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0.8335999999999999</v>
      </c>
      <c r="W99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99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99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99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99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999" s="52">
        <f>IF(Tabla15[[#This Row],[20]]="",0,VLOOKUP("VRP",Tabla5[#All],3,FALSE)*Tabla15[[#This Row],[21]])</f>
        <v>0</v>
      </c>
      <c r="AC99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99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999" s="52">
        <f>IF(Tabla15[[#This Row],[23]]="",0,VLOOKUP("VC",Tabla5[#All],3,FALSE)*Tabla15[[#This Row],[24]])</f>
        <v>0</v>
      </c>
      <c r="AF99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99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999" s="52">
        <f>IF(Tabla15[[#This Row],[26]]="",0,VLOOKUP(TRAMOS!$K$2,Tabla5[#All],3,FALSE)*Tabla15[[#This Row],[27]])</f>
        <v>0</v>
      </c>
      <c r="AI99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99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99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99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99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99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99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1.7336</v>
      </c>
    </row>
    <row r="1000" spans="2:41" x14ac:dyDescent="0.25">
      <c r="B1000" s="58" t="str">
        <f>Tabla1[[#This Row],[nudo inicial]]</f>
        <v>N534</v>
      </c>
      <c r="C1000" s="58" t="str">
        <f>Tabla1[[#This Row],[nudo final]]</f>
        <v>TP353</v>
      </c>
      <c r="D1000" s="51">
        <f>Tabla1[[#This Row],[longitud]]</f>
        <v>50.51</v>
      </c>
      <c r="E1000" s="51" t="str">
        <f>Tabla1[[#This Row],[diametro]]</f>
        <v>3/4"</v>
      </c>
      <c r="F1000" s="51" t="str">
        <f>Tabla1[[#This Row],[material]]</f>
        <v>PVC</v>
      </c>
      <c r="G100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000" s="52" t="str">
        <f>IF(Tabla1[[#This Row],[5]]="TPD",Tabla1[[#This Row],[6]],"")</f>
        <v>2"</v>
      </c>
      <c r="I1000" s="52">
        <f>IF(OR(Tabla1[[#This Row],[5]]="TPD"),Tabla1[[#This Row],[7]],"")</f>
        <v>1</v>
      </c>
      <c r="J1000" s="52">
        <f>IF(Tabla15[[#This Row],[2]]="",0,VLOOKUP(TRAMOS!$H$2,Tabla5[#All],3,FALSE)*Tabla15[[#This Row],[3]])</f>
        <v>0.15</v>
      </c>
      <c r="K1000" s="52" t="str">
        <f>IF(Tabla1[[#This Row],[5]]="TPL",Tabla1[[#This Row],[6]],"")</f>
        <v/>
      </c>
      <c r="L1000" s="52" t="str">
        <f>IF(OR(Tabla1[[#This Row],[5]]="TPL"),Tabla1[[#This Row],[7]],"")</f>
        <v/>
      </c>
      <c r="M1000" s="52">
        <f>IF(Tabla15[[#This Row],[5]]="",0,VLOOKUP(TRAMOS!$K$2,Tabla5[#All],3,FALSE)*Tabla15[[#This Row],[6]])</f>
        <v>0</v>
      </c>
      <c r="N100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0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00" s="52">
        <f>IF(Tabla15[[#This Row],[8]]="",0,VLOOKUP(TRAMOS!$H$2,Tabla5[#All],3,FALSE)*Tabla15[[#This Row],[9]])</f>
        <v>0</v>
      </c>
      <c r="Q100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0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00" s="52">
        <f>IF(Tabla15[[#This Row],[11]]="",0,VLOOKUP(TRAMOS!$Q$2,Tabla5[#All],3,FALSE)*Tabla15[[#This Row],[12]])</f>
        <v>0</v>
      </c>
      <c r="T100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3/4"</v>
      </c>
      <c r="U1000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00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0.41679999999999995</v>
      </c>
      <c r="W100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0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0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0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0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00" s="52">
        <f>IF(Tabla15[[#This Row],[20]]="",0,VLOOKUP("VRP",Tabla5[#All],3,FALSE)*Tabla15[[#This Row],[21]])</f>
        <v>0</v>
      </c>
      <c r="AC100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0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00" s="52">
        <f>IF(Tabla15[[#This Row],[23]]="",0,VLOOKUP("VC",Tabla5[#All],3,FALSE)*Tabla15[[#This Row],[24]])</f>
        <v>0</v>
      </c>
      <c r="AF100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0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00" s="52">
        <f>IF(Tabla15[[#This Row],[26]]="",0,VLOOKUP(TRAMOS!$K$2,Tabla5[#All],3,FALSE)*Tabla15[[#This Row],[27]])</f>
        <v>0</v>
      </c>
      <c r="AI100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0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0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0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0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3/4"</v>
      </c>
      <c r="AN1000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00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0.56679999999999997</v>
      </c>
    </row>
    <row r="1001" spans="2:41" x14ac:dyDescent="0.25">
      <c r="B1001" s="58" t="str">
        <f>Tabla1[[#This Row],[nudo inicial]]</f>
        <v>N534</v>
      </c>
      <c r="C1001" s="58" t="str">
        <f>Tabla1[[#This Row],[nudo final]]</f>
        <v>N535</v>
      </c>
      <c r="D1001" s="51">
        <f>Tabla1[[#This Row],[longitud]]</f>
        <v>62.85</v>
      </c>
      <c r="E1001" s="51" t="str">
        <f>Tabla1[[#This Row],[diametro]]</f>
        <v>2"</v>
      </c>
      <c r="F1001" s="51" t="str">
        <f>Tabla1[[#This Row],[material]]</f>
        <v>PVC</v>
      </c>
      <c r="G100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001" s="52" t="str">
        <f>IF(Tabla1[[#This Row],[5]]="TPD",Tabla1[[#This Row],[6]],"")</f>
        <v/>
      </c>
      <c r="I1001" s="52" t="str">
        <f>IF(OR(Tabla1[[#This Row],[5]]="TPD"),Tabla1[[#This Row],[7]],"")</f>
        <v/>
      </c>
      <c r="J1001" s="52">
        <f>IF(Tabla15[[#This Row],[2]]="",0,VLOOKUP(TRAMOS!$H$2,Tabla5[#All],3,FALSE)*Tabla15[[#This Row],[3]])</f>
        <v>0</v>
      </c>
      <c r="K1001" s="52" t="str">
        <f>IF(Tabla1[[#This Row],[5]]="TPL",Tabla1[[#This Row],[6]],"")</f>
        <v>2"</v>
      </c>
      <c r="L1001" s="52">
        <f>IF(OR(Tabla1[[#This Row],[5]]="TPL"),Tabla1[[#This Row],[7]],"")</f>
        <v>1</v>
      </c>
      <c r="M1001" s="52">
        <f>IF(Tabla15[[#This Row],[5]]="",0,VLOOKUP(TRAMOS!$K$2,Tabla5[#All],3,FALSE)*Tabla15[[#This Row],[6]])</f>
        <v>0.9</v>
      </c>
      <c r="N100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0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01" s="52">
        <f>IF(Tabla15[[#This Row],[8]]="",0,VLOOKUP(TRAMOS!$H$2,Tabla5[#All],3,FALSE)*Tabla15[[#This Row],[9]])</f>
        <v>0</v>
      </c>
      <c r="Q100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0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01" s="52">
        <f>IF(Tabla15[[#This Row],[11]]="",0,VLOOKUP(TRAMOS!$Q$2,Tabla5[#All],3,FALSE)*Tabla15[[#This Row],[12]])</f>
        <v>0</v>
      </c>
      <c r="T100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0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0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0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0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0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0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0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01" s="52">
        <f>IF(Tabla15[[#This Row],[20]]="",0,VLOOKUP("VRP",Tabla5[#All],3,FALSE)*Tabla15[[#This Row],[21]])</f>
        <v>0</v>
      </c>
      <c r="AC100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1001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1001" s="52">
        <f>IF(Tabla15[[#This Row],[23]]="",0,VLOOKUP("VC",Tabla5[#All],3,FALSE)*Tabla15[[#This Row],[24]])</f>
        <v>0.25</v>
      </c>
      <c r="AF100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0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01" s="52">
        <f>IF(Tabla15[[#This Row],[26]]="",0,VLOOKUP(TRAMOS!$K$2,Tabla5[#All],3,FALSE)*Tabla15[[#This Row],[27]])</f>
        <v>0</v>
      </c>
      <c r="AI100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0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0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0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0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001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00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1.1499999999999999</v>
      </c>
    </row>
    <row r="1002" spans="2:41" x14ac:dyDescent="0.25">
      <c r="B1002" s="58" t="str">
        <f>Tabla1[[#This Row],[nudo inicial]]</f>
        <v>N535</v>
      </c>
      <c r="C1002" s="58" t="str">
        <f>Tabla1[[#This Row],[nudo final]]</f>
        <v>TP354</v>
      </c>
      <c r="D1002" s="51">
        <f>Tabla1[[#This Row],[longitud]]</f>
        <v>3.8</v>
      </c>
      <c r="E1002" s="51" t="str">
        <f>Tabla1[[#This Row],[diametro]]</f>
        <v>2"</v>
      </c>
      <c r="F1002" s="51" t="str">
        <f>Tabla1[[#This Row],[material]]</f>
        <v>PVC</v>
      </c>
      <c r="G100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002" s="52" t="str">
        <f>IF(Tabla1[[#This Row],[5]]="TPD",Tabla1[[#This Row],[6]],"")</f>
        <v/>
      </c>
      <c r="I1002" s="52" t="str">
        <f>IF(OR(Tabla1[[#This Row],[5]]="TPD"),Tabla1[[#This Row],[7]],"")</f>
        <v/>
      </c>
      <c r="J1002" s="52">
        <f>IF(Tabla15[[#This Row],[2]]="",0,VLOOKUP(TRAMOS!$H$2,Tabla5[#All],3,FALSE)*Tabla15[[#This Row],[3]])</f>
        <v>0</v>
      </c>
      <c r="K1002" s="52" t="str">
        <f>IF(Tabla1[[#This Row],[5]]="TPL",Tabla1[[#This Row],[6]],"")</f>
        <v>2"</v>
      </c>
      <c r="L1002" s="52">
        <f>IF(OR(Tabla1[[#This Row],[5]]="TPL"),Tabla1[[#This Row],[7]],"")</f>
        <v>1</v>
      </c>
      <c r="M1002" s="52">
        <f>IF(Tabla15[[#This Row],[5]]="",0,VLOOKUP(TRAMOS!$K$2,Tabla5[#All],3,FALSE)*Tabla15[[#This Row],[6]])</f>
        <v>0.9</v>
      </c>
      <c r="N100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0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02" s="52">
        <f>IF(Tabla15[[#This Row],[8]]="",0,VLOOKUP(TRAMOS!$H$2,Tabla5[#All],3,FALSE)*Tabla15[[#This Row],[9]])</f>
        <v>0</v>
      </c>
      <c r="Q100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0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02" s="52">
        <f>IF(Tabla15[[#This Row],[11]]="",0,VLOOKUP(TRAMOS!$Q$2,Tabla5[#All],3,FALSE)*Tabla15[[#This Row],[12]])</f>
        <v>0</v>
      </c>
      <c r="T100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0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0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0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0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0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0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0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02" s="52">
        <f>IF(Tabla15[[#This Row],[20]]="",0,VLOOKUP("VRP",Tabla5[#All],3,FALSE)*Tabla15[[#This Row],[21]])</f>
        <v>0</v>
      </c>
      <c r="AC100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0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02" s="52">
        <f>IF(Tabla15[[#This Row],[23]]="",0,VLOOKUP("VC",Tabla5[#All],3,FALSE)*Tabla15[[#This Row],[24]])</f>
        <v>0</v>
      </c>
      <c r="AF100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0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02" s="52">
        <f>IF(Tabla15[[#This Row],[26]]="",0,VLOOKUP(TRAMOS!$K$2,Tabla5[#All],3,FALSE)*Tabla15[[#This Row],[27]])</f>
        <v>0</v>
      </c>
      <c r="AI100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0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0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0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0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002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00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003" spans="2:41" x14ac:dyDescent="0.25">
      <c r="B1003" s="58" t="str">
        <f>Tabla1[[#This Row],[nudo inicial]]</f>
        <v>N535</v>
      </c>
      <c r="C1003" s="58" t="str">
        <f>Tabla1[[#This Row],[nudo final]]</f>
        <v>N536</v>
      </c>
      <c r="D1003" s="51">
        <f>Tabla1[[#This Row],[longitud]]</f>
        <v>31.75</v>
      </c>
      <c r="E1003" s="51" t="str">
        <f>Tabla1[[#This Row],[diametro]]</f>
        <v>2"</v>
      </c>
      <c r="F1003" s="51" t="str">
        <f>Tabla1[[#This Row],[material]]</f>
        <v>PVC</v>
      </c>
      <c r="G100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003" s="52" t="str">
        <f>IF(Tabla1[[#This Row],[5]]="TPD",Tabla1[[#This Row],[6]],"")</f>
        <v/>
      </c>
      <c r="I1003" s="52" t="str">
        <f>IF(OR(Tabla1[[#This Row],[5]]="TPD"),Tabla1[[#This Row],[7]],"")</f>
        <v/>
      </c>
      <c r="J1003" s="52">
        <f>IF(Tabla15[[#This Row],[2]]="",0,VLOOKUP(TRAMOS!$H$2,Tabla5[#All],3,FALSE)*Tabla15[[#This Row],[3]])</f>
        <v>0</v>
      </c>
      <c r="K1003" s="52" t="str">
        <f>IF(Tabla1[[#This Row],[5]]="TPL",Tabla1[[#This Row],[6]],"")</f>
        <v>2"</v>
      </c>
      <c r="L1003" s="52">
        <f>IF(OR(Tabla1[[#This Row],[5]]="TPL"),Tabla1[[#This Row],[7]],"")</f>
        <v>1</v>
      </c>
      <c r="M1003" s="52">
        <f>IF(Tabla15[[#This Row],[5]]="",0,VLOOKUP(TRAMOS!$K$2,Tabla5[#All],3,FALSE)*Tabla15[[#This Row],[6]])</f>
        <v>0.9</v>
      </c>
      <c r="N100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0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03" s="52">
        <f>IF(Tabla15[[#This Row],[8]]="",0,VLOOKUP(TRAMOS!$H$2,Tabla5[#All],3,FALSE)*Tabla15[[#This Row],[9]])</f>
        <v>0</v>
      </c>
      <c r="Q100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0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03" s="52">
        <f>IF(Tabla15[[#This Row],[11]]="",0,VLOOKUP(TRAMOS!$Q$2,Tabla5[#All],3,FALSE)*Tabla15[[#This Row],[12]])</f>
        <v>0</v>
      </c>
      <c r="T100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0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0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0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0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0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0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0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03" s="52">
        <f>IF(Tabla15[[#This Row],[20]]="",0,VLOOKUP("VRP",Tabla5[#All],3,FALSE)*Tabla15[[#This Row],[21]])</f>
        <v>0</v>
      </c>
      <c r="AC100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0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03" s="52">
        <f>IF(Tabla15[[#This Row],[23]]="",0,VLOOKUP("VC",Tabla5[#All],3,FALSE)*Tabla15[[#This Row],[24]])</f>
        <v>0</v>
      </c>
      <c r="AF100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0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03" s="52">
        <f>IF(Tabla15[[#This Row],[26]]="",0,VLOOKUP(TRAMOS!$K$2,Tabla5[#All],3,FALSE)*Tabla15[[#This Row],[27]])</f>
        <v>0</v>
      </c>
      <c r="AI100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0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0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0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0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0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0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004" spans="2:41" x14ac:dyDescent="0.25">
      <c r="B1004" s="58" t="str">
        <f>Tabla1[[#This Row],[nudo inicial]]</f>
        <v>N536</v>
      </c>
      <c r="C1004" s="58" t="str">
        <f>Tabla1[[#This Row],[nudo final]]</f>
        <v>TP355</v>
      </c>
      <c r="D1004" s="51">
        <f>Tabla1[[#This Row],[longitud]]</f>
        <v>39.049999999999997</v>
      </c>
      <c r="E1004" s="51" t="str">
        <f>Tabla1[[#This Row],[diametro]]</f>
        <v>2"</v>
      </c>
      <c r="F1004" s="51" t="str">
        <f>Tabla1[[#This Row],[material]]</f>
        <v>PVC</v>
      </c>
      <c r="G100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004" s="52" t="str">
        <f>IF(Tabla1[[#This Row],[5]]="TPD",Tabla1[[#This Row],[6]],"")</f>
        <v/>
      </c>
      <c r="I1004" s="52" t="str">
        <f>IF(OR(Tabla1[[#This Row],[5]]="TPD"),Tabla1[[#This Row],[7]],"")</f>
        <v/>
      </c>
      <c r="J1004" s="52">
        <f>IF(Tabla15[[#This Row],[2]]="",0,VLOOKUP(TRAMOS!$H$2,Tabla5[#All],3,FALSE)*Tabla15[[#This Row],[3]])</f>
        <v>0</v>
      </c>
      <c r="K1004" s="52" t="str">
        <f>IF(Tabla1[[#This Row],[5]]="TPL",Tabla1[[#This Row],[6]],"")</f>
        <v>2"</v>
      </c>
      <c r="L1004" s="52">
        <f>IF(OR(Tabla1[[#This Row],[5]]="TPL"),Tabla1[[#This Row],[7]],"")</f>
        <v>1</v>
      </c>
      <c r="M1004" s="52">
        <f>IF(Tabla15[[#This Row],[5]]="",0,VLOOKUP(TRAMOS!$K$2,Tabla5[#All],3,FALSE)*Tabla15[[#This Row],[6]])</f>
        <v>0.9</v>
      </c>
      <c r="N100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0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04" s="52">
        <f>IF(Tabla15[[#This Row],[8]]="",0,VLOOKUP(TRAMOS!$H$2,Tabla5[#All],3,FALSE)*Tabla15[[#This Row],[9]])</f>
        <v>0</v>
      </c>
      <c r="Q100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0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04" s="52">
        <f>IF(Tabla15[[#This Row],[11]]="",0,VLOOKUP(TRAMOS!$Q$2,Tabla5[#All],3,FALSE)*Tabla15[[#This Row],[12]])</f>
        <v>0</v>
      </c>
      <c r="T100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0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0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0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0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0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0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0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04" s="52">
        <f>IF(Tabla15[[#This Row],[20]]="",0,VLOOKUP("VRP",Tabla5[#All],3,FALSE)*Tabla15[[#This Row],[21]])</f>
        <v>0</v>
      </c>
      <c r="AC100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0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04" s="52">
        <f>IF(Tabla15[[#This Row],[23]]="",0,VLOOKUP("VC",Tabla5[#All],3,FALSE)*Tabla15[[#This Row],[24]])</f>
        <v>0</v>
      </c>
      <c r="AF100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0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04" s="52">
        <f>IF(Tabla15[[#This Row],[26]]="",0,VLOOKUP(TRAMOS!$K$2,Tabla5[#All],3,FALSE)*Tabla15[[#This Row],[27]])</f>
        <v>0</v>
      </c>
      <c r="AI100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0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0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0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0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004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00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005" spans="2:41" x14ac:dyDescent="0.25">
      <c r="B1005" s="58" t="str">
        <f>Tabla1[[#This Row],[nudo inicial]]</f>
        <v>N536</v>
      </c>
      <c r="C1005" s="58" t="str">
        <f>Tabla1[[#This Row],[nudo final]]</f>
        <v>TP356</v>
      </c>
      <c r="D1005" s="51">
        <f>Tabla1[[#This Row],[longitud]]</f>
        <v>178.58</v>
      </c>
      <c r="E1005" s="51" t="str">
        <f>Tabla1[[#This Row],[diametro]]</f>
        <v>2"</v>
      </c>
      <c r="F1005" s="51" t="str">
        <f>Tabla1[[#This Row],[material]]</f>
        <v>PVC</v>
      </c>
      <c r="G100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005" s="52" t="str">
        <f>IF(Tabla1[[#This Row],[5]]="TPD",Tabla1[[#This Row],[6]],"")</f>
        <v>2"</v>
      </c>
      <c r="I1005" s="52">
        <f>IF(OR(Tabla1[[#This Row],[5]]="TPD"),Tabla1[[#This Row],[7]],"")</f>
        <v>1</v>
      </c>
      <c r="J1005" s="52">
        <f>IF(Tabla15[[#This Row],[2]]="",0,VLOOKUP(TRAMOS!$H$2,Tabla5[#All],3,FALSE)*Tabla15[[#This Row],[3]])</f>
        <v>0.15</v>
      </c>
      <c r="K1005" s="52" t="str">
        <f>IF(Tabla1[[#This Row],[5]]="TPL",Tabla1[[#This Row],[6]],"")</f>
        <v/>
      </c>
      <c r="L1005" s="52" t="str">
        <f>IF(OR(Tabla1[[#This Row],[5]]="TPL"),Tabla1[[#This Row],[7]],"")</f>
        <v/>
      </c>
      <c r="M1005" s="52">
        <f>IF(Tabla15[[#This Row],[5]]="",0,VLOOKUP(TRAMOS!$K$2,Tabla5[#All],3,FALSE)*Tabla15[[#This Row],[6]])</f>
        <v>0</v>
      </c>
      <c r="N100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0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05" s="52">
        <f>IF(Tabla15[[#This Row],[8]]="",0,VLOOKUP(TRAMOS!$H$2,Tabla5[#All],3,FALSE)*Tabla15[[#This Row],[9]])</f>
        <v>0</v>
      </c>
      <c r="Q100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1005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1005" s="52">
        <f>IF(Tabla15[[#This Row],[11]]="",0,VLOOKUP(TRAMOS!$Q$2,Tabla5[#All],3,FALSE)*Tabla15[[#This Row],[12]])</f>
        <v>0.9</v>
      </c>
      <c r="T100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0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0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0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0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0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0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0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05" s="52">
        <f>IF(Tabla15[[#This Row],[20]]="",0,VLOOKUP("VRP",Tabla5[#All],3,FALSE)*Tabla15[[#This Row],[21]])</f>
        <v>0</v>
      </c>
      <c r="AC100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0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05" s="52">
        <f>IF(Tabla15[[#This Row],[23]]="",0,VLOOKUP("VC",Tabla5[#All],3,FALSE)*Tabla15[[#This Row],[24]])</f>
        <v>0</v>
      </c>
      <c r="AF100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0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05" s="52">
        <f>IF(Tabla15[[#This Row],[26]]="",0,VLOOKUP(TRAMOS!$K$2,Tabla5[#All],3,FALSE)*Tabla15[[#This Row],[27]])</f>
        <v>0</v>
      </c>
      <c r="AI100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0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0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0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0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005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00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1006" spans="2:41" x14ac:dyDescent="0.25">
      <c r="B1006" s="58" t="str">
        <f>Tabla1[[#This Row],[nudo inicial]]</f>
        <v>N505</v>
      </c>
      <c r="C1006" s="58" t="str">
        <f>Tabla1[[#This Row],[nudo final]]</f>
        <v>N537</v>
      </c>
      <c r="D1006" s="51">
        <f>Tabla1[[#This Row],[longitud]]</f>
        <v>16.77</v>
      </c>
      <c r="E1006" s="51" t="str">
        <f>Tabla1[[#This Row],[diametro]]</f>
        <v>4"</v>
      </c>
      <c r="F1006" s="51" t="str">
        <f>Tabla1[[#This Row],[material]]</f>
        <v>PVC</v>
      </c>
      <c r="G100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1006" s="52" t="str">
        <f>IF(Tabla1[[#This Row],[5]]="TPD",Tabla1[[#This Row],[6]],"")</f>
        <v>4"</v>
      </c>
      <c r="I1006" s="52">
        <f>IF(OR(Tabla1[[#This Row],[5]]="TPD"),Tabla1[[#This Row],[7]],"")</f>
        <v>1</v>
      </c>
      <c r="J1006" s="52">
        <f>IF(Tabla15[[#This Row],[2]]="",0,VLOOKUP(TRAMOS!$H$2,Tabla5[#All],3,FALSE)*Tabla15[[#This Row],[3]])</f>
        <v>0.15</v>
      </c>
      <c r="K1006" s="52" t="str">
        <f>IF(Tabla1[[#This Row],[5]]="TPL",Tabla1[[#This Row],[6]],"")</f>
        <v/>
      </c>
      <c r="L1006" s="52" t="str">
        <f>IF(OR(Tabla1[[#This Row],[5]]="TPL"),Tabla1[[#This Row],[7]],"")</f>
        <v/>
      </c>
      <c r="M1006" s="52">
        <f>IF(Tabla15[[#This Row],[5]]="",0,VLOOKUP(TRAMOS!$K$2,Tabla5[#All],3,FALSE)*Tabla15[[#This Row],[6]])</f>
        <v>0</v>
      </c>
      <c r="N100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0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06" s="52">
        <f>IF(Tabla15[[#This Row],[8]]="",0,VLOOKUP(TRAMOS!$H$2,Tabla5[#All],3,FALSE)*Tabla15[[#This Row],[9]])</f>
        <v>0</v>
      </c>
      <c r="Q100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0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06" s="52">
        <f>IF(Tabla15[[#This Row],[11]]="",0,VLOOKUP(TRAMOS!$Q$2,Tabla5[#All],3,FALSE)*Tabla15[[#This Row],[12]])</f>
        <v>0</v>
      </c>
      <c r="T100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0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0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0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0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0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0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0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06" s="52">
        <f>IF(Tabla15[[#This Row],[20]]="",0,VLOOKUP("VRP",Tabla5[#All],3,FALSE)*Tabla15[[#This Row],[21]])</f>
        <v>0</v>
      </c>
      <c r="AC100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0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06" s="52">
        <f>IF(Tabla15[[#This Row],[23]]="",0,VLOOKUP("VC",Tabla5[#All],3,FALSE)*Tabla15[[#This Row],[24]])</f>
        <v>0</v>
      </c>
      <c r="AF100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0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06" s="52">
        <f>IF(Tabla15[[#This Row],[26]]="",0,VLOOKUP(TRAMOS!$K$2,Tabla5[#All],3,FALSE)*Tabla15[[#This Row],[27]])</f>
        <v>0</v>
      </c>
      <c r="AI100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0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0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0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0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0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0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007" spans="2:41" x14ac:dyDescent="0.25">
      <c r="B1007" s="58" t="str">
        <f>Tabla1[[#This Row],[nudo inicial]]</f>
        <v>N537</v>
      </c>
      <c r="C1007" s="58" t="str">
        <f>Tabla1[[#This Row],[nudo final]]</f>
        <v>TP357</v>
      </c>
      <c r="D1007" s="51">
        <f>Tabla1[[#This Row],[longitud]]</f>
        <v>62.5</v>
      </c>
      <c r="E1007" s="51" t="str">
        <f>Tabla1[[#This Row],[diametro]]</f>
        <v>2"</v>
      </c>
      <c r="F1007" s="51" t="str">
        <f>Tabla1[[#This Row],[material]]</f>
        <v>PVC</v>
      </c>
      <c r="G100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1007" s="52" t="str">
        <f>IF(Tabla1[[#This Row],[5]]="TPD",Tabla1[[#This Row],[6]],"")</f>
        <v/>
      </c>
      <c r="I1007" s="52" t="str">
        <f>IF(OR(Tabla1[[#This Row],[5]]="TPD"),Tabla1[[#This Row],[7]],"")</f>
        <v/>
      </c>
      <c r="J1007" s="52">
        <f>IF(Tabla15[[#This Row],[2]]="",0,VLOOKUP(TRAMOS!$H$2,Tabla5[#All],3,FALSE)*Tabla15[[#This Row],[3]])</f>
        <v>0</v>
      </c>
      <c r="K1007" s="52" t="str">
        <f>IF(Tabla1[[#This Row],[5]]="TPL",Tabla1[[#This Row],[6]],"")</f>
        <v>4"</v>
      </c>
      <c r="L1007" s="52">
        <f>IF(OR(Tabla1[[#This Row],[5]]="TPL"),Tabla1[[#This Row],[7]],"")</f>
        <v>1</v>
      </c>
      <c r="M1007" s="52">
        <f>IF(Tabla15[[#This Row],[5]]="",0,VLOOKUP(TRAMOS!$K$2,Tabla5[#All],3,FALSE)*Tabla15[[#This Row],[6]])</f>
        <v>0.9</v>
      </c>
      <c r="N100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0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07" s="52">
        <f>IF(Tabla15[[#This Row],[8]]="",0,VLOOKUP(TRAMOS!$H$2,Tabla5[#All],3,FALSE)*Tabla15[[#This Row],[9]])</f>
        <v>0</v>
      </c>
      <c r="Q100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0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07" s="52">
        <f>IF(Tabla15[[#This Row],[11]]="",0,VLOOKUP(TRAMOS!$Q$2,Tabla5[#All],3,FALSE)*Tabla15[[#This Row],[12]])</f>
        <v>0</v>
      </c>
      <c r="T100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1007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00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100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0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0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0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0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07" s="52">
        <f>IF(Tabla15[[#This Row],[20]]="",0,VLOOKUP("VRP",Tabla5[#All],3,FALSE)*Tabla15[[#This Row],[21]])</f>
        <v>0</v>
      </c>
      <c r="AC100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1007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1007" s="52">
        <f>IF(Tabla15[[#This Row],[23]]="",0,VLOOKUP("VC",Tabla5[#All],3,FALSE)*Tabla15[[#This Row],[24]])</f>
        <v>0.25</v>
      </c>
      <c r="AF100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0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07" s="52">
        <f>IF(Tabla15[[#This Row],[26]]="",0,VLOOKUP(TRAMOS!$K$2,Tabla5[#All],3,FALSE)*Tabla15[[#This Row],[27]])</f>
        <v>0</v>
      </c>
      <c r="AI100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0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0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0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0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007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00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1.52</v>
      </c>
    </row>
    <row r="1008" spans="2:41" x14ac:dyDescent="0.25">
      <c r="B1008" s="58" t="str">
        <f>Tabla1[[#This Row],[nudo inicial]]</f>
        <v>N537</v>
      </c>
      <c r="C1008" s="58" t="str">
        <f>Tabla1[[#This Row],[nudo final]]</f>
        <v>N538</v>
      </c>
      <c r="D1008" s="51">
        <f>Tabla1[[#This Row],[longitud]]</f>
        <v>45.63</v>
      </c>
      <c r="E1008" s="51" t="str">
        <f>Tabla1[[#This Row],[diametro]]</f>
        <v>4"</v>
      </c>
      <c r="F1008" s="51" t="str">
        <f>Tabla1[[#This Row],[material]]</f>
        <v>PVC</v>
      </c>
      <c r="G100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1008" s="52" t="str">
        <f>IF(Tabla1[[#This Row],[5]]="TPD",Tabla1[[#This Row],[6]],"")</f>
        <v>4"</v>
      </c>
      <c r="I1008" s="52">
        <f>IF(OR(Tabla1[[#This Row],[5]]="TPD"),Tabla1[[#This Row],[7]],"")</f>
        <v>1</v>
      </c>
      <c r="J1008" s="52">
        <f>IF(Tabla15[[#This Row],[2]]="",0,VLOOKUP(TRAMOS!$H$2,Tabla5[#All],3,FALSE)*Tabla15[[#This Row],[3]])</f>
        <v>0.15</v>
      </c>
      <c r="K1008" s="52" t="str">
        <f>IF(Tabla1[[#This Row],[5]]="TPL",Tabla1[[#This Row],[6]],"")</f>
        <v/>
      </c>
      <c r="L1008" s="52" t="str">
        <f>IF(OR(Tabla1[[#This Row],[5]]="TPL"),Tabla1[[#This Row],[7]],"")</f>
        <v/>
      </c>
      <c r="M1008" s="52">
        <f>IF(Tabla15[[#This Row],[5]]="",0,VLOOKUP(TRAMOS!$K$2,Tabla5[#All],3,FALSE)*Tabla15[[#This Row],[6]])</f>
        <v>0</v>
      </c>
      <c r="N100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0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08" s="52">
        <f>IF(Tabla15[[#This Row],[8]]="",0,VLOOKUP(TRAMOS!$H$2,Tabla5[#All],3,FALSE)*Tabla15[[#This Row],[9]])</f>
        <v>0</v>
      </c>
      <c r="Q100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0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08" s="52">
        <f>IF(Tabla15[[#This Row],[11]]="",0,VLOOKUP(TRAMOS!$Q$2,Tabla5[#All],3,FALSE)*Tabla15[[#This Row],[12]])</f>
        <v>0</v>
      </c>
      <c r="T100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0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0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0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0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0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0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0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08" s="52">
        <f>IF(Tabla15[[#This Row],[20]]="",0,VLOOKUP("VRP",Tabla5[#All],3,FALSE)*Tabla15[[#This Row],[21]])</f>
        <v>0</v>
      </c>
      <c r="AC100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0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08" s="52">
        <f>IF(Tabla15[[#This Row],[23]]="",0,VLOOKUP("VC",Tabla5[#All],3,FALSE)*Tabla15[[#This Row],[24]])</f>
        <v>0</v>
      </c>
      <c r="AF100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0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08" s="52">
        <f>IF(Tabla15[[#This Row],[26]]="",0,VLOOKUP(TRAMOS!$K$2,Tabla5[#All],3,FALSE)*Tabla15[[#This Row],[27]])</f>
        <v>0</v>
      </c>
      <c r="AI100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0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0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0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0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0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0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009" spans="2:41" x14ac:dyDescent="0.25">
      <c r="B1009" s="58" t="str">
        <f>Tabla1[[#This Row],[nudo inicial]]</f>
        <v>N538</v>
      </c>
      <c r="C1009" s="58" t="str">
        <f>Tabla1[[#This Row],[nudo final]]</f>
        <v>TP358</v>
      </c>
      <c r="D1009" s="51">
        <f>Tabla1[[#This Row],[longitud]]</f>
        <v>41.43</v>
      </c>
      <c r="E1009" s="51" t="str">
        <f>Tabla1[[#This Row],[diametro]]</f>
        <v>2"</v>
      </c>
      <c r="F1009" s="51" t="str">
        <f>Tabla1[[#This Row],[material]]</f>
        <v>PVC</v>
      </c>
      <c r="G100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1009" s="52" t="str">
        <f>IF(Tabla1[[#This Row],[5]]="TPD",Tabla1[[#This Row],[6]],"")</f>
        <v/>
      </c>
      <c r="I1009" s="52" t="str">
        <f>IF(OR(Tabla1[[#This Row],[5]]="TPD"),Tabla1[[#This Row],[7]],"")</f>
        <v/>
      </c>
      <c r="J1009" s="52">
        <f>IF(Tabla15[[#This Row],[2]]="",0,VLOOKUP(TRAMOS!$H$2,Tabla5[#All],3,FALSE)*Tabla15[[#This Row],[3]])</f>
        <v>0</v>
      </c>
      <c r="K1009" s="52" t="str">
        <f>IF(Tabla1[[#This Row],[5]]="TPL",Tabla1[[#This Row],[6]],"")</f>
        <v>4"</v>
      </c>
      <c r="L1009" s="52">
        <f>IF(OR(Tabla1[[#This Row],[5]]="TPL"),Tabla1[[#This Row],[7]],"")</f>
        <v>1</v>
      </c>
      <c r="M1009" s="52">
        <f>IF(Tabla15[[#This Row],[5]]="",0,VLOOKUP(TRAMOS!$K$2,Tabla5[#All],3,FALSE)*Tabla15[[#This Row],[6]])</f>
        <v>0.9</v>
      </c>
      <c r="N100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0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09" s="52">
        <f>IF(Tabla15[[#This Row],[8]]="",0,VLOOKUP(TRAMOS!$H$2,Tabla5[#All],3,FALSE)*Tabla15[[#This Row],[9]])</f>
        <v>0</v>
      </c>
      <c r="Q100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0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09" s="52">
        <f>IF(Tabla15[[#This Row],[11]]="",0,VLOOKUP(TRAMOS!$Q$2,Tabla5[#All],3,FALSE)*Tabla15[[#This Row],[12]])</f>
        <v>0</v>
      </c>
      <c r="T100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1009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00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100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0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0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0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0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09" s="52">
        <f>IF(Tabla15[[#This Row],[20]]="",0,VLOOKUP("VRP",Tabla5[#All],3,FALSE)*Tabla15[[#This Row],[21]])</f>
        <v>0</v>
      </c>
      <c r="AC100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1009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1009" s="52">
        <f>IF(Tabla15[[#This Row],[23]]="",0,VLOOKUP("VC",Tabla5[#All],3,FALSE)*Tabla15[[#This Row],[24]])</f>
        <v>0.25</v>
      </c>
      <c r="AF100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0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09" s="52">
        <f>IF(Tabla15[[#This Row],[26]]="",0,VLOOKUP(TRAMOS!$K$2,Tabla5[#All],3,FALSE)*Tabla15[[#This Row],[27]])</f>
        <v>0</v>
      </c>
      <c r="AI100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0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0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0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0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009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00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1.52</v>
      </c>
    </row>
    <row r="1010" spans="2:41" x14ac:dyDescent="0.25">
      <c r="B1010" s="58" t="str">
        <f>Tabla1[[#This Row],[nudo inicial]]</f>
        <v>N538</v>
      </c>
      <c r="C1010" s="58" t="str">
        <f>Tabla1[[#This Row],[nudo final]]</f>
        <v>N539</v>
      </c>
      <c r="D1010" s="51">
        <f>Tabla1[[#This Row],[longitud]]</f>
        <v>39.090000000000003</v>
      </c>
      <c r="E1010" s="51" t="str">
        <f>Tabla1[[#This Row],[diametro]]</f>
        <v>4"</v>
      </c>
      <c r="F1010" s="51" t="str">
        <f>Tabla1[[#This Row],[material]]</f>
        <v>PVC</v>
      </c>
      <c r="G101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1010" s="52" t="str">
        <f>IF(Tabla1[[#This Row],[5]]="TPD",Tabla1[[#This Row],[6]],"")</f>
        <v>4"</v>
      </c>
      <c r="I1010" s="52">
        <f>IF(OR(Tabla1[[#This Row],[5]]="TPD"),Tabla1[[#This Row],[7]],"")</f>
        <v>1</v>
      </c>
      <c r="J1010" s="52">
        <f>IF(Tabla15[[#This Row],[2]]="",0,VLOOKUP(TRAMOS!$H$2,Tabla5[#All],3,FALSE)*Tabla15[[#This Row],[3]])</f>
        <v>0.15</v>
      </c>
      <c r="K1010" s="52" t="str">
        <f>IF(Tabla1[[#This Row],[5]]="TPL",Tabla1[[#This Row],[6]],"")</f>
        <v/>
      </c>
      <c r="L1010" s="52" t="str">
        <f>IF(OR(Tabla1[[#This Row],[5]]="TPL"),Tabla1[[#This Row],[7]],"")</f>
        <v/>
      </c>
      <c r="M1010" s="52">
        <f>IF(Tabla15[[#This Row],[5]]="",0,VLOOKUP(TRAMOS!$K$2,Tabla5[#All],3,FALSE)*Tabla15[[#This Row],[6]])</f>
        <v>0</v>
      </c>
      <c r="N101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1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10" s="52">
        <f>IF(Tabla15[[#This Row],[8]]="",0,VLOOKUP(TRAMOS!$H$2,Tabla5[#All],3,FALSE)*Tabla15[[#This Row],[9]])</f>
        <v>0</v>
      </c>
      <c r="Q101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1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10" s="52">
        <f>IF(Tabla15[[#This Row],[11]]="",0,VLOOKUP(TRAMOS!$Q$2,Tabla5[#All],3,FALSE)*Tabla15[[#This Row],[12]])</f>
        <v>0</v>
      </c>
      <c r="T101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1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1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1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1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1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1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1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10" s="52">
        <f>IF(Tabla15[[#This Row],[20]]="",0,VLOOKUP("VRP",Tabla5[#All],3,FALSE)*Tabla15[[#This Row],[21]])</f>
        <v>0</v>
      </c>
      <c r="AC101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1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10" s="52">
        <f>IF(Tabla15[[#This Row],[23]]="",0,VLOOKUP("VC",Tabla5[#All],3,FALSE)*Tabla15[[#This Row],[24]])</f>
        <v>0</v>
      </c>
      <c r="AF101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1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10" s="52">
        <f>IF(Tabla15[[#This Row],[26]]="",0,VLOOKUP(TRAMOS!$K$2,Tabla5[#All],3,FALSE)*Tabla15[[#This Row],[27]])</f>
        <v>0</v>
      </c>
      <c r="AI101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1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1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1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1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1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1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011" spans="2:41" x14ac:dyDescent="0.25">
      <c r="B1011" s="58" t="str">
        <f>Tabla1[[#This Row],[nudo inicial]]</f>
        <v>N539</v>
      </c>
      <c r="C1011" s="58" t="str">
        <f>Tabla1[[#This Row],[nudo final]]</f>
        <v>TP359</v>
      </c>
      <c r="D1011" s="51">
        <f>Tabla1[[#This Row],[longitud]]</f>
        <v>27.27</v>
      </c>
      <c r="E1011" s="51" t="str">
        <f>Tabla1[[#This Row],[diametro]]</f>
        <v>2"</v>
      </c>
      <c r="F1011" s="51" t="str">
        <f>Tabla1[[#This Row],[material]]</f>
        <v>PVC</v>
      </c>
      <c r="G101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1011" s="52" t="str">
        <f>IF(Tabla1[[#This Row],[5]]="TPD",Tabla1[[#This Row],[6]],"")</f>
        <v/>
      </c>
      <c r="I1011" s="52" t="str">
        <f>IF(OR(Tabla1[[#This Row],[5]]="TPD"),Tabla1[[#This Row],[7]],"")</f>
        <v/>
      </c>
      <c r="J1011" s="52">
        <f>IF(Tabla15[[#This Row],[2]]="",0,VLOOKUP(TRAMOS!$H$2,Tabla5[#All],3,FALSE)*Tabla15[[#This Row],[3]])</f>
        <v>0</v>
      </c>
      <c r="K1011" s="52" t="str">
        <f>IF(Tabla1[[#This Row],[5]]="TPL",Tabla1[[#This Row],[6]],"")</f>
        <v>4"</v>
      </c>
      <c r="L1011" s="52">
        <f>IF(OR(Tabla1[[#This Row],[5]]="TPL"),Tabla1[[#This Row],[7]],"")</f>
        <v>1</v>
      </c>
      <c r="M1011" s="52">
        <f>IF(Tabla15[[#This Row],[5]]="",0,VLOOKUP(TRAMOS!$K$2,Tabla5[#All],3,FALSE)*Tabla15[[#This Row],[6]])</f>
        <v>0.9</v>
      </c>
      <c r="N101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1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11" s="52">
        <f>IF(Tabla15[[#This Row],[8]]="",0,VLOOKUP(TRAMOS!$H$2,Tabla5[#All],3,FALSE)*Tabla15[[#This Row],[9]])</f>
        <v>0</v>
      </c>
      <c r="Q101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1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11" s="52">
        <f>IF(Tabla15[[#This Row],[11]]="",0,VLOOKUP(TRAMOS!$Q$2,Tabla5[#All],3,FALSE)*Tabla15[[#This Row],[12]])</f>
        <v>0</v>
      </c>
      <c r="T101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1011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01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101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1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1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1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1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11" s="52">
        <f>IF(Tabla15[[#This Row],[20]]="",0,VLOOKUP("VRP",Tabla5[#All],3,FALSE)*Tabla15[[#This Row],[21]])</f>
        <v>0</v>
      </c>
      <c r="AC101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1011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1011" s="52">
        <f>IF(Tabla15[[#This Row],[23]]="",0,VLOOKUP("VC",Tabla5[#All],3,FALSE)*Tabla15[[#This Row],[24]])</f>
        <v>0.25</v>
      </c>
      <c r="AF101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1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11" s="52">
        <f>IF(Tabla15[[#This Row],[26]]="",0,VLOOKUP(TRAMOS!$K$2,Tabla5[#All],3,FALSE)*Tabla15[[#This Row],[27]])</f>
        <v>0</v>
      </c>
      <c r="AI101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1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1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1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1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011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01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1.52</v>
      </c>
    </row>
    <row r="1012" spans="2:41" x14ac:dyDescent="0.25">
      <c r="B1012" s="58" t="str">
        <f>Tabla1[[#This Row],[nudo inicial]]</f>
        <v>N539</v>
      </c>
      <c r="C1012" s="58" t="str">
        <f>Tabla1[[#This Row],[nudo final]]</f>
        <v>N540</v>
      </c>
      <c r="D1012" s="51">
        <f>Tabla1[[#This Row],[longitud]]</f>
        <v>52.56</v>
      </c>
      <c r="E1012" s="51" t="str">
        <f>Tabla1[[#This Row],[diametro]]</f>
        <v>4"</v>
      </c>
      <c r="F1012" s="51" t="str">
        <f>Tabla1[[#This Row],[material]]</f>
        <v>PVC</v>
      </c>
      <c r="G101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1012" s="52" t="str">
        <f>IF(Tabla1[[#This Row],[5]]="TPD",Tabla1[[#This Row],[6]],"")</f>
        <v>4"</v>
      </c>
      <c r="I1012" s="52">
        <f>IF(OR(Tabla1[[#This Row],[5]]="TPD"),Tabla1[[#This Row],[7]],"")</f>
        <v>1</v>
      </c>
      <c r="J1012" s="52">
        <f>IF(Tabla15[[#This Row],[2]]="",0,VLOOKUP(TRAMOS!$H$2,Tabla5[#All],3,FALSE)*Tabla15[[#This Row],[3]])</f>
        <v>0.15</v>
      </c>
      <c r="K1012" s="52" t="str">
        <f>IF(Tabla1[[#This Row],[5]]="TPL",Tabla1[[#This Row],[6]],"")</f>
        <v/>
      </c>
      <c r="L1012" s="52" t="str">
        <f>IF(OR(Tabla1[[#This Row],[5]]="TPL"),Tabla1[[#This Row],[7]],"")</f>
        <v/>
      </c>
      <c r="M1012" s="52">
        <f>IF(Tabla15[[#This Row],[5]]="",0,VLOOKUP(TRAMOS!$K$2,Tabla5[#All],3,FALSE)*Tabla15[[#This Row],[6]])</f>
        <v>0</v>
      </c>
      <c r="N101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1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12" s="52">
        <f>IF(Tabla15[[#This Row],[8]]="",0,VLOOKUP(TRAMOS!$H$2,Tabla5[#All],3,FALSE)*Tabla15[[#This Row],[9]])</f>
        <v>0</v>
      </c>
      <c r="Q101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1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12" s="52">
        <f>IF(Tabla15[[#This Row],[11]]="",0,VLOOKUP(TRAMOS!$Q$2,Tabla5[#All],3,FALSE)*Tabla15[[#This Row],[12]])</f>
        <v>0</v>
      </c>
      <c r="T101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1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1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1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1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1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1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1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12" s="52">
        <f>IF(Tabla15[[#This Row],[20]]="",0,VLOOKUP("VRP",Tabla5[#All],3,FALSE)*Tabla15[[#This Row],[21]])</f>
        <v>0</v>
      </c>
      <c r="AC101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1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12" s="52">
        <f>IF(Tabla15[[#This Row],[23]]="",0,VLOOKUP("VC",Tabla5[#All],3,FALSE)*Tabla15[[#This Row],[24]])</f>
        <v>0</v>
      </c>
      <c r="AF101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1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12" s="52">
        <f>IF(Tabla15[[#This Row],[26]]="",0,VLOOKUP(TRAMOS!$K$2,Tabla5[#All],3,FALSE)*Tabla15[[#This Row],[27]])</f>
        <v>0</v>
      </c>
      <c r="AI101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1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1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1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1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1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1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013" spans="2:41" x14ac:dyDescent="0.25">
      <c r="B1013" s="58" t="str">
        <f>Tabla1[[#This Row],[nudo inicial]]</f>
        <v>N540</v>
      </c>
      <c r="C1013" s="58" t="str">
        <f>Tabla1[[#This Row],[nudo final]]</f>
        <v>N541</v>
      </c>
      <c r="D1013" s="51">
        <f>Tabla1[[#This Row],[longitud]]</f>
        <v>10.88</v>
      </c>
      <c r="E1013" s="51" t="str">
        <f>Tabla1[[#This Row],[diametro]]</f>
        <v>4"</v>
      </c>
      <c r="F1013" s="51" t="str">
        <f>Tabla1[[#This Row],[material]]</f>
        <v>HF</v>
      </c>
      <c r="G101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1013" s="52" t="str">
        <f>IF(Tabla1[[#This Row],[5]]="TPD",Tabla1[[#This Row],[6]],"")</f>
        <v/>
      </c>
      <c r="I1013" s="52" t="str">
        <f>IF(OR(Tabla1[[#This Row],[5]]="TPD"),Tabla1[[#This Row],[7]],"")</f>
        <v/>
      </c>
      <c r="J1013" s="52">
        <f>IF(Tabla15[[#This Row],[2]]="",0,VLOOKUP(TRAMOS!$H$2,Tabla5[#All],3,FALSE)*Tabla15[[#This Row],[3]])</f>
        <v>0</v>
      </c>
      <c r="K1013" s="52" t="str">
        <f>IF(Tabla1[[#This Row],[5]]="TPL",Tabla1[[#This Row],[6]],"")</f>
        <v>4"</v>
      </c>
      <c r="L1013" s="52">
        <f>IF(OR(Tabla1[[#This Row],[5]]="TPL"),Tabla1[[#This Row],[7]],"")</f>
        <v>1</v>
      </c>
      <c r="M1013" s="52">
        <f>IF(Tabla15[[#This Row],[5]]="",0,VLOOKUP(TRAMOS!$K$2,Tabla5[#All],3,FALSE)*Tabla15[[#This Row],[6]])</f>
        <v>0.9</v>
      </c>
      <c r="N101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1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13" s="52">
        <f>IF(Tabla15[[#This Row],[8]]="",0,VLOOKUP(TRAMOS!$H$2,Tabla5[#All],3,FALSE)*Tabla15[[#This Row],[9]])</f>
        <v>0</v>
      </c>
      <c r="Q101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1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13" s="52">
        <f>IF(Tabla15[[#This Row],[11]]="",0,VLOOKUP(TRAMOS!$Q$2,Tabla5[#All],3,FALSE)*Tabla15[[#This Row],[12]])</f>
        <v>0</v>
      </c>
      <c r="T101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1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1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1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1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1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1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1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13" s="52">
        <f>IF(Tabla15[[#This Row],[20]]="",0,VLOOKUP("VRP",Tabla5[#All],3,FALSE)*Tabla15[[#This Row],[21]])</f>
        <v>0</v>
      </c>
      <c r="AC101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4"</v>
      </c>
      <c r="AD1013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1013" s="52">
        <f>IF(Tabla15[[#This Row],[23]]="",0,VLOOKUP("VC",Tabla5[#All],3,FALSE)*Tabla15[[#This Row],[24]])</f>
        <v>0.25</v>
      </c>
      <c r="AF101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1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13" s="52">
        <f>IF(Tabla15[[#This Row],[26]]="",0,VLOOKUP(TRAMOS!$K$2,Tabla5[#All],3,FALSE)*Tabla15[[#This Row],[27]])</f>
        <v>0</v>
      </c>
      <c r="AI101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1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1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1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1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1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1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1.1499999999999999</v>
      </c>
    </row>
    <row r="1014" spans="2:41" x14ac:dyDescent="0.25">
      <c r="B1014" s="58" t="str">
        <f>Tabla1[[#This Row],[nudo inicial]]</f>
        <v>N541</v>
      </c>
      <c r="C1014" s="58" t="str">
        <f>Tabla1[[#This Row],[nudo final]]</f>
        <v>N542</v>
      </c>
      <c r="D1014" s="51">
        <f>Tabla1[[#This Row],[longitud]]</f>
        <v>27.76</v>
      </c>
      <c r="E1014" s="51" t="str">
        <f>Tabla1[[#This Row],[diametro]]</f>
        <v>4"</v>
      </c>
      <c r="F1014" s="51" t="str">
        <f>Tabla1[[#This Row],[material]]</f>
        <v>PVC</v>
      </c>
      <c r="G101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1014" s="52" t="str">
        <f>IF(Tabla1[[#This Row],[5]]="TPD",Tabla1[[#This Row],[6]],"")</f>
        <v/>
      </c>
      <c r="I1014" s="52" t="str">
        <f>IF(OR(Tabla1[[#This Row],[5]]="TPD"),Tabla1[[#This Row],[7]],"")</f>
        <v/>
      </c>
      <c r="J1014" s="52">
        <f>IF(Tabla15[[#This Row],[2]]="",0,VLOOKUP(TRAMOS!$H$2,Tabla5[#All],3,FALSE)*Tabla15[[#This Row],[3]])</f>
        <v>0</v>
      </c>
      <c r="K1014" s="52" t="str">
        <f>IF(Tabla1[[#This Row],[5]]="TPL",Tabla1[[#This Row],[6]],"")</f>
        <v/>
      </c>
      <c r="L1014" s="52" t="str">
        <f>IF(OR(Tabla1[[#This Row],[5]]="TPL"),Tabla1[[#This Row],[7]],"")</f>
        <v/>
      </c>
      <c r="M1014" s="52">
        <f>IF(Tabla15[[#This Row],[5]]="",0,VLOOKUP(TRAMOS!$K$2,Tabla5[#All],3,FALSE)*Tabla15[[#This Row],[6]])</f>
        <v>0</v>
      </c>
      <c r="N101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1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14" s="52">
        <f>IF(Tabla15[[#This Row],[8]]="",0,VLOOKUP(TRAMOS!$H$2,Tabla5[#All],3,FALSE)*Tabla15[[#This Row],[9]])</f>
        <v>0</v>
      </c>
      <c r="Q101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1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14" s="52">
        <f>IF(Tabla15[[#This Row],[11]]="",0,VLOOKUP(TRAMOS!$Q$2,Tabla5[#All],3,FALSE)*Tabla15[[#This Row],[12]])</f>
        <v>0</v>
      </c>
      <c r="T101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1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1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1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1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1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1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1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14" s="52">
        <f>IF(Tabla15[[#This Row],[20]]="",0,VLOOKUP("VRP",Tabla5[#All],3,FALSE)*Tabla15[[#This Row],[21]])</f>
        <v>0</v>
      </c>
      <c r="AC101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1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14" s="52">
        <f>IF(Tabla15[[#This Row],[23]]="",0,VLOOKUP("VC",Tabla5[#All],3,FALSE)*Tabla15[[#This Row],[24]])</f>
        <v>0</v>
      </c>
      <c r="AF101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1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14" s="52">
        <f>IF(Tabla15[[#This Row],[26]]="",0,VLOOKUP(TRAMOS!$K$2,Tabla5[#All],3,FALSE)*Tabla15[[#This Row],[27]])</f>
        <v>0</v>
      </c>
      <c r="AI101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1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1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1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1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1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1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</v>
      </c>
    </row>
    <row r="1015" spans="2:41" x14ac:dyDescent="0.25">
      <c r="B1015" s="58" t="str">
        <f>Tabla1[[#This Row],[nudo inicial]]</f>
        <v>N542</v>
      </c>
      <c r="C1015" s="58" t="str">
        <f>Tabla1[[#This Row],[nudo final]]</f>
        <v>TP360</v>
      </c>
      <c r="D1015" s="51">
        <f>Tabla1[[#This Row],[longitud]]</f>
        <v>65.819999999999993</v>
      </c>
      <c r="E1015" s="51" t="str">
        <f>Tabla1[[#This Row],[diametro]]</f>
        <v>1"</v>
      </c>
      <c r="F1015" s="51" t="str">
        <f>Tabla1[[#This Row],[material]]</f>
        <v>PVC</v>
      </c>
      <c r="G101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1015" s="52" t="str">
        <f>IF(Tabla1[[#This Row],[5]]="TPD",Tabla1[[#This Row],[6]],"")</f>
        <v/>
      </c>
      <c r="I1015" s="52" t="str">
        <f>IF(OR(Tabla1[[#This Row],[5]]="TPD"),Tabla1[[#This Row],[7]],"")</f>
        <v/>
      </c>
      <c r="J1015" s="52">
        <f>IF(Tabla15[[#This Row],[2]]="",0,VLOOKUP(TRAMOS!$H$2,Tabla5[#All],3,FALSE)*Tabla15[[#This Row],[3]])</f>
        <v>0</v>
      </c>
      <c r="K1015" s="52" t="str">
        <f>IF(Tabla1[[#This Row],[5]]="TPL",Tabla1[[#This Row],[6]],"")</f>
        <v>4"</v>
      </c>
      <c r="L1015" s="52">
        <f>IF(OR(Tabla1[[#This Row],[5]]="TPL"),Tabla1[[#This Row],[7]],"")</f>
        <v>1</v>
      </c>
      <c r="M1015" s="52">
        <f>IF(Tabla15[[#This Row],[5]]="",0,VLOOKUP(TRAMOS!$K$2,Tabla5[#All],3,FALSE)*Tabla15[[#This Row],[6]])</f>
        <v>0.9</v>
      </c>
      <c r="N101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1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15" s="52">
        <f>IF(Tabla15[[#This Row],[8]]="",0,VLOOKUP(TRAMOS!$H$2,Tabla5[#All],3,FALSE)*Tabla15[[#This Row],[9]])</f>
        <v>0</v>
      </c>
      <c r="Q101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1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15" s="52">
        <f>IF(Tabla15[[#This Row],[11]]="",0,VLOOKUP(TRAMOS!$Q$2,Tabla5[#All],3,FALSE)*Tabla15[[#This Row],[12]])</f>
        <v>0</v>
      </c>
      <c r="T101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1"</v>
      </c>
      <c r="U1015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01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0.45</v>
      </c>
      <c r="W101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1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1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1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1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15" s="52">
        <f>IF(Tabla15[[#This Row],[20]]="",0,VLOOKUP("VRP",Tabla5[#All],3,FALSE)*Tabla15[[#This Row],[21]])</f>
        <v>0</v>
      </c>
      <c r="AC101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1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15" s="52">
        <f>IF(Tabla15[[#This Row],[23]]="",0,VLOOKUP("VC",Tabla5[#All],3,FALSE)*Tabla15[[#This Row],[24]])</f>
        <v>0</v>
      </c>
      <c r="AF101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1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15" s="52">
        <f>IF(Tabla15[[#This Row],[26]]="",0,VLOOKUP(TRAMOS!$K$2,Tabla5[#All],3,FALSE)*Tabla15[[#This Row],[27]])</f>
        <v>0</v>
      </c>
      <c r="AI101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1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1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1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1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1"</v>
      </c>
      <c r="AN1015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01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1.35</v>
      </c>
    </row>
    <row r="1016" spans="2:41" x14ac:dyDescent="0.25">
      <c r="B1016" s="58" t="str">
        <f>Tabla1[[#This Row],[nudo inicial]]</f>
        <v>N542</v>
      </c>
      <c r="C1016" s="58" t="str">
        <f>Tabla1[[#This Row],[nudo final]]</f>
        <v>TP361</v>
      </c>
      <c r="D1016" s="51">
        <f>Tabla1[[#This Row],[longitud]]</f>
        <v>8.34</v>
      </c>
      <c r="E1016" s="51" t="str">
        <f>Tabla1[[#This Row],[diametro]]</f>
        <v>4"</v>
      </c>
      <c r="F1016" s="51" t="str">
        <f>Tabla1[[#This Row],[material]]</f>
        <v>PVC</v>
      </c>
      <c r="G101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1016" s="52" t="str">
        <f>IF(Tabla1[[#This Row],[5]]="TPD",Tabla1[[#This Row],[6]],"")</f>
        <v>4"</v>
      </c>
      <c r="I1016" s="52">
        <f>IF(OR(Tabla1[[#This Row],[5]]="TPD"),Tabla1[[#This Row],[7]],"")</f>
        <v>1</v>
      </c>
      <c r="J1016" s="52">
        <f>IF(Tabla15[[#This Row],[2]]="",0,VLOOKUP(TRAMOS!$H$2,Tabla5[#All],3,FALSE)*Tabla15[[#This Row],[3]])</f>
        <v>0.15</v>
      </c>
      <c r="K1016" s="52" t="str">
        <f>IF(Tabla1[[#This Row],[5]]="TPL",Tabla1[[#This Row],[6]],"")</f>
        <v/>
      </c>
      <c r="L1016" s="52" t="str">
        <f>IF(OR(Tabla1[[#This Row],[5]]="TPL"),Tabla1[[#This Row],[7]],"")</f>
        <v/>
      </c>
      <c r="M1016" s="52">
        <f>IF(Tabla15[[#This Row],[5]]="",0,VLOOKUP(TRAMOS!$K$2,Tabla5[#All],3,FALSE)*Tabla15[[#This Row],[6]])</f>
        <v>0</v>
      </c>
      <c r="N101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1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16" s="52">
        <f>IF(Tabla15[[#This Row],[8]]="",0,VLOOKUP(TRAMOS!$H$2,Tabla5[#All],3,FALSE)*Tabla15[[#This Row],[9]])</f>
        <v>0</v>
      </c>
      <c r="Q101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1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16" s="52">
        <f>IF(Tabla15[[#This Row],[11]]="",0,VLOOKUP(TRAMOS!$Q$2,Tabla5[#All],3,FALSE)*Tabla15[[#This Row],[12]])</f>
        <v>0</v>
      </c>
      <c r="T101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1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1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1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1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1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1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1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16" s="52">
        <f>IF(Tabla15[[#This Row],[20]]="",0,VLOOKUP("VRP",Tabla5[#All],3,FALSE)*Tabla15[[#This Row],[21]])</f>
        <v>0</v>
      </c>
      <c r="AC101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1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16" s="52">
        <f>IF(Tabla15[[#This Row],[23]]="",0,VLOOKUP("VC",Tabla5[#All],3,FALSE)*Tabla15[[#This Row],[24]])</f>
        <v>0</v>
      </c>
      <c r="AF101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1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16" s="52">
        <f>IF(Tabla15[[#This Row],[26]]="",0,VLOOKUP(TRAMOS!$K$2,Tabla5[#All],3,FALSE)*Tabla15[[#This Row],[27]])</f>
        <v>0</v>
      </c>
      <c r="AI101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1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1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1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1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4"</v>
      </c>
      <c r="AN101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01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017" spans="2:41" x14ac:dyDescent="0.25">
      <c r="B1017" s="58" t="str">
        <f>Tabla1[[#This Row],[nudo inicial]]</f>
        <v>N540</v>
      </c>
      <c r="C1017" s="58" t="str">
        <f>Tabla1[[#This Row],[nudo final]]</f>
        <v>N543</v>
      </c>
      <c r="D1017" s="51">
        <f>Tabla1[[#This Row],[longitud]]</f>
        <v>13.2</v>
      </c>
      <c r="E1017" s="51" t="str">
        <f>Tabla1[[#This Row],[diametro]]</f>
        <v>4"</v>
      </c>
      <c r="F1017" s="51" t="str">
        <f>Tabla1[[#This Row],[material]]</f>
        <v>PVC</v>
      </c>
      <c r="G101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1017" s="52" t="str">
        <f>IF(Tabla1[[#This Row],[5]]="TPD",Tabla1[[#This Row],[6]],"")</f>
        <v>4"</v>
      </c>
      <c r="I1017" s="52">
        <f>IF(OR(Tabla1[[#This Row],[5]]="TPD"),Tabla1[[#This Row],[7]],"")</f>
        <v>1</v>
      </c>
      <c r="J1017" s="52">
        <f>IF(Tabla15[[#This Row],[2]]="",0,VLOOKUP(TRAMOS!$H$2,Tabla5[#All],3,FALSE)*Tabla15[[#This Row],[3]])</f>
        <v>0.15</v>
      </c>
      <c r="K1017" s="52" t="str">
        <f>IF(Tabla1[[#This Row],[5]]="TPL",Tabla1[[#This Row],[6]],"")</f>
        <v/>
      </c>
      <c r="L1017" s="52" t="str">
        <f>IF(OR(Tabla1[[#This Row],[5]]="TPL"),Tabla1[[#This Row],[7]],"")</f>
        <v/>
      </c>
      <c r="M1017" s="52">
        <f>IF(Tabla15[[#This Row],[5]]="",0,VLOOKUP(TRAMOS!$K$2,Tabla5[#All],3,FALSE)*Tabla15[[#This Row],[6]])</f>
        <v>0</v>
      </c>
      <c r="N101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1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17" s="52">
        <f>IF(Tabla15[[#This Row],[8]]="",0,VLOOKUP(TRAMOS!$H$2,Tabla5[#All],3,FALSE)*Tabla15[[#This Row],[9]])</f>
        <v>0</v>
      </c>
      <c r="Q101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1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17" s="52">
        <f>IF(Tabla15[[#This Row],[11]]="",0,VLOOKUP(TRAMOS!$Q$2,Tabla5[#All],3,FALSE)*Tabla15[[#This Row],[12]])</f>
        <v>0</v>
      </c>
      <c r="T101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1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1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1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1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1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1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1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17" s="52">
        <f>IF(Tabla15[[#This Row],[20]]="",0,VLOOKUP("VRP",Tabla5[#All],3,FALSE)*Tabla15[[#This Row],[21]])</f>
        <v>0</v>
      </c>
      <c r="AC101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1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17" s="52">
        <f>IF(Tabla15[[#This Row],[23]]="",0,VLOOKUP("VC",Tabla5[#All],3,FALSE)*Tabla15[[#This Row],[24]])</f>
        <v>0</v>
      </c>
      <c r="AF101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1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17" s="52">
        <f>IF(Tabla15[[#This Row],[26]]="",0,VLOOKUP(TRAMOS!$K$2,Tabla5[#All],3,FALSE)*Tabla15[[#This Row],[27]])</f>
        <v>0</v>
      </c>
      <c r="AI101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1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1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1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1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1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1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018" spans="2:41" x14ac:dyDescent="0.25">
      <c r="B1018" s="58" t="str">
        <f>Tabla1[[#This Row],[nudo inicial]]</f>
        <v>N543</v>
      </c>
      <c r="C1018" s="58" t="str">
        <f>Tabla1[[#This Row],[nudo final]]</f>
        <v>N544</v>
      </c>
      <c r="D1018" s="51">
        <f>Tabla1[[#This Row],[longitud]]</f>
        <v>67.66</v>
      </c>
      <c r="E1018" s="51" t="str">
        <f>Tabla1[[#This Row],[diametro]]</f>
        <v>3"</v>
      </c>
      <c r="F1018" s="51" t="str">
        <f>Tabla1[[#This Row],[material]]</f>
        <v>PVC</v>
      </c>
      <c r="G101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1018" s="52" t="str">
        <f>IF(Tabla1[[#This Row],[5]]="TPD",Tabla1[[#This Row],[6]],"")</f>
        <v/>
      </c>
      <c r="I1018" s="52" t="str">
        <f>IF(OR(Tabla1[[#This Row],[5]]="TPD"),Tabla1[[#This Row],[7]],"")</f>
        <v/>
      </c>
      <c r="J1018" s="52">
        <f>IF(Tabla15[[#This Row],[2]]="",0,VLOOKUP(TRAMOS!$H$2,Tabla5[#All],3,FALSE)*Tabla15[[#This Row],[3]])</f>
        <v>0</v>
      </c>
      <c r="K1018" s="52" t="str">
        <f>IF(Tabla1[[#This Row],[5]]="TPL",Tabla1[[#This Row],[6]],"")</f>
        <v>4"</v>
      </c>
      <c r="L1018" s="52">
        <f>IF(OR(Tabla1[[#This Row],[5]]="TPL"),Tabla1[[#This Row],[7]],"")</f>
        <v>1</v>
      </c>
      <c r="M1018" s="52">
        <f>IF(Tabla15[[#This Row],[5]]="",0,VLOOKUP(TRAMOS!$K$2,Tabla5[#All],3,FALSE)*Tabla15[[#This Row],[6]])</f>
        <v>0.9</v>
      </c>
      <c r="N101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1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18" s="52">
        <f>IF(Tabla15[[#This Row],[8]]="",0,VLOOKUP(TRAMOS!$H$2,Tabla5[#All],3,FALSE)*Tabla15[[#This Row],[9]])</f>
        <v>0</v>
      </c>
      <c r="Q101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1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18" s="52">
        <f>IF(Tabla15[[#This Row],[11]]="",0,VLOOKUP(TRAMOS!$Q$2,Tabla5[#All],3,FALSE)*Tabla15[[#This Row],[12]])</f>
        <v>0</v>
      </c>
      <c r="T101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1018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01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0.13850000000000007</v>
      </c>
      <c r="W101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1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1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1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1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18" s="52">
        <f>IF(Tabla15[[#This Row],[20]]="",0,VLOOKUP("VRP",Tabla5[#All],3,FALSE)*Tabla15[[#This Row],[21]])</f>
        <v>0</v>
      </c>
      <c r="AC101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1018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1018" s="52">
        <f>IF(Tabla15[[#This Row],[23]]="",0,VLOOKUP("VC",Tabla5[#All],3,FALSE)*Tabla15[[#This Row],[24]])</f>
        <v>0.25</v>
      </c>
      <c r="AF101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1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18" s="52">
        <f>IF(Tabla15[[#This Row],[26]]="",0,VLOOKUP(TRAMOS!$K$2,Tabla5[#All],3,FALSE)*Tabla15[[#This Row],[27]])</f>
        <v>0</v>
      </c>
      <c r="AI101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1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1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1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1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1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1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1.2885</v>
      </c>
    </row>
    <row r="1019" spans="2:41" x14ac:dyDescent="0.25">
      <c r="B1019" s="58" t="str">
        <f>Tabla1[[#This Row],[nudo inicial]]</f>
        <v>N544</v>
      </c>
      <c r="C1019" s="58" t="str">
        <f>Tabla1[[#This Row],[nudo final]]</f>
        <v>N545</v>
      </c>
      <c r="D1019" s="51">
        <f>Tabla1[[#This Row],[longitud]]</f>
        <v>146.61000000000001</v>
      </c>
      <c r="E1019" s="51" t="str">
        <f>Tabla1[[#This Row],[diametro]]</f>
        <v>3"</v>
      </c>
      <c r="F1019" s="51" t="str">
        <f>Tabla1[[#This Row],[material]]</f>
        <v>PVC</v>
      </c>
      <c r="G101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019" s="52" t="str">
        <f>IF(Tabla1[[#This Row],[5]]="TPD",Tabla1[[#This Row],[6]],"")</f>
        <v/>
      </c>
      <c r="I1019" s="52" t="str">
        <f>IF(OR(Tabla1[[#This Row],[5]]="TPD"),Tabla1[[#This Row],[7]],"")</f>
        <v/>
      </c>
      <c r="J1019" s="52">
        <f>IF(Tabla15[[#This Row],[2]]="",0,VLOOKUP(TRAMOS!$H$2,Tabla5[#All],3,FALSE)*Tabla15[[#This Row],[3]])</f>
        <v>0</v>
      </c>
      <c r="K1019" s="52" t="str">
        <f>IF(Tabla1[[#This Row],[5]]="TPL",Tabla1[[#This Row],[6]],"")</f>
        <v>3"</v>
      </c>
      <c r="L1019" s="52">
        <f>IF(OR(Tabla1[[#This Row],[5]]="TPL"),Tabla1[[#This Row],[7]],"")</f>
        <v>1</v>
      </c>
      <c r="M1019" s="52">
        <f>IF(Tabla15[[#This Row],[5]]="",0,VLOOKUP(TRAMOS!$K$2,Tabla5[#All],3,FALSE)*Tabla15[[#This Row],[6]])</f>
        <v>0.9</v>
      </c>
      <c r="N101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1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19" s="52">
        <f>IF(Tabla15[[#This Row],[8]]="",0,VLOOKUP(TRAMOS!$H$2,Tabla5[#All],3,FALSE)*Tabla15[[#This Row],[9]])</f>
        <v>0</v>
      </c>
      <c r="Q101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3"</v>
      </c>
      <c r="R1019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1019" s="52">
        <f>IF(Tabla15[[#This Row],[11]]="",0,VLOOKUP(TRAMOS!$Q$2,Tabla5[#All],3,FALSE)*Tabla15[[#This Row],[12]])</f>
        <v>0.9</v>
      </c>
      <c r="T101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1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1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1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1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1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1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1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19" s="52">
        <f>IF(Tabla15[[#This Row],[20]]="",0,VLOOKUP("VRP",Tabla5[#All],3,FALSE)*Tabla15[[#This Row],[21]])</f>
        <v>0</v>
      </c>
      <c r="AC101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1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19" s="52">
        <f>IF(Tabla15[[#This Row],[23]]="",0,VLOOKUP("VC",Tabla5[#All],3,FALSE)*Tabla15[[#This Row],[24]])</f>
        <v>0</v>
      </c>
      <c r="AF101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1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19" s="52">
        <f>IF(Tabla15[[#This Row],[26]]="",0,VLOOKUP(TRAMOS!$K$2,Tabla5[#All],3,FALSE)*Tabla15[[#This Row],[27]])</f>
        <v>0</v>
      </c>
      <c r="AI101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1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1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1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1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1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1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1.8</v>
      </c>
    </row>
    <row r="1020" spans="2:41" x14ac:dyDescent="0.25">
      <c r="B1020" s="58" t="str">
        <f>Tabla1[[#This Row],[nudo inicial]]</f>
        <v>N544</v>
      </c>
      <c r="C1020" s="58" t="str">
        <f>Tabla1[[#This Row],[nudo final]]</f>
        <v>N546</v>
      </c>
      <c r="D1020" s="51">
        <f>Tabla1[[#This Row],[longitud]]</f>
        <v>78.989999999999995</v>
      </c>
      <c r="E1020" s="51" t="str">
        <f>Tabla1[[#This Row],[diametro]]</f>
        <v>3"</v>
      </c>
      <c r="F1020" s="51" t="str">
        <f>Tabla1[[#This Row],[material]]</f>
        <v>PVC</v>
      </c>
      <c r="G102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020" s="52" t="str">
        <f>IF(Tabla1[[#This Row],[5]]="TPD",Tabla1[[#This Row],[6]],"")</f>
        <v/>
      </c>
      <c r="I1020" s="52" t="str">
        <f>IF(OR(Tabla1[[#This Row],[5]]="TPD"),Tabla1[[#This Row],[7]],"")</f>
        <v/>
      </c>
      <c r="J1020" s="52">
        <f>IF(Tabla15[[#This Row],[2]]="",0,VLOOKUP(TRAMOS!$H$2,Tabla5[#All],3,FALSE)*Tabla15[[#This Row],[3]])</f>
        <v>0</v>
      </c>
      <c r="K1020" s="52" t="str">
        <f>IF(Tabla1[[#This Row],[5]]="TPL",Tabla1[[#This Row],[6]],"")</f>
        <v>3"</v>
      </c>
      <c r="L1020" s="52">
        <f>IF(OR(Tabla1[[#This Row],[5]]="TPL"),Tabla1[[#This Row],[7]],"")</f>
        <v>1</v>
      </c>
      <c r="M1020" s="52">
        <f>IF(Tabla15[[#This Row],[5]]="",0,VLOOKUP(TRAMOS!$K$2,Tabla5[#All],3,FALSE)*Tabla15[[#This Row],[6]])</f>
        <v>0.9</v>
      </c>
      <c r="N102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2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20" s="52">
        <f>IF(Tabla15[[#This Row],[8]]="",0,VLOOKUP(TRAMOS!$H$2,Tabla5[#All],3,FALSE)*Tabla15[[#This Row],[9]])</f>
        <v>0</v>
      </c>
      <c r="Q102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2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20" s="52">
        <f>IF(Tabla15[[#This Row],[11]]="",0,VLOOKUP(TRAMOS!$Q$2,Tabla5[#All],3,FALSE)*Tabla15[[#This Row],[12]])</f>
        <v>0</v>
      </c>
      <c r="T102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2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2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2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2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2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2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2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20" s="52">
        <f>IF(Tabla15[[#This Row],[20]]="",0,VLOOKUP("VRP",Tabla5[#All],3,FALSE)*Tabla15[[#This Row],[21]])</f>
        <v>0</v>
      </c>
      <c r="AC102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2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20" s="52">
        <f>IF(Tabla15[[#This Row],[23]]="",0,VLOOKUP("VC",Tabla5[#All],3,FALSE)*Tabla15[[#This Row],[24]])</f>
        <v>0</v>
      </c>
      <c r="AF102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2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20" s="52">
        <f>IF(Tabla15[[#This Row],[26]]="",0,VLOOKUP(TRAMOS!$K$2,Tabla5[#All],3,FALSE)*Tabla15[[#This Row],[27]])</f>
        <v>0</v>
      </c>
      <c r="AI102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2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2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2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2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2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2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021" spans="2:41" x14ac:dyDescent="0.25">
      <c r="B1021" s="58" t="str">
        <f>Tabla1[[#This Row],[nudo inicial]]</f>
        <v>N545</v>
      </c>
      <c r="C1021" s="58" t="str">
        <f>Tabla1[[#This Row],[nudo final]]</f>
        <v>N546</v>
      </c>
      <c r="D1021" s="51">
        <f>Tabla1[[#This Row],[longitud]]</f>
        <v>103.63</v>
      </c>
      <c r="E1021" s="51" t="str">
        <f>Tabla1[[#This Row],[diametro]]</f>
        <v>3"</v>
      </c>
      <c r="F1021" s="51" t="str">
        <f>Tabla1[[#This Row],[material]]</f>
        <v>PVC</v>
      </c>
      <c r="G102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021" s="52" t="str">
        <f>IF(Tabla1[[#This Row],[5]]="TPD",Tabla1[[#This Row],[6]],"")</f>
        <v/>
      </c>
      <c r="I1021" s="52" t="str">
        <f>IF(OR(Tabla1[[#This Row],[5]]="TPD"),Tabla1[[#This Row],[7]],"")</f>
        <v/>
      </c>
      <c r="J1021" s="52">
        <f>IF(Tabla15[[#This Row],[2]]="",0,VLOOKUP(TRAMOS!$H$2,Tabla5[#All],3,FALSE)*Tabla15[[#This Row],[3]])</f>
        <v>0</v>
      </c>
      <c r="K1021" s="52" t="str">
        <f>IF(Tabla1[[#This Row],[5]]="TPL",Tabla1[[#This Row],[6]],"")</f>
        <v>3"</v>
      </c>
      <c r="L1021" s="52">
        <f>IF(OR(Tabla1[[#This Row],[5]]="TPL"),Tabla1[[#This Row],[7]],"")</f>
        <v>1</v>
      </c>
      <c r="M1021" s="52">
        <f>IF(Tabla15[[#This Row],[5]]="",0,VLOOKUP(TRAMOS!$K$2,Tabla5[#All],3,FALSE)*Tabla15[[#This Row],[6]])</f>
        <v>0.9</v>
      </c>
      <c r="N102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2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21" s="52">
        <f>IF(Tabla15[[#This Row],[8]]="",0,VLOOKUP(TRAMOS!$H$2,Tabla5[#All],3,FALSE)*Tabla15[[#This Row],[9]])</f>
        <v>0</v>
      </c>
      <c r="Q102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2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21" s="52">
        <f>IF(Tabla15[[#This Row],[11]]="",0,VLOOKUP(TRAMOS!$Q$2,Tabla5[#All],3,FALSE)*Tabla15[[#This Row],[12]])</f>
        <v>0</v>
      </c>
      <c r="T102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2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2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2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2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2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2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2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21" s="52">
        <f>IF(Tabla15[[#This Row],[20]]="",0,VLOOKUP("VRP",Tabla5[#All],3,FALSE)*Tabla15[[#This Row],[21]])</f>
        <v>0</v>
      </c>
      <c r="AC102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2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21" s="52">
        <f>IF(Tabla15[[#This Row],[23]]="",0,VLOOKUP("VC",Tabla5[#All],3,FALSE)*Tabla15[[#This Row],[24]])</f>
        <v>0</v>
      </c>
      <c r="AF102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2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21" s="52">
        <f>IF(Tabla15[[#This Row],[26]]="",0,VLOOKUP(TRAMOS!$K$2,Tabla5[#All],3,FALSE)*Tabla15[[#This Row],[27]])</f>
        <v>0</v>
      </c>
      <c r="AI102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2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2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2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2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2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2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022" spans="2:41" x14ac:dyDescent="0.25">
      <c r="B1022" s="58" t="str">
        <f>Tabla1[[#This Row],[nudo inicial]]</f>
        <v>N546</v>
      </c>
      <c r="C1022" s="58" t="str">
        <f>Tabla1[[#This Row],[nudo final]]</f>
        <v>N547</v>
      </c>
      <c r="D1022" s="51">
        <f>Tabla1[[#This Row],[longitud]]</f>
        <v>7.32</v>
      </c>
      <c r="E1022" s="51" t="str">
        <f>Tabla1[[#This Row],[diametro]]</f>
        <v>3"</v>
      </c>
      <c r="F1022" s="51" t="str">
        <f>Tabla1[[#This Row],[material]]</f>
        <v>PVC</v>
      </c>
      <c r="G102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022" s="52" t="str">
        <f>IF(Tabla1[[#This Row],[5]]="TPD",Tabla1[[#This Row],[6]],"")</f>
        <v/>
      </c>
      <c r="I1022" s="52" t="str">
        <f>IF(OR(Tabla1[[#This Row],[5]]="TPD"),Tabla1[[#This Row],[7]],"")</f>
        <v/>
      </c>
      <c r="J1022" s="52">
        <f>IF(Tabla15[[#This Row],[2]]="",0,VLOOKUP(TRAMOS!$H$2,Tabla5[#All],3,FALSE)*Tabla15[[#This Row],[3]])</f>
        <v>0</v>
      </c>
      <c r="K1022" s="52" t="str">
        <f>IF(Tabla1[[#This Row],[5]]="TPL",Tabla1[[#This Row],[6]],"")</f>
        <v>3"</v>
      </c>
      <c r="L1022" s="52">
        <f>IF(OR(Tabla1[[#This Row],[5]]="TPL"),Tabla1[[#This Row],[7]],"")</f>
        <v>1</v>
      </c>
      <c r="M1022" s="52">
        <f>IF(Tabla15[[#This Row],[5]]="",0,VLOOKUP(TRAMOS!$K$2,Tabla5[#All],3,FALSE)*Tabla15[[#This Row],[6]])</f>
        <v>0.9</v>
      </c>
      <c r="N102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2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22" s="52">
        <f>IF(Tabla15[[#This Row],[8]]="",0,VLOOKUP(TRAMOS!$H$2,Tabla5[#All],3,FALSE)*Tabla15[[#This Row],[9]])</f>
        <v>0</v>
      </c>
      <c r="Q102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2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22" s="52">
        <f>IF(Tabla15[[#This Row],[11]]="",0,VLOOKUP(TRAMOS!$Q$2,Tabla5[#All],3,FALSE)*Tabla15[[#This Row],[12]])</f>
        <v>0</v>
      </c>
      <c r="T102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2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2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2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2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2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2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2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22" s="52">
        <f>IF(Tabla15[[#This Row],[20]]="",0,VLOOKUP("VRP",Tabla5[#All],3,FALSE)*Tabla15[[#This Row],[21]])</f>
        <v>0</v>
      </c>
      <c r="AC102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2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22" s="52">
        <f>IF(Tabla15[[#This Row],[23]]="",0,VLOOKUP("VC",Tabla5[#All],3,FALSE)*Tabla15[[#This Row],[24]])</f>
        <v>0</v>
      </c>
      <c r="AF102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2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22" s="52">
        <f>IF(Tabla15[[#This Row],[26]]="",0,VLOOKUP(TRAMOS!$K$2,Tabla5[#All],3,FALSE)*Tabla15[[#This Row],[27]])</f>
        <v>0</v>
      </c>
      <c r="AI102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2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2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2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2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2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2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023" spans="2:41" x14ac:dyDescent="0.25">
      <c r="B1023" s="58" t="str">
        <f>Tabla1[[#This Row],[nudo inicial]]</f>
        <v>N547</v>
      </c>
      <c r="C1023" s="58" t="str">
        <f>Tabla1[[#This Row],[nudo final]]</f>
        <v>TP362</v>
      </c>
      <c r="D1023" s="51">
        <f>Tabla1[[#This Row],[longitud]]</f>
        <v>48.2</v>
      </c>
      <c r="E1023" s="51" t="str">
        <f>Tabla1[[#This Row],[diametro]]</f>
        <v>3"</v>
      </c>
      <c r="F1023" s="51" t="str">
        <f>Tabla1[[#This Row],[material]]</f>
        <v>PVC</v>
      </c>
      <c r="G102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023" s="52" t="str">
        <f>IF(Tabla1[[#This Row],[5]]="TPD",Tabla1[[#This Row],[6]],"")</f>
        <v>3"</v>
      </c>
      <c r="I1023" s="52">
        <f>IF(OR(Tabla1[[#This Row],[5]]="TPD"),Tabla1[[#This Row],[7]],"")</f>
        <v>1</v>
      </c>
      <c r="J1023" s="52">
        <f>IF(Tabla15[[#This Row],[2]]="",0,VLOOKUP(TRAMOS!$H$2,Tabla5[#All],3,FALSE)*Tabla15[[#This Row],[3]])</f>
        <v>0.15</v>
      </c>
      <c r="K1023" s="52" t="str">
        <f>IF(Tabla1[[#This Row],[5]]="TPL",Tabla1[[#This Row],[6]],"")</f>
        <v/>
      </c>
      <c r="L1023" s="52" t="str">
        <f>IF(OR(Tabla1[[#This Row],[5]]="TPL"),Tabla1[[#This Row],[7]],"")</f>
        <v/>
      </c>
      <c r="M1023" s="52">
        <f>IF(Tabla15[[#This Row],[5]]="",0,VLOOKUP(TRAMOS!$K$2,Tabla5[#All],3,FALSE)*Tabla15[[#This Row],[6]])</f>
        <v>0</v>
      </c>
      <c r="N102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2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23" s="52">
        <f>IF(Tabla15[[#This Row],[8]]="",0,VLOOKUP(TRAMOS!$H$2,Tabla5[#All],3,FALSE)*Tabla15[[#This Row],[9]])</f>
        <v>0</v>
      </c>
      <c r="Q102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2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23" s="52">
        <f>IF(Tabla15[[#This Row],[11]]="",0,VLOOKUP(TRAMOS!$Q$2,Tabla5[#All],3,FALSE)*Tabla15[[#This Row],[12]])</f>
        <v>0</v>
      </c>
      <c r="T102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2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2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2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2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2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2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2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23" s="52">
        <f>IF(Tabla15[[#This Row],[20]]="",0,VLOOKUP("VRP",Tabla5[#All],3,FALSE)*Tabla15[[#This Row],[21]])</f>
        <v>0</v>
      </c>
      <c r="AC102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2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23" s="52">
        <f>IF(Tabla15[[#This Row],[23]]="",0,VLOOKUP("VC",Tabla5[#All],3,FALSE)*Tabla15[[#This Row],[24]])</f>
        <v>0</v>
      </c>
      <c r="AF102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2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23" s="52">
        <f>IF(Tabla15[[#This Row],[26]]="",0,VLOOKUP(TRAMOS!$K$2,Tabla5[#All],3,FALSE)*Tabla15[[#This Row],[27]])</f>
        <v>0</v>
      </c>
      <c r="AI102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2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2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2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2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1023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02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024" spans="2:41" x14ac:dyDescent="0.25">
      <c r="B1024" s="58" t="str">
        <f>Tabla1[[#This Row],[nudo inicial]]</f>
        <v>N547</v>
      </c>
      <c r="C1024" s="58" t="str">
        <f>Tabla1[[#This Row],[nudo final]]</f>
        <v>N548</v>
      </c>
      <c r="D1024" s="51">
        <f>Tabla1[[#This Row],[longitud]]</f>
        <v>63.29</v>
      </c>
      <c r="E1024" s="51" t="str">
        <f>Tabla1[[#This Row],[diametro]]</f>
        <v>3"</v>
      </c>
      <c r="F1024" s="51" t="str">
        <f>Tabla1[[#This Row],[material]]</f>
        <v>PVC</v>
      </c>
      <c r="G102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024" s="52" t="str">
        <f>IF(Tabla1[[#This Row],[5]]="TPD",Tabla1[[#This Row],[6]],"")</f>
        <v/>
      </c>
      <c r="I1024" s="52" t="str">
        <f>IF(OR(Tabla1[[#This Row],[5]]="TPD"),Tabla1[[#This Row],[7]],"")</f>
        <v/>
      </c>
      <c r="J1024" s="52">
        <f>IF(Tabla15[[#This Row],[2]]="",0,VLOOKUP(TRAMOS!$H$2,Tabla5[#All],3,FALSE)*Tabla15[[#This Row],[3]])</f>
        <v>0</v>
      </c>
      <c r="K1024" s="52" t="str">
        <f>IF(Tabla1[[#This Row],[5]]="TPL",Tabla1[[#This Row],[6]],"")</f>
        <v>3"</v>
      </c>
      <c r="L1024" s="52">
        <f>IF(OR(Tabla1[[#This Row],[5]]="TPL"),Tabla1[[#This Row],[7]],"")</f>
        <v>1</v>
      </c>
      <c r="M1024" s="52">
        <f>IF(Tabla15[[#This Row],[5]]="",0,VLOOKUP(TRAMOS!$K$2,Tabla5[#All],3,FALSE)*Tabla15[[#This Row],[6]])</f>
        <v>0.9</v>
      </c>
      <c r="N102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2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24" s="52">
        <f>IF(Tabla15[[#This Row],[8]]="",0,VLOOKUP(TRAMOS!$H$2,Tabla5[#All],3,FALSE)*Tabla15[[#This Row],[9]])</f>
        <v>0</v>
      </c>
      <c r="Q102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2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24" s="52">
        <f>IF(Tabla15[[#This Row],[11]]="",0,VLOOKUP(TRAMOS!$Q$2,Tabla5[#All],3,FALSE)*Tabla15[[#This Row],[12]])</f>
        <v>0</v>
      </c>
      <c r="T102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2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2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2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2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2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2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2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24" s="52">
        <f>IF(Tabla15[[#This Row],[20]]="",0,VLOOKUP("VRP",Tabla5[#All],3,FALSE)*Tabla15[[#This Row],[21]])</f>
        <v>0</v>
      </c>
      <c r="AC102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2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24" s="52">
        <f>IF(Tabla15[[#This Row],[23]]="",0,VLOOKUP("VC",Tabla5[#All],3,FALSE)*Tabla15[[#This Row],[24]])</f>
        <v>0</v>
      </c>
      <c r="AF102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2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24" s="52">
        <f>IF(Tabla15[[#This Row],[26]]="",0,VLOOKUP(TRAMOS!$K$2,Tabla5[#All],3,FALSE)*Tabla15[[#This Row],[27]])</f>
        <v>0</v>
      </c>
      <c r="AI102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2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2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2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2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2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2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025" spans="2:41" x14ac:dyDescent="0.25">
      <c r="B1025" s="58" t="str">
        <f>Tabla1[[#This Row],[nudo inicial]]</f>
        <v>N548</v>
      </c>
      <c r="C1025" s="58" t="str">
        <f>Tabla1[[#This Row],[nudo final]]</f>
        <v>N549</v>
      </c>
      <c r="D1025" s="51">
        <f>Tabla1[[#This Row],[longitud]]</f>
        <v>53.85</v>
      </c>
      <c r="E1025" s="51" t="str">
        <f>Tabla1[[#This Row],[diametro]]</f>
        <v>3"</v>
      </c>
      <c r="F1025" s="51" t="str">
        <f>Tabla1[[#This Row],[material]]</f>
        <v>PVC</v>
      </c>
      <c r="G102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025" s="52" t="str">
        <f>IF(Tabla1[[#This Row],[5]]="TPD",Tabla1[[#This Row],[6]],"")</f>
        <v/>
      </c>
      <c r="I1025" s="52" t="str">
        <f>IF(OR(Tabla1[[#This Row],[5]]="TPD"),Tabla1[[#This Row],[7]],"")</f>
        <v/>
      </c>
      <c r="J1025" s="52">
        <f>IF(Tabla15[[#This Row],[2]]="",0,VLOOKUP(TRAMOS!$H$2,Tabla5[#All],3,FALSE)*Tabla15[[#This Row],[3]])</f>
        <v>0</v>
      </c>
      <c r="K1025" s="52" t="str">
        <f>IF(Tabla1[[#This Row],[5]]="TPL",Tabla1[[#This Row],[6]],"")</f>
        <v>3"</v>
      </c>
      <c r="L1025" s="52">
        <f>IF(OR(Tabla1[[#This Row],[5]]="TPL"),Tabla1[[#This Row],[7]],"")</f>
        <v>1</v>
      </c>
      <c r="M1025" s="52">
        <f>IF(Tabla15[[#This Row],[5]]="",0,VLOOKUP(TRAMOS!$K$2,Tabla5[#All],3,FALSE)*Tabla15[[#This Row],[6]])</f>
        <v>0.9</v>
      </c>
      <c r="N102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2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25" s="52">
        <f>IF(Tabla15[[#This Row],[8]]="",0,VLOOKUP(TRAMOS!$H$2,Tabla5[#All],3,FALSE)*Tabla15[[#This Row],[9]])</f>
        <v>0</v>
      </c>
      <c r="Q102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2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25" s="52">
        <f>IF(Tabla15[[#This Row],[11]]="",0,VLOOKUP(TRAMOS!$Q$2,Tabla5[#All],3,FALSE)*Tabla15[[#This Row],[12]])</f>
        <v>0</v>
      </c>
      <c r="T102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2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2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2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2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2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2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2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25" s="52">
        <f>IF(Tabla15[[#This Row],[20]]="",0,VLOOKUP("VRP",Tabla5[#All],3,FALSE)*Tabla15[[#This Row],[21]])</f>
        <v>0</v>
      </c>
      <c r="AC102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2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25" s="52">
        <f>IF(Tabla15[[#This Row],[23]]="",0,VLOOKUP("VC",Tabla5[#All],3,FALSE)*Tabla15[[#This Row],[24]])</f>
        <v>0</v>
      </c>
      <c r="AF102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2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25" s="52">
        <f>IF(Tabla15[[#This Row],[26]]="",0,VLOOKUP(TRAMOS!$K$2,Tabla5[#All],3,FALSE)*Tabla15[[#This Row],[27]])</f>
        <v>0</v>
      </c>
      <c r="AI102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2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2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2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2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2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2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026" spans="2:41" x14ac:dyDescent="0.25">
      <c r="B1026" s="58" t="str">
        <f>Tabla1[[#This Row],[nudo inicial]]</f>
        <v>N549</v>
      </c>
      <c r="C1026" s="58" t="str">
        <f>Tabla1[[#This Row],[nudo final]]</f>
        <v>TP363</v>
      </c>
      <c r="D1026" s="51">
        <f>Tabla1[[#This Row],[longitud]]</f>
        <v>46.27</v>
      </c>
      <c r="E1026" s="51" t="str">
        <f>Tabla1[[#This Row],[diametro]]</f>
        <v>3"</v>
      </c>
      <c r="F1026" s="51" t="str">
        <f>Tabla1[[#This Row],[material]]</f>
        <v>PVC</v>
      </c>
      <c r="G102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026" s="52" t="str">
        <f>IF(Tabla1[[#This Row],[5]]="TPD",Tabla1[[#This Row],[6]],"")</f>
        <v>3"</v>
      </c>
      <c r="I1026" s="52">
        <f>IF(OR(Tabla1[[#This Row],[5]]="TPD"),Tabla1[[#This Row],[7]],"")</f>
        <v>1</v>
      </c>
      <c r="J1026" s="52">
        <f>IF(Tabla15[[#This Row],[2]]="",0,VLOOKUP(TRAMOS!$H$2,Tabla5[#All],3,FALSE)*Tabla15[[#This Row],[3]])</f>
        <v>0.15</v>
      </c>
      <c r="K1026" s="52" t="str">
        <f>IF(Tabla1[[#This Row],[5]]="TPL",Tabla1[[#This Row],[6]],"")</f>
        <v/>
      </c>
      <c r="L1026" s="52" t="str">
        <f>IF(OR(Tabla1[[#This Row],[5]]="TPL"),Tabla1[[#This Row],[7]],"")</f>
        <v/>
      </c>
      <c r="M1026" s="52">
        <f>IF(Tabla15[[#This Row],[5]]="",0,VLOOKUP(TRAMOS!$K$2,Tabla5[#All],3,FALSE)*Tabla15[[#This Row],[6]])</f>
        <v>0</v>
      </c>
      <c r="N102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2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26" s="52">
        <f>IF(Tabla15[[#This Row],[8]]="",0,VLOOKUP(TRAMOS!$H$2,Tabla5[#All],3,FALSE)*Tabla15[[#This Row],[9]])</f>
        <v>0</v>
      </c>
      <c r="Q102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2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26" s="52">
        <f>IF(Tabla15[[#This Row],[11]]="",0,VLOOKUP(TRAMOS!$Q$2,Tabla5[#All],3,FALSE)*Tabla15[[#This Row],[12]])</f>
        <v>0</v>
      </c>
      <c r="T102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2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2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2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2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2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2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2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26" s="52">
        <f>IF(Tabla15[[#This Row],[20]]="",0,VLOOKUP("VRP",Tabla5[#All],3,FALSE)*Tabla15[[#This Row],[21]])</f>
        <v>0</v>
      </c>
      <c r="AC102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2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26" s="52">
        <f>IF(Tabla15[[#This Row],[23]]="",0,VLOOKUP("VC",Tabla5[#All],3,FALSE)*Tabla15[[#This Row],[24]])</f>
        <v>0</v>
      </c>
      <c r="AF102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2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26" s="52">
        <f>IF(Tabla15[[#This Row],[26]]="",0,VLOOKUP(TRAMOS!$K$2,Tabla5[#All],3,FALSE)*Tabla15[[#This Row],[27]])</f>
        <v>0</v>
      </c>
      <c r="AI102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2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2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2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2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102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02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027" spans="2:41" x14ac:dyDescent="0.25">
      <c r="B1027" s="58" t="str">
        <f>Tabla1[[#This Row],[nudo inicial]]</f>
        <v>N549</v>
      </c>
      <c r="C1027" s="58" t="str">
        <f>Tabla1[[#This Row],[nudo final]]</f>
        <v>N550</v>
      </c>
      <c r="D1027" s="51">
        <f>Tabla1[[#This Row],[longitud]]</f>
        <v>95.93</v>
      </c>
      <c r="E1027" s="51" t="str">
        <f>Tabla1[[#This Row],[diametro]]</f>
        <v>3"</v>
      </c>
      <c r="F1027" s="51" t="str">
        <f>Tabla1[[#This Row],[material]]</f>
        <v>PVC</v>
      </c>
      <c r="G102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027" s="52" t="str">
        <f>IF(Tabla1[[#This Row],[5]]="TPD",Tabla1[[#This Row],[6]],"")</f>
        <v/>
      </c>
      <c r="I1027" s="52" t="str">
        <f>IF(OR(Tabla1[[#This Row],[5]]="TPD"),Tabla1[[#This Row],[7]],"")</f>
        <v/>
      </c>
      <c r="J1027" s="52">
        <f>IF(Tabla15[[#This Row],[2]]="",0,VLOOKUP(TRAMOS!$H$2,Tabla5[#All],3,FALSE)*Tabla15[[#This Row],[3]])</f>
        <v>0</v>
      </c>
      <c r="K1027" s="52" t="str">
        <f>IF(Tabla1[[#This Row],[5]]="TPL",Tabla1[[#This Row],[6]],"")</f>
        <v>3"</v>
      </c>
      <c r="L1027" s="52">
        <f>IF(OR(Tabla1[[#This Row],[5]]="TPL"),Tabla1[[#This Row],[7]],"")</f>
        <v>1</v>
      </c>
      <c r="M1027" s="52">
        <f>IF(Tabla15[[#This Row],[5]]="",0,VLOOKUP(TRAMOS!$K$2,Tabla5[#All],3,FALSE)*Tabla15[[#This Row],[6]])</f>
        <v>0.9</v>
      </c>
      <c r="N102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2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27" s="52">
        <f>IF(Tabla15[[#This Row],[8]]="",0,VLOOKUP(TRAMOS!$H$2,Tabla5[#All],3,FALSE)*Tabla15[[#This Row],[9]])</f>
        <v>0</v>
      </c>
      <c r="Q102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2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27" s="52">
        <f>IF(Tabla15[[#This Row],[11]]="",0,VLOOKUP(TRAMOS!$Q$2,Tabla5[#All],3,FALSE)*Tabla15[[#This Row],[12]])</f>
        <v>0</v>
      </c>
      <c r="T102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2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2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2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2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2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2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2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27" s="52">
        <f>IF(Tabla15[[#This Row],[20]]="",0,VLOOKUP("VRP",Tabla5[#All],3,FALSE)*Tabla15[[#This Row],[21]])</f>
        <v>0</v>
      </c>
      <c r="AC102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2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27" s="52">
        <f>IF(Tabla15[[#This Row],[23]]="",0,VLOOKUP("VC",Tabla5[#All],3,FALSE)*Tabla15[[#This Row],[24]])</f>
        <v>0</v>
      </c>
      <c r="AF102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2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27" s="52">
        <f>IF(Tabla15[[#This Row],[26]]="",0,VLOOKUP(TRAMOS!$K$2,Tabla5[#All],3,FALSE)*Tabla15[[#This Row],[27]])</f>
        <v>0</v>
      </c>
      <c r="AI102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2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2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2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2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2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2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028" spans="2:41" x14ac:dyDescent="0.25">
      <c r="B1028" s="58" t="str">
        <f>Tabla1[[#This Row],[nudo inicial]]</f>
        <v>N548</v>
      </c>
      <c r="C1028" s="58" t="str">
        <f>Tabla1[[#This Row],[nudo final]]</f>
        <v>N551</v>
      </c>
      <c r="D1028" s="51">
        <f>Tabla1[[#This Row],[longitud]]</f>
        <v>154.6</v>
      </c>
      <c r="E1028" s="51" t="str">
        <f>Tabla1[[#This Row],[diametro]]</f>
        <v>3"</v>
      </c>
      <c r="F1028" s="51" t="str">
        <f>Tabla1[[#This Row],[material]]</f>
        <v>PVC</v>
      </c>
      <c r="G102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028" s="52" t="str">
        <f>IF(Tabla1[[#This Row],[5]]="TPD",Tabla1[[#This Row],[6]],"")</f>
        <v/>
      </c>
      <c r="I1028" s="52" t="str">
        <f>IF(OR(Tabla1[[#This Row],[5]]="TPD"),Tabla1[[#This Row],[7]],"")</f>
        <v/>
      </c>
      <c r="J1028" s="52">
        <f>IF(Tabla15[[#This Row],[2]]="",0,VLOOKUP(TRAMOS!$H$2,Tabla5[#All],3,FALSE)*Tabla15[[#This Row],[3]])</f>
        <v>0</v>
      </c>
      <c r="K1028" s="52" t="str">
        <f>IF(Tabla1[[#This Row],[5]]="TPL",Tabla1[[#This Row],[6]],"")</f>
        <v>3"</v>
      </c>
      <c r="L1028" s="52">
        <f>IF(OR(Tabla1[[#This Row],[5]]="TPL"),Tabla1[[#This Row],[7]],"")</f>
        <v>1</v>
      </c>
      <c r="M1028" s="52">
        <f>IF(Tabla15[[#This Row],[5]]="",0,VLOOKUP(TRAMOS!$K$2,Tabla5[#All],3,FALSE)*Tabla15[[#This Row],[6]])</f>
        <v>0.9</v>
      </c>
      <c r="N102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2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28" s="52">
        <f>IF(Tabla15[[#This Row],[8]]="",0,VLOOKUP(TRAMOS!$H$2,Tabla5[#All],3,FALSE)*Tabla15[[#This Row],[9]])</f>
        <v>0</v>
      </c>
      <c r="Q102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3"</v>
      </c>
      <c r="R1028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1028" s="52">
        <f>IF(Tabla15[[#This Row],[11]]="",0,VLOOKUP(TRAMOS!$Q$2,Tabla5[#All],3,FALSE)*Tabla15[[#This Row],[12]])</f>
        <v>0.9</v>
      </c>
      <c r="T102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2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2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2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2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2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2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2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28" s="52">
        <f>IF(Tabla15[[#This Row],[20]]="",0,VLOOKUP("VRP",Tabla5[#All],3,FALSE)*Tabla15[[#This Row],[21]])</f>
        <v>0</v>
      </c>
      <c r="AC102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2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28" s="52">
        <f>IF(Tabla15[[#This Row],[23]]="",0,VLOOKUP("VC",Tabla5[#All],3,FALSE)*Tabla15[[#This Row],[24]])</f>
        <v>0</v>
      </c>
      <c r="AF102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2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28" s="52">
        <f>IF(Tabla15[[#This Row],[26]]="",0,VLOOKUP(TRAMOS!$K$2,Tabla5[#All],3,FALSE)*Tabla15[[#This Row],[27]])</f>
        <v>0</v>
      </c>
      <c r="AI102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2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2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2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2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2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2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1.8</v>
      </c>
    </row>
    <row r="1029" spans="2:41" x14ac:dyDescent="0.25">
      <c r="B1029" s="58" t="str">
        <f>Tabla1[[#This Row],[nudo inicial]]</f>
        <v>N551</v>
      </c>
      <c r="C1029" s="58" t="str">
        <f>Tabla1[[#This Row],[nudo final]]</f>
        <v>TP364</v>
      </c>
      <c r="D1029" s="51">
        <f>Tabla1[[#This Row],[longitud]]</f>
        <v>27.73</v>
      </c>
      <c r="E1029" s="51" t="str">
        <f>Tabla1[[#This Row],[diametro]]</f>
        <v>1/2"</v>
      </c>
      <c r="F1029" s="51" t="str">
        <f>Tabla1[[#This Row],[material]]</f>
        <v>PVC</v>
      </c>
      <c r="G102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029" s="52" t="str">
        <f>IF(Tabla1[[#This Row],[5]]="TPD",Tabla1[[#This Row],[6]],"")</f>
        <v/>
      </c>
      <c r="I1029" s="52" t="str">
        <f>IF(OR(Tabla1[[#This Row],[5]]="TPD"),Tabla1[[#This Row],[7]],"")</f>
        <v/>
      </c>
      <c r="J1029" s="52">
        <f>IF(Tabla15[[#This Row],[2]]="",0,VLOOKUP(TRAMOS!$H$2,Tabla5[#All],3,FALSE)*Tabla15[[#This Row],[3]])</f>
        <v>0</v>
      </c>
      <c r="K1029" s="52" t="str">
        <f>IF(Tabla1[[#This Row],[5]]="TPL",Tabla1[[#This Row],[6]],"")</f>
        <v/>
      </c>
      <c r="L1029" s="52" t="str">
        <f>IF(OR(Tabla1[[#This Row],[5]]="TPL"),Tabla1[[#This Row],[7]],"")</f>
        <v/>
      </c>
      <c r="M1029" s="52">
        <f>IF(Tabla15[[#This Row],[5]]="",0,VLOOKUP(TRAMOS!$K$2,Tabla5[#All],3,FALSE)*Tabla15[[#This Row],[6]])</f>
        <v>0</v>
      </c>
      <c r="N102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2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29" s="52">
        <f>IF(Tabla15[[#This Row],[8]]="",0,VLOOKUP(TRAMOS!$H$2,Tabla5[#All],3,FALSE)*Tabla15[[#This Row],[9]])</f>
        <v>0</v>
      </c>
      <c r="Q102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2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29" s="52">
        <f>IF(Tabla15[[#This Row],[11]]="",0,VLOOKUP(TRAMOS!$Q$2,Tabla5[#All],3,FALSE)*Tabla15[[#This Row],[12]])</f>
        <v>0</v>
      </c>
      <c r="T102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1/2"</v>
      </c>
      <c r="U1029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02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0.46</v>
      </c>
      <c r="W102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2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2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2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2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29" s="52">
        <f>IF(Tabla15[[#This Row],[20]]="",0,VLOOKUP("VRP",Tabla5[#All],3,FALSE)*Tabla15[[#This Row],[21]])</f>
        <v>0</v>
      </c>
      <c r="AC102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2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29" s="52">
        <f>IF(Tabla15[[#This Row],[23]]="",0,VLOOKUP("VC",Tabla5[#All],3,FALSE)*Tabla15[[#This Row],[24]])</f>
        <v>0</v>
      </c>
      <c r="AF102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>3"</v>
      </c>
      <c r="AG1029" s="52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>1</v>
      </c>
      <c r="AH1029" s="52">
        <f>IF(Tabla15[[#This Row],[26]]="",0,VLOOKUP(TRAMOS!$K$2,Tabla5[#All],3,FALSE)*Tabla15[[#This Row],[27]])</f>
        <v>0.9</v>
      </c>
      <c r="AI102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2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2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2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2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1/2"</v>
      </c>
      <c r="AN1029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02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1.36</v>
      </c>
    </row>
    <row r="1030" spans="2:41" x14ac:dyDescent="0.25">
      <c r="B1030" s="58" t="str">
        <f>Tabla1[[#This Row],[nudo inicial]]</f>
        <v>N550</v>
      </c>
      <c r="C1030" s="58" t="str">
        <f>Tabla1[[#This Row],[nudo final]]</f>
        <v>N551</v>
      </c>
      <c r="D1030" s="51">
        <f>Tabla1[[#This Row],[longitud]]</f>
        <v>114.09</v>
      </c>
      <c r="E1030" s="51" t="str">
        <f>Tabla1[[#This Row],[diametro]]</f>
        <v>3"</v>
      </c>
      <c r="F1030" s="51" t="str">
        <f>Tabla1[[#This Row],[material]]</f>
        <v>PVC</v>
      </c>
      <c r="G103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030" s="52" t="str">
        <f>IF(Tabla1[[#This Row],[5]]="TPD",Tabla1[[#This Row],[6]],"")</f>
        <v>3"</v>
      </c>
      <c r="I1030" s="52">
        <f>IF(OR(Tabla1[[#This Row],[5]]="TPD"),Tabla1[[#This Row],[7]],"")</f>
        <v>1</v>
      </c>
      <c r="J1030" s="52">
        <f>IF(Tabla15[[#This Row],[2]]="",0,VLOOKUP(TRAMOS!$H$2,Tabla5[#All],3,FALSE)*Tabla15[[#This Row],[3]])</f>
        <v>0.15</v>
      </c>
      <c r="K1030" s="52" t="str">
        <f>IF(Tabla1[[#This Row],[5]]="TPL",Tabla1[[#This Row],[6]],"")</f>
        <v/>
      </c>
      <c r="L1030" s="52" t="str">
        <f>IF(OR(Tabla1[[#This Row],[5]]="TPL"),Tabla1[[#This Row],[7]],"")</f>
        <v/>
      </c>
      <c r="M1030" s="52">
        <f>IF(Tabla15[[#This Row],[5]]="",0,VLOOKUP(TRAMOS!$K$2,Tabla5[#All],3,FALSE)*Tabla15[[#This Row],[6]])</f>
        <v>0</v>
      </c>
      <c r="N103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3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30" s="52">
        <f>IF(Tabla15[[#This Row],[8]]="",0,VLOOKUP(TRAMOS!$H$2,Tabla5[#All],3,FALSE)*Tabla15[[#This Row],[9]])</f>
        <v>0</v>
      </c>
      <c r="Q103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3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30" s="52">
        <f>IF(Tabla15[[#This Row],[11]]="",0,VLOOKUP(TRAMOS!$Q$2,Tabla5[#All],3,FALSE)*Tabla15[[#This Row],[12]])</f>
        <v>0</v>
      </c>
      <c r="T103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3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3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3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3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3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3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3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30" s="52">
        <f>IF(Tabla15[[#This Row],[20]]="",0,VLOOKUP("VRP",Tabla5[#All],3,FALSE)*Tabla15[[#This Row],[21]])</f>
        <v>0</v>
      </c>
      <c r="AC103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3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30" s="52">
        <f>IF(Tabla15[[#This Row],[23]]="",0,VLOOKUP("VC",Tabla5[#All],3,FALSE)*Tabla15[[#This Row],[24]])</f>
        <v>0</v>
      </c>
      <c r="AF103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3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30" s="52">
        <f>IF(Tabla15[[#This Row],[26]]="",0,VLOOKUP(TRAMOS!$K$2,Tabla5[#All],3,FALSE)*Tabla15[[#This Row],[27]])</f>
        <v>0</v>
      </c>
      <c r="AI103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3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3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3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3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3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3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031" spans="2:41" x14ac:dyDescent="0.25">
      <c r="B1031" s="58" t="str">
        <f>Tabla1[[#This Row],[nudo inicial]]</f>
        <v>N545</v>
      </c>
      <c r="C1031" s="58" t="str">
        <f>Tabla1[[#This Row],[nudo final]]</f>
        <v>N552</v>
      </c>
      <c r="D1031" s="51">
        <f>Tabla1[[#This Row],[longitud]]</f>
        <v>86.29</v>
      </c>
      <c r="E1031" s="51" t="str">
        <f>Tabla1[[#This Row],[diametro]]</f>
        <v>3"</v>
      </c>
      <c r="F1031" s="51" t="str">
        <f>Tabla1[[#This Row],[material]]</f>
        <v>PVC</v>
      </c>
      <c r="G103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031" s="52" t="str">
        <f>IF(Tabla1[[#This Row],[5]]="TPD",Tabla1[[#This Row],[6]],"")</f>
        <v/>
      </c>
      <c r="I1031" s="52" t="str">
        <f>IF(OR(Tabla1[[#This Row],[5]]="TPD"),Tabla1[[#This Row],[7]],"")</f>
        <v/>
      </c>
      <c r="J1031" s="52">
        <f>IF(Tabla15[[#This Row],[2]]="",0,VLOOKUP(TRAMOS!$H$2,Tabla5[#All],3,FALSE)*Tabla15[[#This Row],[3]])</f>
        <v>0</v>
      </c>
      <c r="K1031" s="52" t="str">
        <f>IF(Tabla1[[#This Row],[5]]="TPL",Tabla1[[#This Row],[6]],"")</f>
        <v>3"</v>
      </c>
      <c r="L1031" s="52">
        <f>IF(OR(Tabla1[[#This Row],[5]]="TPL"),Tabla1[[#This Row],[7]],"")</f>
        <v>1</v>
      </c>
      <c r="M1031" s="52">
        <f>IF(Tabla15[[#This Row],[5]]="",0,VLOOKUP(TRAMOS!$K$2,Tabla5[#All],3,FALSE)*Tabla15[[#This Row],[6]])</f>
        <v>0.9</v>
      </c>
      <c r="N103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3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31" s="52">
        <f>IF(Tabla15[[#This Row],[8]]="",0,VLOOKUP(TRAMOS!$H$2,Tabla5[#All],3,FALSE)*Tabla15[[#This Row],[9]])</f>
        <v>0</v>
      </c>
      <c r="Q103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3"</v>
      </c>
      <c r="R1031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1031" s="52">
        <f>IF(Tabla15[[#This Row],[11]]="",0,VLOOKUP(TRAMOS!$Q$2,Tabla5[#All],3,FALSE)*Tabla15[[#This Row],[12]])</f>
        <v>0.9</v>
      </c>
      <c r="T103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3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3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3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3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3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3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3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31" s="52">
        <f>IF(Tabla15[[#This Row],[20]]="",0,VLOOKUP("VRP",Tabla5[#All],3,FALSE)*Tabla15[[#This Row],[21]])</f>
        <v>0</v>
      </c>
      <c r="AC103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3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31" s="52">
        <f>IF(Tabla15[[#This Row],[23]]="",0,VLOOKUP("VC",Tabla5[#All],3,FALSE)*Tabla15[[#This Row],[24]])</f>
        <v>0</v>
      </c>
      <c r="AF103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3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31" s="52">
        <f>IF(Tabla15[[#This Row],[26]]="",0,VLOOKUP(TRAMOS!$K$2,Tabla5[#All],3,FALSE)*Tabla15[[#This Row],[27]])</f>
        <v>0</v>
      </c>
      <c r="AI103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3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3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3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3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3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3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1.8</v>
      </c>
    </row>
    <row r="1032" spans="2:41" x14ac:dyDescent="0.25">
      <c r="B1032" s="58" t="str">
        <f>Tabla1[[#This Row],[nudo inicial]]</f>
        <v>N552</v>
      </c>
      <c r="C1032" s="58" t="str">
        <f>Tabla1[[#This Row],[nudo final]]</f>
        <v>N553</v>
      </c>
      <c r="D1032" s="51">
        <f>Tabla1[[#This Row],[longitud]]</f>
        <v>127.58</v>
      </c>
      <c r="E1032" s="51" t="str">
        <f>Tabla1[[#This Row],[diametro]]</f>
        <v>2"</v>
      </c>
      <c r="F1032" s="51" t="str">
        <f>Tabla1[[#This Row],[material]]</f>
        <v>PVC</v>
      </c>
      <c r="G103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032" s="52" t="str">
        <f>IF(Tabla1[[#This Row],[5]]="TPD",Tabla1[[#This Row],[6]],"")</f>
        <v/>
      </c>
      <c r="I1032" s="52" t="str">
        <f>IF(OR(Tabla1[[#This Row],[5]]="TPD"),Tabla1[[#This Row],[7]],"")</f>
        <v/>
      </c>
      <c r="J1032" s="52">
        <f>IF(Tabla15[[#This Row],[2]]="",0,VLOOKUP(TRAMOS!$H$2,Tabla5[#All],3,FALSE)*Tabla15[[#This Row],[3]])</f>
        <v>0</v>
      </c>
      <c r="K1032" s="52" t="str">
        <f>IF(Tabla1[[#This Row],[5]]="TPL",Tabla1[[#This Row],[6]],"")</f>
        <v/>
      </c>
      <c r="L1032" s="52" t="str">
        <f>IF(OR(Tabla1[[#This Row],[5]]="TPL"),Tabla1[[#This Row],[7]],"")</f>
        <v/>
      </c>
      <c r="M1032" s="52">
        <f>IF(Tabla15[[#This Row],[5]]="",0,VLOOKUP(TRAMOS!$K$2,Tabla5[#All],3,FALSE)*Tabla15[[#This Row],[6]])</f>
        <v>0</v>
      </c>
      <c r="N103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3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32" s="52">
        <f>IF(Tabla15[[#This Row],[8]]="",0,VLOOKUP(TRAMOS!$H$2,Tabla5[#All],3,FALSE)*Tabla15[[#This Row],[9]])</f>
        <v>0</v>
      </c>
      <c r="Q103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3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32" s="52">
        <f>IF(Tabla15[[#This Row],[11]]="",0,VLOOKUP(TRAMOS!$Q$2,Tabla5[#All],3,FALSE)*Tabla15[[#This Row],[12]])</f>
        <v>0</v>
      </c>
      <c r="T103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1032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03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103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3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3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3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3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32" s="52">
        <f>IF(Tabla15[[#This Row],[20]]="",0,VLOOKUP("VRP",Tabla5[#All],3,FALSE)*Tabla15[[#This Row],[21]])</f>
        <v>0</v>
      </c>
      <c r="AC103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3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32" s="52">
        <f>IF(Tabla15[[#This Row],[23]]="",0,VLOOKUP("VC",Tabla5[#All],3,FALSE)*Tabla15[[#This Row],[24]])</f>
        <v>0</v>
      </c>
      <c r="AF103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3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32" s="52">
        <f>IF(Tabla15[[#This Row],[26]]="",0,VLOOKUP(TRAMOS!$K$2,Tabla5[#All],3,FALSE)*Tabla15[[#This Row],[27]])</f>
        <v>0</v>
      </c>
      <c r="AI103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3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3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3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3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3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3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0.21500000000000002</v>
      </c>
    </row>
    <row r="1033" spans="2:41" x14ac:dyDescent="0.25">
      <c r="B1033" s="58" t="str">
        <f>Tabla1[[#This Row],[nudo inicial]]</f>
        <v>N553</v>
      </c>
      <c r="C1033" s="58" t="str">
        <f>Tabla1[[#This Row],[nudo final]]</f>
        <v>TP365</v>
      </c>
      <c r="D1033" s="51">
        <f>Tabla1[[#This Row],[longitud]]</f>
        <v>55</v>
      </c>
      <c r="E1033" s="51" t="str">
        <f>Tabla1[[#This Row],[diametro]]</f>
        <v>1"</v>
      </c>
      <c r="F1033" s="51" t="str">
        <f>Tabla1[[#This Row],[material]]</f>
        <v>PVC</v>
      </c>
      <c r="G103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033" s="52" t="str">
        <f>IF(Tabla1[[#This Row],[5]]="TPD",Tabla1[[#This Row],[6]],"")</f>
        <v/>
      </c>
      <c r="I1033" s="52" t="str">
        <f>IF(OR(Tabla1[[#This Row],[5]]="TPD"),Tabla1[[#This Row],[7]],"")</f>
        <v/>
      </c>
      <c r="J1033" s="52">
        <f>IF(Tabla15[[#This Row],[2]]="",0,VLOOKUP(TRAMOS!$H$2,Tabla5[#All],3,FALSE)*Tabla15[[#This Row],[3]])</f>
        <v>0</v>
      </c>
      <c r="K1033" s="52" t="str">
        <f>IF(Tabla1[[#This Row],[5]]="TPL",Tabla1[[#This Row],[6]],"")</f>
        <v>2"</v>
      </c>
      <c r="L1033" s="52">
        <f>IF(OR(Tabla1[[#This Row],[5]]="TPL"),Tabla1[[#This Row],[7]],"")</f>
        <v>1</v>
      </c>
      <c r="M1033" s="52">
        <f>IF(Tabla15[[#This Row],[5]]="",0,VLOOKUP(TRAMOS!$K$2,Tabla5[#All],3,FALSE)*Tabla15[[#This Row],[6]])</f>
        <v>0.9</v>
      </c>
      <c r="N103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3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33" s="52">
        <f>IF(Tabla15[[#This Row],[8]]="",0,VLOOKUP(TRAMOS!$H$2,Tabla5[#All],3,FALSE)*Tabla15[[#This Row],[9]])</f>
        <v>0</v>
      </c>
      <c r="Q103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3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33" s="52">
        <f>IF(Tabla15[[#This Row],[11]]="",0,VLOOKUP(TRAMOS!$Q$2,Tabla5[#All],3,FALSE)*Tabla15[[#This Row],[12]])</f>
        <v>0</v>
      </c>
      <c r="T103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1"</v>
      </c>
      <c r="U1033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03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103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3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3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3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3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33" s="52">
        <f>IF(Tabla15[[#This Row],[20]]="",0,VLOOKUP("VRP",Tabla5[#All],3,FALSE)*Tabla15[[#This Row],[21]])</f>
        <v>0</v>
      </c>
      <c r="AC103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3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33" s="52">
        <f>IF(Tabla15[[#This Row],[23]]="",0,VLOOKUP("VC",Tabla5[#All],3,FALSE)*Tabla15[[#This Row],[24]])</f>
        <v>0</v>
      </c>
      <c r="AF103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3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33" s="52">
        <f>IF(Tabla15[[#This Row],[26]]="",0,VLOOKUP(TRAMOS!$K$2,Tabla5[#All],3,FALSE)*Tabla15[[#This Row],[27]])</f>
        <v>0</v>
      </c>
      <c r="AI103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3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3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3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3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1"</v>
      </c>
      <c r="AN1033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03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1.27</v>
      </c>
    </row>
    <row r="1034" spans="2:41" x14ac:dyDescent="0.25">
      <c r="B1034" s="58" t="str">
        <f>Tabla1[[#This Row],[nudo inicial]]</f>
        <v>N553</v>
      </c>
      <c r="C1034" s="58" t="str">
        <f>Tabla1[[#This Row],[nudo final]]</f>
        <v>N554</v>
      </c>
      <c r="D1034" s="51">
        <f>Tabla1[[#This Row],[longitud]]</f>
        <v>9</v>
      </c>
      <c r="E1034" s="51" t="str">
        <f>Tabla1[[#This Row],[diametro]]</f>
        <v>2"</v>
      </c>
      <c r="F1034" s="51" t="str">
        <f>Tabla1[[#This Row],[material]]</f>
        <v>PVC</v>
      </c>
      <c r="G103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034" s="52" t="str">
        <f>IF(Tabla1[[#This Row],[5]]="TPD",Tabla1[[#This Row],[6]],"")</f>
        <v>2"</v>
      </c>
      <c r="I1034" s="52">
        <f>IF(OR(Tabla1[[#This Row],[5]]="TPD"),Tabla1[[#This Row],[7]],"")</f>
        <v>1</v>
      </c>
      <c r="J1034" s="52">
        <f>IF(Tabla15[[#This Row],[2]]="",0,VLOOKUP(TRAMOS!$H$2,Tabla5[#All],3,FALSE)*Tabla15[[#This Row],[3]])</f>
        <v>0.15</v>
      </c>
      <c r="K1034" s="52" t="str">
        <f>IF(Tabla1[[#This Row],[5]]="TPL",Tabla1[[#This Row],[6]],"")</f>
        <v/>
      </c>
      <c r="L1034" s="52" t="str">
        <f>IF(OR(Tabla1[[#This Row],[5]]="TPL"),Tabla1[[#This Row],[7]],"")</f>
        <v/>
      </c>
      <c r="M1034" s="52">
        <f>IF(Tabla15[[#This Row],[5]]="",0,VLOOKUP(TRAMOS!$K$2,Tabla5[#All],3,FALSE)*Tabla15[[#This Row],[6]])</f>
        <v>0</v>
      </c>
      <c r="N103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3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34" s="52">
        <f>IF(Tabla15[[#This Row],[8]]="",0,VLOOKUP(TRAMOS!$H$2,Tabla5[#All],3,FALSE)*Tabla15[[#This Row],[9]])</f>
        <v>0</v>
      </c>
      <c r="Q103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1034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1034" s="52">
        <f>IF(Tabla15[[#This Row],[11]]="",0,VLOOKUP(TRAMOS!$Q$2,Tabla5[#All],3,FALSE)*Tabla15[[#This Row],[12]])</f>
        <v>0.9</v>
      </c>
      <c r="T103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3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3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3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3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3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3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3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34" s="52">
        <f>IF(Tabla15[[#This Row],[20]]="",0,VLOOKUP("VRP",Tabla5[#All],3,FALSE)*Tabla15[[#This Row],[21]])</f>
        <v>0</v>
      </c>
      <c r="AC103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3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34" s="52">
        <f>IF(Tabla15[[#This Row],[23]]="",0,VLOOKUP("VC",Tabla5[#All],3,FALSE)*Tabla15[[#This Row],[24]])</f>
        <v>0</v>
      </c>
      <c r="AF103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3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34" s="52">
        <f>IF(Tabla15[[#This Row],[26]]="",0,VLOOKUP(TRAMOS!$K$2,Tabla5[#All],3,FALSE)*Tabla15[[#This Row],[27]])</f>
        <v>0</v>
      </c>
      <c r="AI103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3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3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3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3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3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3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1035" spans="2:41" x14ac:dyDescent="0.25">
      <c r="B1035" s="58" t="str">
        <f>Tabla1[[#This Row],[nudo inicial]]</f>
        <v>N554</v>
      </c>
      <c r="C1035" s="58" t="str">
        <f>Tabla1[[#This Row],[nudo final]]</f>
        <v>N550</v>
      </c>
      <c r="D1035" s="51">
        <f>Tabla1[[#This Row],[longitud]]</f>
        <v>29.78</v>
      </c>
      <c r="E1035" s="51" t="str">
        <f>Tabla1[[#This Row],[diametro]]</f>
        <v>2"</v>
      </c>
      <c r="F1035" s="51" t="str">
        <f>Tabla1[[#This Row],[material]]</f>
        <v>PVC</v>
      </c>
      <c r="G103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035" s="52" t="str">
        <f>IF(Tabla1[[#This Row],[5]]="TPD",Tabla1[[#This Row],[6]],"")</f>
        <v>2"</v>
      </c>
      <c r="I1035" s="52">
        <f>IF(OR(Tabla1[[#This Row],[5]]="TPD"),Tabla1[[#This Row],[7]],"")</f>
        <v>1</v>
      </c>
      <c r="J1035" s="52">
        <f>IF(Tabla15[[#This Row],[2]]="",0,VLOOKUP(TRAMOS!$H$2,Tabla5[#All],3,FALSE)*Tabla15[[#This Row],[3]])</f>
        <v>0.15</v>
      </c>
      <c r="K1035" s="52" t="str">
        <f>IF(Tabla1[[#This Row],[5]]="TPL",Tabla1[[#This Row],[6]],"")</f>
        <v/>
      </c>
      <c r="L1035" s="52" t="str">
        <f>IF(OR(Tabla1[[#This Row],[5]]="TPL"),Tabla1[[#This Row],[7]],"")</f>
        <v/>
      </c>
      <c r="M1035" s="52">
        <f>IF(Tabla15[[#This Row],[5]]="",0,VLOOKUP(TRAMOS!$K$2,Tabla5[#All],3,FALSE)*Tabla15[[#This Row],[6]])</f>
        <v>0</v>
      </c>
      <c r="N103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3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35" s="52">
        <f>IF(Tabla15[[#This Row],[8]]="",0,VLOOKUP(TRAMOS!$H$2,Tabla5[#All],3,FALSE)*Tabla15[[#This Row],[9]])</f>
        <v>0</v>
      </c>
      <c r="Q103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3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35" s="52">
        <f>IF(Tabla15[[#This Row],[11]]="",0,VLOOKUP(TRAMOS!$Q$2,Tabla5[#All],3,FALSE)*Tabla15[[#This Row],[12]])</f>
        <v>0</v>
      </c>
      <c r="T103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3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3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3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>3"</v>
      </c>
      <c r="X1035" s="52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>1</v>
      </c>
      <c r="Y103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0.57000000000000006</v>
      </c>
      <c r="Z103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3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35" s="52">
        <f>IF(Tabla15[[#This Row],[20]]="",0,VLOOKUP("VRP",Tabla5[#All],3,FALSE)*Tabla15[[#This Row],[21]])</f>
        <v>0</v>
      </c>
      <c r="AC103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3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35" s="52">
        <f>IF(Tabla15[[#This Row],[23]]="",0,VLOOKUP("VC",Tabla5[#All],3,FALSE)*Tabla15[[#This Row],[24]])</f>
        <v>0</v>
      </c>
      <c r="AF103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3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35" s="52">
        <f>IF(Tabla15[[#This Row],[26]]="",0,VLOOKUP(TRAMOS!$K$2,Tabla5[#All],3,FALSE)*Tabla15[[#This Row],[27]])</f>
        <v>0</v>
      </c>
      <c r="AI103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3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3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3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3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3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3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0.72000000000000008</v>
      </c>
    </row>
    <row r="1036" spans="2:41" x14ac:dyDescent="0.25">
      <c r="B1036" s="58" t="str">
        <f>Tabla1[[#This Row],[nudo inicial]]</f>
        <v>N554</v>
      </c>
      <c r="C1036" s="58" t="str">
        <f>Tabla1[[#This Row],[nudo final]]</f>
        <v>N555</v>
      </c>
      <c r="D1036" s="51">
        <f>Tabla1[[#This Row],[longitud]]</f>
        <v>117.41</v>
      </c>
      <c r="E1036" s="51" t="str">
        <f>Tabla1[[#This Row],[diametro]]</f>
        <v>2"</v>
      </c>
      <c r="F1036" s="51" t="str">
        <f>Tabla1[[#This Row],[material]]</f>
        <v>PVC</v>
      </c>
      <c r="G103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036" s="52" t="str">
        <f>IF(Tabla1[[#This Row],[5]]="TPD",Tabla1[[#This Row],[6]],"")</f>
        <v/>
      </c>
      <c r="I1036" s="52" t="str">
        <f>IF(OR(Tabla1[[#This Row],[5]]="TPD"),Tabla1[[#This Row],[7]],"")</f>
        <v/>
      </c>
      <c r="J1036" s="52">
        <f>IF(Tabla15[[#This Row],[2]]="",0,VLOOKUP(TRAMOS!$H$2,Tabla5[#All],3,FALSE)*Tabla15[[#This Row],[3]])</f>
        <v>0</v>
      </c>
      <c r="K1036" s="52" t="str">
        <f>IF(Tabla1[[#This Row],[5]]="TPL",Tabla1[[#This Row],[6]],"")</f>
        <v>2"</v>
      </c>
      <c r="L1036" s="52">
        <f>IF(OR(Tabla1[[#This Row],[5]]="TPL"),Tabla1[[#This Row],[7]],"")</f>
        <v>1</v>
      </c>
      <c r="M1036" s="52">
        <f>IF(Tabla15[[#This Row],[5]]="",0,VLOOKUP(TRAMOS!$K$2,Tabla5[#All],3,FALSE)*Tabla15[[#This Row],[6]])</f>
        <v>0.9</v>
      </c>
      <c r="N103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3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36" s="52">
        <f>IF(Tabla15[[#This Row],[8]]="",0,VLOOKUP(TRAMOS!$H$2,Tabla5[#All],3,FALSE)*Tabla15[[#This Row],[9]])</f>
        <v>0</v>
      </c>
      <c r="Q103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3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36" s="52">
        <f>IF(Tabla15[[#This Row],[11]]="",0,VLOOKUP(TRAMOS!$Q$2,Tabla5[#All],3,FALSE)*Tabla15[[#This Row],[12]])</f>
        <v>0</v>
      </c>
      <c r="T103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3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3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3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3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3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3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3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36" s="52">
        <f>IF(Tabla15[[#This Row],[20]]="",0,VLOOKUP("VRP",Tabla5[#All],3,FALSE)*Tabla15[[#This Row],[21]])</f>
        <v>0</v>
      </c>
      <c r="AC103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3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36" s="52">
        <f>IF(Tabla15[[#This Row],[23]]="",0,VLOOKUP("VC",Tabla5[#All],3,FALSE)*Tabla15[[#This Row],[24]])</f>
        <v>0</v>
      </c>
      <c r="AF103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3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36" s="52">
        <f>IF(Tabla15[[#This Row],[26]]="",0,VLOOKUP(TRAMOS!$K$2,Tabla5[#All],3,FALSE)*Tabla15[[#This Row],[27]])</f>
        <v>0</v>
      </c>
      <c r="AI103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3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3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3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3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3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3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037" spans="2:41" x14ac:dyDescent="0.25">
      <c r="B1037" s="58" t="str">
        <f>Tabla1[[#This Row],[nudo inicial]]</f>
        <v>N555</v>
      </c>
      <c r="C1037" s="58" t="str">
        <f>Tabla1[[#This Row],[nudo final]]</f>
        <v>TP366</v>
      </c>
      <c r="D1037" s="51">
        <f>Tabla1[[#This Row],[longitud]]</f>
        <v>24.22</v>
      </c>
      <c r="E1037" s="51" t="str">
        <f>Tabla1[[#This Row],[diametro]]</f>
        <v>2"</v>
      </c>
      <c r="F1037" s="51" t="str">
        <f>Tabla1[[#This Row],[material]]</f>
        <v>PVC</v>
      </c>
      <c r="G103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037" s="52" t="str">
        <f>IF(Tabla1[[#This Row],[5]]="TPD",Tabla1[[#This Row],[6]],"")</f>
        <v>2"</v>
      </c>
      <c r="I1037" s="52">
        <f>IF(OR(Tabla1[[#This Row],[5]]="TPD"),Tabla1[[#This Row],[7]],"")</f>
        <v>1</v>
      </c>
      <c r="J1037" s="52">
        <f>IF(Tabla15[[#This Row],[2]]="",0,VLOOKUP(TRAMOS!$H$2,Tabla5[#All],3,FALSE)*Tabla15[[#This Row],[3]])</f>
        <v>0.15</v>
      </c>
      <c r="K1037" s="52" t="str">
        <f>IF(Tabla1[[#This Row],[5]]="TPL",Tabla1[[#This Row],[6]],"")</f>
        <v/>
      </c>
      <c r="L1037" s="52" t="str">
        <f>IF(OR(Tabla1[[#This Row],[5]]="TPL"),Tabla1[[#This Row],[7]],"")</f>
        <v/>
      </c>
      <c r="M1037" s="52">
        <f>IF(Tabla15[[#This Row],[5]]="",0,VLOOKUP(TRAMOS!$K$2,Tabla5[#All],3,FALSE)*Tabla15[[#This Row],[6]])</f>
        <v>0</v>
      </c>
      <c r="N103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3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37" s="52">
        <f>IF(Tabla15[[#This Row],[8]]="",0,VLOOKUP(TRAMOS!$H$2,Tabla5[#All],3,FALSE)*Tabla15[[#This Row],[9]])</f>
        <v>0</v>
      </c>
      <c r="Q103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1037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1037" s="52">
        <f>IF(Tabla15[[#This Row],[11]]="",0,VLOOKUP(TRAMOS!$Q$2,Tabla5[#All],3,FALSE)*Tabla15[[#This Row],[12]])</f>
        <v>0.9</v>
      </c>
      <c r="T103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3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3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3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3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3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3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3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37" s="52">
        <f>IF(Tabla15[[#This Row],[20]]="",0,VLOOKUP("VRP",Tabla5[#All],3,FALSE)*Tabla15[[#This Row],[21]])</f>
        <v>0</v>
      </c>
      <c r="AC103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3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37" s="52">
        <f>IF(Tabla15[[#This Row],[23]]="",0,VLOOKUP("VC",Tabla5[#All],3,FALSE)*Tabla15[[#This Row],[24]])</f>
        <v>0</v>
      </c>
      <c r="AF103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3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37" s="52">
        <f>IF(Tabla15[[#This Row],[26]]="",0,VLOOKUP(TRAMOS!$K$2,Tabla5[#All],3,FALSE)*Tabla15[[#This Row],[27]])</f>
        <v>0</v>
      </c>
      <c r="AI103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3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3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3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3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037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03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1038" spans="2:41" x14ac:dyDescent="0.25">
      <c r="B1038" s="58" t="str">
        <f>Tabla1[[#This Row],[nudo inicial]]</f>
        <v>N555</v>
      </c>
      <c r="C1038" s="58" t="str">
        <f>Tabla1[[#This Row],[nudo final]]</f>
        <v>TP367</v>
      </c>
      <c r="D1038" s="51">
        <f>Tabla1[[#This Row],[longitud]]</f>
        <v>65.099999999999994</v>
      </c>
      <c r="E1038" s="51" t="str">
        <f>Tabla1[[#This Row],[diametro]]</f>
        <v>2"</v>
      </c>
      <c r="F1038" s="51" t="str">
        <f>Tabla1[[#This Row],[material]]</f>
        <v>PVC</v>
      </c>
      <c r="G103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038" s="52" t="str">
        <f>IF(Tabla1[[#This Row],[5]]="TPD",Tabla1[[#This Row],[6]],"")</f>
        <v/>
      </c>
      <c r="I1038" s="52" t="str">
        <f>IF(OR(Tabla1[[#This Row],[5]]="TPD"),Tabla1[[#This Row],[7]],"")</f>
        <v/>
      </c>
      <c r="J1038" s="52">
        <f>IF(Tabla15[[#This Row],[2]]="",0,VLOOKUP(TRAMOS!$H$2,Tabla5[#All],3,FALSE)*Tabla15[[#This Row],[3]])</f>
        <v>0</v>
      </c>
      <c r="K1038" s="52" t="str">
        <f>IF(Tabla1[[#This Row],[5]]="TPL",Tabla1[[#This Row],[6]],"")</f>
        <v>2"</v>
      </c>
      <c r="L1038" s="52">
        <f>IF(OR(Tabla1[[#This Row],[5]]="TPL"),Tabla1[[#This Row],[7]],"")</f>
        <v>1</v>
      </c>
      <c r="M1038" s="52">
        <f>IF(Tabla15[[#This Row],[5]]="",0,VLOOKUP(TRAMOS!$K$2,Tabla5[#All],3,FALSE)*Tabla15[[#This Row],[6]])</f>
        <v>0.9</v>
      </c>
      <c r="N103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3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38" s="52">
        <f>IF(Tabla15[[#This Row],[8]]="",0,VLOOKUP(TRAMOS!$H$2,Tabla5[#All],3,FALSE)*Tabla15[[#This Row],[9]])</f>
        <v>0</v>
      </c>
      <c r="Q103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3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38" s="52">
        <f>IF(Tabla15[[#This Row],[11]]="",0,VLOOKUP(TRAMOS!$Q$2,Tabla5[#All],3,FALSE)*Tabla15[[#This Row],[12]])</f>
        <v>0</v>
      </c>
      <c r="T103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3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3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3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3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3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3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3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38" s="52">
        <f>IF(Tabla15[[#This Row],[20]]="",0,VLOOKUP("VRP",Tabla5[#All],3,FALSE)*Tabla15[[#This Row],[21]])</f>
        <v>0</v>
      </c>
      <c r="AC103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3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38" s="52">
        <f>IF(Tabla15[[#This Row],[23]]="",0,VLOOKUP("VC",Tabla5[#All],3,FALSE)*Tabla15[[#This Row],[24]])</f>
        <v>0</v>
      </c>
      <c r="AF103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3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38" s="52">
        <f>IF(Tabla15[[#This Row],[26]]="",0,VLOOKUP(TRAMOS!$K$2,Tabla5[#All],3,FALSE)*Tabla15[[#This Row],[27]])</f>
        <v>0</v>
      </c>
      <c r="AI103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3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3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3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3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038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03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039" spans="2:41" x14ac:dyDescent="0.25">
      <c r="B1039" s="58" t="str">
        <f>Tabla1[[#This Row],[nudo inicial]]</f>
        <v>N543</v>
      </c>
      <c r="C1039" s="58" t="str">
        <f>Tabla1[[#This Row],[nudo final]]</f>
        <v>N556</v>
      </c>
      <c r="D1039" s="51">
        <f>Tabla1[[#This Row],[longitud]]</f>
        <v>230.69</v>
      </c>
      <c r="E1039" s="51" t="str">
        <f>Tabla1[[#This Row],[diametro]]</f>
        <v>4"</v>
      </c>
      <c r="F1039" s="51" t="str">
        <f>Tabla1[[#This Row],[material]]</f>
        <v>PVC</v>
      </c>
      <c r="G103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1039" s="52" t="str">
        <f>IF(Tabla1[[#This Row],[5]]="TPD",Tabla1[[#This Row],[6]],"")</f>
        <v>4"</v>
      </c>
      <c r="I1039" s="52">
        <f>IF(OR(Tabla1[[#This Row],[5]]="TPD"),Tabla1[[#This Row],[7]],"")</f>
        <v>1</v>
      </c>
      <c r="J1039" s="52">
        <f>IF(Tabla15[[#This Row],[2]]="",0,VLOOKUP(TRAMOS!$H$2,Tabla5[#All],3,FALSE)*Tabla15[[#This Row],[3]])</f>
        <v>0.15</v>
      </c>
      <c r="K1039" s="52" t="str">
        <f>IF(Tabla1[[#This Row],[5]]="TPL",Tabla1[[#This Row],[6]],"")</f>
        <v/>
      </c>
      <c r="L1039" s="52" t="str">
        <f>IF(OR(Tabla1[[#This Row],[5]]="TPL"),Tabla1[[#This Row],[7]],"")</f>
        <v/>
      </c>
      <c r="M1039" s="52">
        <f>IF(Tabla15[[#This Row],[5]]="",0,VLOOKUP(TRAMOS!$K$2,Tabla5[#All],3,FALSE)*Tabla15[[#This Row],[6]])</f>
        <v>0</v>
      </c>
      <c r="N103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3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39" s="52">
        <f>IF(Tabla15[[#This Row],[8]]="",0,VLOOKUP(TRAMOS!$H$2,Tabla5[#All],3,FALSE)*Tabla15[[#This Row],[9]])</f>
        <v>0</v>
      </c>
      <c r="Q103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3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39" s="52">
        <f>IF(Tabla15[[#This Row],[11]]="",0,VLOOKUP(TRAMOS!$Q$2,Tabla5[#All],3,FALSE)*Tabla15[[#This Row],[12]])</f>
        <v>0</v>
      </c>
      <c r="T103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3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3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3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3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3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3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3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39" s="52">
        <f>IF(Tabla15[[#This Row],[20]]="",0,VLOOKUP("VRP",Tabla5[#All],3,FALSE)*Tabla15[[#This Row],[21]])</f>
        <v>0</v>
      </c>
      <c r="AC103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4"</v>
      </c>
      <c r="AD1039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1039" s="52">
        <f>IF(Tabla15[[#This Row],[23]]="",0,VLOOKUP("VC",Tabla5[#All],3,FALSE)*Tabla15[[#This Row],[24]])</f>
        <v>0.25</v>
      </c>
      <c r="AF103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3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39" s="52">
        <f>IF(Tabla15[[#This Row],[26]]="",0,VLOOKUP(TRAMOS!$K$2,Tabla5[#All],3,FALSE)*Tabla15[[#This Row],[27]])</f>
        <v>0</v>
      </c>
      <c r="AI103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3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3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3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3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3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3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0.4</v>
      </c>
    </row>
    <row r="1040" spans="2:41" x14ac:dyDescent="0.25">
      <c r="B1040" s="58" t="str">
        <f>Tabla1[[#This Row],[nudo inicial]]</f>
        <v>N556</v>
      </c>
      <c r="C1040" s="58" t="str">
        <f>Tabla1[[#This Row],[nudo final]]</f>
        <v>TP368</v>
      </c>
      <c r="D1040" s="51">
        <f>Tabla1[[#This Row],[longitud]]</f>
        <v>21.3</v>
      </c>
      <c r="E1040" s="51" t="str">
        <f>Tabla1[[#This Row],[diametro]]</f>
        <v>1"</v>
      </c>
      <c r="F1040" s="51" t="str">
        <f>Tabla1[[#This Row],[material]]</f>
        <v>PVC</v>
      </c>
      <c r="G104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1040" s="52" t="str">
        <f>IF(Tabla1[[#This Row],[5]]="TPD",Tabla1[[#This Row],[6]],"")</f>
        <v/>
      </c>
      <c r="I1040" s="52" t="str">
        <f>IF(OR(Tabla1[[#This Row],[5]]="TPD"),Tabla1[[#This Row],[7]],"")</f>
        <v/>
      </c>
      <c r="J1040" s="52">
        <f>IF(Tabla15[[#This Row],[2]]="",0,VLOOKUP(TRAMOS!$H$2,Tabla5[#All],3,FALSE)*Tabla15[[#This Row],[3]])</f>
        <v>0</v>
      </c>
      <c r="K1040" s="52" t="str">
        <f>IF(Tabla1[[#This Row],[5]]="TPL",Tabla1[[#This Row],[6]],"")</f>
        <v>4"</v>
      </c>
      <c r="L1040" s="52">
        <f>IF(OR(Tabla1[[#This Row],[5]]="TPL"),Tabla1[[#This Row],[7]],"")</f>
        <v>1</v>
      </c>
      <c r="M1040" s="52">
        <f>IF(Tabla15[[#This Row],[5]]="",0,VLOOKUP(TRAMOS!$K$2,Tabla5[#All],3,FALSE)*Tabla15[[#This Row],[6]])</f>
        <v>0.9</v>
      </c>
      <c r="N104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4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40" s="52">
        <f>IF(Tabla15[[#This Row],[8]]="",0,VLOOKUP(TRAMOS!$H$2,Tabla5[#All],3,FALSE)*Tabla15[[#This Row],[9]])</f>
        <v>0</v>
      </c>
      <c r="Q104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4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40" s="52">
        <f>IF(Tabla15[[#This Row],[11]]="",0,VLOOKUP(TRAMOS!$Q$2,Tabla5[#All],3,FALSE)*Tabla15[[#This Row],[12]])</f>
        <v>0</v>
      </c>
      <c r="T104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1"</v>
      </c>
      <c r="U1040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04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0.45</v>
      </c>
      <c r="W104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4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4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4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4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40" s="52">
        <f>IF(Tabla15[[#This Row],[20]]="",0,VLOOKUP("VRP",Tabla5[#All],3,FALSE)*Tabla15[[#This Row],[21]])</f>
        <v>0</v>
      </c>
      <c r="AC104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4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40" s="52">
        <f>IF(Tabla15[[#This Row],[23]]="",0,VLOOKUP("VC",Tabla5[#All],3,FALSE)*Tabla15[[#This Row],[24]])</f>
        <v>0</v>
      </c>
      <c r="AF104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4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40" s="52">
        <f>IF(Tabla15[[#This Row],[26]]="",0,VLOOKUP(TRAMOS!$K$2,Tabla5[#All],3,FALSE)*Tabla15[[#This Row],[27]])</f>
        <v>0</v>
      </c>
      <c r="AI104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4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4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4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4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1"</v>
      </c>
      <c r="AN1040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04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1.35</v>
      </c>
    </row>
    <row r="1041" spans="2:41" x14ac:dyDescent="0.25">
      <c r="B1041" s="58" t="str">
        <f>Tabla1[[#This Row],[nudo inicial]]</f>
        <v>N556</v>
      </c>
      <c r="C1041" s="58" t="str">
        <f>Tabla1[[#This Row],[nudo final]]</f>
        <v>N557</v>
      </c>
      <c r="D1041" s="51">
        <f>Tabla1[[#This Row],[longitud]]</f>
        <v>70.41</v>
      </c>
      <c r="E1041" s="51" t="str">
        <f>Tabla1[[#This Row],[diametro]]</f>
        <v>4"</v>
      </c>
      <c r="F1041" s="51" t="str">
        <f>Tabla1[[#This Row],[material]]</f>
        <v>PVC</v>
      </c>
      <c r="G104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1041" s="52" t="str">
        <f>IF(Tabla1[[#This Row],[5]]="TPD",Tabla1[[#This Row],[6]],"")</f>
        <v/>
      </c>
      <c r="I1041" s="52" t="str">
        <f>IF(OR(Tabla1[[#This Row],[5]]="TPD"),Tabla1[[#This Row],[7]],"")</f>
        <v/>
      </c>
      <c r="J1041" s="52">
        <f>IF(Tabla15[[#This Row],[2]]="",0,VLOOKUP(TRAMOS!$H$2,Tabla5[#All],3,FALSE)*Tabla15[[#This Row],[3]])</f>
        <v>0</v>
      </c>
      <c r="K1041" s="52" t="str">
        <f>IF(Tabla1[[#This Row],[5]]="TPL",Tabla1[[#This Row],[6]],"")</f>
        <v>4"</v>
      </c>
      <c r="L1041" s="52">
        <f>IF(OR(Tabla1[[#This Row],[5]]="TPL"),Tabla1[[#This Row],[7]],"")</f>
        <v>1</v>
      </c>
      <c r="M1041" s="52">
        <f>IF(Tabla15[[#This Row],[5]]="",0,VLOOKUP(TRAMOS!$K$2,Tabla5[#All],3,FALSE)*Tabla15[[#This Row],[6]])</f>
        <v>0.9</v>
      </c>
      <c r="N104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4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41" s="52">
        <f>IF(Tabla15[[#This Row],[8]]="",0,VLOOKUP(TRAMOS!$H$2,Tabla5[#All],3,FALSE)*Tabla15[[#This Row],[9]])</f>
        <v>0</v>
      </c>
      <c r="Q104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4"</v>
      </c>
      <c r="R1041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1041" s="52">
        <f>IF(Tabla15[[#This Row],[11]]="",0,VLOOKUP(TRAMOS!$Q$2,Tabla5[#All],3,FALSE)*Tabla15[[#This Row],[12]])</f>
        <v>0.9</v>
      </c>
      <c r="T104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4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4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4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4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4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4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4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41" s="52">
        <f>IF(Tabla15[[#This Row],[20]]="",0,VLOOKUP("VRP",Tabla5[#All],3,FALSE)*Tabla15[[#This Row],[21]])</f>
        <v>0</v>
      </c>
      <c r="AC104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4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41" s="52">
        <f>IF(Tabla15[[#This Row],[23]]="",0,VLOOKUP("VC",Tabla5[#All],3,FALSE)*Tabla15[[#This Row],[24]])</f>
        <v>0</v>
      </c>
      <c r="AF104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4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41" s="52">
        <f>IF(Tabla15[[#This Row],[26]]="",0,VLOOKUP(TRAMOS!$K$2,Tabla5[#All],3,FALSE)*Tabla15[[#This Row],[27]])</f>
        <v>0</v>
      </c>
      <c r="AI104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4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4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4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4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4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4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1.8</v>
      </c>
    </row>
    <row r="1042" spans="2:41" x14ac:dyDescent="0.25">
      <c r="B1042" s="58" t="str">
        <f>Tabla1[[#This Row],[nudo inicial]]</f>
        <v>N557</v>
      </c>
      <c r="C1042" s="58" t="str">
        <f>Tabla1[[#This Row],[nudo final]]</f>
        <v>N558</v>
      </c>
      <c r="D1042" s="51">
        <f>Tabla1[[#This Row],[longitud]]</f>
        <v>9.9</v>
      </c>
      <c r="E1042" s="51" t="str">
        <f>Tabla1[[#This Row],[diametro]]</f>
        <v>3"</v>
      </c>
      <c r="F1042" s="51" t="str">
        <f>Tabla1[[#This Row],[material]]</f>
        <v>HF</v>
      </c>
      <c r="G104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1042" s="52" t="str">
        <f>IF(Tabla1[[#This Row],[5]]="TPD",Tabla1[[#This Row],[6]],"")</f>
        <v/>
      </c>
      <c r="I1042" s="52" t="str">
        <f>IF(OR(Tabla1[[#This Row],[5]]="TPD"),Tabla1[[#This Row],[7]],"")</f>
        <v/>
      </c>
      <c r="J1042" s="52">
        <f>IF(Tabla15[[#This Row],[2]]="",0,VLOOKUP(TRAMOS!$H$2,Tabla5[#All],3,FALSE)*Tabla15[[#This Row],[3]])</f>
        <v>0</v>
      </c>
      <c r="K1042" s="52" t="str">
        <f>IF(Tabla1[[#This Row],[5]]="TPL",Tabla1[[#This Row],[6]],"")</f>
        <v>4"</v>
      </c>
      <c r="L1042" s="52">
        <f>IF(OR(Tabla1[[#This Row],[5]]="TPL"),Tabla1[[#This Row],[7]],"")</f>
        <v>1</v>
      </c>
      <c r="M1042" s="52">
        <f>IF(Tabla15[[#This Row],[5]]="",0,VLOOKUP(TRAMOS!$K$2,Tabla5[#All],3,FALSE)*Tabla15[[#This Row],[6]])</f>
        <v>0.9</v>
      </c>
      <c r="N104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4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42" s="52">
        <f>IF(Tabla15[[#This Row],[8]]="",0,VLOOKUP(TRAMOS!$H$2,Tabla5[#All],3,FALSE)*Tabla15[[#This Row],[9]])</f>
        <v>0</v>
      </c>
      <c r="Q104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4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42" s="52">
        <f>IF(Tabla15[[#This Row],[11]]="",0,VLOOKUP(TRAMOS!$Q$2,Tabla5[#All],3,FALSE)*Tabla15[[#This Row],[12]])</f>
        <v>0</v>
      </c>
      <c r="T104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1042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04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0.13850000000000007</v>
      </c>
      <c r="W104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4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4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4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4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42" s="52">
        <f>IF(Tabla15[[#This Row],[20]]="",0,VLOOKUP("VRP",Tabla5[#All],3,FALSE)*Tabla15[[#This Row],[21]])</f>
        <v>0</v>
      </c>
      <c r="AC104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1042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1042" s="52">
        <f>IF(Tabla15[[#This Row],[23]]="",0,VLOOKUP("VC",Tabla5[#All],3,FALSE)*Tabla15[[#This Row],[24]])</f>
        <v>0.25</v>
      </c>
      <c r="AF104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4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42" s="52">
        <f>IF(Tabla15[[#This Row],[26]]="",0,VLOOKUP(TRAMOS!$K$2,Tabla5[#All],3,FALSE)*Tabla15[[#This Row],[27]])</f>
        <v>0</v>
      </c>
      <c r="AI104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4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4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4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4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4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4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1.2885</v>
      </c>
    </row>
    <row r="1043" spans="2:41" x14ac:dyDescent="0.25">
      <c r="B1043" s="58" t="str">
        <f>Tabla1[[#This Row],[nudo inicial]]</f>
        <v>N558</v>
      </c>
      <c r="C1043" s="58" t="str">
        <f>Tabla1[[#This Row],[nudo final]]</f>
        <v>N559</v>
      </c>
      <c r="D1043" s="51">
        <f>Tabla1[[#This Row],[longitud]]</f>
        <v>133.34</v>
      </c>
      <c r="E1043" s="51" t="str">
        <f>Tabla1[[#This Row],[diametro]]</f>
        <v>3"</v>
      </c>
      <c r="F1043" s="51" t="str">
        <f>Tabla1[[#This Row],[material]]</f>
        <v>HF</v>
      </c>
      <c r="G104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043" s="52" t="str">
        <f>IF(Tabla1[[#This Row],[5]]="TPD",Tabla1[[#This Row],[6]],"")</f>
        <v/>
      </c>
      <c r="I1043" s="52" t="str">
        <f>IF(OR(Tabla1[[#This Row],[5]]="TPD"),Tabla1[[#This Row],[7]],"")</f>
        <v/>
      </c>
      <c r="J1043" s="52">
        <f>IF(Tabla15[[#This Row],[2]]="",0,VLOOKUP(TRAMOS!$H$2,Tabla5[#All],3,FALSE)*Tabla15[[#This Row],[3]])</f>
        <v>0</v>
      </c>
      <c r="K1043" s="52" t="str">
        <f>IF(Tabla1[[#This Row],[5]]="TPL",Tabla1[[#This Row],[6]],"")</f>
        <v>3"</v>
      </c>
      <c r="L1043" s="52">
        <f>IF(OR(Tabla1[[#This Row],[5]]="TPL"),Tabla1[[#This Row],[7]],"")</f>
        <v>1</v>
      </c>
      <c r="M1043" s="52">
        <f>IF(Tabla15[[#This Row],[5]]="",0,VLOOKUP(TRAMOS!$K$2,Tabla5[#All],3,FALSE)*Tabla15[[#This Row],[6]])</f>
        <v>0.9</v>
      </c>
      <c r="N104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4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43" s="52">
        <f>IF(Tabla15[[#This Row],[8]]="",0,VLOOKUP(TRAMOS!$H$2,Tabla5[#All],3,FALSE)*Tabla15[[#This Row],[9]])</f>
        <v>0</v>
      </c>
      <c r="Q104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4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43" s="52">
        <f>IF(Tabla15[[#This Row],[11]]="",0,VLOOKUP(TRAMOS!$Q$2,Tabla5[#All],3,FALSE)*Tabla15[[#This Row],[12]])</f>
        <v>0</v>
      </c>
      <c r="T104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4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4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4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4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4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4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4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43" s="52">
        <f>IF(Tabla15[[#This Row],[20]]="",0,VLOOKUP("VRP",Tabla5[#All],3,FALSE)*Tabla15[[#This Row],[21]])</f>
        <v>0</v>
      </c>
      <c r="AC104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4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43" s="52">
        <f>IF(Tabla15[[#This Row],[23]]="",0,VLOOKUP("VC",Tabla5[#All],3,FALSE)*Tabla15[[#This Row],[24]])</f>
        <v>0</v>
      </c>
      <c r="AF104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4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43" s="52">
        <f>IF(Tabla15[[#This Row],[26]]="",0,VLOOKUP(TRAMOS!$K$2,Tabla5[#All],3,FALSE)*Tabla15[[#This Row],[27]])</f>
        <v>0</v>
      </c>
      <c r="AI104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4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4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4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4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4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4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044" spans="2:41" x14ac:dyDescent="0.25">
      <c r="B1044" s="58" t="str">
        <f>Tabla1[[#This Row],[nudo inicial]]</f>
        <v>N558</v>
      </c>
      <c r="C1044" s="58" t="str">
        <f>Tabla1[[#This Row],[nudo final]]</f>
        <v>N560</v>
      </c>
      <c r="D1044" s="51">
        <f>Tabla1[[#This Row],[longitud]]</f>
        <v>51.11</v>
      </c>
      <c r="E1044" s="51" t="str">
        <f>Tabla1[[#This Row],[diametro]]</f>
        <v>3"</v>
      </c>
      <c r="F1044" s="51" t="str">
        <f>Tabla1[[#This Row],[material]]</f>
        <v>PVC</v>
      </c>
      <c r="G104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044" s="52" t="str">
        <f>IF(Tabla1[[#This Row],[5]]="TPD",Tabla1[[#This Row],[6]],"")</f>
        <v>3"</v>
      </c>
      <c r="I1044" s="52">
        <f>IF(OR(Tabla1[[#This Row],[5]]="TPD"),Tabla1[[#This Row],[7]],"")</f>
        <v>1</v>
      </c>
      <c r="J1044" s="52">
        <f>IF(Tabla15[[#This Row],[2]]="",0,VLOOKUP(TRAMOS!$H$2,Tabla5[#All],3,FALSE)*Tabla15[[#This Row],[3]])</f>
        <v>0.15</v>
      </c>
      <c r="K1044" s="52" t="str">
        <f>IF(Tabla1[[#This Row],[5]]="TPL",Tabla1[[#This Row],[6]],"")</f>
        <v/>
      </c>
      <c r="L1044" s="52" t="str">
        <f>IF(OR(Tabla1[[#This Row],[5]]="TPL"),Tabla1[[#This Row],[7]],"")</f>
        <v/>
      </c>
      <c r="M1044" s="52">
        <f>IF(Tabla15[[#This Row],[5]]="",0,VLOOKUP(TRAMOS!$K$2,Tabla5[#All],3,FALSE)*Tabla15[[#This Row],[6]])</f>
        <v>0</v>
      </c>
      <c r="N104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4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44" s="52">
        <f>IF(Tabla15[[#This Row],[8]]="",0,VLOOKUP(TRAMOS!$H$2,Tabla5[#All],3,FALSE)*Tabla15[[#This Row],[9]])</f>
        <v>0</v>
      </c>
      <c r="Q104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4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44" s="52">
        <f>IF(Tabla15[[#This Row],[11]]="",0,VLOOKUP(TRAMOS!$Q$2,Tabla5[#All],3,FALSE)*Tabla15[[#This Row],[12]])</f>
        <v>0</v>
      </c>
      <c r="T104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4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4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4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4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4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4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4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44" s="52">
        <f>IF(Tabla15[[#This Row],[20]]="",0,VLOOKUP("VRP",Tabla5[#All],3,FALSE)*Tabla15[[#This Row],[21]])</f>
        <v>0</v>
      </c>
      <c r="AC104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4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44" s="52">
        <f>IF(Tabla15[[#This Row],[23]]="",0,VLOOKUP("VC",Tabla5[#All],3,FALSE)*Tabla15[[#This Row],[24]])</f>
        <v>0</v>
      </c>
      <c r="AF104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4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44" s="52">
        <f>IF(Tabla15[[#This Row],[26]]="",0,VLOOKUP(TRAMOS!$K$2,Tabla5[#All],3,FALSE)*Tabla15[[#This Row],[27]])</f>
        <v>0</v>
      </c>
      <c r="AI104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4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4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4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4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4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4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045" spans="2:41" x14ac:dyDescent="0.25">
      <c r="B1045" s="58" t="str">
        <f>Tabla1[[#This Row],[nudo inicial]]</f>
        <v>N560</v>
      </c>
      <c r="C1045" s="58" t="str">
        <f>Tabla1[[#This Row],[nudo final]]</f>
        <v>N561</v>
      </c>
      <c r="D1045" s="51">
        <f>Tabla1[[#This Row],[longitud]]</f>
        <v>21.64</v>
      </c>
      <c r="E1045" s="51" t="str">
        <f>Tabla1[[#This Row],[diametro]]</f>
        <v>2"</v>
      </c>
      <c r="F1045" s="51" t="str">
        <f>Tabla1[[#This Row],[material]]</f>
        <v>PVC</v>
      </c>
      <c r="G104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045" s="52" t="str">
        <f>IF(Tabla1[[#This Row],[5]]="TPD",Tabla1[[#This Row],[6]],"")</f>
        <v/>
      </c>
      <c r="I1045" s="52" t="str">
        <f>IF(OR(Tabla1[[#This Row],[5]]="TPD"),Tabla1[[#This Row],[7]],"")</f>
        <v/>
      </c>
      <c r="J1045" s="52">
        <f>IF(Tabla15[[#This Row],[2]]="",0,VLOOKUP(TRAMOS!$H$2,Tabla5[#All],3,FALSE)*Tabla15[[#This Row],[3]])</f>
        <v>0</v>
      </c>
      <c r="K1045" s="52" t="str">
        <f>IF(Tabla1[[#This Row],[5]]="TPL",Tabla1[[#This Row],[6]],"")</f>
        <v>3"</v>
      </c>
      <c r="L1045" s="52">
        <f>IF(OR(Tabla1[[#This Row],[5]]="TPL"),Tabla1[[#This Row],[7]],"")</f>
        <v>1</v>
      </c>
      <c r="M1045" s="52">
        <f>IF(Tabla15[[#This Row],[5]]="",0,VLOOKUP(TRAMOS!$K$2,Tabla5[#All],3,FALSE)*Tabla15[[#This Row],[6]])</f>
        <v>0.9</v>
      </c>
      <c r="N104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4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45" s="52">
        <f>IF(Tabla15[[#This Row],[8]]="",0,VLOOKUP(TRAMOS!$H$2,Tabla5[#All],3,FALSE)*Tabla15[[#This Row],[9]])</f>
        <v>0</v>
      </c>
      <c r="Q104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4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45" s="52">
        <f>IF(Tabla15[[#This Row],[11]]="",0,VLOOKUP(TRAMOS!$Q$2,Tabla5[#All],3,FALSE)*Tabla15[[#This Row],[12]])</f>
        <v>0</v>
      </c>
      <c r="T104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1045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04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104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4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4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4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4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45" s="52">
        <f>IF(Tabla15[[#This Row],[20]]="",0,VLOOKUP("VRP",Tabla5[#All],3,FALSE)*Tabla15[[#This Row],[21]])</f>
        <v>0</v>
      </c>
      <c r="AC104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4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45" s="52">
        <f>IF(Tabla15[[#This Row],[23]]="",0,VLOOKUP("VC",Tabla5[#All],3,FALSE)*Tabla15[[#This Row],[24]])</f>
        <v>0</v>
      </c>
      <c r="AF104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4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45" s="52">
        <f>IF(Tabla15[[#This Row],[26]]="",0,VLOOKUP(TRAMOS!$K$2,Tabla5[#All],3,FALSE)*Tabla15[[#This Row],[27]])</f>
        <v>0</v>
      </c>
      <c r="AI104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4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4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4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4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4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4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1046" spans="2:41" x14ac:dyDescent="0.25">
      <c r="B1046" s="58" t="str">
        <f>Tabla1[[#This Row],[nudo inicial]]</f>
        <v>N561</v>
      </c>
      <c r="C1046" s="58" t="str">
        <f>Tabla1[[#This Row],[nudo final]]</f>
        <v>TP369</v>
      </c>
      <c r="D1046" s="51">
        <f>Tabla1[[#This Row],[longitud]]</f>
        <v>21.51</v>
      </c>
      <c r="E1046" s="51" t="str">
        <f>Tabla1[[#This Row],[diametro]]</f>
        <v>2"</v>
      </c>
      <c r="F1046" s="51" t="str">
        <f>Tabla1[[#This Row],[material]]</f>
        <v>PVC</v>
      </c>
      <c r="G104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046" s="52" t="str">
        <f>IF(Tabla1[[#This Row],[5]]="TPD",Tabla1[[#This Row],[6]],"")</f>
        <v/>
      </c>
      <c r="I1046" s="52" t="str">
        <f>IF(OR(Tabla1[[#This Row],[5]]="TPD"),Tabla1[[#This Row],[7]],"")</f>
        <v/>
      </c>
      <c r="J1046" s="52">
        <f>IF(Tabla15[[#This Row],[2]]="",0,VLOOKUP(TRAMOS!$H$2,Tabla5[#All],3,FALSE)*Tabla15[[#This Row],[3]])</f>
        <v>0</v>
      </c>
      <c r="K1046" s="52" t="str">
        <f>IF(Tabla1[[#This Row],[5]]="TPL",Tabla1[[#This Row],[6]],"")</f>
        <v>2"</v>
      </c>
      <c r="L1046" s="52">
        <f>IF(OR(Tabla1[[#This Row],[5]]="TPL"),Tabla1[[#This Row],[7]],"")</f>
        <v>1</v>
      </c>
      <c r="M1046" s="52">
        <f>IF(Tabla15[[#This Row],[5]]="",0,VLOOKUP(TRAMOS!$K$2,Tabla5[#All],3,FALSE)*Tabla15[[#This Row],[6]])</f>
        <v>0.9</v>
      </c>
      <c r="N104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4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46" s="52">
        <f>IF(Tabla15[[#This Row],[8]]="",0,VLOOKUP(TRAMOS!$H$2,Tabla5[#All],3,FALSE)*Tabla15[[#This Row],[9]])</f>
        <v>0</v>
      </c>
      <c r="Q104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4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46" s="52">
        <f>IF(Tabla15[[#This Row],[11]]="",0,VLOOKUP(TRAMOS!$Q$2,Tabla5[#All],3,FALSE)*Tabla15[[#This Row],[12]])</f>
        <v>0</v>
      </c>
      <c r="T104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4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4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4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4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4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4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4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46" s="52">
        <f>IF(Tabla15[[#This Row],[20]]="",0,VLOOKUP("VRP",Tabla5[#All],3,FALSE)*Tabla15[[#This Row],[21]])</f>
        <v>0</v>
      </c>
      <c r="AC104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4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46" s="52">
        <f>IF(Tabla15[[#This Row],[23]]="",0,VLOOKUP("VC",Tabla5[#All],3,FALSE)*Tabla15[[#This Row],[24]])</f>
        <v>0</v>
      </c>
      <c r="AF104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4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46" s="52">
        <f>IF(Tabla15[[#This Row],[26]]="",0,VLOOKUP(TRAMOS!$K$2,Tabla5[#All],3,FALSE)*Tabla15[[#This Row],[27]])</f>
        <v>0</v>
      </c>
      <c r="AI104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4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4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4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4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04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04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047" spans="2:41" x14ac:dyDescent="0.25">
      <c r="B1047" s="58" t="str">
        <f>Tabla1[[#This Row],[nudo inicial]]</f>
        <v>N561</v>
      </c>
      <c r="C1047" s="58" t="str">
        <f>Tabla1[[#This Row],[nudo final]]</f>
        <v>N562</v>
      </c>
      <c r="D1047" s="51">
        <f>Tabla1[[#This Row],[longitud]]</f>
        <v>6.58</v>
      </c>
      <c r="E1047" s="51" t="str">
        <f>Tabla1[[#This Row],[diametro]]</f>
        <v>2"</v>
      </c>
      <c r="F1047" s="51" t="str">
        <f>Tabla1[[#This Row],[material]]</f>
        <v>PVC</v>
      </c>
      <c r="G104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047" s="52" t="str">
        <f>IF(Tabla1[[#This Row],[5]]="TPD",Tabla1[[#This Row],[6]],"")</f>
        <v>2"</v>
      </c>
      <c r="I1047" s="52">
        <f>IF(OR(Tabla1[[#This Row],[5]]="TPD"),Tabla1[[#This Row],[7]],"")</f>
        <v>1</v>
      </c>
      <c r="J1047" s="52">
        <f>IF(Tabla15[[#This Row],[2]]="",0,VLOOKUP(TRAMOS!$H$2,Tabla5[#All],3,FALSE)*Tabla15[[#This Row],[3]])</f>
        <v>0.15</v>
      </c>
      <c r="K1047" s="52" t="str">
        <f>IF(Tabla1[[#This Row],[5]]="TPL",Tabla1[[#This Row],[6]],"")</f>
        <v/>
      </c>
      <c r="L1047" s="52" t="str">
        <f>IF(OR(Tabla1[[#This Row],[5]]="TPL"),Tabla1[[#This Row],[7]],"")</f>
        <v/>
      </c>
      <c r="M1047" s="52">
        <f>IF(Tabla15[[#This Row],[5]]="",0,VLOOKUP(TRAMOS!$K$2,Tabla5[#All],3,FALSE)*Tabla15[[#This Row],[6]])</f>
        <v>0</v>
      </c>
      <c r="N104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4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47" s="52">
        <f>IF(Tabla15[[#This Row],[8]]="",0,VLOOKUP(TRAMOS!$H$2,Tabla5[#All],3,FALSE)*Tabla15[[#This Row],[9]])</f>
        <v>0</v>
      </c>
      <c r="Q104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4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47" s="52">
        <f>IF(Tabla15[[#This Row],[11]]="",0,VLOOKUP(TRAMOS!$Q$2,Tabla5[#All],3,FALSE)*Tabla15[[#This Row],[12]])</f>
        <v>0</v>
      </c>
      <c r="T104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4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4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4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4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4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4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4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47" s="52">
        <f>IF(Tabla15[[#This Row],[20]]="",0,VLOOKUP("VRP",Tabla5[#All],3,FALSE)*Tabla15[[#This Row],[21]])</f>
        <v>0</v>
      </c>
      <c r="AC104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4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47" s="52">
        <f>IF(Tabla15[[#This Row],[23]]="",0,VLOOKUP("VC",Tabla5[#All],3,FALSE)*Tabla15[[#This Row],[24]])</f>
        <v>0</v>
      </c>
      <c r="AF104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4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47" s="52">
        <f>IF(Tabla15[[#This Row],[26]]="",0,VLOOKUP(TRAMOS!$K$2,Tabla5[#All],3,FALSE)*Tabla15[[#This Row],[27]])</f>
        <v>0</v>
      </c>
      <c r="AI104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4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4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4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4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4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4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048" spans="2:41" x14ac:dyDescent="0.25">
      <c r="B1048" s="58" t="str">
        <f>Tabla1[[#This Row],[nudo inicial]]</f>
        <v>N562</v>
      </c>
      <c r="C1048" s="58" t="str">
        <f>Tabla1[[#This Row],[nudo final]]</f>
        <v>TP370</v>
      </c>
      <c r="D1048" s="51">
        <f>Tabla1[[#This Row],[longitud]]</f>
        <v>41.36</v>
      </c>
      <c r="E1048" s="51" t="str">
        <f>Tabla1[[#This Row],[diametro]]</f>
        <v>1"</v>
      </c>
      <c r="F1048" s="51" t="str">
        <f>Tabla1[[#This Row],[material]]</f>
        <v>PVC</v>
      </c>
      <c r="G104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048" s="52" t="str">
        <f>IF(Tabla1[[#This Row],[5]]="TPD",Tabla1[[#This Row],[6]],"")</f>
        <v/>
      </c>
      <c r="I1048" s="52" t="str">
        <f>IF(OR(Tabla1[[#This Row],[5]]="TPD"),Tabla1[[#This Row],[7]],"")</f>
        <v/>
      </c>
      <c r="J1048" s="52">
        <f>IF(Tabla15[[#This Row],[2]]="",0,VLOOKUP(TRAMOS!$H$2,Tabla5[#All],3,FALSE)*Tabla15[[#This Row],[3]])</f>
        <v>0</v>
      </c>
      <c r="K1048" s="52" t="str">
        <f>IF(Tabla1[[#This Row],[5]]="TPL",Tabla1[[#This Row],[6]],"")</f>
        <v>2"</v>
      </c>
      <c r="L1048" s="52">
        <f>IF(OR(Tabla1[[#This Row],[5]]="TPL"),Tabla1[[#This Row],[7]],"")</f>
        <v>1</v>
      </c>
      <c r="M1048" s="52">
        <f>IF(Tabla15[[#This Row],[5]]="",0,VLOOKUP(TRAMOS!$K$2,Tabla5[#All],3,FALSE)*Tabla15[[#This Row],[6]])</f>
        <v>0.9</v>
      </c>
      <c r="N104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4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48" s="52">
        <f>IF(Tabla15[[#This Row],[8]]="",0,VLOOKUP(TRAMOS!$H$2,Tabla5[#All],3,FALSE)*Tabla15[[#This Row],[9]])</f>
        <v>0</v>
      </c>
      <c r="Q104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4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48" s="52">
        <f>IF(Tabla15[[#This Row],[11]]="",0,VLOOKUP(TRAMOS!$Q$2,Tabla5[#All],3,FALSE)*Tabla15[[#This Row],[12]])</f>
        <v>0</v>
      </c>
      <c r="T104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1"</v>
      </c>
      <c r="U1048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04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104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4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4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4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4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48" s="52">
        <f>IF(Tabla15[[#This Row],[20]]="",0,VLOOKUP("VRP",Tabla5[#All],3,FALSE)*Tabla15[[#This Row],[21]])</f>
        <v>0</v>
      </c>
      <c r="AC104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4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48" s="52">
        <f>IF(Tabla15[[#This Row],[23]]="",0,VLOOKUP("VC",Tabla5[#All],3,FALSE)*Tabla15[[#This Row],[24]])</f>
        <v>0</v>
      </c>
      <c r="AF104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4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48" s="52">
        <f>IF(Tabla15[[#This Row],[26]]="",0,VLOOKUP(TRAMOS!$K$2,Tabla5[#All],3,FALSE)*Tabla15[[#This Row],[27]])</f>
        <v>0</v>
      </c>
      <c r="AI104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4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4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4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4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1"</v>
      </c>
      <c r="AN1048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04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1.27</v>
      </c>
    </row>
    <row r="1049" spans="2:41" x14ac:dyDescent="0.25">
      <c r="B1049" s="58" t="str">
        <f>Tabla1[[#This Row],[nudo inicial]]</f>
        <v>N562</v>
      </c>
      <c r="C1049" s="58" t="str">
        <f>Tabla1[[#This Row],[nudo final]]</f>
        <v>N563</v>
      </c>
      <c r="D1049" s="51">
        <f>Tabla1[[#This Row],[longitud]]</f>
        <v>15.95</v>
      </c>
      <c r="E1049" s="51" t="str">
        <f>Tabla1[[#This Row],[diametro]]</f>
        <v>2"</v>
      </c>
      <c r="F1049" s="51" t="str">
        <f>Tabla1[[#This Row],[material]]</f>
        <v>PVC</v>
      </c>
      <c r="G104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049" s="52" t="str">
        <f>IF(Tabla1[[#This Row],[5]]="TPD",Tabla1[[#This Row],[6]],"")</f>
        <v>2"</v>
      </c>
      <c r="I1049" s="52">
        <f>IF(OR(Tabla1[[#This Row],[5]]="TPD"),Tabla1[[#This Row],[7]],"")</f>
        <v>1</v>
      </c>
      <c r="J1049" s="52">
        <f>IF(Tabla15[[#This Row],[2]]="",0,VLOOKUP(TRAMOS!$H$2,Tabla5[#All],3,FALSE)*Tabla15[[#This Row],[3]])</f>
        <v>0.15</v>
      </c>
      <c r="K1049" s="52" t="str">
        <f>IF(Tabla1[[#This Row],[5]]="TPL",Tabla1[[#This Row],[6]],"")</f>
        <v/>
      </c>
      <c r="L1049" s="52" t="str">
        <f>IF(OR(Tabla1[[#This Row],[5]]="TPL"),Tabla1[[#This Row],[7]],"")</f>
        <v/>
      </c>
      <c r="M1049" s="52">
        <f>IF(Tabla15[[#This Row],[5]]="",0,VLOOKUP(TRAMOS!$K$2,Tabla5[#All],3,FALSE)*Tabla15[[#This Row],[6]])</f>
        <v>0</v>
      </c>
      <c r="N104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4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49" s="52">
        <f>IF(Tabla15[[#This Row],[8]]="",0,VLOOKUP(TRAMOS!$H$2,Tabla5[#All],3,FALSE)*Tabla15[[#This Row],[9]])</f>
        <v>0</v>
      </c>
      <c r="Q104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4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49" s="52">
        <f>IF(Tabla15[[#This Row],[11]]="",0,VLOOKUP(TRAMOS!$Q$2,Tabla5[#All],3,FALSE)*Tabla15[[#This Row],[12]])</f>
        <v>0</v>
      </c>
      <c r="T104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4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4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4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4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4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4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4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49" s="52">
        <f>IF(Tabla15[[#This Row],[20]]="",0,VLOOKUP("VRP",Tabla5[#All],3,FALSE)*Tabla15[[#This Row],[21]])</f>
        <v>0</v>
      </c>
      <c r="AC104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4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49" s="52">
        <f>IF(Tabla15[[#This Row],[23]]="",0,VLOOKUP("VC",Tabla5[#All],3,FALSE)*Tabla15[[#This Row],[24]])</f>
        <v>0</v>
      </c>
      <c r="AF104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4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49" s="52">
        <f>IF(Tabla15[[#This Row],[26]]="",0,VLOOKUP(TRAMOS!$K$2,Tabla5[#All],3,FALSE)*Tabla15[[#This Row],[27]])</f>
        <v>0</v>
      </c>
      <c r="AI104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4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4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4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4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4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4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050" spans="2:41" x14ac:dyDescent="0.25">
      <c r="B1050" s="58" t="str">
        <f>Tabla1[[#This Row],[nudo inicial]]</f>
        <v>N563</v>
      </c>
      <c r="C1050" s="58" t="str">
        <f>Tabla1[[#This Row],[nudo final]]</f>
        <v>TP371</v>
      </c>
      <c r="D1050" s="51">
        <f>Tabla1[[#This Row],[longitud]]</f>
        <v>20.440000000000001</v>
      </c>
      <c r="E1050" s="51" t="str">
        <f>Tabla1[[#This Row],[diametro]]</f>
        <v>2"</v>
      </c>
      <c r="F1050" s="51" t="str">
        <f>Tabla1[[#This Row],[material]]</f>
        <v>PVC</v>
      </c>
      <c r="G105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050" s="52" t="str">
        <f>IF(Tabla1[[#This Row],[5]]="TPD",Tabla1[[#This Row],[6]],"")</f>
        <v/>
      </c>
      <c r="I1050" s="52" t="str">
        <f>IF(OR(Tabla1[[#This Row],[5]]="TPD"),Tabla1[[#This Row],[7]],"")</f>
        <v/>
      </c>
      <c r="J1050" s="52">
        <f>IF(Tabla15[[#This Row],[2]]="",0,VLOOKUP(TRAMOS!$H$2,Tabla5[#All],3,FALSE)*Tabla15[[#This Row],[3]])</f>
        <v>0</v>
      </c>
      <c r="K1050" s="52" t="str">
        <f>IF(Tabla1[[#This Row],[5]]="TPL",Tabla1[[#This Row],[6]],"")</f>
        <v>2"</v>
      </c>
      <c r="L1050" s="52">
        <f>IF(OR(Tabla1[[#This Row],[5]]="TPL"),Tabla1[[#This Row],[7]],"")</f>
        <v>1</v>
      </c>
      <c r="M1050" s="52">
        <f>IF(Tabla15[[#This Row],[5]]="",0,VLOOKUP(TRAMOS!$K$2,Tabla5[#All],3,FALSE)*Tabla15[[#This Row],[6]])</f>
        <v>0.9</v>
      </c>
      <c r="N105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5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50" s="52">
        <f>IF(Tabla15[[#This Row],[8]]="",0,VLOOKUP(TRAMOS!$H$2,Tabla5[#All],3,FALSE)*Tabla15[[#This Row],[9]])</f>
        <v>0</v>
      </c>
      <c r="Q105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5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50" s="52">
        <f>IF(Tabla15[[#This Row],[11]]="",0,VLOOKUP(TRAMOS!$Q$2,Tabla5[#All],3,FALSE)*Tabla15[[#This Row],[12]])</f>
        <v>0</v>
      </c>
      <c r="T105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5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5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5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5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5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5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5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50" s="52">
        <f>IF(Tabla15[[#This Row],[20]]="",0,VLOOKUP("VRP",Tabla5[#All],3,FALSE)*Tabla15[[#This Row],[21]])</f>
        <v>0</v>
      </c>
      <c r="AC105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5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50" s="52">
        <f>IF(Tabla15[[#This Row],[23]]="",0,VLOOKUP("VC",Tabla5[#All],3,FALSE)*Tabla15[[#This Row],[24]])</f>
        <v>0</v>
      </c>
      <c r="AF105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5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50" s="52">
        <f>IF(Tabla15[[#This Row],[26]]="",0,VLOOKUP(TRAMOS!$K$2,Tabla5[#All],3,FALSE)*Tabla15[[#This Row],[27]])</f>
        <v>0</v>
      </c>
      <c r="AI105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5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5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5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5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050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05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051" spans="2:41" x14ac:dyDescent="0.25">
      <c r="B1051" s="58" t="str">
        <f>Tabla1[[#This Row],[nudo inicial]]</f>
        <v>N563</v>
      </c>
      <c r="C1051" s="58" t="str">
        <f>Tabla1[[#This Row],[nudo final]]</f>
        <v>TP372</v>
      </c>
      <c r="D1051" s="51">
        <f>Tabla1[[#This Row],[longitud]]</f>
        <v>30</v>
      </c>
      <c r="E1051" s="51" t="str">
        <f>Tabla1[[#This Row],[diametro]]</f>
        <v>2"</v>
      </c>
      <c r="F1051" s="51" t="str">
        <f>Tabla1[[#This Row],[material]]</f>
        <v>PVC</v>
      </c>
      <c r="G105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051" s="52" t="str">
        <f>IF(Tabla1[[#This Row],[5]]="TPD",Tabla1[[#This Row],[6]],"")</f>
        <v>2"</v>
      </c>
      <c r="I1051" s="52">
        <f>IF(OR(Tabla1[[#This Row],[5]]="TPD"),Tabla1[[#This Row],[7]],"")</f>
        <v>1</v>
      </c>
      <c r="J1051" s="52">
        <f>IF(Tabla15[[#This Row],[2]]="",0,VLOOKUP(TRAMOS!$H$2,Tabla5[#All],3,FALSE)*Tabla15[[#This Row],[3]])</f>
        <v>0.15</v>
      </c>
      <c r="K1051" s="52" t="str">
        <f>IF(Tabla1[[#This Row],[5]]="TPL",Tabla1[[#This Row],[6]],"")</f>
        <v/>
      </c>
      <c r="L1051" s="52" t="str">
        <f>IF(OR(Tabla1[[#This Row],[5]]="TPL"),Tabla1[[#This Row],[7]],"")</f>
        <v/>
      </c>
      <c r="M1051" s="52">
        <f>IF(Tabla15[[#This Row],[5]]="",0,VLOOKUP(TRAMOS!$K$2,Tabla5[#All],3,FALSE)*Tabla15[[#This Row],[6]])</f>
        <v>0</v>
      </c>
      <c r="N105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5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51" s="52">
        <f>IF(Tabla15[[#This Row],[8]]="",0,VLOOKUP(TRAMOS!$H$2,Tabla5[#All],3,FALSE)*Tabla15[[#This Row],[9]])</f>
        <v>0</v>
      </c>
      <c r="Q105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1051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1051" s="52">
        <f>IF(Tabla15[[#This Row],[11]]="",0,VLOOKUP(TRAMOS!$Q$2,Tabla5[#All],3,FALSE)*Tabla15[[#This Row],[12]])</f>
        <v>0.9</v>
      </c>
      <c r="T105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5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5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5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5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5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5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5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51" s="52">
        <f>IF(Tabla15[[#This Row],[20]]="",0,VLOOKUP("VRP",Tabla5[#All],3,FALSE)*Tabla15[[#This Row],[21]])</f>
        <v>0</v>
      </c>
      <c r="AC105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5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51" s="52">
        <f>IF(Tabla15[[#This Row],[23]]="",0,VLOOKUP("VC",Tabla5[#All],3,FALSE)*Tabla15[[#This Row],[24]])</f>
        <v>0</v>
      </c>
      <c r="AF105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5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51" s="52">
        <f>IF(Tabla15[[#This Row],[26]]="",0,VLOOKUP(TRAMOS!$K$2,Tabla5[#All],3,FALSE)*Tabla15[[#This Row],[27]])</f>
        <v>0</v>
      </c>
      <c r="AI105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5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5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5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5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051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05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1052" spans="2:41" x14ac:dyDescent="0.25">
      <c r="B1052" s="58" t="str">
        <f>Tabla1[[#This Row],[nudo inicial]]</f>
        <v>N560</v>
      </c>
      <c r="C1052" s="58" t="str">
        <f>Tabla1[[#This Row],[nudo final]]</f>
        <v>N564</v>
      </c>
      <c r="D1052" s="51">
        <f>Tabla1[[#This Row],[longitud]]</f>
        <v>24.94</v>
      </c>
      <c r="E1052" s="51" t="str">
        <f>Tabla1[[#This Row],[diametro]]</f>
        <v>3"</v>
      </c>
      <c r="F1052" s="51" t="str">
        <f>Tabla1[[#This Row],[material]]</f>
        <v>PVC</v>
      </c>
      <c r="G105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052" s="52" t="str">
        <f>IF(Tabla1[[#This Row],[5]]="TPD",Tabla1[[#This Row],[6]],"")</f>
        <v>3"</v>
      </c>
      <c r="I1052" s="52">
        <f>IF(OR(Tabla1[[#This Row],[5]]="TPD"),Tabla1[[#This Row],[7]],"")</f>
        <v>1</v>
      </c>
      <c r="J1052" s="52">
        <f>IF(Tabla15[[#This Row],[2]]="",0,VLOOKUP(TRAMOS!$H$2,Tabla5[#All],3,FALSE)*Tabla15[[#This Row],[3]])</f>
        <v>0.15</v>
      </c>
      <c r="K1052" s="52" t="str">
        <f>IF(Tabla1[[#This Row],[5]]="TPL",Tabla1[[#This Row],[6]],"")</f>
        <v/>
      </c>
      <c r="L1052" s="52" t="str">
        <f>IF(OR(Tabla1[[#This Row],[5]]="TPL"),Tabla1[[#This Row],[7]],"")</f>
        <v/>
      </c>
      <c r="M1052" s="52">
        <f>IF(Tabla15[[#This Row],[5]]="",0,VLOOKUP(TRAMOS!$K$2,Tabla5[#All],3,FALSE)*Tabla15[[#This Row],[6]])</f>
        <v>0</v>
      </c>
      <c r="N105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5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52" s="52">
        <f>IF(Tabla15[[#This Row],[8]]="",0,VLOOKUP(TRAMOS!$H$2,Tabla5[#All],3,FALSE)*Tabla15[[#This Row],[9]])</f>
        <v>0</v>
      </c>
      <c r="Q105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5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52" s="52">
        <f>IF(Tabla15[[#This Row],[11]]="",0,VLOOKUP(TRAMOS!$Q$2,Tabla5[#All],3,FALSE)*Tabla15[[#This Row],[12]])</f>
        <v>0</v>
      </c>
      <c r="T105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5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5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5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5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5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5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5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52" s="52">
        <f>IF(Tabla15[[#This Row],[20]]="",0,VLOOKUP("VRP",Tabla5[#All],3,FALSE)*Tabla15[[#This Row],[21]])</f>
        <v>0</v>
      </c>
      <c r="AC105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5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52" s="52">
        <f>IF(Tabla15[[#This Row],[23]]="",0,VLOOKUP("VC",Tabla5[#All],3,FALSE)*Tabla15[[#This Row],[24]])</f>
        <v>0</v>
      </c>
      <c r="AF105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5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52" s="52">
        <f>IF(Tabla15[[#This Row],[26]]="",0,VLOOKUP(TRAMOS!$K$2,Tabla5[#All],3,FALSE)*Tabla15[[#This Row],[27]])</f>
        <v>0</v>
      </c>
      <c r="AI105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5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5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5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5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5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5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053" spans="2:41" x14ac:dyDescent="0.25">
      <c r="B1053" s="58" t="str">
        <f>Tabla1[[#This Row],[nudo inicial]]</f>
        <v>N524</v>
      </c>
      <c r="C1053" s="58" t="str">
        <f>Tabla1[[#This Row],[nudo final]]</f>
        <v>N559</v>
      </c>
      <c r="D1053" s="51">
        <f>Tabla1[[#This Row],[longitud]]</f>
        <v>42.93</v>
      </c>
      <c r="E1053" s="51" t="str">
        <f>Tabla1[[#This Row],[diametro]]</f>
        <v>3"</v>
      </c>
      <c r="F1053" s="51" t="str">
        <f>Tabla1[[#This Row],[material]]</f>
        <v>PVC</v>
      </c>
      <c r="G105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053" s="52" t="str">
        <f>IF(Tabla1[[#This Row],[5]]="TPD",Tabla1[[#This Row],[6]],"")</f>
        <v/>
      </c>
      <c r="I1053" s="52" t="str">
        <f>IF(OR(Tabla1[[#This Row],[5]]="TPD"),Tabla1[[#This Row],[7]],"")</f>
        <v/>
      </c>
      <c r="J1053" s="52">
        <f>IF(Tabla15[[#This Row],[2]]="",0,VLOOKUP(TRAMOS!$H$2,Tabla5[#All],3,FALSE)*Tabla15[[#This Row],[3]])</f>
        <v>0</v>
      </c>
      <c r="K1053" s="52" t="str">
        <f>IF(Tabla1[[#This Row],[5]]="TPL",Tabla1[[#This Row],[6]],"")</f>
        <v>3"</v>
      </c>
      <c r="L1053" s="52">
        <f>IF(OR(Tabla1[[#This Row],[5]]="TPL"),Tabla1[[#This Row],[7]],"")</f>
        <v>1</v>
      </c>
      <c r="M1053" s="52">
        <f>IF(Tabla15[[#This Row],[5]]="",0,VLOOKUP(TRAMOS!$K$2,Tabla5[#All],3,FALSE)*Tabla15[[#This Row],[6]])</f>
        <v>0.9</v>
      </c>
      <c r="N105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5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53" s="52">
        <f>IF(Tabla15[[#This Row],[8]]="",0,VLOOKUP(TRAMOS!$H$2,Tabla5[#All],3,FALSE)*Tabla15[[#This Row],[9]])</f>
        <v>0</v>
      </c>
      <c r="Q105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5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53" s="52">
        <f>IF(Tabla15[[#This Row],[11]]="",0,VLOOKUP(TRAMOS!$Q$2,Tabla5[#All],3,FALSE)*Tabla15[[#This Row],[12]])</f>
        <v>0</v>
      </c>
      <c r="T105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5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5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5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5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5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5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5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53" s="52">
        <f>IF(Tabla15[[#This Row],[20]]="",0,VLOOKUP("VRP",Tabla5[#All],3,FALSE)*Tabla15[[#This Row],[21]])</f>
        <v>0</v>
      </c>
      <c r="AC105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1053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1053" s="52">
        <f>IF(Tabla15[[#This Row],[23]]="",0,VLOOKUP("VC",Tabla5[#All],3,FALSE)*Tabla15[[#This Row],[24]])</f>
        <v>0.25</v>
      </c>
      <c r="AF105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5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53" s="52">
        <f>IF(Tabla15[[#This Row],[26]]="",0,VLOOKUP(TRAMOS!$K$2,Tabla5[#All],3,FALSE)*Tabla15[[#This Row],[27]])</f>
        <v>0</v>
      </c>
      <c r="AI105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5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53" s="52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>0</v>
      </c>
      <c r="AL1053" s="52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>1</v>
      </c>
      <c r="AM105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5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5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1.1499999999999999</v>
      </c>
    </row>
    <row r="1054" spans="2:41" x14ac:dyDescent="0.25">
      <c r="B1054" s="58" t="str">
        <f>Tabla1[[#This Row],[nudo inicial]]</f>
        <v>N559</v>
      </c>
      <c r="C1054" s="58" t="str">
        <f>Tabla1[[#This Row],[nudo final]]</f>
        <v>N564</v>
      </c>
      <c r="D1054" s="51">
        <f>Tabla1[[#This Row],[longitud]]</f>
        <v>112</v>
      </c>
      <c r="E1054" s="51" t="str">
        <f>Tabla1[[#This Row],[diametro]]</f>
        <v>3"</v>
      </c>
      <c r="F1054" s="51" t="str">
        <f>Tabla1[[#This Row],[material]]</f>
        <v>PVC</v>
      </c>
      <c r="G105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054" s="52" t="str">
        <f>IF(Tabla1[[#This Row],[5]]="TPD",Tabla1[[#This Row],[6]],"")</f>
        <v>3"</v>
      </c>
      <c r="I1054" s="52">
        <f>IF(OR(Tabla1[[#This Row],[5]]="TPD"),Tabla1[[#This Row],[7]],"")</f>
        <v>1</v>
      </c>
      <c r="J1054" s="52">
        <f>IF(Tabla15[[#This Row],[2]]="",0,VLOOKUP(TRAMOS!$H$2,Tabla5[#All],3,FALSE)*Tabla15[[#This Row],[3]])</f>
        <v>0.15</v>
      </c>
      <c r="K1054" s="52" t="str">
        <f>IF(Tabla1[[#This Row],[5]]="TPL",Tabla1[[#This Row],[6]],"")</f>
        <v/>
      </c>
      <c r="L1054" s="52" t="str">
        <f>IF(OR(Tabla1[[#This Row],[5]]="TPL"),Tabla1[[#This Row],[7]],"")</f>
        <v/>
      </c>
      <c r="M1054" s="52">
        <f>IF(Tabla15[[#This Row],[5]]="",0,VLOOKUP(TRAMOS!$K$2,Tabla5[#All],3,FALSE)*Tabla15[[#This Row],[6]])</f>
        <v>0</v>
      </c>
      <c r="N105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5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54" s="52">
        <f>IF(Tabla15[[#This Row],[8]]="",0,VLOOKUP(TRAMOS!$H$2,Tabla5[#All],3,FALSE)*Tabla15[[#This Row],[9]])</f>
        <v>0</v>
      </c>
      <c r="Q105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5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54" s="52">
        <f>IF(Tabla15[[#This Row],[11]]="",0,VLOOKUP(TRAMOS!$Q$2,Tabla5[#All],3,FALSE)*Tabla15[[#This Row],[12]])</f>
        <v>0</v>
      </c>
      <c r="T105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5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5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5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5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5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5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5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54" s="52">
        <f>IF(Tabla15[[#This Row],[20]]="",0,VLOOKUP("VRP",Tabla5[#All],3,FALSE)*Tabla15[[#This Row],[21]])</f>
        <v>0</v>
      </c>
      <c r="AC105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5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54" s="52">
        <f>IF(Tabla15[[#This Row],[23]]="",0,VLOOKUP("VC",Tabla5[#All],3,FALSE)*Tabla15[[#This Row],[24]])</f>
        <v>0</v>
      </c>
      <c r="AF105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5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54" s="52">
        <f>IF(Tabla15[[#This Row],[26]]="",0,VLOOKUP(TRAMOS!$K$2,Tabla5[#All],3,FALSE)*Tabla15[[#This Row],[27]])</f>
        <v>0</v>
      </c>
      <c r="AI105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5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5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5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5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5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5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055" spans="2:41" x14ac:dyDescent="0.25">
      <c r="B1055" s="58" t="str">
        <f>Tabla1[[#This Row],[nudo inicial]]</f>
        <v>N564</v>
      </c>
      <c r="C1055" s="58" t="str">
        <f>Tabla1[[#This Row],[nudo final]]</f>
        <v>N381</v>
      </c>
      <c r="D1055" s="51">
        <f>Tabla1[[#This Row],[longitud]]</f>
        <v>52.39</v>
      </c>
      <c r="E1055" s="51" t="str">
        <f>Tabla1[[#This Row],[diametro]]</f>
        <v>3"</v>
      </c>
      <c r="F1055" s="51" t="str">
        <f>Tabla1[[#This Row],[material]]</f>
        <v>PVC</v>
      </c>
      <c r="G105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055" s="52" t="str">
        <f>IF(Tabla1[[#This Row],[5]]="TPD",Tabla1[[#This Row],[6]],"")</f>
        <v>3"</v>
      </c>
      <c r="I1055" s="52">
        <f>IF(OR(Tabla1[[#This Row],[5]]="TPD"),Tabla1[[#This Row],[7]],"")</f>
        <v>1</v>
      </c>
      <c r="J1055" s="52">
        <f>IF(Tabla15[[#This Row],[2]]="",0,VLOOKUP(TRAMOS!$H$2,Tabla5[#All],3,FALSE)*Tabla15[[#This Row],[3]])</f>
        <v>0.15</v>
      </c>
      <c r="K1055" s="52" t="str">
        <f>IF(Tabla1[[#This Row],[5]]="TPL",Tabla1[[#This Row],[6]],"")</f>
        <v/>
      </c>
      <c r="L1055" s="52" t="str">
        <f>IF(OR(Tabla1[[#This Row],[5]]="TPL"),Tabla1[[#This Row],[7]],"")</f>
        <v/>
      </c>
      <c r="M1055" s="52">
        <f>IF(Tabla15[[#This Row],[5]]="",0,VLOOKUP(TRAMOS!$K$2,Tabla5[#All],3,FALSE)*Tabla15[[#This Row],[6]])</f>
        <v>0</v>
      </c>
      <c r="N105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5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55" s="52">
        <f>IF(Tabla15[[#This Row],[8]]="",0,VLOOKUP(TRAMOS!$H$2,Tabla5[#All],3,FALSE)*Tabla15[[#This Row],[9]])</f>
        <v>0</v>
      </c>
      <c r="Q105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5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55" s="52">
        <f>IF(Tabla15[[#This Row],[11]]="",0,VLOOKUP(TRAMOS!$Q$2,Tabla5[#All],3,FALSE)*Tabla15[[#This Row],[12]])</f>
        <v>0</v>
      </c>
      <c r="T105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5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5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5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5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5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5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5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55" s="52">
        <f>IF(Tabla15[[#This Row],[20]]="",0,VLOOKUP("VRP",Tabla5[#All],3,FALSE)*Tabla15[[#This Row],[21]])</f>
        <v>0</v>
      </c>
      <c r="AC105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5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55" s="52">
        <f>IF(Tabla15[[#This Row],[23]]="",0,VLOOKUP("VC",Tabla5[#All],3,FALSE)*Tabla15[[#This Row],[24]])</f>
        <v>0</v>
      </c>
      <c r="AF105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5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55" s="52">
        <f>IF(Tabla15[[#This Row],[26]]="",0,VLOOKUP(TRAMOS!$K$2,Tabla5[#All],3,FALSE)*Tabla15[[#This Row],[27]])</f>
        <v>0</v>
      </c>
      <c r="AI105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5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5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5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5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5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5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056" spans="2:41" x14ac:dyDescent="0.25">
      <c r="B1056" s="58" t="str">
        <f>Tabla1[[#This Row],[nudo inicial]]</f>
        <v>N557</v>
      </c>
      <c r="C1056" s="58" t="str">
        <f>Tabla1[[#This Row],[nudo final]]</f>
        <v>N565</v>
      </c>
      <c r="D1056" s="51">
        <f>Tabla1[[#This Row],[longitud]]</f>
        <v>104.3</v>
      </c>
      <c r="E1056" s="51" t="str">
        <f>Tabla1[[#This Row],[diametro]]</f>
        <v>3"</v>
      </c>
      <c r="F1056" s="51" t="str">
        <f>Tabla1[[#This Row],[material]]</f>
        <v>PVC</v>
      </c>
      <c r="G105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1056" s="52" t="str">
        <f>IF(Tabla1[[#This Row],[5]]="TPD",Tabla1[[#This Row],[6]],"")</f>
        <v>4"</v>
      </c>
      <c r="I1056" s="52">
        <f>IF(OR(Tabla1[[#This Row],[5]]="TPD"),Tabla1[[#This Row],[7]],"")</f>
        <v>1</v>
      </c>
      <c r="J1056" s="52">
        <f>IF(Tabla15[[#This Row],[2]]="",0,VLOOKUP(TRAMOS!$H$2,Tabla5[#All],3,FALSE)*Tabla15[[#This Row],[3]])</f>
        <v>0.15</v>
      </c>
      <c r="K1056" s="52" t="str">
        <f>IF(Tabla1[[#This Row],[5]]="TPL",Tabla1[[#This Row],[6]],"")</f>
        <v/>
      </c>
      <c r="L1056" s="52" t="str">
        <f>IF(OR(Tabla1[[#This Row],[5]]="TPL"),Tabla1[[#This Row],[7]],"")</f>
        <v/>
      </c>
      <c r="M1056" s="52">
        <f>IF(Tabla15[[#This Row],[5]]="",0,VLOOKUP(TRAMOS!$K$2,Tabla5[#All],3,FALSE)*Tabla15[[#This Row],[6]])</f>
        <v>0</v>
      </c>
      <c r="N105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5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56" s="52">
        <f>IF(Tabla15[[#This Row],[8]]="",0,VLOOKUP(TRAMOS!$H$2,Tabla5[#All],3,FALSE)*Tabla15[[#This Row],[9]])</f>
        <v>0</v>
      </c>
      <c r="Q105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3"</v>
      </c>
      <c r="R1056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1056" s="52">
        <f>IF(Tabla15[[#This Row],[11]]="",0,VLOOKUP(TRAMOS!$Q$2,Tabla5[#All],3,FALSE)*Tabla15[[#This Row],[12]])</f>
        <v>0.9</v>
      </c>
      <c r="T105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1056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05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0.13850000000000007</v>
      </c>
      <c r="W105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5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5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5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5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56" s="52">
        <f>IF(Tabla15[[#This Row],[20]]="",0,VLOOKUP("VRP",Tabla5[#All],3,FALSE)*Tabla15[[#This Row],[21]])</f>
        <v>0</v>
      </c>
      <c r="AC105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1056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1056" s="52">
        <f>IF(Tabla15[[#This Row],[23]]="",0,VLOOKUP("VC",Tabla5[#All],3,FALSE)*Tabla15[[#This Row],[24]])</f>
        <v>0.25</v>
      </c>
      <c r="AF105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5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56" s="52">
        <f>IF(Tabla15[[#This Row],[26]]="",0,VLOOKUP(TRAMOS!$K$2,Tabla5[#All],3,FALSE)*Tabla15[[#This Row],[27]])</f>
        <v>0</v>
      </c>
      <c r="AI105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5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5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5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5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5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5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1.4385000000000001</v>
      </c>
    </row>
    <row r="1057" spans="2:41" x14ac:dyDescent="0.25">
      <c r="B1057" s="58" t="str">
        <f>Tabla1[[#This Row],[nudo inicial]]</f>
        <v>N565</v>
      </c>
      <c r="C1057" s="58" t="str">
        <f>Tabla1[[#This Row],[nudo final]]</f>
        <v>N566</v>
      </c>
      <c r="D1057" s="51">
        <f>Tabla1[[#This Row],[longitud]]</f>
        <v>35.07</v>
      </c>
      <c r="E1057" s="51" t="str">
        <f>Tabla1[[#This Row],[diametro]]</f>
        <v>3"</v>
      </c>
      <c r="F1057" s="51" t="str">
        <f>Tabla1[[#This Row],[material]]</f>
        <v>PVC</v>
      </c>
      <c r="G105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057" s="52" t="str">
        <f>IF(Tabla1[[#This Row],[5]]="TPD",Tabla1[[#This Row],[6]],"")</f>
        <v>3"</v>
      </c>
      <c r="I1057" s="52">
        <f>IF(OR(Tabla1[[#This Row],[5]]="TPD"),Tabla1[[#This Row],[7]],"")</f>
        <v>1</v>
      </c>
      <c r="J1057" s="52">
        <f>IF(Tabla15[[#This Row],[2]]="",0,VLOOKUP(TRAMOS!$H$2,Tabla5[#All],3,FALSE)*Tabla15[[#This Row],[3]])</f>
        <v>0.15</v>
      </c>
      <c r="K1057" s="52" t="str">
        <f>IF(Tabla1[[#This Row],[5]]="TPL",Tabla1[[#This Row],[6]],"")</f>
        <v/>
      </c>
      <c r="L1057" s="52" t="str">
        <f>IF(OR(Tabla1[[#This Row],[5]]="TPL"),Tabla1[[#This Row],[7]],"")</f>
        <v/>
      </c>
      <c r="M1057" s="52">
        <f>IF(Tabla15[[#This Row],[5]]="",0,VLOOKUP(TRAMOS!$K$2,Tabla5[#All],3,FALSE)*Tabla15[[#This Row],[6]])</f>
        <v>0</v>
      </c>
      <c r="N105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5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57" s="52">
        <f>IF(Tabla15[[#This Row],[8]]="",0,VLOOKUP(TRAMOS!$H$2,Tabla5[#All],3,FALSE)*Tabla15[[#This Row],[9]])</f>
        <v>0</v>
      </c>
      <c r="Q105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5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57" s="52">
        <f>IF(Tabla15[[#This Row],[11]]="",0,VLOOKUP(TRAMOS!$Q$2,Tabla5[#All],3,FALSE)*Tabla15[[#This Row],[12]])</f>
        <v>0</v>
      </c>
      <c r="T105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5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5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5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5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5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5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5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57" s="52">
        <f>IF(Tabla15[[#This Row],[20]]="",0,VLOOKUP("VRP",Tabla5[#All],3,FALSE)*Tabla15[[#This Row],[21]])</f>
        <v>0</v>
      </c>
      <c r="AC105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5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57" s="52">
        <f>IF(Tabla15[[#This Row],[23]]="",0,VLOOKUP("VC",Tabla5[#All],3,FALSE)*Tabla15[[#This Row],[24]])</f>
        <v>0</v>
      </c>
      <c r="AF105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5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57" s="52">
        <f>IF(Tabla15[[#This Row],[26]]="",0,VLOOKUP(TRAMOS!$K$2,Tabla5[#All],3,FALSE)*Tabla15[[#This Row],[27]])</f>
        <v>0</v>
      </c>
      <c r="AI105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5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57" s="52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>0</v>
      </c>
      <c r="AL1057" s="52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>1</v>
      </c>
      <c r="AM105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5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5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058" spans="2:41" x14ac:dyDescent="0.25">
      <c r="B1058" s="58" t="str">
        <f>Tabla1[[#This Row],[nudo inicial]]</f>
        <v>N565</v>
      </c>
      <c r="C1058" s="58" t="str">
        <f>Tabla1[[#This Row],[nudo final]]</f>
        <v>TP438</v>
      </c>
      <c r="D1058" s="51">
        <f>Tabla1[[#This Row],[longitud]]</f>
        <v>153</v>
      </c>
      <c r="E1058" s="51" t="str">
        <f>Tabla1[[#This Row],[diametro]]</f>
        <v>2"</v>
      </c>
      <c r="F1058" s="51" t="str">
        <f>Tabla1[[#This Row],[material]]</f>
        <v>PVC</v>
      </c>
      <c r="G105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058" s="52" t="str">
        <f>IF(Tabla1[[#This Row],[5]]="TPD",Tabla1[[#This Row],[6]],"")</f>
        <v/>
      </c>
      <c r="I1058" s="52" t="str">
        <f>IF(OR(Tabla1[[#This Row],[5]]="TPD"),Tabla1[[#This Row],[7]],"")</f>
        <v/>
      </c>
      <c r="J1058" s="52">
        <f>IF(Tabla15[[#This Row],[2]]="",0,VLOOKUP(TRAMOS!$H$2,Tabla5[#All],3,FALSE)*Tabla15[[#This Row],[3]])</f>
        <v>0</v>
      </c>
      <c r="K1058" s="52" t="str">
        <f>IF(Tabla1[[#This Row],[5]]="TPL",Tabla1[[#This Row],[6]],"")</f>
        <v>3"</v>
      </c>
      <c r="L1058" s="52">
        <f>IF(OR(Tabla1[[#This Row],[5]]="TPL"),Tabla1[[#This Row],[7]],"")</f>
        <v>1</v>
      </c>
      <c r="M1058" s="52">
        <f>IF(Tabla15[[#This Row],[5]]="",0,VLOOKUP(TRAMOS!$K$2,Tabla5[#All],3,FALSE)*Tabla15[[#This Row],[6]])</f>
        <v>0.9</v>
      </c>
      <c r="N105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5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58" s="52">
        <f>IF(Tabla15[[#This Row],[8]]="",0,VLOOKUP(TRAMOS!$H$2,Tabla5[#All],3,FALSE)*Tabla15[[#This Row],[9]])</f>
        <v>0</v>
      </c>
      <c r="Q105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5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58" s="52">
        <f>IF(Tabla15[[#This Row],[11]]="",0,VLOOKUP(TRAMOS!$Q$2,Tabla5[#All],3,FALSE)*Tabla15[[#This Row],[12]])</f>
        <v>0</v>
      </c>
      <c r="T105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1058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05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105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5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5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5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5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58" s="52">
        <f>IF(Tabla15[[#This Row],[20]]="",0,VLOOKUP("VRP",Tabla5[#All],3,FALSE)*Tabla15[[#This Row],[21]])</f>
        <v>0</v>
      </c>
      <c r="AC105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1058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1058" s="52">
        <f>IF(Tabla15[[#This Row],[23]]="",0,VLOOKUP("VC",Tabla5[#All],3,FALSE)*Tabla15[[#This Row],[24]])</f>
        <v>0.25</v>
      </c>
      <c r="AF105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5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58" s="52">
        <f>IF(Tabla15[[#This Row],[26]]="",0,VLOOKUP(TRAMOS!$K$2,Tabla5[#All],3,FALSE)*Tabla15[[#This Row],[27]])</f>
        <v>0</v>
      </c>
      <c r="AI105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5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5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5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5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058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05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1.365</v>
      </c>
    </row>
    <row r="1059" spans="2:41" x14ac:dyDescent="0.25">
      <c r="B1059" s="58" t="str">
        <f>Tabla1[[#This Row],[nudo inicial]]</f>
        <v>N566</v>
      </c>
      <c r="C1059" s="58" t="str">
        <f>Tabla1[[#This Row],[nudo final]]</f>
        <v>TP373</v>
      </c>
      <c r="D1059" s="51">
        <f>Tabla1[[#This Row],[longitud]]</f>
        <v>74.73</v>
      </c>
      <c r="E1059" s="51" t="str">
        <f>Tabla1[[#This Row],[diametro]]</f>
        <v>3"</v>
      </c>
      <c r="F1059" s="51" t="str">
        <f>Tabla1[[#This Row],[material]]</f>
        <v>PVC</v>
      </c>
      <c r="G105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059" s="52" t="str">
        <f>IF(Tabla1[[#This Row],[5]]="TPD",Tabla1[[#This Row],[6]],"")</f>
        <v>3"</v>
      </c>
      <c r="I1059" s="52">
        <f>IF(OR(Tabla1[[#This Row],[5]]="TPD"),Tabla1[[#This Row],[7]],"")</f>
        <v>1</v>
      </c>
      <c r="J1059" s="52">
        <f>IF(Tabla15[[#This Row],[2]]="",0,VLOOKUP(TRAMOS!$H$2,Tabla5[#All],3,FALSE)*Tabla15[[#This Row],[3]])</f>
        <v>0.15</v>
      </c>
      <c r="K1059" s="52" t="str">
        <f>IF(Tabla1[[#This Row],[5]]="TPL",Tabla1[[#This Row],[6]],"")</f>
        <v/>
      </c>
      <c r="L1059" s="52" t="str">
        <f>IF(OR(Tabla1[[#This Row],[5]]="TPL"),Tabla1[[#This Row],[7]],"")</f>
        <v/>
      </c>
      <c r="M1059" s="52">
        <f>IF(Tabla15[[#This Row],[5]]="",0,VLOOKUP(TRAMOS!$K$2,Tabla5[#All],3,FALSE)*Tabla15[[#This Row],[6]])</f>
        <v>0</v>
      </c>
      <c r="N105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5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59" s="52">
        <f>IF(Tabla15[[#This Row],[8]]="",0,VLOOKUP(TRAMOS!$H$2,Tabla5[#All],3,FALSE)*Tabla15[[#This Row],[9]])</f>
        <v>0</v>
      </c>
      <c r="Q105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5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59" s="52">
        <f>IF(Tabla15[[#This Row],[11]]="",0,VLOOKUP(TRAMOS!$Q$2,Tabla5[#All],3,FALSE)*Tabla15[[#This Row],[12]])</f>
        <v>0</v>
      </c>
      <c r="T105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5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5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5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5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5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5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5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59" s="52">
        <f>IF(Tabla15[[#This Row],[20]]="",0,VLOOKUP("VRP",Tabla5[#All],3,FALSE)*Tabla15[[#This Row],[21]])</f>
        <v>0</v>
      </c>
      <c r="AC105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5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59" s="52">
        <f>IF(Tabla15[[#This Row],[23]]="",0,VLOOKUP("VC",Tabla5[#All],3,FALSE)*Tabla15[[#This Row],[24]])</f>
        <v>0</v>
      </c>
      <c r="AF105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5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59" s="52">
        <f>IF(Tabla15[[#This Row],[26]]="",0,VLOOKUP(TRAMOS!$K$2,Tabla5[#All],3,FALSE)*Tabla15[[#This Row],[27]])</f>
        <v>0</v>
      </c>
      <c r="AI105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5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5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5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5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1059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05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060" spans="2:41" x14ac:dyDescent="0.25">
      <c r="B1060" s="58" t="str">
        <f>Tabla1[[#This Row],[nudo inicial]]</f>
        <v>N566</v>
      </c>
      <c r="C1060" s="58" t="str">
        <f>Tabla1[[#This Row],[nudo final]]</f>
        <v>N567</v>
      </c>
      <c r="D1060" s="51">
        <f>Tabla1[[#This Row],[longitud]]</f>
        <v>131.99</v>
      </c>
      <c r="E1060" s="51" t="str">
        <f>Tabla1[[#This Row],[diametro]]</f>
        <v>3"</v>
      </c>
      <c r="F1060" s="51" t="str">
        <f>Tabla1[[#This Row],[material]]</f>
        <v>PVC</v>
      </c>
      <c r="G106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060" s="52" t="str">
        <f>IF(Tabla1[[#This Row],[5]]="TPD",Tabla1[[#This Row],[6]],"")</f>
        <v/>
      </c>
      <c r="I1060" s="52" t="str">
        <f>IF(OR(Tabla1[[#This Row],[5]]="TPD"),Tabla1[[#This Row],[7]],"")</f>
        <v/>
      </c>
      <c r="J1060" s="52">
        <f>IF(Tabla15[[#This Row],[2]]="",0,VLOOKUP(TRAMOS!$H$2,Tabla5[#All],3,FALSE)*Tabla15[[#This Row],[3]])</f>
        <v>0</v>
      </c>
      <c r="K1060" s="52" t="str">
        <f>IF(Tabla1[[#This Row],[5]]="TPL",Tabla1[[#This Row],[6]],"")</f>
        <v>3"</v>
      </c>
      <c r="L1060" s="52">
        <f>IF(OR(Tabla1[[#This Row],[5]]="TPL"),Tabla1[[#This Row],[7]],"")</f>
        <v>1</v>
      </c>
      <c r="M1060" s="52">
        <f>IF(Tabla15[[#This Row],[5]]="",0,VLOOKUP(TRAMOS!$K$2,Tabla5[#All],3,FALSE)*Tabla15[[#This Row],[6]])</f>
        <v>0.9</v>
      </c>
      <c r="N106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6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60" s="52">
        <f>IF(Tabla15[[#This Row],[8]]="",0,VLOOKUP(TRAMOS!$H$2,Tabla5[#All],3,FALSE)*Tabla15[[#This Row],[9]])</f>
        <v>0</v>
      </c>
      <c r="Q106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3"</v>
      </c>
      <c r="R1060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1060" s="52">
        <f>IF(Tabla15[[#This Row],[11]]="",0,VLOOKUP(TRAMOS!$Q$2,Tabla5[#All],3,FALSE)*Tabla15[[#This Row],[12]])</f>
        <v>0.9</v>
      </c>
      <c r="T106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6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6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6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6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6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6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6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60" s="52">
        <f>IF(Tabla15[[#This Row],[20]]="",0,VLOOKUP("VRP",Tabla5[#All],3,FALSE)*Tabla15[[#This Row],[21]])</f>
        <v>0</v>
      </c>
      <c r="AC106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3"</v>
      </c>
      <c r="AD1060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1060" s="52">
        <f>IF(Tabla15[[#This Row],[23]]="",0,VLOOKUP("VC",Tabla5[#All],3,FALSE)*Tabla15[[#This Row],[24]])</f>
        <v>0.25</v>
      </c>
      <c r="AF106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6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60" s="52">
        <f>IF(Tabla15[[#This Row],[26]]="",0,VLOOKUP(TRAMOS!$K$2,Tabla5[#All],3,FALSE)*Tabla15[[#This Row],[27]])</f>
        <v>0</v>
      </c>
      <c r="AI106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6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60" s="52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>0</v>
      </c>
      <c r="AL1060" s="52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>1</v>
      </c>
      <c r="AM106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6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6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2.0499999999999998</v>
      </c>
    </row>
    <row r="1061" spans="2:41" x14ac:dyDescent="0.25">
      <c r="B1061" s="58" t="str">
        <f>Tabla1[[#This Row],[nudo inicial]]</f>
        <v>N567</v>
      </c>
      <c r="C1061" s="58" t="str">
        <f>Tabla1[[#This Row],[nudo final]]</f>
        <v>TP374</v>
      </c>
      <c r="D1061" s="51">
        <f>Tabla1[[#This Row],[longitud]]</f>
        <v>19.2</v>
      </c>
      <c r="E1061" s="51" t="str">
        <f>Tabla1[[#This Row],[diametro]]</f>
        <v>3"</v>
      </c>
      <c r="F1061" s="51" t="str">
        <f>Tabla1[[#This Row],[material]]</f>
        <v>PVC</v>
      </c>
      <c r="G106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061" s="52" t="str">
        <f>IF(Tabla1[[#This Row],[5]]="TPD",Tabla1[[#This Row],[6]],"")</f>
        <v>3"</v>
      </c>
      <c r="I1061" s="52">
        <f>IF(OR(Tabla1[[#This Row],[5]]="TPD"),Tabla1[[#This Row],[7]],"")</f>
        <v>1</v>
      </c>
      <c r="J1061" s="52">
        <f>IF(Tabla15[[#This Row],[2]]="",0,VLOOKUP(TRAMOS!$H$2,Tabla5[#All],3,FALSE)*Tabla15[[#This Row],[3]])</f>
        <v>0.15</v>
      </c>
      <c r="K1061" s="52" t="str">
        <f>IF(Tabla1[[#This Row],[5]]="TPL",Tabla1[[#This Row],[6]],"")</f>
        <v/>
      </c>
      <c r="L1061" s="52" t="str">
        <f>IF(OR(Tabla1[[#This Row],[5]]="TPL"),Tabla1[[#This Row],[7]],"")</f>
        <v/>
      </c>
      <c r="M1061" s="52">
        <f>IF(Tabla15[[#This Row],[5]]="",0,VLOOKUP(TRAMOS!$K$2,Tabla5[#All],3,FALSE)*Tabla15[[#This Row],[6]])</f>
        <v>0</v>
      </c>
      <c r="N106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6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61" s="52">
        <f>IF(Tabla15[[#This Row],[8]]="",0,VLOOKUP(TRAMOS!$H$2,Tabla5[#All],3,FALSE)*Tabla15[[#This Row],[9]])</f>
        <v>0</v>
      </c>
      <c r="Q106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6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61" s="52">
        <f>IF(Tabla15[[#This Row],[11]]="",0,VLOOKUP(TRAMOS!$Q$2,Tabla5[#All],3,FALSE)*Tabla15[[#This Row],[12]])</f>
        <v>0</v>
      </c>
      <c r="T106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6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6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6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6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6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6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6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61" s="52">
        <f>IF(Tabla15[[#This Row],[20]]="",0,VLOOKUP("VRP",Tabla5[#All],3,FALSE)*Tabla15[[#This Row],[21]])</f>
        <v>0</v>
      </c>
      <c r="AC106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6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61" s="52">
        <f>IF(Tabla15[[#This Row],[23]]="",0,VLOOKUP("VC",Tabla5[#All],3,FALSE)*Tabla15[[#This Row],[24]])</f>
        <v>0</v>
      </c>
      <c r="AF106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6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61" s="52">
        <f>IF(Tabla15[[#This Row],[26]]="",0,VLOOKUP(TRAMOS!$K$2,Tabla5[#All],3,FALSE)*Tabla15[[#This Row],[27]])</f>
        <v>0</v>
      </c>
      <c r="AI106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6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6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6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6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1061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06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062" spans="2:41" x14ac:dyDescent="0.25">
      <c r="B1062" s="58" t="str">
        <f>Tabla1[[#This Row],[nudo inicial]]</f>
        <v>N567</v>
      </c>
      <c r="C1062" s="58" t="str">
        <f>Tabla1[[#This Row],[nudo final]]</f>
        <v>N568</v>
      </c>
      <c r="D1062" s="51">
        <f>Tabla1[[#This Row],[longitud]]</f>
        <v>19.41</v>
      </c>
      <c r="E1062" s="51" t="str">
        <f>Tabla1[[#This Row],[diametro]]</f>
        <v>3"</v>
      </c>
      <c r="F1062" s="51" t="str">
        <f>Tabla1[[#This Row],[material]]</f>
        <v>PVC</v>
      </c>
      <c r="G106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062" s="52" t="str">
        <f>IF(Tabla1[[#This Row],[5]]="TPD",Tabla1[[#This Row],[6]],"")</f>
        <v/>
      </c>
      <c r="I1062" s="52" t="str">
        <f>IF(OR(Tabla1[[#This Row],[5]]="TPD"),Tabla1[[#This Row],[7]],"")</f>
        <v/>
      </c>
      <c r="J1062" s="52">
        <f>IF(Tabla15[[#This Row],[2]]="",0,VLOOKUP(TRAMOS!$H$2,Tabla5[#All],3,FALSE)*Tabla15[[#This Row],[3]])</f>
        <v>0</v>
      </c>
      <c r="K1062" s="52" t="str">
        <f>IF(Tabla1[[#This Row],[5]]="TPL",Tabla1[[#This Row],[6]],"")</f>
        <v>3"</v>
      </c>
      <c r="L1062" s="52">
        <f>IF(OR(Tabla1[[#This Row],[5]]="TPL"),Tabla1[[#This Row],[7]],"")</f>
        <v>1</v>
      </c>
      <c r="M1062" s="52">
        <f>IF(Tabla15[[#This Row],[5]]="",0,VLOOKUP(TRAMOS!$K$2,Tabla5[#All],3,FALSE)*Tabla15[[#This Row],[6]])</f>
        <v>0.9</v>
      </c>
      <c r="N106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6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62" s="52">
        <f>IF(Tabla15[[#This Row],[8]]="",0,VLOOKUP(TRAMOS!$H$2,Tabla5[#All],3,FALSE)*Tabla15[[#This Row],[9]])</f>
        <v>0</v>
      </c>
      <c r="Q106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6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62" s="52">
        <f>IF(Tabla15[[#This Row],[11]]="",0,VLOOKUP(TRAMOS!$Q$2,Tabla5[#All],3,FALSE)*Tabla15[[#This Row],[12]])</f>
        <v>0</v>
      </c>
      <c r="T106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6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6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6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6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6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6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6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62" s="52">
        <f>IF(Tabla15[[#This Row],[20]]="",0,VLOOKUP("VRP",Tabla5[#All],3,FALSE)*Tabla15[[#This Row],[21]])</f>
        <v>0</v>
      </c>
      <c r="AC106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6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62" s="52">
        <f>IF(Tabla15[[#This Row],[23]]="",0,VLOOKUP("VC",Tabla5[#All],3,FALSE)*Tabla15[[#This Row],[24]])</f>
        <v>0</v>
      </c>
      <c r="AF106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6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62" s="52">
        <f>IF(Tabla15[[#This Row],[26]]="",0,VLOOKUP(TRAMOS!$K$2,Tabla5[#All],3,FALSE)*Tabla15[[#This Row],[27]])</f>
        <v>0</v>
      </c>
      <c r="AI106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6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6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6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6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6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6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063" spans="2:41" x14ac:dyDescent="0.25">
      <c r="B1063" s="58" t="str">
        <f>Tabla1[[#This Row],[nudo inicial]]</f>
        <v>N568</v>
      </c>
      <c r="C1063" s="58" t="str">
        <f>Tabla1[[#This Row],[nudo final]]</f>
        <v>N569</v>
      </c>
      <c r="D1063" s="51">
        <f>Tabla1[[#This Row],[longitud]]</f>
        <v>103.45</v>
      </c>
      <c r="E1063" s="51" t="str">
        <f>Tabla1[[#This Row],[diametro]]</f>
        <v>2"</v>
      </c>
      <c r="F1063" s="51" t="str">
        <f>Tabla1[[#This Row],[material]]</f>
        <v>PVC</v>
      </c>
      <c r="G106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063" s="52" t="str">
        <f>IF(Tabla1[[#This Row],[5]]="TPD",Tabla1[[#This Row],[6]],"")</f>
        <v/>
      </c>
      <c r="I1063" s="52" t="str">
        <f>IF(OR(Tabla1[[#This Row],[5]]="TPD"),Tabla1[[#This Row],[7]],"")</f>
        <v/>
      </c>
      <c r="J1063" s="52">
        <f>IF(Tabla15[[#This Row],[2]]="",0,VLOOKUP(TRAMOS!$H$2,Tabla5[#All],3,FALSE)*Tabla15[[#This Row],[3]])</f>
        <v>0</v>
      </c>
      <c r="K1063" s="52" t="str">
        <f>IF(Tabla1[[#This Row],[5]]="TPL",Tabla1[[#This Row],[6]],"")</f>
        <v/>
      </c>
      <c r="L1063" s="52" t="str">
        <f>IF(OR(Tabla1[[#This Row],[5]]="TPL"),Tabla1[[#This Row],[7]],"")</f>
        <v/>
      </c>
      <c r="M1063" s="52">
        <f>IF(Tabla15[[#This Row],[5]]="",0,VLOOKUP(TRAMOS!$K$2,Tabla5[#All],3,FALSE)*Tabla15[[#This Row],[6]])</f>
        <v>0</v>
      </c>
      <c r="N106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6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63" s="52">
        <f>IF(Tabla15[[#This Row],[8]]="",0,VLOOKUP(TRAMOS!$H$2,Tabla5[#All],3,FALSE)*Tabla15[[#This Row],[9]])</f>
        <v>0</v>
      </c>
      <c r="Q106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6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63" s="52">
        <f>IF(Tabla15[[#This Row],[11]]="",0,VLOOKUP(TRAMOS!$Q$2,Tabla5[#All],3,FALSE)*Tabla15[[#This Row],[12]])</f>
        <v>0</v>
      </c>
      <c r="T106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1063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06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106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6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6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6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6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63" s="52">
        <f>IF(Tabla15[[#This Row],[20]]="",0,VLOOKUP("VRP",Tabla5[#All],3,FALSE)*Tabla15[[#This Row],[21]])</f>
        <v>0</v>
      </c>
      <c r="AC106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6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63" s="52">
        <f>IF(Tabla15[[#This Row],[23]]="",0,VLOOKUP("VC",Tabla5[#All],3,FALSE)*Tabla15[[#This Row],[24]])</f>
        <v>0</v>
      </c>
      <c r="AF106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6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63" s="52">
        <f>IF(Tabla15[[#This Row],[26]]="",0,VLOOKUP(TRAMOS!$K$2,Tabla5[#All],3,FALSE)*Tabla15[[#This Row],[27]])</f>
        <v>0</v>
      </c>
      <c r="AI106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6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6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6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6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6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6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0.21500000000000002</v>
      </c>
    </row>
    <row r="1064" spans="2:41" x14ac:dyDescent="0.25">
      <c r="B1064" s="58" t="str">
        <f>Tabla1[[#This Row],[nudo inicial]]</f>
        <v>N569</v>
      </c>
      <c r="C1064" s="58" t="str">
        <f>Tabla1[[#This Row],[nudo final]]</f>
        <v>TP375</v>
      </c>
      <c r="D1064" s="51">
        <f>Tabla1[[#This Row],[longitud]]</f>
        <v>14.47</v>
      </c>
      <c r="E1064" s="51" t="str">
        <f>Tabla1[[#This Row],[diametro]]</f>
        <v>1/2"</v>
      </c>
      <c r="F1064" s="51" t="str">
        <f>Tabla1[[#This Row],[material]]</f>
        <v>PVC</v>
      </c>
      <c r="G106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064" s="52" t="str">
        <f>IF(Tabla1[[#This Row],[5]]="TPD",Tabla1[[#This Row],[6]],"")</f>
        <v/>
      </c>
      <c r="I1064" s="52" t="str">
        <f>IF(OR(Tabla1[[#This Row],[5]]="TPD"),Tabla1[[#This Row],[7]],"")</f>
        <v/>
      </c>
      <c r="J1064" s="52">
        <f>IF(Tabla15[[#This Row],[2]]="",0,VLOOKUP(TRAMOS!$H$2,Tabla5[#All],3,FALSE)*Tabla15[[#This Row],[3]])</f>
        <v>0</v>
      </c>
      <c r="K1064" s="52" t="str">
        <f>IF(Tabla1[[#This Row],[5]]="TPL",Tabla1[[#This Row],[6]],"")</f>
        <v>2"</v>
      </c>
      <c r="L1064" s="52">
        <f>IF(OR(Tabla1[[#This Row],[5]]="TPL"),Tabla1[[#This Row],[7]],"")</f>
        <v>1</v>
      </c>
      <c r="M1064" s="52">
        <f>IF(Tabla15[[#This Row],[5]]="",0,VLOOKUP(TRAMOS!$K$2,Tabla5[#All],3,FALSE)*Tabla15[[#This Row],[6]])</f>
        <v>0.9</v>
      </c>
      <c r="N106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6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64" s="52">
        <f>IF(Tabla15[[#This Row],[8]]="",0,VLOOKUP(TRAMOS!$H$2,Tabla5[#All],3,FALSE)*Tabla15[[#This Row],[9]])</f>
        <v>0</v>
      </c>
      <c r="Q106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6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64" s="52">
        <f>IF(Tabla15[[#This Row],[11]]="",0,VLOOKUP(TRAMOS!$Q$2,Tabla5[#All],3,FALSE)*Tabla15[[#This Row],[12]])</f>
        <v>0</v>
      </c>
      <c r="T106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1/2"</v>
      </c>
      <c r="U1064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06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0.45</v>
      </c>
      <c r="W106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6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6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6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6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64" s="52">
        <f>IF(Tabla15[[#This Row],[20]]="",0,VLOOKUP("VRP",Tabla5[#All],3,FALSE)*Tabla15[[#This Row],[21]])</f>
        <v>0</v>
      </c>
      <c r="AC106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6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64" s="52">
        <f>IF(Tabla15[[#This Row],[23]]="",0,VLOOKUP("VC",Tabla5[#All],3,FALSE)*Tabla15[[#This Row],[24]])</f>
        <v>0</v>
      </c>
      <c r="AF106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6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64" s="52">
        <f>IF(Tabla15[[#This Row],[26]]="",0,VLOOKUP(TRAMOS!$K$2,Tabla5[#All],3,FALSE)*Tabla15[[#This Row],[27]])</f>
        <v>0</v>
      </c>
      <c r="AI106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6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6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6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6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1/2"</v>
      </c>
      <c r="AN1064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06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1.35</v>
      </c>
    </row>
    <row r="1065" spans="2:41" x14ac:dyDescent="0.25">
      <c r="B1065" s="58" t="str">
        <f>Tabla1[[#This Row],[nudo inicial]]</f>
        <v>N569</v>
      </c>
      <c r="C1065" s="58" t="str">
        <f>Tabla1[[#This Row],[nudo final]]</f>
        <v>N570</v>
      </c>
      <c r="D1065" s="51">
        <f>Tabla1[[#This Row],[longitud]]</f>
        <v>91.45</v>
      </c>
      <c r="E1065" s="51" t="str">
        <f>Tabla1[[#This Row],[diametro]]</f>
        <v>2"</v>
      </c>
      <c r="F1065" s="51" t="str">
        <f>Tabla1[[#This Row],[material]]</f>
        <v>PVC</v>
      </c>
      <c r="G106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065" s="52" t="str">
        <f>IF(Tabla1[[#This Row],[5]]="TPD",Tabla1[[#This Row],[6]],"")</f>
        <v>2"</v>
      </c>
      <c r="I1065" s="52">
        <f>IF(OR(Tabla1[[#This Row],[5]]="TPD"),Tabla1[[#This Row],[7]],"")</f>
        <v>1</v>
      </c>
      <c r="J1065" s="52">
        <f>IF(Tabla15[[#This Row],[2]]="",0,VLOOKUP(TRAMOS!$H$2,Tabla5[#All],3,FALSE)*Tabla15[[#This Row],[3]])</f>
        <v>0.15</v>
      </c>
      <c r="K1065" s="52" t="str">
        <f>IF(Tabla1[[#This Row],[5]]="TPL",Tabla1[[#This Row],[6]],"")</f>
        <v/>
      </c>
      <c r="L1065" s="52" t="str">
        <f>IF(OR(Tabla1[[#This Row],[5]]="TPL"),Tabla1[[#This Row],[7]],"")</f>
        <v/>
      </c>
      <c r="M1065" s="52">
        <f>IF(Tabla15[[#This Row],[5]]="",0,VLOOKUP(TRAMOS!$K$2,Tabla5[#All],3,FALSE)*Tabla15[[#This Row],[6]])</f>
        <v>0</v>
      </c>
      <c r="N106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6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65" s="52">
        <f>IF(Tabla15[[#This Row],[8]]="",0,VLOOKUP(TRAMOS!$H$2,Tabla5[#All],3,FALSE)*Tabla15[[#This Row],[9]])</f>
        <v>0</v>
      </c>
      <c r="Q106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6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65" s="52">
        <f>IF(Tabla15[[#This Row],[11]]="",0,VLOOKUP(TRAMOS!$Q$2,Tabla5[#All],3,FALSE)*Tabla15[[#This Row],[12]])</f>
        <v>0</v>
      </c>
      <c r="T106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6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6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6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6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6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6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6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65" s="52">
        <f>IF(Tabla15[[#This Row],[20]]="",0,VLOOKUP("VRP",Tabla5[#All],3,FALSE)*Tabla15[[#This Row],[21]])</f>
        <v>0</v>
      </c>
      <c r="AC106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6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65" s="52">
        <f>IF(Tabla15[[#This Row],[23]]="",0,VLOOKUP("VC",Tabla5[#All],3,FALSE)*Tabla15[[#This Row],[24]])</f>
        <v>0</v>
      </c>
      <c r="AF106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6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65" s="52">
        <f>IF(Tabla15[[#This Row],[26]]="",0,VLOOKUP(TRAMOS!$K$2,Tabla5[#All],3,FALSE)*Tabla15[[#This Row],[27]])</f>
        <v>0</v>
      </c>
      <c r="AI106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6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6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6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6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6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6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066" spans="2:41" x14ac:dyDescent="0.25">
      <c r="B1066" s="58" t="str">
        <f>Tabla1[[#This Row],[nudo inicial]]</f>
        <v>N367</v>
      </c>
      <c r="C1066" s="58" t="str">
        <f>Tabla1[[#This Row],[nudo final]]</f>
        <v>N570</v>
      </c>
      <c r="D1066" s="51">
        <f>Tabla1[[#This Row],[longitud]]</f>
        <v>56.68</v>
      </c>
      <c r="E1066" s="51" t="str">
        <f>Tabla1[[#This Row],[diametro]]</f>
        <v>2"</v>
      </c>
      <c r="F1066" s="51" t="str">
        <f>Tabla1[[#This Row],[material]]</f>
        <v>PVC</v>
      </c>
      <c r="G106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066" s="52" t="str">
        <f>IF(Tabla1[[#This Row],[5]]="TPD",Tabla1[[#This Row],[6]],"")</f>
        <v/>
      </c>
      <c r="I1066" s="52" t="str">
        <f>IF(OR(Tabla1[[#This Row],[5]]="TPD"),Tabla1[[#This Row],[7]],"")</f>
        <v/>
      </c>
      <c r="J1066" s="52">
        <f>IF(Tabla15[[#This Row],[2]]="",0,VLOOKUP(TRAMOS!$H$2,Tabla5[#All],3,FALSE)*Tabla15[[#This Row],[3]])</f>
        <v>0</v>
      </c>
      <c r="K1066" s="52" t="str">
        <f>IF(Tabla1[[#This Row],[5]]="TPL",Tabla1[[#This Row],[6]],"")</f>
        <v>2"</v>
      </c>
      <c r="L1066" s="52">
        <f>IF(OR(Tabla1[[#This Row],[5]]="TPL"),Tabla1[[#This Row],[7]],"")</f>
        <v>1</v>
      </c>
      <c r="M1066" s="52">
        <f>IF(Tabla15[[#This Row],[5]]="",0,VLOOKUP(TRAMOS!$K$2,Tabla5[#All],3,FALSE)*Tabla15[[#This Row],[6]])</f>
        <v>0.9</v>
      </c>
      <c r="N106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6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66" s="52">
        <f>IF(Tabla15[[#This Row],[8]]="",0,VLOOKUP(TRAMOS!$H$2,Tabla5[#All],3,FALSE)*Tabla15[[#This Row],[9]])</f>
        <v>0</v>
      </c>
      <c r="Q106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6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66" s="52">
        <f>IF(Tabla15[[#This Row],[11]]="",0,VLOOKUP(TRAMOS!$Q$2,Tabla5[#All],3,FALSE)*Tabla15[[#This Row],[12]])</f>
        <v>0</v>
      </c>
      <c r="T106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6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6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6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6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6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6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6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66" s="52">
        <f>IF(Tabla15[[#This Row],[20]]="",0,VLOOKUP("VRP",Tabla5[#All],3,FALSE)*Tabla15[[#This Row],[21]])</f>
        <v>0</v>
      </c>
      <c r="AC106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1066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1066" s="52">
        <f>IF(Tabla15[[#This Row],[23]]="",0,VLOOKUP("VC",Tabla5[#All],3,FALSE)*Tabla15[[#This Row],[24]])</f>
        <v>0.25</v>
      </c>
      <c r="AF106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6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66" s="52">
        <f>IF(Tabla15[[#This Row],[26]]="",0,VLOOKUP(TRAMOS!$K$2,Tabla5[#All],3,FALSE)*Tabla15[[#This Row],[27]])</f>
        <v>0</v>
      </c>
      <c r="AI106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6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6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6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6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6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6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1.1499999999999999</v>
      </c>
    </row>
    <row r="1067" spans="2:41" x14ac:dyDescent="0.25">
      <c r="B1067" s="58" t="str">
        <f>Tabla1[[#This Row],[nudo inicial]]</f>
        <v>N570</v>
      </c>
      <c r="C1067" s="58" t="str">
        <f>Tabla1[[#This Row],[nudo final]]</f>
        <v>TP376</v>
      </c>
      <c r="D1067" s="51">
        <f>Tabla1[[#This Row],[longitud]]</f>
        <v>299.68</v>
      </c>
      <c r="E1067" s="51" t="str">
        <f>Tabla1[[#This Row],[diametro]]</f>
        <v>2"</v>
      </c>
      <c r="F1067" s="51" t="str">
        <f>Tabla1[[#This Row],[material]]</f>
        <v>PVC</v>
      </c>
      <c r="G106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067" s="52" t="str">
        <f>IF(Tabla1[[#This Row],[5]]="TPD",Tabla1[[#This Row],[6]],"")</f>
        <v/>
      </c>
      <c r="I1067" s="52" t="str">
        <f>IF(OR(Tabla1[[#This Row],[5]]="TPD"),Tabla1[[#This Row],[7]],"")</f>
        <v/>
      </c>
      <c r="J1067" s="52">
        <f>IF(Tabla15[[#This Row],[2]]="",0,VLOOKUP(TRAMOS!$H$2,Tabla5[#All],3,FALSE)*Tabla15[[#This Row],[3]])</f>
        <v>0</v>
      </c>
      <c r="K1067" s="52" t="str">
        <f>IF(Tabla1[[#This Row],[5]]="TPL",Tabla1[[#This Row],[6]],"")</f>
        <v>2"</v>
      </c>
      <c r="L1067" s="52">
        <f>IF(OR(Tabla1[[#This Row],[5]]="TPL"),Tabla1[[#This Row],[7]],"")</f>
        <v>1</v>
      </c>
      <c r="M1067" s="52">
        <f>IF(Tabla15[[#This Row],[5]]="",0,VLOOKUP(TRAMOS!$K$2,Tabla5[#All],3,FALSE)*Tabla15[[#This Row],[6]])</f>
        <v>0.9</v>
      </c>
      <c r="N106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6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67" s="52">
        <f>IF(Tabla15[[#This Row],[8]]="",0,VLOOKUP(TRAMOS!$H$2,Tabla5[#All],3,FALSE)*Tabla15[[#This Row],[9]])</f>
        <v>0</v>
      </c>
      <c r="Q106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1067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1067" s="52">
        <f>IF(Tabla15[[#This Row],[11]]="",0,VLOOKUP(TRAMOS!$Q$2,Tabla5[#All],3,FALSE)*Tabla15[[#This Row],[12]])</f>
        <v>0.9</v>
      </c>
      <c r="T106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6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6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6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6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6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6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6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67" s="52">
        <f>IF(Tabla15[[#This Row],[20]]="",0,VLOOKUP("VRP",Tabla5[#All],3,FALSE)*Tabla15[[#This Row],[21]])</f>
        <v>0</v>
      </c>
      <c r="AC106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6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67" s="52">
        <f>IF(Tabla15[[#This Row],[23]]="",0,VLOOKUP("VC",Tabla5[#All],3,FALSE)*Tabla15[[#This Row],[24]])</f>
        <v>0</v>
      </c>
      <c r="AF106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6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67" s="52">
        <f>IF(Tabla15[[#This Row],[26]]="",0,VLOOKUP(TRAMOS!$K$2,Tabla5[#All],3,FALSE)*Tabla15[[#This Row],[27]])</f>
        <v>0</v>
      </c>
      <c r="AI106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6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6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6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6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067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06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1.8</v>
      </c>
    </row>
    <row r="1068" spans="2:41" x14ac:dyDescent="0.25">
      <c r="B1068" s="58" t="str">
        <f>Tabla1[[#This Row],[nudo inicial]]</f>
        <v>N459</v>
      </c>
      <c r="C1068" s="58" t="str">
        <f>Tabla1[[#This Row],[nudo final]]</f>
        <v>N571</v>
      </c>
      <c r="D1068" s="51">
        <f>Tabla1[[#This Row],[longitud]]</f>
        <v>99.48</v>
      </c>
      <c r="E1068" s="51" t="str">
        <f>Tabla1[[#This Row],[diametro]]</f>
        <v>6"</v>
      </c>
      <c r="F1068" s="51" t="str">
        <f>Tabla1[[#This Row],[material]]</f>
        <v>PVC</v>
      </c>
      <c r="G106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1068" s="52" t="str">
        <f>IF(Tabla1[[#This Row],[5]]="TPD",Tabla1[[#This Row],[6]],"")</f>
        <v>6"</v>
      </c>
      <c r="I1068" s="52">
        <f>IF(OR(Tabla1[[#This Row],[5]]="TPD"),Tabla1[[#This Row],[7]],"")</f>
        <v>1</v>
      </c>
      <c r="J1068" s="52">
        <f>IF(Tabla15[[#This Row],[2]]="",0,VLOOKUP(TRAMOS!$H$2,Tabla5[#All],3,FALSE)*Tabla15[[#This Row],[3]])</f>
        <v>0.15</v>
      </c>
      <c r="K1068" s="52" t="str">
        <f>IF(Tabla1[[#This Row],[5]]="TPL",Tabla1[[#This Row],[6]],"")</f>
        <v/>
      </c>
      <c r="L1068" s="52" t="str">
        <f>IF(OR(Tabla1[[#This Row],[5]]="TPL"),Tabla1[[#This Row],[7]],"")</f>
        <v/>
      </c>
      <c r="M1068" s="52">
        <f>IF(Tabla15[[#This Row],[5]]="",0,VLOOKUP(TRAMOS!$K$2,Tabla5[#All],3,FALSE)*Tabla15[[#This Row],[6]])</f>
        <v>0</v>
      </c>
      <c r="N106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6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68" s="52">
        <f>IF(Tabla15[[#This Row],[8]]="",0,VLOOKUP(TRAMOS!$H$2,Tabla5[#All],3,FALSE)*Tabla15[[#This Row],[9]])</f>
        <v>0</v>
      </c>
      <c r="Q106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6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68" s="52">
        <f>IF(Tabla15[[#This Row],[11]]="",0,VLOOKUP(TRAMOS!$Q$2,Tabla5[#All],3,FALSE)*Tabla15[[#This Row],[12]])</f>
        <v>0</v>
      </c>
      <c r="T106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6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6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6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6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6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6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6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68" s="52">
        <f>IF(Tabla15[[#This Row],[20]]="",0,VLOOKUP("VRP",Tabla5[#All],3,FALSE)*Tabla15[[#This Row],[21]])</f>
        <v>0</v>
      </c>
      <c r="AC106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6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68" s="52">
        <f>IF(Tabla15[[#This Row],[23]]="",0,VLOOKUP("VC",Tabla5[#All],3,FALSE)*Tabla15[[#This Row],[24]])</f>
        <v>0</v>
      </c>
      <c r="AF106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6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68" s="52">
        <f>IF(Tabla15[[#This Row],[26]]="",0,VLOOKUP(TRAMOS!$K$2,Tabla5[#All],3,FALSE)*Tabla15[[#This Row],[27]])</f>
        <v>0</v>
      </c>
      <c r="AI106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6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6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6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6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6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6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069" spans="2:41" x14ac:dyDescent="0.25">
      <c r="B1069" s="58" t="str">
        <f>Tabla1[[#This Row],[nudo inicial]]</f>
        <v>N571</v>
      </c>
      <c r="C1069" s="58" t="str">
        <f>Tabla1[[#This Row],[nudo final]]</f>
        <v>N572</v>
      </c>
      <c r="D1069" s="51">
        <f>Tabla1[[#This Row],[longitud]]</f>
        <v>347.76</v>
      </c>
      <c r="E1069" s="51" t="str">
        <f>Tabla1[[#This Row],[diametro]]</f>
        <v>8"</v>
      </c>
      <c r="F1069" s="51" t="str">
        <f>Tabla1[[#This Row],[material]]</f>
        <v>PVC</v>
      </c>
      <c r="G106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1069" s="52" t="str">
        <f>IF(Tabla1[[#This Row],[5]]="TPD",Tabla1[[#This Row],[6]],"")</f>
        <v/>
      </c>
      <c r="I1069" s="52" t="str">
        <f>IF(OR(Tabla1[[#This Row],[5]]="TPD"),Tabla1[[#This Row],[7]],"")</f>
        <v/>
      </c>
      <c r="J1069" s="52">
        <f>IF(Tabla15[[#This Row],[2]]="",0,VLOOKUP(TRAMOS!$H$2,Tabla5[#All],3,FALSE)*Tabla15[[#This Row],[3]])</f>
        <v>0</v>
      </c>
      <c r="K1069" s="52" t="str">
        <f>IF(Tabla1[[#This Row],[5]]="TPL",Tabla1[[#This Row],[6]],"")</f>
        <v/>
      </c>
      <c r="L1069" s="52" t="str">
        <f>IF(OR(Tabla1[[#This Row],[5]]="TPL"),Tabla1[[#This Row],[7]],"")</f>
        <v/>
      </c>
      <c r="M1069" s="52">
        <f>IF(Tabla15[[#This Row],[5]]="",0,VLOOKUP(TRAMOS!$K$2,Tabla5[#All],3,FALSE)*Tabla15[[#This Row],[6]])</f>
        <v>0</v>
      </c>
      <c r="N106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6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69" s="52">
        <f>IF(Tabla15[[#This Row],[8]]="",0,VLOOKUP(TRAMOS!$H$2,Tabla5[#All],3,FALSE)*Tabla15[[#This Row],[9]])</f>
        <v>0</v>
      </c>
      <c r="Q106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6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69" s="52">
        <f>IF(Tabla15[[#This Row],[11]]="",0,VLOOKUP(TRAMOS!$Q$2,Tabla5[#All],3,FALSE)*Tabla15[[#This Row],[12]])</f>
        <v>0</v>
      </c>
      <c r="T106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6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6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6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>8"</v>
      </c>
      <c r="X1069" s="52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>1</v>
      </c>
      <c r="Y106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0.4740000000000002</v>
      </c>
      <c r="Z106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6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69" s="52">
        <f>IF(Tabla15[[#This Row],[20]]="",0,VLOOKUP("VRP",Tabla5[#All],3,FALSE)*Tabla15[[#This Row],[21]])</f>
        <v>0</v>
      </c>
      <c r="AC106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6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69" s="52">
        <f>IF(Tabla15[[#This Row],[23]]="",0,VLOOKUP("VC",Tabla5[#All],3,FALSE)*Tabla15[[#This Row],[24]])</f>
        <v>0</v>
      </c>
      <c r="AF106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6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69" s="52">
        <f>IF(Tabla15[[#This Row],[26]]="",0,VLOOKUP(TRAMOS!$K$2,Tabla5[#All],3,FALSE)*Tabla15[[#This Row],[27]])</f>
        <v>0</v>
      </c>
      <c r="AI106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6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6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6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6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6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6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0.4740000000000002</v>
      </c>
    </row>
    <row r="1070" spans="2:41" x14ac:dyDescent="0.25">
      <c r="B1070" s="58" t="str">
        <f>Tabla1[[#This Row],[nudo inicial]]</f>
        <v>N572</v>
      </c>
      <c r="C1070" s="58" t="str">
        <f>Tabla1[[#This Row],[nudo final]]</f>
        <v>CQ7</v>
      </c>
      <c r="D1070" s="51">
        <f>Tabla1[[#This Row],[longitud]]</f>
        <v>13.75</v>
      </c>
      <c r="E1070" s="51" t="str">
        <f>Tabla1[[#This Row],[diametro]]</f>
        <v>8"</v>
      </c>
      <c r="F1070" s="51" t="str">
        <f>Tabla1[[#This Row],[material]]</f>
        <v>PVC</v>
      </c>
      <c r="G107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1070" s="52" t="str">
        <f>IF(Tabla1[[#This Row],[5]]="TPD",Tabla1[[#This Row],[6]],"")</f>
        <v/>
      </c>
      <c r="I1070" s="52" t="str">
        <f>IF(OR(Tabla1[[#This Row],[5]]="TPD"),Tabla1[[#This Row],[7]],"")</f>
        <v/>
      </c>
      <c r="J1070" s="52">
        <f>IF(Tabla15[[#This Row],[2]]="",0,VLOOKUP(TRAMOS!$H$2,Tabla5[#All],3,FALSE)*Tabla15[[#This Row],[3]])</f>
        <v>0</v>
      </c>
      <c r="K1070" s="52" t="str">
        <f>IF(Tabla1[[#This Row],[5]]="TPL",Tabla1[[#This Row],[6]],"")</f>
        <v>8"</v>
      </c>
      <c r="L1070" s="52">
        <f>IF(OR(Tabla1[[#This Row],[5]]="TPL"),Tabla1[[#This Row],[7]],"")</f>
        <v>1</v>
      </c>
      <c r="M1070" s="52">
        <f>IF(Tabla15[[#This Row],[5]]="",0,VLOOKUP(TRAMOS!$K$2,Tabla5[#All],3,FALSE)*Tabla15[[#This Row],[6]])</f>
        <v>0.9</v>
      </c>
      <c r="N107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7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70" s="52">
        <f>IF(Tabla15[[#This Row],[8]]="",0,VLOOKUP(TRAMOS!$H$2,Tabla5[#All],3,FALSE)*Tabla15[[#This Row],[9]])</f>
        <v>0</v>
      </c>
      <c r="Q107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7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70" s="52">
        <f>IF(Tabla15[[#This Row],[11]]="",0,VLOOKUP(TRAMOS!$Q$2,Tabla5[#All],3,FALSE)*Tabla15[[#This Row],[12]])</f>
        <v>0</v>
      </c>
      <c r="T107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7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7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7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7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7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7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7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70" s="52">
        <f>IF(Tabla15[[#This Row],[20]]="",0,VLOOKUP("VRP",Tabla5[#All],3,FALSE)*Tabla15[[#This Row],[21]])</f>
        <v>0</v>
      </c>
      <c r="AC107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7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70" s="52">
        <f>IF(Tabla15[[#This Row],[23]]="",0,VLOOKUP("VC",Tabla5[#All],3,FALSE)*Tabla15[[#This Row],[24]])</f>
        <v>0</v>
      </c>
      <c r="AF107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7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70" s="52">
        <f>IF(Tabla15[[#This Row],[26]]="",0,VLOOKUP(TRAMOS!$K$2,Tabla5[#All],3,FALSE)*Tabla15[[#This Row],[27]])</f>
        <v>0</v>
      </c>
      <c r="AI107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7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7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7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7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7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7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071" spans="2:41" x14ac:dyDescent="0.25">
      <c r="B1071" s="58" t="str">
        <f>Tabla1[[#This Row],[nudo inicial]]</f>
        <v>CQ7</v>
      </c>
      <c r="C1071" s="58" t="str">
        <f>Tabla1[[#This Row],[nudo final]]</f>
        <v>N573</v>
      </c>
      <c r="D1071" s="51">
        <f>Tabla1[[#This Row],[longitud]]</f>
        <v>57.78</v>
      </c>
      <c r="E1071" s="51" t="str">
        <f>Tabla1[[#This Row],[diametro]]</f>
        <v>3"</v>
      </c>
      <c r="F1071" s="51" t="str">
        <f>Tabla1[[#This Row],[material]]</f>
        <v>PVC</v>
      </c>
      <c r="G107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1071" s="52" t="str">
        <f>IF(Tabla1[[#This Row],[5]]="TPD",Tabla1[[#This Row],[6]],"")</f>
        <v/>
      </c>
      <c r="I1071" s="52" t="str">
        <f>IF(OR(Tabla1[[#This Row],[5]]="TPD"),Tabla1[[#This Row],[7]],"")</f>
        <v/>
      </c>
      <c r="J1071" s="52">
        <f>IF(Tabla15[[#This Row],[2]]="",0,VLOOKUP(TRAMOS!$H$2,Tabla5[#All],3,FALSE)*Tabla15[[#This Row],[3]])</f>
        <v>0</v>
      </c>
      <c r="K1071" s="52" t="str">
        <f>IF(Tabla1[[#This Row],[5]]="TPL",Tabla1[[#This Row],[6]],"")</f>
        <v/>
      </c>
      <c r="L1071" s="52" t="str">
        <f>IF(OR(Tabla1[[#This Row],[5]]="TPL"),Tabla1[[#This Row],[7]],"")</f>
        <v/>
      </c>
      <c r="M1071" s="52">
        <f>IF(Tabla15[[#This Row],[5]]="",0,VLOOKUP(TRAMOS!$K$2,Tabla5[#All],3,FALSE)*Tabla15[[#This Row],[6]])</f>
        <v>0</v>
      </c>
      <c r="N107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7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71" s="52">
        <f>IF(Tabla15[[#This Row],[8]]="",0,VLOOKUP(TRAMOS!$H$2,Tabla5[#All],3,FALSE)*Tabla15[[#This Row],[9]])</f>
        <v>0</v>
      </c>
      <c r="Q107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7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71" s="52">
        <f>IF(Tabla15[[#This Row],[11]]="",0,VLOOKUP(TRAMOS!$Q$2,Tabla5[#All],3,FALSE)*Tabla15[[#This Row],[12]])</f>
        <v>0</v>
      </c>
      <c r="T107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7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7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7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7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7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7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7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71" s="52">
        <f>IF(Tabla15[[#This Row],[20]]="",0,VLOOKUP("VRP",Tabla5[#All],3,FALSE)*Tabla15[[#This Row],[21]])</f>
        <v>0</v>
      </c>
      <c r="AC107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7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71" s="52">
        <f>IF(Tabla15[[#This Row],[23]]="",0,VLOOKUP("VC",Tabla5[#All],3,FALSE)*Tabla15[[#This Row],[24]])</f>
        <v>0</v>
      </c>
      <c r="AF107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7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71" s="52">
        <f>IF(Tabla15[[#This Row],[26]]="",0,VLOOKUP(TRAMOS!$K$2,Tabla5[#All],3,FALSE)*Tabla15[[#This Row],[27]])</f>
        <v>0</v>
      </c>
      <c r="AI107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7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7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7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7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7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7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</v>
      </c>
    </row>
    <row r="1072" spans="2:41" x14ac:dyDescent="0.25">
      <c r="B1072" s="58" t="str">
        <f>Tabla1[[#This Row],[nudo inicial]]</f>
        <v>N573</v>
      </c>
      <c r="C1072" s="58" t="str">
        <f>Tabla1[[#This Row],[nudo final]]</f>
        <v>N574</v>
      </c>
      <c r="D1072" s="51">
        <f>Tabla1[[#This Row],[longitud]]</f>
        <v>89.53</v>
      </c>
      <c r="E1072" s="51" t="str">
        <f>Tabla1[[#This Row],[diametro]]</f>
        <v>2"</v>
      </c>
      <c r="F1072" s="51" t="str">
        <f>Tabla1[[#This Row],[material]]</f>
        <v>PVC</v>
      </c>
      <c r="G107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072" s="52" t="str">
        <f>IF(Tabla1[[#This Row],[5]]="TPD",Tabla1[[#This Row],[6]],"")</f>
        <v/>
      </c>
      <c r="I1072" s="52" t="str">
        <f>IF(OR(Tabla1[[#This Row],[5]]="TPD"),Tabla1[[#This Row],[7]],"")</f>
        <v/>
      </c>
      <c r="J1072" s="52">
        <f>IF(Tabla15[[#This Row],[2]]="",0,VLOOKUP(TRAMOS!$H$2,Tabla5[#All],3,FALSE)*Tabla15[[#This Row],[3]])</f>
        <v>0</v>
      </c>
      <c r="K1072" s="52" t="str">
        <f>IF(Tabla1[[#This Row],[5]]="TPL",Tabla1[[#This Row],[6]],"")</f>
        <v>3"</v>
      </c>
      <c r="L1072" s="52">
        <f>IF(OR(Tabla1[[#This Row],[5]]="TPL"),Tabla1[[#This Row],[7]],"")</f>
        <v>1</v>
      </c>
      <c r="M1072" s="52">
        <f>IF(Tabla15[[#This Row],[5]]="",0,VLOOKUP(TRAMOS!$K$2,Tabla5[#All],3,FALSE)*Tabla15[[#This Row],[6]])</f>
        <v>0.9</v>
      </c>
      <c r="N107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7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72" s="52">
        <f>IF(Tabla15[[#This Row],[8]]="",0,VLOOKUP(TRAMOS!$H$2,Tabla5[#All],3,FALSE)*Tabla15[[#This Row],[9]])</f>
        <v>0</v>
      </c>
      <c r="Q107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7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72" s="52">
        <f>IF(Tabla15[[#This Row],[11]]="",0,VLOOKUP(TRAMOS!$Q$2,Tabla5[#All],3,FALSE)*Tabla15[[#This Row],[12]])</f>
        <v>0</v>
      </c>
      <c r="T107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1072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07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107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7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7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7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7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72" s="52">
        <f>IF(Tabla15[[#This Row],[20]]="",0,VLOOKUP("VRP",Tabla5[#All],3,FALSE)*Tabla15[[#This Row],[21]])</f>
        <v>0</v>
      </c>
      <c r="AC107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7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72" s="52">
        <f>IF(Tabla15[[#This Row],[23]]="",0,VLOOKUP("VC",Tabla5[#All],3,FALSE)*Tabla15[[#This Row],[24]])</f>
        <v>0</v>
      </c>
      <c r="AF107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7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72" s="52">
        <f>IF(Tabla15[[#This Row],[26]]="",0,VLOOKUP(TRAMOS!$K$2,Tabla5[#All],3,FALSE)*Tabla15[[#This Row],[27]])</f>
        <v>0</v>
      </c>
      <c r="AI107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7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7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7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7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7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7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1073" spans="2:41" x14ac:dyDescent="0.25">
      <c r="B1073" s="58" t="str">
        <f>Tabla1[[#This Row],[nudo inicial]]</f>
        <v>N574</v>
      </c>
      <c r="C1073" s="58" t="str">
        <f>Tabla1[[#This Row],[nudo final]]</f>
        <v>N575</v>
      </c>
      <c r="D1073" s="51">
        <f>Tabla1[[#This Row],[longitud]]</f>
        <v>275.89</v>
      </c>
      <c r="E1073" s="51" t="str">
        <f>Tabla1[[#This Row],[diametro]]</f>
        <v>3"</v>
      </c>
      <c r="F1073" s="51" t="str">
        <f>Tabla1[[#This Row],[material]]</f>
        <v>PVC</v>
      </c>
      <c r="G107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073" s="52" t="str">
        <f>IF(Tabla1[[#This Row],[5]]="TPD",Tabla1[[#This Row],[6]],"")</f>
        <v/>
      </c>
      <c r="I1073" s="52" t="str">
        <f>IF(OR(Tabla1[[#This Row],[5]]="TPD"),Tabla1[[#This Row],[7]],"")</f>
        <v/>
      </c>
      <c r="J1073" s="52">
        <f>IF(Tabla15[[#This Row],[2]]="",0,VLOOKUP(TRAMOS!$H$2,Tabla5[#All],3,FALSE)*Tabla15[[#This Row],[3]])</f>
        <v>0</v>
      </c>
      <c r="K1073" s="52" t="str">
        <f>IF(Tabla1[[#This Row],[5]]="TPL",Tabla1[[#This Row],[6]],"")</f>
        <v/>
      </c>
      <c r="L1073" s="52" t="str">
        <f>IF(OR(Tabla1[[#This Row],[5]]="TPL"),Tabla1[[#This Row],[7]],"")</f>
        <v/>
      </c>
      <c r="M1073" s="52">
        <f>IF(Tabla15[[#This Row],[5]]="",0,VLOOKUP(TRAMOS!$K$2,Tabla5[#All],3,FALSE)*Tabla15[[#This Row],[6]])</f>
        <v>0</v>
      </c>
      <c r="N107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7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73" s="52">
        <f>IF(Tabla15[[#This Row],[8]]="",0,VLOOKUP(TRAMOS!$H$2,Tabla5[#All],3,FALSE)*Tabla15[[#This Row],[9]])</f>
        <v>0</v>
      </c>
      <c r="Q107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7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73" s="52">
        <f>IF(Tabla15[[#This Row],[11]]="",0,VLOOKUP(TRAMOS!$Q$2,Tabla5[#All],3,FALSE)*Tabla15[[#This Row],[12]])</f>
        <v>0</v>
      </c>
      <c r="T107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7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7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7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>3"</v>
      </c>
      <c r="X1073" s="52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>1</v>
      </c>
      <c r="Y107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0.57000000000000006</v>
      </c>
      <c r="Z107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7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73" s="52">
        <f>IF(Tabla15[[#This Row],[20]]="",0,VLOOKUP("VRP",Tabla5[#All],3,FALSE)*Tabla15[[#This Row],[21]])</f>
        <v>0</v>
      </c>
      <c r="AC107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7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73" s="52">
        <f>IF(Tabla15[[#This Row],[23]]="",0,VLOOKUP("VC",Tabla5[#All],3,FALSE)*Tabla15[[#This Row],[24]])</f>
        <v>0</v>
      </c>
      <c r="AF107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7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73" s="52">
        <f>IF(Tabla15[[#This Row],[26]]="",0,VLOOKUP(TRAMOS!$K$2,Tabla5[#All],3,FALSE)*Tabla15[[#This Row],[27]])</f>
        <v>0</v>
      </c>
      <c r="AI107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7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7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7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7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7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7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0.57000000000000006</v>
      </c>
    </row>
    <row r="1074" spans="2:41" x14ac:dyDescent="0.25">
      <c r="B1074" s="58" t="str">
        <f>Tabla1[[#This Row],[nudo inicial]]</f>
        <v>N575</v>
      </c>
      <c r="C1074" s="58" t="str">
        <f>Tabla1[[#This Row],[nudo final]]</f>
        <v>TP377</v>
      </c>
      <c r="D1074" s="51">
        <f>Tabla1[[#This Row],[longitud]]</f>
        <v>120.42</v>
      </c>
      <c r="E1074" s="51" t="str">
        <f>Tabla1[[#This Row],[diametro]]</f>
        <v>2"</v>
      </c>
      <c r="F1074" s="51" t="str">
        <f>Tabla1[[#This Row],[material]]</f>
        <v>PVC</v>
      </c>
      <c r="G107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074" s="52" t="str">
        <f>IF(Tabla1[[#This Row],[5]]="TPD",Tabla1[[#This Row],[6]],"")</f>
        <v/>
      </c>
      <c r="I1074" s="52" t="str">
        <f>IF(OR(Tabla1[[#This Row],[5]]="TPD"),Tabla1[[#This Row],[7]],"")</f>
        <v/>
      </c>
      <c r="J1074" s="52">
        <f>IF(Tabla15[[#This Row],[2]]="",0,VLOOKUP(TRAMOS!$H$2,Tabla5[#All],3,FALSE)*Tabla15[[#This Row],[3]])</f>
        <v>0</v>
      </c>
      <c r="K1074" s="52" t="str">
        <f>IF(Tabla1[[#This Row],[5]]="TPL",Tabla1[[#This Row],[6]],"")</f>
        <v/>
      </c>
      <c r="L1074" s="52" t="str">
        <f>IF(OR(Tabla1[[#This Row],[5]]="TPL"),Tabla1[[#This Row],[7]],"")</f>
        <v/>
      </c>
      <c r="M1074" s="52">
        <f>IF(Tabla15[[#This Row],[5]]="",0,VLOOKUP(TRAMOS!$K$2,Tabla5[#All],3,FALSE)*Tabla15[[#This Row],[6]])</f>
        <v>0</v>
      </c>
      <c r="N107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7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74" s="52">
        <f>IF(Tabla15[[#This Row],[8]]="",0,VLOOKUP(TRAMOS!$H$2,Tabla5[#All],3,FALSE)*Tabla15[[#This Row],[9]])</f>
        <v>0</v>
      </c>
      <c r="Q107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1074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1074" s="52">
        <f>IF(Tabla15[[#This Row],[11]]="",0,VLOOKUP(TRAMOS!$Q$2,Tabla5[#All],3,FALSE)*Tabla15[[#This Row],[12]])</f>
        <v>0.9</v>
      </c>
      <c r="T107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1074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07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107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7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7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7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7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74" s="52">
        <f>IF(Tabla15[[#This Row],[20]]="",0,VLOOKUP("VRP",Tabla5[#All],3,FALSE)*Tabla15[[#This Row],[21]])</f>
        <v>0</v>
      </c>
      <c r="AC107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7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74" s="52">
        <f>IF(Tabla15[[#This Row],[23]]="",0,VLOOKUP("VC",Tabla5[#All],3,FALSE)*Tabla15[[#This Row],[24]])</f>
        <v>0</v>
      </c>
      <c r="AF107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7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74" s="52">
        <f>IF(Tabla15[[#This Row],[26]]="",0,VLOOKUP(TRAMOS!$K$2,Tabla5[#All],3,FALSE)*Tabla15[[#This Row],[27]])</f>
        <v>0</v>
      </c>
      <c r="AI107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7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7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7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7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074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07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1075" spans="2:41" x14ac:dyDescent="0.25">
      <c r="B1075" s="58" t="str">
        <f>Tabla1[[#This Row],[nudo inicial]]</f>
        <v>N573</v>
      </c>
      <c r="C1075" s="58" t="str">
        <f>Tabla1[[#This Row],[nudo final]]</f>
        <v>N576</v>
      </c>
      <c r="D1075" s="51">
        <f>Tabla1[[#This Row],[longitud]]</f>
        <v>319.64</v>
      </c>
      <c r="E1075" s="51" t="str">
        <f>Tabla1[[#This Row],[diametro]]</f>
        <v>3"</v>
      </c>
      <c r="F1075" s="51" t="str">
        <f>Tabla1[[#This Row],[material]]</f>
        <v>PVC</v>
      </c>
      <c r="G107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075" s="52" t="str">
        <f>IF(Tabla1[[#This Row],[5]]="TPD",Tabla1[[#This Row],[6]],"")</f>
        <v/>
      </c>
      <c r="I1075" s="52" t="str">
        <f>IF(OR(Tabla1[[#This Row],[5]]="TPD"),Tabla1[[#This Row],[7]],"")</f>
        <v/>
      </c>
      <c r="J1075" s="52">
        <f>IF(Tabla15[[#This Row],[2]]="",0,VLOOKUP(TRAMOS!$H$2,Tabla5[#All],3,FALSE)*Tabla15[[#This Row],[3]])</f>
        <v>0</v>
      </c>
      <c r="K1075" s="52" t="str">
        <f>IF(Tabla1[[#This Row],[5]]="TPL",Tabla1[[#This Row],[6]],"")</f>
        <v>3"</v>
      </c>
      <c r="L1075" s="52">
        <f>IF(OR(Tabla1[[#This Row],[5]]="TPL"),Tabla1[[#This Row],[7]],"")</f>
        <v>1</v>
      </c>
      <c r="M1075" s="52">
        <f>IF(Tabla15[[#This Row],[5]]="",0,VLOOKUP(TRAMOS!$K$2,Tabla5[#All],3,FALSE)*Tabla15[[#This Row],[6]])</f>
        <v>0.9</v>
      </c>
      <c r="N107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7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75" s="52">
        <f>IF(Tabla15[[#This Row],[8]]="",0,VLOOKUP(TRAMOS!$H$2,Tabla5[#All],3,FALSE)*Tabla15[[#This Row],[9]])</f>
        <v>0</v>
      </c>
      <c r="Q107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7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75" s="52">
        <f>IF(Tabla15[[#This Row],[11]]="",0,VLOOKUP(TRAMOS!$Q$2,Tabla5[#All],3,FALSE)*Tabla15[[#This Row],[12]])</f>
        <v>0</v>
      </c>
      <c r="T107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7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7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7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7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7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7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7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75" s="52">
        <f>IF(Tabla15[[#This Row],[20]]="",0,VLOOKUP("VRP",Tabla5[#All],3,FALSE)*Tabla15[[#This Row],[21]])</f>
        <v>0</v>
      </c>
      <c r="AC107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7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75" s="52">
        <f>IF(Tabla15[[#This Row],[23]]="",0,VLOOKUP("VC",Tabla5[#All],3,FALSE)*Tabla15[[#This Row],[24]])</f>
        <v>0</v>
      </c>
      <c r="AF107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7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75" s="52">
        <f>IF(Tabla15[[#This Row],[26]]="",0,VLOOKUP(TRAMOS!$K$2,Tabla5[#All],3,FALSE)*Tabla15[[#This Row],[27]])</f>
        <v>0</v>
      </c>
      <c r="AI107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7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7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7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7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7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7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076" spans="2:41" x14ac:dyDescent="0.25">
      <c r="B1076" s="58" t="str">
        <f>Tabla1[[#This Row],[nudo inicial]]</f>
        <v>N576</v>
      </c>
      <c r="C1076" s="58" t="str">
        <f>Tabla1[[#This Row],[nudo final]]</f>
        <v>TP378</v>
      </c>
      <c r="D1076" s="51">
        <f>Tabla1[[#This Row],[longitud]]</f>
        <v>128.91999999999999</v>
      </c>
      <c r="E1076" s="51" t="str">
        <f>Tabla1[[#This Row],[diametro]]</f>
        <v>2"</v>
      </c>
      <c r="F1076" s="51" t="str">
        <f>Tabla1[[#This Row],[material]]</f>
        <v>PVC</v>
      </c>
      <c r="G107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076" s="52" t="str">
        <f>IF(Tabla1[[#This Row],[5]]="TPD",Tabla1[[#This Row],[6]],"")</f>
        <v/>
      </c>
      <c r="I1076" s="52" t="str">
        <f>IF(OR(Tabla1[[#This Row],[5]]="TPD"),Tabla1[[#This Row],[7]],"")</f>
        <v/>
      </c>
      <c r="J1076" s="52">
        <f>IF(Tabla15[[#This Row],[2]]="",0,VLOOKUP(TRAMOS!$H$2,Tabla5[#All],3,FALSE)*Tabla15[[#This Row],[3]])</f>
        <v>0</v>
      </c>
      <c r="K1076" s="52" t="str">
        <f>IF(Tabla1[[#This Row],[5]]="TPL",Tabla1[[#This Row],[6]],"")</f>
        <v>3"</v>
      </c>
      <c r="L1076" s="52">
        <f>IF(OR(Tabla1[[#This Row],[5]]="TPL"),Tabla1[[#This Row],[7]],"")</f>
        <v>1</v>
      </c>
      <c r="M1076" s="52">
        <f>IF(Tabla15[[#This Row],[5]]="",0,VLOOKUP(TRAMOS!$K$2,Tabla5[#All],3,FALSE)*Tabla15[[#This Row],[6]])</f>
        <v>0.9</v>
      </c>
      <c r="N107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7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76" s="52">
        <f>IF(Tabla15[[#This Row],[8]]="",0,VLOOKUP(TRAMOS!$H$2,Tabla5[#All],3,FALSE)*Tabla15[[#This Row],[9]])</f>
        <v>0</v>
      </c>
      <c r="Q107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7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76" s="52">
        <f>IF(Tabla15[[#This Row],[11]]="",0,VLOOKUP(TRAMOS!$Q$2,Tabla5[#All],3,FALSE)*Tabla15[[#This Row],[12]])</f>
        <v>0</v>
      </c>
      <c r="T107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1076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07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107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7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7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7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7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76" s="52">
        <f>IF(Tabla15[[#This Row],[20]]="",0,VLOOKUP("VRP",Tabla5[#All],3,FALSE)*Tabla15[[#This Row],[21]])</f>
        <v>0</v>
      </c>
      <c r="AC107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7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76" s="52">
        <f>IF(Tabla15[[#This Row],[23]]="",0,VLOOKUP("VC",Tabla5[#All],3,FALSE)*Tabla15[[#This Row],[24]])</f>
        <v>0</v>
      </c>
      <c r="AF107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7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76" s="52">
        <f>IF(Tabla15[[#This Row],[26]]="",0,VLOOKUP(TRAMOS!$K$2,Tabla5[#All],3,FALSE)*Tabla15[[#This Row],[27]])</f>
        <v>0</v>
      </c>
      <c r="AI107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7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7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7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7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07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07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1077" spans="2:41" x14ac:dyDescent="0.25">
      <c r="B1077" s="58" t="str">
        <f>Tabla1[[#This Row],[nudo inicial]]</f>
        <v>N576</v>
      </c>
      <c r="C1077" s="58" t="str">
        <f>Tabla1[[#This Row],[nudo final]]</f>
        <v>TP379</v>
      </c>
      <c r="D1077" s="51">
        <f>Tabla1[[#This Row],[longitud]]</f>
        <v>123.79</v>
      </c>
      <c r="E1077" s="51" t="str">
        <f>Tabla1[[#This Row],[diametro]]</f>
        <v>2"</v>
      </c>
      <c r="F1077" s="51" t="str">
        <f>Tabla1[[#This Row],[material]]</f>
        <v>PVC</v>
      </c>
      <c r="G107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077" s="52" t="str">
        <f>IF(Tabla1[[#This Row],[5]]="TPD",Tabla1[[#This Row],[6]],"")</f>
        <v>3"</v>
      </c>
      <c r="I1077" s="52">
        <f>IF(OR(Tabla1[[#This Row],[5]]="TPD"),Tabla1[[#This Row],[7]],"")</f>
        <v>1</v>
      </c>
      <c r="J1077" s="52">
        <f>IF(Tabla15[[#This Row],[2]]="",0,VLOOKUP(TRAMOS!$H$2,Tabla5[#All],3,FALSE)*Tabla15[[#This Row],[3]])</f>
        <v>0.15</v>
      </c>
      <c r="K1077" s="52" t="str">
        <f>IF(Tabla1[[#This Row],[5]]="TPL",Tabla1[[#This Row],[6]],"")</f>
        <v/>
      </c>
      <c r="L1077" s="52" t="str">
        <f>IF(OR(Tabla1[[#This Row],[5]]="TPL"),Tabla1[[#This Row],[7]],"")</f>
        <v/>
      </c>
      <c r="M1077" s="52">
        <f>IF(Tabla15[[#This Row],[5]]="",0,VLOOKUP(TRAMOS!$K$2,Tabla5[#All],3,FALSE)*Tabla15[[#This Row],[6]])</f>
        <v>0</v>
      </c>
      <c r="N107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7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77" s="52">
        <f>IF(Tabla15[[#This Row],[8]]="",0,VLOOKUP(TRAMOS!$H$2,Tabla5[#All],3,FALSE)*Tabla15[[#This Row],[9]])</f>
        <v>0</v>
      </c>
      <c r="Q107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7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77" s="52">
        <f>IF(Tabla15[[#This Row],[11]]="",0,VLOOKUP(TRAMOS!$Q$2,Tabla5[#All],3,FALSE)*Tabla15[[#This Row],[12]])</f>
        <v>0</v>
      </c>
      <c r="T107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1077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07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107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7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7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7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7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77" s="52">
        <f>IF(Tabla15[[#This Row],[20]]="",0,VLOOKUP("VRP",Tabla5[#All],3,FALSE)*Tabla15[[#This Row],[21]])</f>
        <v>0</v>
      </c>
      <c r="AC107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7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77" s="52">
        <f>IF(Tabla15[[#This Row],[23]]="",0,VLOOKUP("VC",Tabla5[#All],3,FALSE)*Tabla15[[#This Row],[24]])</f>
        <v>0</v>
      </c>
      <c r="AF107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7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77" s="52">
        <f>IF(Tabla15[[#This Row],[26]]="",0,VLOOKUP(TRAMOS!$K$2,Tabla5[#All],3,FALSE)*Tabla15[[#This Row],[27]])</f>
        <v>0</v>
      </c>
      <c r="AI107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7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7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7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7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077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07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0.36499999999999999</v>
      </c>
    </row>
    <row r="1078" spans="2:41" x14ac:dyDescent="0.25">
      <c r="B1078" s="58" t="str">
        <f>Tabla1[[#This Row],[nudo inicial]]</f>
        <v>N572</v>
      </c>
      <c r="C1078" s="58" t="str">
        <f>Tabla1[[#This Row],[nudo final]]</f>
        <v>N577</v>
      </c>
      <c r="D1078" s="51">
        <f>Tabla1[[#This Row],[longitud]]</f>
        <v>141.53</v>
      </c>
      <c r="E1078" s="51" t="str">
        <f>Tabla1[[#This Row],[diametro]]</f>
        <v>8"</v>
      </c>
      <c r="F1078" s="51" t="str">
        <f>Tabla1[[#This Row],[material]]</f>
        <v>PVC</v>
      </c>
      <c r="G107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1078" s="52" t="str">
        <f>IF(Tabla1[[#This Row],[5]]="TPD",Tabla1[[#This Row],[6]],"")</f>
        <v>8"</v>
      </c>
      <c r="I1078" s="52">
        <f>IF(OR(Tabla1[[#This Row],[5]]="TPD"),Tabla1[[#This Row],[7]],"")</f>
        <v>1</v>
      </c>
      <c r="J1078" s="52">
        <f>IF(Tabla15[[#This Row],[2]]="",0,VLOOKUP(TRAMOS!$H$2,Tabla5[#All],3,FALSE)*Tabla15[[#This Row],[3]])</f>
        <v>0.15</v>
      </c>
      <c r="K1078" s="52" t="str">
        <f>IF(Tabla1[[#This Row],[5]]="TPL",Tabla1[[#This Row],[6]],"")</f>
        <v/>
      </c>
      <c r="L1078" s="52" t="str">
        <f>IF(OR(Tabla1[[#This Row],[5]]="TPL"),Tabla1[[#This Row],[7]],"")</f>
        <v/>
      </c>
      <c r="M1078" s="52">
        <f>IF(Tabla15[[#This Row],[5]]="",0,VLOOKUP(TRAMOS!$K$2,Tabla5[#All],3,FALSE)*Tabla15[[#This Row],[6]])</f>
        <v>0</v>
      </c>
      <c r="N107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7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78" s="52">
        <f>IF(Tabla15[[#This Row],[8]]="",0,VLOOKUP(TRAMOS!$H$2,Tabla5[#All],3,FALSE)*Tabla15[[#This Row],[9]])</f>
        <v>0</v>
      </c>
      <c r="Q107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7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78" s="52">
        <f>IF(Tabla15[[#This Row],[11]]="",0,VLOOKUP(TRAMOS!$Q$2,Tabla5[#All],3,FALSE)*Tabla15[[#This Row],[12]])</f>
        <v>0</v>
      </c>
      <c r="T107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7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7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7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7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7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7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7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78" s="52">
        <f>IF(Tabla15[[#This Row],[20]]="",0,VLOOKUP("VRP",Tabla5[#All],3,FALSE)*Tabla15[[#This Row],[21]])</f>
        <v>0</v>
      </c>
      <c r="AC107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7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78" s="52">
        <f>IF(Tabla15[[#This Row],[23]]="",0,VLOOKUP("VC",Tabla5[#All],3,FALSE)*Tabla15[[#This Row],[24]])</f>
        <v>0</v>
      </c>
      <c r="AF107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7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78" s="52">
        <f>IF(Tabla15[[#This Row],[26]]="",0,VLOOKUP(TRAMOS!$K$2,Tabla5[#All],3,FALSE)*Tabla15[[#This Row],[27]])</f>
        <v>0</v>
      </c>
      <c r="AI107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7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7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7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7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7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7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079" spans="2:41" x14ac:dyDescent="0.25">
      <c r="B1079" s="58" t="str">
        <f>Tabla1[[#This Row],[nudo inicial]]</f>
        <v>N577</v>
      </c>
      <c r="C1079" s="58" t="str">
        <f>Tabla1[[#This Row],[nudo final]]</f>
        <v>N578</v>
      </c>
      <c r="D1079" s="51">
        <f>Tabla1[[#This Row],[longitud]]</f>
        <v>19.21</v>
      </c>
      <c r="E1079" s="51" t="str">
        <f>Tabla1[[#This Row],[diametro]]</f>
        <v>8"</v>
      </c>
      <c r="F1079" s="51" t="str">
        <f>Tabla1[[#This Row],[material]]</f>
        <v>PVC</v>
      </c>
      <c r="G107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1079" s="52" t="str">
        <f>IF(Tabla1[[#This Row],[5]]="TPD",Tabla1[[#This Row],[6]],"")</f>
        <v/>
      </c>
      <c r="I1079" s="52" t="str">
        <f>IF(OR(Tabla1[[#This Row],[5]]="TPD"),Tabla1[[#This Row],[7]],"")</f>
        <v/>
      </c>
      <c r="J1079" s="52">
        <f>IF(Tabla15[[#This Row],[2]]="",0,VLOOKUP(TRAMOS!$H$2,Tabla5[#All],3,FALSE)*Tabla15[[#This Row],[3]])</f>
        <v>0</v>
      </c>
      <c r="K1079" s="52" t="str">
        <f>IF(Tabla1[[#This Row],[5]]="TPL",Tabla1[[#This Row],[6]],"")</f>
        <v>8"</v>
      </c>
      <c r="L1079" s="52">
        <f>IF(OR(Tabla1[[#This Row],[5]]="TPL"),Tabla1[[#This Row],[7]],"")</f>
        <v>1</v>
      </c>
      <c r="M1079" s="52">
        <f>IF(Tabla15[[#This Row],[5]]="",0,VLOOKUP(TRAMOS!$K$2,Tabla5[#All],3,FALSE)*Tabla15[[#This Row],[6]])</f>
        <v>0.9</v>
      </c>
      <c r="N107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7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79" s="52">
        <f>IF(Tabla15[[#This Row],[8]]="",0,VLOOKUP(TRAMOS!$H$2,Tabla5[#All],3,FALSE)*Tabla15[[#This Row],[9]])</f>
        <v>0</v>
      </c>
      <c r="Q107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7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79" s="52">
        <f>IF(Tabla15[[#This Row],[11]]="",0,VLOOKUP(TRAMOS!$Q$2,Tabla5[#All],3,FALSE)*Tabla15[[#This Row],[12]])</f>
        <v>0</v>
      </c>
      <c r="T107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7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7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7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7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7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7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7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79" s="52">
        <f>IF(Tabla15[[#This Row],[20]]="",0,VLOOKUP("VRP",Tabla5[#All],3,FALSE)*Tabla15[[#This Row],[21]])</f>
        <v>0</v>
      </c>
      <c r="AC107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8"</v>
      </c>
      <c r="AD1079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1079" s="52">
        <f>IF(Tabla15[[#This Row],[23]]="",0,VLOOKUP("VC",Tabla5[#All],3,FALSE)*Tabla15[[#This Row],[24]])</f>
        <v>0.25</v>
      </c>
      <c r="AF107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7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79" s="52">
        <f>IF(Tabla15[[#This Row],[26]]="",0,VLOOKUP(TRAMOS!$K$2,Tabla5[#All],3,FALSE)*Tabla15[[#This Row],[27]])</f>
        <v>0</v>
      </c>
      <c r="AI107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7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7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7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7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7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7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1.1499999999999999</v>
      </c>
    </row>
    <row r="1080" spans="2:41" x14ac:dyDescent="0.25">
      <c r="B1080" s="58" t="str">
        <f>Tabla1[[#This Row],[nudo inicial]]</f>
        <v>N578</v>
      </c>
      <c r="C1080" s="58" t="str">
        <f>Tabla1[[#This Row],[nudo final]]</f>
        <v>N579</v>
      </c>
      <c r="D1080" s="51">
        <f>Tabla1[[#This Row],[longitud]]</f>
        <v>60.73</v>
      </c>
      <c r="E1080" s="51" t="str">
        <f>Tabla1[[#This Row],[diametro]]</f>
        <v>3"</v>
      </c>
      <c r="F1080" s="51" t="str">
        <f>Tabla1[[#This Row],[material]]</f>
        <v>PVC</v>
      </c>
      <c r="G108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1080" s="52" t="str">
        <f>IF(Tabla1[[#This Row],[5]]="TPD",Tabla1[[#This Row],[6]],"")</f>
        <v/>
      </c>
      <c r="I1080" s="52" t="str">
        <f>IF(OR(Tabla1[[#This Row],[5]]="TPD"),Tabla1[[#This Row],[7]],"")</f>
        <v/>
      </c>
      <c r="J1080" s="52">
        <f>IF(Tabla15[[#This Row],[2]]="",0,VLOOKUP(TRAMOS!$H$2,Tabla5[#All],3,FALSE)*Tabla15[[#This Row],[3]])</f>
        <v>0</v>
      </c>
      <c r="K1080" s="52" t="str">
        <f>IF(Tabla1[[#This Row],[5]]="TPL",Tabla1[[#This Row],[6]],"")</f>
        <v/>
      </c>
      <c r="L1080" s="52" t="str">
        <f>IF(OR(Tabla1[[#This Row],[5]]="TPL"),Tabla1[[#This Row],[7]],"")</f>
        <v/>
      </c>
      <c r="M1080" s="52">
        <f>IF(Tabla15[[#This Row],[5]]="",0,VLOOKUP(TRAMOS!$K$2,Tabla5[#All],3,FALSE)*Tabla15[[#This Row],[6]])</f>
        <v>0</v>
      </c>
      <c r="N108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8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80" s="52">
        <f>IF(Tabla15[[#This Row],[8]]="",0,VLOOKUP(TRAMOS!$H$2,Tabla5[#All],3,FALSE)*Tabla15[[#This Row],[9]])</f>
        <v>0</v>
      </c>
      <c r="Q108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8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80" s="52">
        <f>IF(Tabla15[[#This Row],[11]]="",0,VLOOKUP(TRAMOS!$Q$2,Tabla5[#All],3,FALSE)*Tabla15[[#This Row],[12]])</f>
        <v>0</v>
      </c>
      <c r="T108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1080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08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0.41679999999999995</v>
      </c>
      <c r="W108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8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8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8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8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80" s="52">
        <f>IF(Tabla15[[#This Row],[20]]="",0,VLOOKUP("VRP",Tabla5[#All],3,FALSE)*Tabla15[[#This Row],[21]])</f>
        <v>0</v>
      </c>
      <c r="AC108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8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80" s="52">
        <f>IF(Tabla15[[#This Row],[23]]="",0,VLOOKUP("VC",Tabla5[#All],3,FALSE)*Tabla15[[#This Row],[24]])</f>
        <v>0</v>
      </c>
      <c r="AF108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8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80" s="52">
        <f>IF(Tabla15[[#This Row],[26]]="",0,VLOOKUP(TRAMOS!$K$2,Tabla5[#All],3,FALSE)*Tabla15[[#This Row],[27]])</f>
        <v>0</v>
      </c>
      <c r="AI108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8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80" s="52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>0</v>
      </c>
      <c r="AL1080" s="52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>1</v>
      </c>
      <c r="AM108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8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8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0.41679999999999995</v>
      </c>
    </row>
    <row r="1081" spans="2:41" x14ac:dyDescent="0.25">
      <c r="B1081" s="58" t="str">
        <f>Tabla1[[#This Row],[nudo inicial]]</f>
        <v>N579</v>
      </c>
      <c r="C1081" s="58" t="str">
        <f>Tabla1[[#This Row],[nudo final]]</f>
        <v>N580</v>
      </c>
      <c r="D1081" s="51">
        <f>Tabla1[[#This Row],[longitud]]</f>
        <v>46.55</v>
      </c>
      <c r="E1081" s="51" t="str">
        <f>Tabla1[[#This Row],[diametro]]</f>
        <v>2"</v>
      </c>
      <c r="F1081" s="51" t="str">
        <f>Tabla1[[#This Row],[material]]</f>
        <v>PVC</v>
      </c>
      <c r="G108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081" s="52" t="str">
        <f>IF(Tabla1[[#This Row],[5]]="TPD",Tabla1[[#This Row],[6]],"")</f>
        <v/>
      </c>
      <c r="I1081" s="52" t="str">
        <f>IF(OR(Tabla1[[#This Row],[5]]="TPD"),Tabla1[[#This Row],[7]],"")</f>
        <v/>
      </c>
      <c r="J1081" s="52">
        <f>IF(Tabla15[[#This Row],[2]]="",0,VLOOKUP(TRAMOS!$H$2,Tabla5[#All],3,FALSE)*Tabla15[[#This Row],[3]])</f>
        <v>0</v>
      </c>
      <c r="K1081" s="52" t="str">
        <f>IF(Tabla1[[#This Row],[5]]="TPL",Tabla1[[#This Row],[6]],"")</f>
        <v/>
      </c>
      <c r="L1081" s="52" t="str">
        <f>IF(OR(Tabla1[[#This Row],[5]]="TPL"),Tabla1[[#This Row],[7]],"")</f>
        <v/>
      </c>
      <c r="M1081" s="52">
        <f>IF(Tabla15[[#This Row],[5]]="",0,VLOOKUP(TRAMOS!$K$2,Tabla5[#All],3,FALSE)*Tabla15[[#This Row],[6]])</f>
        <v>0</v>
      </c>
      <c r="N108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8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81" s="52">
        <f>IF(Tabla15[[#This Row],[8]]="",0,VLOOKUP(TRAMOS!$H$2,Tabla5[#All],3,FALSE)*Tabla15[[#This Row],[9]])</f>
        <v>0</v>
      </c>
      <c r="Q108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8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81" s="52">
        <f>IF(Tabla15[[#This Row],[11]]="",0,VLOOKUP(TRAMOS!$Q$2,Tabla5[#All],3,FALSE)*Tabla15[[#This Row],[12]])</f>
        <v>0</v>
      </c>
      <c r="T108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1081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08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108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8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8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8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8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81" s="52">
        <f>IF(Tabla15[[#This Row],[20]]="",0,VLOOKUP("VRP",Tabla5[#All],3,FALSE)*Tabla15[[#This Row],[21]])</f>
        <v>0</v>
      </c>
      <c r="AC108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8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81" s="52">
        <f>IF(Tabla15[[#This Row],[23]]="",0,VLOOKUP("VC",Tabla5[#All],3,FALSE)*Tabla15[[#This Row],[24]])</f>
        <v>0</v>
      </c>
      <c r="AF108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8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81" s="52">
        <f>IF(Tabla15[[#This Row],[26]]="",0,VLOOKUP(TRAMOS!$K$2,Tabla5[#All],3,FALSE)*Tabla15[[#This Row],[27]])</f>
        <v>0</v>
      </c>
      <c r="AI108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8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8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8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8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8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8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0.21500000000000002</v>
      </c>
    </row>
    <row r="1082" spans="2:41" x14ac:dyDescent="0.25">
      <c r="B1082" s="58" t="str">
        <f>Tabla1[[#This Row],[nudo inicial]]</f>
        <v>N580</v>
      </c>
      <c r="C1082" s="58" t="str">
        <f>Tabla1[[#This Row],[nudo final]]</f>
        <v>TP380</v>
      </c>
      <c r="D1082" s="51">
        <f>Tabla1[[#This Row],[longitud]]</f>
        <v>76.180000000000007</v>
      </c>
      <c r="E1082" s="51" t="str">
        <f>Tabla1[[#This Row],[diametro]]</f>
        <v>2"</v>
      </c>
      <c r="F1082" s="51" t="str">
        <f>Tabla1[[#This Row],[material]]</f>
        <v>PVC</v>
      </c>
      <c r="G108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082" s="52" t="str">
        <f>IF(Tabla1[[#This Row],[5]]="TPD",Tabla1[[#This Row],[6]],"")</f>
        <v/>
      </c>
      <c r="I1082" s="52" t="str">
        <f>IF(OR(Tabla1[[#This Row],[5]]="TPD"),Tabla1[[#This Row],[7]],"")</f>
        <v/>
      </c>
      <c r="J1082" s="52">
        <f>IF(Tabla15[[#This Row],[2]]="",0,VLOOKUP(TRAMOS!$H$2,Tabla5[#All],3,FALSE)*Tabla15[[#This Row],[3]])</f>
        <v>0</v>
      </c>
      <c r="K1082" s="52" t="str">
        <f>IF(Tabla1[[#This Row],[5]]="TPL",Tabla1[[#This Row],[6]],"")</f>
        <v>2"</v>
      </c>
      <c r="L1082" s="52">
        <f>IF(OR(Tabla1[[#This Row],[5]]="TPL"),Tabla1[[#This Row],[7]],"")</f>
        <v>1</v>
      </c>
      <c r="M1082" s="52">
        <f>IF(Tabla15[[#This Row],[5]]="",0,VLOOKUP(TRAMOS!$K$2,Tabla5[#All],3,FALSE)*Tabla15[[#This Row],[6]])</f>
        <v>0.9</v>
      </c>
      <c r="N108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8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82" s="52">
        <f>IF(Tabla15[[#This Row],[8]]="",0,VLOOKUP(TRAMOS!$H$2,Tabla5[#All],3,FALSE)*Tabla15[[#This Row],[9]])</f>
        <v>0</v>
      </c>
      <c r="Q108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1082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1082" s="52">
        <f>IF(Tabla15[[#This Row],[11]]="",0,VLOOKUP(TRAMOS!$Q$2,Tabla5[#All],3,FALSE)*Tabla15[[#This Row],[12]])</f>
        <v>0.9</v>
      </c>
      <c r="T108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8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8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8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8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8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8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8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82" s="52">
        <f>IF(Tabla15[[#This Row],[20]]="",0,VLOOKUP("VRP",Tabla5[#All],3,FALSE)*Tabla15[[#This Row],[21]])</f>
        <v>0</v>
      </c>
      <c r="AC108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8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82" s="52">
        <f>IF(Tabla15[[#This Row],[23]]="",0,VLOOKUP("VC",Tabla5[#All],3,FALSE)*Tabla15[[#This Row],[24]])</f>
        <v>0</v>
      </c>
      <c r="AF108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8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82" s="52">
        <f>IF(Tabla15[[#This Row],[26]]="",0,VLOOKUP(TRAMOS!$K$2,Tabla5[#All],3,FALSE)*Tabla15[[#This Row],[27]])</f>
        <v>0</v>
      </c>
      <c r="AI108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8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8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8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8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082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08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1.8</v>
      </c>
    </row>
    <row r="1083" spans="2:41" x14ac:dyDescent="0.25">
      <c r="B1083" s="58" t="str">
        <f>Tabla1[[#This Row],[nudo inicial]]</f>
        <v>N580</v>
      </c>
      <c r="C1083" s="58" t="str">
        <f>Tabla1[[#This Row],[nudo final]]</f>
        <v>TP381</v>
      </c>
      <c r="D1083" s="51">
        <f>Tabla1[[#This Row],[longitud]]</f>
        <v>126.55</v>
      </c>
      <c r="E1083" s="51" t="str">
        <f>Tabla1[[#This Row],[diametro]]</f>
        <v>2"</v>
      </c>
      <c r="F1083" s="51" t="str">
        <f>Tabla1[[#This Row],[material]]</f>
        <v>PVC</v>
      </c>
      <c r="G108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083" s="52" t="str">
        <f>IF(Tabla1[[#This Row],[5]]="TPD",Tabla1[[#This Row],[6]],"")</f>
        <v>2"</v>
      </c>
      <c r="I1083" s="52">
        <f>IF(OR(Tabla1[[#This Row],[5]]="TPD"),Tabla1[[#This Row],[7]],"")</f>
        <v>1</v>
      </c>
      <c r="J1083" s="52">
        <f>IF(Tabla15[[#This Row],[2]]="",0,VLOOKUP(TRAMOS!$H$2,Tabla5[#All],3,FALSE)*Tabla15[[#This Row],[3]])</f>
        <v>0.15</v>
      </c>
      <c r="K1083" s="52" t="str">
        <f>IF(Tabla1[[#This Row],[5]]="TPL",Tabla1[[#This Row],[6]],"")</f>
        <v/>
      </c>
      <c r="L1083" s="52" t="str">
        <f>IF(OR(Tabla1[[#This Row],[5]]="TPL"),Tabla1[[#This Row],[7]],"")</f>
        <v/>
      </c>
      <c r="M1083" s="52">
        <f>IF(Tabla15[[#This Row],[5]]="",0,VLOOKUP(TRAMOS!$K$2,Tabla5[#All],3,FALSE)*Tabla15[[#This Row],[6]])</f>
        <v>0</v>
      </c>
      <c r="N108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8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83" s="52">
        <f>IF(Tabla15[[#This Row],[8]]="",0,VLOOKUP(TRAMOS!$H$2,Tabla5[#All],3,FALSE)*Tabla15[[#This Row],[9]])</f>
        <v>0</v>
      </c>
      <c r="Q108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1083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2</v>
      </c>
      <c r="S1083" s="52">
        <f>IF(Tabla15[[#This Row],[11]]="",0,VLOOKUP(TRAMOS!$Q$2,Tabla5[#All],3,FALSE)*Tabla15[[#This Row],[12]])</f>
        <v>1.8</v>
      </c>
      <c r="T108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8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8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8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8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8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8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8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83" s="52">
        <f>IF(Tabla15[[#This Row],[20]]="",0,VLOOKUP("VRP",Tabla5[#All],3,FALSE)*Tabla15[[#This Row],[21]])</f>
        <v>0</v>
      </c>
      <c r="AC108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8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83" s="52">
        <f>IF(Tabla15[[#This Row],[23]]="",0,VLOOKUP("VC",Tabla5[#All],3,FALSE)*Tabla15[[#This Row],[24]])</f>
        <v>0</v>
      </c>
      <c r="AF108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8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83" s="52">
        <f>IF(Tabla15[[#This Row],[26]]="",0,VLOOKUP(TRAMOS!$K$2,Tabla5[#All],3,FALSE)*Tabla15[[#This Row],[27]])</f>
        <v>0</v>
      </c>
      <c r="AI108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8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8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8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8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083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08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1.95</v>
      </c>
    </row>
    <row r="1084" spans="2:41" x14ac:dyDescent="0.25">
      <c r="B1084" s="58" t="str">
        <f>Tabla1[[#This Row],[nudo inicial]]</f>
        <v>N577</v>
      </c>
      <c r="C1084" s="58" t="str">
        <f>Tabla1[[#This Row],[nudo final]]</f>
        <v>N581</v>
      </c>
      <c r="D1084" s="51">
        <f>Tabla1[[#This Row],[longitud]]</f>
        <v>142.82</v>
      </c>
      <c r="E1084" s="51" t="str">
        <f>Tabla1[[#This Row],[diametro]]</f>
        <v>8"</v>
      </c>
      <c r="F1084" s="51" t="str">
        <f>Tabla1[[#This Row],[material]]</f>
        <v>PVC</v>
      </c>
      <c r="G108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1084" s="52" t="str">
        <f>IF(Tabla1[[#This Row],[5]]="TPD",Tabla1[[#This Row],[6]],"")</f>
        <v>8"</v>
      </c>
      <c r="I1084" s="52">
        <f>IF(OR(Tabla1[[#This Row],[5]]="TPD"),Tabla1[[#This Row],[7]],"")</f>
        <v>1</v>
      </c>
      <c r="J1084" s="52">
        <f>IF(Tabla15[[#This Row],[2]]="",0,VLOOKUP(TRAMOS!$H$2,Tabla5[#All],3,FALSE)*Tabla15[[#This Row],[3]])</f>
        <v>0.15</v>
      </c>
      <c r="K1084" s="52" t="str">
        <f>IF(Tabla1[[#This Row],[5]]="TPL",Tabla1[[#This Row],[6]],"")</f>
        <v/>
      </c>
      <c r="L1084" s="52" t="str">
        <f>IF(OR(Tabla1[[#This Row],[5]]="TPL"),Tabla1[[#This Row],[7]],"")</f>
        <v/>
      </c>
      <c r="M1084" s="52">
        <f>IF(Tabla15[[#This Row],[5]]="",0,VLOOKUP(TRAMOS!$K$2,Tabla5[#All],3,FALSE)*Tabla15[[#This Row],[6]])</f>
        <v>0</v>
      </c>
      <c r="N108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8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84" s="52">
        <f>IF(Tabla15[[#This Row],[8]]="",0,VLOOKUP(TRAMOS!$H$2,Tabla5[#All],3,FALSE)*Tabla15[[#This Row],[9]])</f>
        <v>0</v>
      </c>
      <c r="Q108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8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84" s="52">
        <f>IF(Tabla15[[#This Row],[11]]="",0,VLOOKUP(TRAMOS!$Q$2,Tabla5[#All],3,FALSE)*Tabla15[[#This Row],[12]])</f>
        <v>0</v>
      </c>
      <c r="T108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8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8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8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8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8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8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8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84" s="52">
        <f>IF(Tabla15[[#This Row],[20]]="",0,VLOOKUP("VRP",Tabla5[#All],3,FALSE)*Tabla15[[#This Row],[21]])</f>
        <v>0</v>
      </c>
      <c r="AC108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8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84" s="52">
        <f>IF(Tabla15[[#This Row],[23]]="",0,VLOOKUP("VC",Tabla5[#All],3,FALSE)*Tabla15[[#This Row],[24]])</f>
        <v>0</v>
      </c>
      <c r="AF108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8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84" s="52">
        <f>IF(Tabla15[[#This Row],[26]]="",0,VLOOKUP(TRAMOS!$K$2,Tabla5[#All],3,FALSE)*Tabla15[[#This Row],[27]])</f>
        <v>0</v>
      </c>
      <c r="AI108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8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8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8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8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8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8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085" spans="2:41" x14ac:dyDescent="0.25">
      <c r="B1085" s="58" t="str">
        <f>Tabla1[[#This Row],[nudo inicial]]</f>
        <v>N581</v>
      </c>
      <c r="C1085" s="58" t="str">
        <f>Tabla1[[#This Row],[nudo final]]</f>
        <v>N582</v>
      </c>
      <c r="D1085" s="51">
        <f>Tabla1[[#This Row],[longitud]]</f>
        <v>100.23</v>
      </c>
      <c r="E1085" s="51" t="str">
        <f>Tabla1[[#This Row],[diametro]]</f>
        <v>6"</v>
      </c>
      <c r="F1085" s="51" t="str">
        <f>Tabla1[[#This Row],[material]]</f>
        <v>PVC</v>
      </c>
      <c r="G108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8"</v>
      </c>
      <c r="H1085" s="52" t="str">
        <f>IF(Tabla1[[#This Row],[5]]="TPD",Tabla1[[#This Row],[6]],"")</f>
        <v/>
      </c>
      <c r="I1085" s="52" t="str">
        <f>IF(OR(Tabla1[[#This Row],[5]]="TPD"),Tabla1[[#This Row],[7]],"")</f>
        <v/>
      </c>
      <c r="J1085" s="52">
        <f>IF(Tabla15[[#This Row],[2]]="",0,VLOOKUP(TRAMOS!$H$2,Tabla5[#All],3,FALSE)*Tabla15[[#This Row],[3]])</f>
        <v>0</v>
      </c>
      <c r="K1085" s="52" t="str">
        <f>IF(Tabla1[[#This Row],[5]]="TPL",Tabla1[[#This Row],[6]],"")</f>
        <v/>
      </c>
      <c r="L1085" s="52" t="str">
        <f>IF(OR(Tabla1[[#This Row],[5]]="TPL"),Tabla1[[#This Row],[7]],"")</f>
        <v/>
      </c>
      <c r="M1085" s="52">
        <f>IF(Tabla15[[#This Row],[5]]="",0,VLOOKUP(TRAMOS!$K$2,Tabla5[#All],3,FALSE)*Tabla15[[#This Row],[6]])</f>
        <v>0</v>
      </c>
      <c r="N108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8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85" s="52">
        <f>IF(Tabla15[[#This Row],[8]]="",0,VLOOKUP(TRAMOS!$H$2,Tabla5[#All],3,FALSE)*Tabla15[[#This Row],[9]])</f>
        <v>0</v>
      </c>
      <c r="Q108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8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85" s="52">
        <f>IF(Tabla15[[#This Row],[11]]="",0,VLOOKUP(TRAMOS!$Q$2,Tabla5[#All],3,FALSE)*Tabla15[[#This Row],[12]])</f>
        <v>0</v>
      </c>
      <c r="T108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6"</v>
      </c>
      <c r="U1085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08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0.13850000000000007</v>
      </c>
      <c r="W108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8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8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8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8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85" s="52">
        <f>IF(Tabla15[[#This Row],[20]]="",0,VLOOKUP("VRP",Tabla5[#All],3,FALSE)*Tabla15[[#This Row],[21]])</f>
        <v>0</v>
      </c>
      <c r="AC108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8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85" s="52">
        <f>IF(Tabla15[[#This Row],[23]]="",0,VLOOKUP("VC",Tabla5[#All],3,FALSE)*Tabla15[[#This Row],[24]])</f>
        <v>0</v>
      </c>
      <c r="AF108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8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85" s="52">
        <f>IF(Tabla15[[#This Row],[26]]="",0,VLOOKUP(TRAMOS!$K$2,Tabla5[#All],3,FALSE)*Tabla15[[#This Row],[27]])</f>
        <v>0</v>
      </c>
      <c r="AI108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8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8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8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8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8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8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0.13850000000000007</v>
      </c>
    </row>
    <row r="1086" spans="2:41" x14ac:dyDescent="0.25">
      <c r="B1086" s="58" t="str">
        <f>Tabla1[[#This Row],[nudo inicial]]</f>
        <v>N582</v>
      </c>
      <c r="C1086" s="58" t="str">
        <f>Tabla1[[#This Row],[nudo final]]</f>
        <v>N583</v>
      </c>
      <c r="D1086" s="51">
        <f>Tabla1[[#This Row],[longitud]]</f>
        <v>21.28</v>
      </c>
      <c r="E1086" s="51" t="str">
        <f>Tabla1[[#This Row],[diametro]]</f>
        <v>6"</v>
      </c>
      <c r="F1086" s="51" t="str">
        <f>Tabla1[[#This Row],[material]]</f>
        <v>PVC</v>
      </c>
      <c r="G108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1086" s="52" t="str">
        <f>IF(Tabla1[[#This Row],[5]]="TPD",Tabla1[[#This Row],[6]],"")</f>
        <v/>
      </c>
      <c r="I1086" s="52" t="str">
        <f>IF(OR(Tabla1[[#This Row],[5]]="TPD"),Tabla1[[#This Row],[7]],"")</f>
        <v/>
      </c>
      <c r="J1086" s="52">
        <f>IF(Tabla15[[#This Row],[2]]="",0,VLOOKUP(TRAMOS!$H$2,Tabla5[#All],3,FALSE)*Tabla15[[#This Row],[3]])</f>
        <v>0</v>
      </c>
      <c r="K1086" s="52" t="str">
        <f>IF(Tabla1[[#This Row],[5]]="TPL",Tabla1[[#This Row],[6]],"")</f>
        <v>6"</v>
      </c>
      <c r="L1086" s="52">
        <f>IF(OR(Tabla1[[#This Row],[5]]="TPL"),Tabla1[[#This Row],[7]],"")</f>
        <v>1</v>
      </c>
      <c r="M1086" s="52">
        <f>IF(Tabla15[[#This Row],[5]]="",0,VLOOKUP(TRAMOS!$K$2,Tabla5[#All],3,FALSE)*Tabla15[[#This Row],[6]])</f>
        <v>0.9</v>
      </c>
      <c r="N108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8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86" s="52">
        <f>IF(Tabla15[[#This Row],[8]]="",0,VLOOKUP(TRAMOS!$H$2,Tabla5[#All],3,FALSE)*Tabla15[[#This Row],[9]])</f>
        <v>0</v>
      </c>
      <c r="Q108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8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86" s="52">
        <f>IF(Tabla15[[#This Row],[11]]="",0,VLOOKUP(TRAMOS!$Q$2,Tabla5[#All],3,FALSE)*Tabla15[[#This Row],[12]])</f>
        <v>0</v>
      </c>
      <c r="T108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8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8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8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8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8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8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8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86" s="52">
        <f>IF(Tabla15[[#This Row],[20]]="",0,VLOOKUP("VRP",Tabla5[#All],3,FALSE)*Tabla15[[#This Row],[21]])</f>
        <v>0</v>
      </c>
      <c r="AC108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6"</v>
      </c>
      <c r="AD1086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1086" s="52">
        <f>IF(Tabla15[[#This Row],[23]]="",0,VLOOKUP("VC",Tabla5[#All],3,FALSE)*Tabla15[[#This Row],[24]])</f>
        <v>0.25</v>
      </c>
      <c r="AF108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8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86" s="52">
        <f>IF(Tabla15[[#This Row],[26]]="",0,VLOOKUP(TRAMOS!$K$2,Tabla5[#All],3,FALSE)*Tabla15[[#This Row],[27]])</f>
        <v>0</v>
      </c>
      <c r="AI108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8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8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8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8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8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8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1.1499999999999999</v>
      </c>
    </row>
    <row r="1087" spans="2:41" x14ac:dyDescent="0.25">
      <c r="B1087" s="58" t="str">
        <f>Tabla1[[#This Row],[nudo inicial]]</f>
        <v>N583</v>
      </c>
      <c r="C1087" s="58" t="str">
        <f>Tabla1[[#This Row],[nudo final]]</f>
        <v>N584</v>
      </c>
      <c r="D1087" s="51">
        <f>Tabla1[[#This Row],[longitud]]</f>
        <v>40.6</v>
      </c>
      <c r="E1087" s="51" t="str">
        <f>Tabla1[[#This Row],[diametro]]</f>
        <v>4"</v>
      </c>
      <c r="F1087" s="51" t="str">
        <f>Tabla1[[#This Row],[material]]</f>
        <v>PVC</v>
      </c>
      <c r="G108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1087" s="52" t="str">
        <f>IF(Tabla1[[#This Row],[5]]="TPD",Tabla1[[#This Row],[6]],"")</f>
        <v/>
      </c>
      <c r="I1087" s="52" t="str">
        <f>IF(OR(Tabla1[[#This Row],[5]]="TPD"),Tabla1[[#This Row],[7]],"")</f>
        <v/>
      </c>
      <c r="J1087" s="52">
        <f>IF(Tabla15[[#This Row],[2]]="",0,VLOOKUP(TRAMOS!$H$2,Tabla5[#All],3,FALSE)*Tabla15[[#This Row],[3]])</f>
        <v>0</v>
      </c>
      <c r="K1087" s="52" t="str">
        <f>IF(Tabla1[[#This Row],[5]]="TPL",Tabla1[[#This Row],[6]],"")</f>
        <v/>
      </c>
      <c r="L1087" s="52" t="str">
        <f>IF(OR(Tabla1[[#This Row],[5]]="TPL"),Tabla1[[#This Row],[7]],"")</f>
        <v/>
      </c>
      <c r="M1087" s="52">
        <f>IF(Tabla15[[#This Row],[5]]="",0,VLOOKUP(TRAMOS!$K$2,Tabla5[#All],3,FALSE)*Tabla15[[#This Row],[6]])</f>
        <v>0</v>
      </c>
      <c r="N108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8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87" s="52">
        <f>IF(Tabla15[[#This Row],[8]]="",0,VLOOKUP(TRAMOS!$H$2,Tabla5[#All],3,FALSE)*Tabla15[[#This Row],[9]])</f>
        <v>0</v>
      </c>
      <c r="Q108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8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87" s="52">
        <f>IF(Tabla15[[#This Row],[11]]="",0,VLOOKUP(TRAMOS!$Q$2,Tabla5[#All],3,FALSE)*Tabla15[[#This Row],[12]])</f>
        <v>0</v>
      </c>
      <c r="T108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4"</v>
      </c>
      <c r="U1087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08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108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8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8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8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8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87" s="52">
        <f>IF(Tabla15[[#This Row],[20]]="",0,VLOOKUP("VRP",Tabla5[#All],3,FALSE)*Tabla15[[#This Row],[21]])</f>
        <v>0</v>
      </c>
      <c r="AC108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8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87" s="52">
        <f>IF(Tabla15[[#This Row],[23]]="",0,VLOOKUP("VC",Tabla5[#All],3,FALSE)*Tabla15[[#This Row],[24]])</f>
        <v>0</v>
      </c>
      <c r="AF108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8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87" s="52">
        <f>IF(Tabla15[[#This Row],[26]]="",0,VLOOKUP(TRAMOS!$K$2,Tabla5[#All],3,FALSE)*Tabla15[[#This Row],[27]])</f>
        <v>0</v>
      </c>
      <c r="AI108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8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8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8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8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8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8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0.21500000000000002</v>
      </c>
    </row>
    <row r="1088" spans="2:41" x14ac:dyDescent="0.25">
      <c r="B1088" s="58" t="str">
        <f>Tabla1[[#This Row],[nudo inicial]]</f>
        <v>N584</v>
      </c>
      <c r="C1088" s="58" t="str">
        <f>Tabla1[[#This Row],[nudo final]]</f>
        <v>TP382</v>
      </c>
      <c r="D1088" s="51">
        <f>Tabla1[[#This Row],[longitud]]</f>
        <v>128.65</v>
      </c>
      <c r="E1088" s="51" t="str">
        <f>Tabla1[[#This Row],[diametro]]</f>
        <v>2"</v>
      </c>
      <c r="F1088" s="51" t="str">
        <f>Tabla1[[#This Row],[material]]</f>
        <v>PVC</v>
      </c>
      <c r="G108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1088" s="52" t="str">
        <f>IF(Tabla1[[#This Row],[5]]="TPD",Tabla1[[#This Row],[6]],"")</f>
        <v/>
      </c>
      <c r="I1088" s="52" t="str">
        <f>IF(OR(Tabla1[[#This Row],[5]]="TPD"),Tabla1[[#This Row],[7]],"")</f>
        <v/>
      </c>
      <c r="J1088" s="52">
        <f>IF(Tabla15[[#This Row],[2]]="",0,VLOOKUP(TRAMOS!$H$2,Tabla5[#All],3,FALSE)*Tabla15[[#This Row],[3]])</f>
        <v>0</v>
      </c>
      <c r="K1088" s="52" t="str">
        <f>IF(Tabla1[[#This Row],[5]]="TPL",Tabla1[[#This Row],[6]],"")</f>
        <v>4"</v>
      </c>
      <c r="L1088" s="52">
        <f>IF(OR(Tabla1[[#This Row],[5]]="TPL"),Tabla1[[#This Row],[7]],"")</f>
        <v>1</v>
      </c>
      <c r="M1088" s="52">
        <f>IF(Tabla15[[#This Row],[5]]="",0,VLOOKUP(TRAMOS!$K$2,Tabla5[#All],3,FALSE)*Tabla15[[#This Row],[6]])</f>
        <v>0.9</v>
      </c>
      <c r="N108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8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88" s="52">
        <f>IF(Tabla15[[#This Row],[8]]="",0,VLOOKUP(TRAMOS!$H$2,Tabla5[#All],3,FALSE)*Tabla15[[#This Row],[9]])</f>
        <v>0</v>
      </c>
      <c r="Q108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8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88" s="52">
        <f>IF(Tabla15[[#This Row],[11]]="",0,VLOOKUP(TRAMOS!$Q$2,Tabla5[#All],3,FALSE)*Tabla15[[#This Row],[12]])</f>
        <v>0</v>
      </c>
      <c r="T108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1088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08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108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8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8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8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8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88" s="52">
        <f>IF(Tabla15[[#This Row],[20]]="",0,VLOOKUP("VRP",Tabla5[#All],3,FALSE)*Tabla15[[#This Row],[21]])</f>
        <v>0</v>
      </c>
      <c r="AC108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8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88" s="52">
        <f>IF(Tabla15[[#This Row],[23]]="",0,VLOOKUP("VC",Tabla5[#All],3,FALSE)*Tabla15[[#This Row],[24]])</f>
        <v>0</v>
      </c>
      <c r="AF108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8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88" s="52">
        <f>IF(Tabla15[[#This Row],[26]]="",0,VLOOKUP(TRAMOS!$K$2,Tabla5[#All],3,FALSE)*Tabla15[[#This Row],[27]])</f>
        <v>0</v>
      </c>
      <c r="AI108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8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8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8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8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088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08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1.27</v>
      </c>
    </row>
    <row r="1089" spans="2:41" x14ac:dyDescent="0.25">
      <c r="B1089" s="58" t="str">
        <f>Tabla1[[#This Row],[nudo inicial]]</f>
        <v>N584</v>
      </c>
      <c r="C1089" s="58" t="str">
        <f>Tabla1[[#This Row],[nudo final]]</f>
        <v>N585</v>
      </c>
      <c r="D1089" s="51">
        <f>Tabla1[[#This Row],[longitud]]</f>
        <v>163.07</v>
      </c>
      <c r="E1089" s="51" t="str">
        <f>Tabla1[[#This Row],[diametro]]</f>
        <v>4"</v>
      </c>
      <c r="F1089" s="51" t="str">
        <f>Tabla1[[#This Row],[material]]</f>
        <v>PVC</v>
      </c>
      <c r="G108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1089" s="52" t="str">
        <f>IF(Tabla1[[#This Row],[5]]="TPD",Tabla1[[#This Row],[6]],"")</f>
        <v>4"</v>
      </c>
      <c r="I1089" s="52">
        <f>IF(OR(Tabla1[[#This Row],[5]]="TPD"),Tabla1[[#This Row],[7]],"")</f>
        <v>1</v>
      </c>
      <c r="J1089" s="52">
        <f>IF(Tabla15[[#This Row],[2]]="",0,VLOOKUP(TRAMOS!$H$2,Tabla5[#All],3,FALSE)*Tabla15[[#This Row],[3]])</f>
        <v>0.15</v>
      </c>
      <c r="K1089" s="52" t="str">
        <f>IF(Tabla1[[#This Row],[5]]="TPL",Tabla1[[#This Row],[6]],"")</f>
        <v/>
      </c>
      <c r="L1089" s="52" t="str">
        <f>IF(OR(Tabla1[[#This Row],[5]]="TPL"),Tabla1[[#This Row],[7]],"")</f>
        <v/>
      </c>
      <c r="M1089" s="52">
        <f>IF(Tabla15[[#This Row],[5]]="",0,VLOOKUP(TRAMOS!$K$2,Tabla5[#All],3,FALSE)*Tabla15[[#This Row],[6]])</f>
        <v>0</v>
      </c>
      <c r="N108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8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89" s="52">
        <f>IF(Tabla15[[#This Row],[8]]="",0,VLOOKUP(TRAMOS!$H$2,Tabla5[#All],3,FALSE)*Tabla15[[#This Row],[9]])</f>
        <v>0</v>
      </c>
      <c r="Q108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8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89" s="52">
        <f>IF(Tabla15[[#This Row],[11]]="",0,VLOOKUP(TRAMOS!$Q$2,Tabla5[#All],3,FALSE)*Tabla15[[#This Row],[12]])</f>
        <v>0</v>
      </c>
      <c r="T108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8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8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8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8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8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8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8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89" s="52">
        <f>IF(Tabla15[[#This Row],[20]]="",0,VLOOKUP("VRP",Tabla5[#All],3,FALSE)*Tabla15[[#This Row],[21]])</f>
        <v>0</v>
      </c>
      <c r="AC108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8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89" s="52">
        <f>IF(Tabla15[[#This Row],[23]]="",0,VLOOKUP("VC",Tabla5[#All],3,FALSE)*Tabla15[[#This Row],[24]])</f>
        <v>0</v>
      </c>
      <c r="AF108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8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89" s="52">
        <f>IF(Tabla15[[#This Row],[26]]="",0,VLOOKUP(TRAMOS!$K$2,Tabla5[#All],3,FALSE)*Tabla15[[#This Row],[27]])</f>
        <v>0</v>
      </c>
      <c r="AI108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8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8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8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8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8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8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090" spans="2:41" x14ac:dyDescent="0.25">
      <c r="B1090" s="58" t="str">
        <f>Tabla1[[#This Row],[nudo inicial]]</f>
        <v>N585</v>
      </c>
      <c r="C1090" s="58" t="str">
        <f>Tabla1[[#This Row],[nudo final]]</f>
        <v>CQ8</v>
      </c>
      <c r="D1090" s="51">
        <f>Tabla1[[#This Row],[longitud]]</f>
        <v>54.39</v>
      </c>
      <c r="E1090" s="51" t="str">
        <f>Tabla1[[#This Row],[diametro]]</f>
        <v>4"</v>
      </c>
      <c r="F1090" s="51" t="str">
        <f>Tabla1[[#This Row],[material]]</f>
        <v>PVC</v>
      </c>
      <c r="G109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1090" s="52" t="str">
        <f>IF(Tabla1[[#This Row],[5]]="TPD",Tabla1[[#This Row],[6]],"")</f>
        <v/>
      </c>
      <c r="I1090" s="52" t="str">
        <f>IF(OR(Tabla1[[#This Row],[5]]="TPD"),Tabla1[[#This Row],[7]],"")</f>
        <v/>
      </c>
      <c r="J1090" s="52">
        <f>IF(Tabla15[[#This Row],[2]]="",0,VLOOKUP(TRAMOS!$H$2,Tabla5[#All],3,FALSE)*Tabla15[[#This Row],[3]])</f>
        <v>0</v>
      </c>
      <c r="K1090" s="52" t="str">
        <f>IF(Tabla1[[#This Row],[5]]="TPL",Tabla1[[#This Row],[6]],"")</f>
        <v>4"</v>
      </c>
      <c r="L1090" s="52">
        <f>IF(OR(Tabla1[[#This Row],[5]]="TPL"),Tabla1[[#This Row],[7]],"")</f>
        <v>1</v>
      </c>
      <c r="M1090" s="52">
        <f>IF(Tabla15[[#This Row],[5]]="",0,VLOOKUP(TRAMOS!$K$2,Tabla5[#All],3,FALSE)*Tabla15[[#This Row],[6]])</f>
        <v>0.9</v>
      </c>
      <c r="N109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9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90" s="52">
        <f>IF(Tabla15[[#This Row],[8]]="",0,VLOOKUP(TRAMOS!$H$2,Tabla5[#All],3,FALSE)*Tabla15[[#This Row],[9]])</f>
        <v>0</v>
      </c>
      <c r="Q109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4"</v>
      </c>
      <c r="R1090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1090" s="52">
        <f>IF(Tabla15[[#This Row],[11]]="",0,VLOOKUP(TRAMOS!$Q$2,Tabla5[#All],3,FALSE)*Tabla15[[#This Row],[12]])</f>
        <v>0.9</v>
      </c>
      <c r="T109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9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9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9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9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9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9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9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90" s="52">
        <f>IF(Tabla15[[#This Row],[20]]="",0,VLOOKUP("VRP",Tabla5[#All],3,FALSE)*Tabla15[[#This Row],[21]])</f>
        <v>0</v>
      </c>
      <c r="AC109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9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90" s="52">
        <f>IF(Tabla15[[#This Row],[23]]="",0,VLOOKUP("VC",Tabla5[#All],3,FALSE)*Tabla15[[#This Row],[24]])</f>
        <v>0</v>
      </c>
      <c r="AF109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9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90" s="52">
        <f>IF(Tabla15[[#This Row],[26]]="",0,VLOOKUP(TRAMOS!$K$2,Tabla5[#All],3,FALSE)*Tabla15[[#This Row],[27]])</f>
        <v>0</v>
      </c>
      <c r="AI109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9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9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9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9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9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9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1.8</v>
      </c>
    </row>
    <row r="1091" spans="2:41" x14ac:dyDescent="0.25">
      <c r="B1091" s="58" t="str">
        <f>Tabla1[[#This Row],[nudo inicial]]</f>
        <v>CQ8</v>
      </c>
      <c r="C1091" s="58" t="str">
        <f>Tabla1[[#This Row],[nudo final]]</f>
        <v>N586</v>
      </c>
      <c r="D1091" s="51">
        <f>Tabla1[[#This Row],[longitud]]</f>
        <v>66.83</v>
      </c>
      <c r="E1091" s="51" t="str">
        <f>Tabla1[[#This Row],[diametro]]</f>
        <v>3"</v>
      </c>
      <c r="F1091" s="51" t="str">
        <f>Tabla1[[#This Row],[material]]</f>
        <v>PVC</v>
      </c>
      <c r="G109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1091" s="52" t="str">
        <f>IF(Tabla1[[#This Row],[5]]="TPD",Tabla1[[#This Row],[6]],"")</f>
        <v/>
      </c>
      <c r="I1091" s="52" t="str">
        <f>IF(OR(Tabla1[[#This Row],[5]]="TPD"),Tabla1[[#This Row],[7]],"")</f>
        <v/>
      </c>
      <c r="J1091" s="52">
        <f>IF(Tabla15[[#This Row],[2]]="",0,VLOOKUP(TRAMOS!$H$2,Tabla5[#All],3,FALSE)*Tabla15[[#This Row],[3]])</f>
        <v>0</v>
      </c>
      <c r="K1091" s="52" t="str">
        <f>IF(Tabla1[[#This Row],[5]]="TPL",Tabla1[[#This Row],[6]],"")</f>
        <v/>
      </c>
      <c r="L1091" s="52" t="str">
        <f>IF(OR(Tabla1[[#This Row],[5]]="TPL"),Tabla1[[#This Row],[7]],"")</f>
        <v/>
      </c>
      <c r="M1091" s="52">
        <f>IF(Tabla15[[#This Row],[5]]="",0,VLOOKUP(TRAMOS!$K$2,Tabla5[#All],3,FALSE)*Tabla15[[#This Row],[6]])</f>
        <v>0</v>
      </c>
      <c r="N109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9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91" s="52">
        <f>IF(Tabla15[[#This Row],[8]]="",0,VLOOKUP(TRAMOS!$H$2,Tabla5[#All],3,FALSE)*Tabla15[[#This Row],[9]])</f>
        <v>0</v>
      </c>
      <c r="Q109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3"</v>
      </c>
      <c r="R1091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1091" s="52">
        <f>IF(Tabla15[[#This Row],[11]]="",0,VLOOKUP(TRAMOS!$Q$2,Tabla5[#All],3,FALSE)*Tabla15[[#This Row],[12]])</f>
        <v>0.9</v>
      </c>
      <c r="T109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9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9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9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9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9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9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9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91" s="52">
        <f>IF(Tabla15[[#This Row],[20]]="",0,VLOOKUP("VRP",Tabla5[#All],3,FALSE)*Tabla15[[#This Row],[21]])</f>
        <v>0</v>
      </c>
      <c r="AC109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9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91" s="52">
        <f>IF(Tabla15[[#This Row],[23]]="",0,VLOOKUP("VC",Tabla5[#All],3,FALSE)*Tabla15[[#This Row],[24]])</f>
        <v>0</v>
      </c>
      <c r="AF109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9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91" s="52">
        <f>IF(Tabla15[[#This Row],[26]]="",0,VLOOKUP(TRAMOS!$K$2,Tabla5[#All],3,FALSE)*Tabla15[[#This Row],[27]])</f>
        <v>0</v>
      </c>
      <c r="AI109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9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9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9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9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9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9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092" spans="2:41" x14ac:dyDescent="0.25">
      <c r="B1092" s="58" t="str">
        <f>Tabla1[[#This Row],[nudo inicial]]</f>
        <v>N586</v>
      </c>
      <c r="C1092" s="58" t="str">
        <f>Tabla1[[#This Row],[nudo final]]</f>
        <v>N587</v>
      </c>
      <c r="D1092" s="51">
        <f>Tabla1[[#This Row],[longitud]]</f>
        <v>128</v>
      </c>
      <c r="E1092" s="51" t="str">
        <f>Tabla1[[#This Row],[diametro]]</f>
        <v>3"</v>
      </c>
      <c r="F1092" s="51" t="str">
        <f>Tabla1[[#This Row],[material]]</f>
        <v>PVC</v>
      </c>
      <c r="G109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092" s="52" t="str">
        <f>IF(Tabla1[[#This Row],[5]]="TPD",Tabla1[[#This Row],[6]],"")</f>
        <v/>
      </c>
      <c r="I1092" s="52" t="str">
        <f>IF(OR(Tabla1[[#This Row],[5]]="TPD"),Tabla1[[#This Row],[7]],"")</f>
        <v/>
      </c>
      <c r="J1092" s="52">
        <f>IF(Tabla15[[#This Row],[2]]="",0,VLOOKUP(TRAMOS!$H$2,Tabla5[#All],3,FALSE)*Tabla15[[#This Row],[3]])</f>
        <v>0</v>
      </c>
      <c r="K1092" s="52" t="str">
        <f>IF(Tabla1[[#This Row],[5]]="TPL",Tabla1[[#This Row],[6]],"")</f>
        <v>3"</v>
      </c>
      <c r="L1092" s="52">
        <f>IF(OR(Tabla1[[#This Row],[5]]="TPL"),Tabla1[[#This Row],[7]],"")</f>
        <v>1</v>
      </c>
      <c r="M1092" s="52">
        <f>IF(Tabla15[[#This Row],[5]]="",0,VLOOKUP(TRAMOS!$K$2,Tabla5[#All],3,FALSE)*Tabla15[[#This Row],[6]])</f>
        <v>0.9</v>
      </c>
      <c r="N109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9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92" s="52">
        <f>IF(Tabla15[[#This Row],[8]]="",0,VLOOKUP(TRAMOS!$H$2,Tabla5[#All],3,FALSE)*Tabla15[[#This Row],[9]])</f>
        <v>0</v>
      </c>
      <c r="Q109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9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92" s="52">
        <f>IF(Tabla15[[#This Row],[11]]="",0,VLOOKUP(TRAMOS!$Q$2,Tabla5[#All],3,FALSE)*Tabla15[[#This Row],[12]])</f>
        <v>0</v>
      </c>
      <c r="T109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9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9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9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9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9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9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9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92" s="52">
        <f>IF(Tabla15[[#This Row],[20]]="",0,VLOOKUP("VRP",Tabla5[#All],3,FALSE)*Tabla15[[#This Row],[21]])</f>
        <v>0</v>
      </c>
      <c r="AC109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9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92" s="52">
        <f>IF(Tabla15[[#This Row],[23]]="",0,VLOOKUP("VC",Tabla5[#All],3,FALSE)*Tabla15[[#This Row],[24]])</f>
        <v>0</v>
      </c>
      <c r="AF109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9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92" s="52">
        <f>IF(Tabla15[[#This Row],[26]]="",0,VLOOKUP(TRAMOS!$K$2,Tabla5[#All],3,FALSE)*Tabla15[[#This Row],[27]])</f>
        <v>0</v>
      </c>
      <c r="AI109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9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9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9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9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9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9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093" spans="2:41" x14ac:dyDescent="0.25">
      <c r="B1093" s="58" t="str">
        <f>Tabla1[[#This Row],[nudo inicial]]</f>
        <v>N587</v>
      </c>
      <c r="C1093" s="58" t="str">
        <f>Tabla1[[#This Row],[nudo final]]</f>
        <v>TP383</v>
      </c>
      <c r="D1093" s="51">
        <f>Tabla1[[#This Row],[longitud]]</f>
        <v>139.08000000000001</v>
      </c>
      <c r="E1093" s="51" t="str">
        <f>Tabla1[[#This Row],[diametro]]</f>
        <v>2"</v>
      </c>
      <c r="F1093" s="51" t="str">
        <f>Tabla1[[#This Row],[material]]</f>
        <v>PVC</v>
      </c>
      <c r="G109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093" s="52" t="str">
        <f>IF(Tabla1[[#This Row],[5]]="TPD",Tabla1[[#This Row],[6]],"")</f>
        <v/>
      </c>
      <c r="I1093" s="52" t="str">
        <f>IF(OR(Tabla1[[#This Row],[5]]="TPD"),Tabla1[[#This Row],[7]],"")</f>
        <v/>
      </c>
      <c r="J1093" s="52">
        <f>IF(Tabla15[[#This Row],[2]]="",0,VLOOKUP(TRAMOS!$H$2,Tabla5[#All],3,FALSE)*Tabla15[[#This Row],[3]])</f>
        <v>0</v>
      </c>
      <c r="K1093" s="52" t="str">
        <f>IF(Tabla1[[#This Row],[5]]="TPL",Tabla1[[#This Row],[6]],"")</f>
        <v>3"</v>
      </c>
      <c r="L1093" s="52">
        <f>IF(OR(Tabla1[[#This Row],[5]]="TPL"),Tabla1[[#This Row],[7]],"")</f>
        <v>1</v>
      </c>
      <c r="M1093" s="52">
        <f>IF(Tabla15[[#This Row],[5]]="",0,VLOOKUP(TRAMOS!$K$2,Tabla5[#All],3,FALSE)*Tabla15[[#This Row],[6]])</f>
        <v>0.9</v>
      </c>
      <c r="N109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9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93" s="52">
        <f>IF(Tabla15[[#This Row],[8]]="",0,VLOOKUP(TRAMOS!$H$2,Tabla5[#All],3,FALSE)*Tabla15[[#This Row],[9]])</f>
        <v>0</v>
      </c>
      <c r="Q109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9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93" s="52">
        <f>IF(Tabla15[[#This Row],[11]]="",0,VLOOKUP(TRAMOS!$Q$2,Tabla5[#All],3,FALSE)*Tabla15[[#This Row],[12]])</f>
        <v>0</v>
      </c>
      <c r="T109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1093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09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109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9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9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9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9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93" s="52">
        <f>IF(Tabla15[[#This Row],[20]]="",0,VLOOKUP("VRP",Tabla5[#All],3,FALSE)*Tabla15[[#This Row],[21]])</f>
        <v>0</v>
      </c>
      <c r="AC109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9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93" s="52">
        <f>IF(Tabla15[[#This Row],[23]]="",0,VLOOKUP("VC",Tabla5[#All],3,FALSE)*Tabla15[[#This Row],[24]])</f>
        <v>0</v>
      </c>
      <c r="AF109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9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93" s="52">
        <f>IF(Tabla15[[#This Row],[26]]="",0,VLOOKUP(TRAMOS!$K$2,Tabla5[#All],3,FALSE)*Tabla15[[#This Row],[27]])</f>
        <v>0</v>
      </c>
      <c r="AI109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9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9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9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9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093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09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1094" spans="2:41" x14ac:dyDescent="0.25">
      <c r="B1094" s="58" t="str">
        <f>Tabla1[[#This Row],[nudo inicial]]</f>
        <v>N587</v>
      </c>
      <c r="C1094" s="58" t="str">
        <f>Tabla1[[#This Row],[nudo final]]</f>
        <v>N588</v>
      </c>
      <c r="D1094" s="51">
        <f>Tabla1[[#This Row],[longitud]]</f>
        <v>98.28</v>
      </c>
      <c r="E1094" s="51" t="str">
        <f>Tabla1[[#This Row],[diametro]]</f>
        <v>3"</v>
      </c>
      <c r="F1094" s="51" t="str">
        <f>Tabla1[[#This Row],[material]]</f>
        <v>PVC</v>
      </c>
      <c r="G109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094" s="52" t="str">
        <f>IF(Tabla1[[#This Row],[5]]="TPD",Tabla1[[#This Row],[6]],"")</f>
        <v>3"</v>
      </c>
      <c r="I1094" s="52">
        <f>IF(OR(Tabla1[[#This Row],[5]]="TPD"),Tabla1[[#This Row],[7]],"")</f>
        <v>1</v>
      </c>
      <c r="J1094" s="52">
        <f>IF(Tabla15[[#This Row],[2]]="",0,VLOOKUP(TRAMOS!$H$2,Tabla5[#All],3,FALSE)*Tabla15[[#This Row],[3]])</f>
        <v>0.15</v>
      </c>
      <c r="K1094" s="52" t="str">
        <f>IF(Tabla1[[#This Row],[5]]="TPL",Tabla1[[#This Row],[6]],"")</f>
        <v/>
      </c>
      <c r="L1094" s="52" t="str">
        <f>IF(OR(Tabla1[[#This Row],[5]]="TPL"),Tabla1[[#This Row],[7]],"")</f>
        <v/>
      </c>
      <c r="M1094" s="52">
        <f>IF(Tabla15[[#This Row],[5]]="",0,VLOOKUP(TRAMOS!$K$2,Tabla5[#All],3,FALSE)*Tabla15[[#This Row],[6]])</f>
        <v>0</v>
      </c>
      <c r="N109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9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94" s="52">
        <f>IF(Tabla15[[#This Row],[8]]="",0,VLOOKUP(TRAMOS!$H$2,Tabla5[#All],3,FALSE)*Tabla15[[#This Row],[9]])</f>
        <v>0</v>
      </c>
      <c r="Q109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9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94" s="52">
        <f>IF(Tabla15[[#This Row],[11]]="",0,VLOOKUP(TRAMOS!$Q$2,Tabla5[#All],3,FALSE)*Tabla15[[#This Row],[12]])</f>
        <v>0</v>
      </c>
      <c r="T109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9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9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9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9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9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9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9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94" s="52">
        <f>IF(Tabla15[[#This Row],[20]]="",0,VLOOKUP("VRP",Tabla5[#All],3,FALSE)*Tabla15[[#This Row],[21]])</f>
        <v>0</v>
      </c>
      <c r="AC109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9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94" s="52">
        <f>IF(Tabla15[[#This Row],[23]]="",0,VLOOKUP("VC",Tabla5[#All],3,FALSE)*Tabla15[[#This Row],[24]])</f>
        <v>0</v>
      </c>
      <c r="AF109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9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94" s="52">
        <f>IF(Tabla15[[#This Row],[26]]="",0,VLOOKUP(TRAMOS!$K$2,Tabla5[#All],3,FALSE)*Tabla15[[#This Row],[27]])</f>
        <v>0</v>
      </c>
      <c r="AI109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9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9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9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9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9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9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095" spans="2:41" x14ac:dyDescent="0.25">
      <c r="B1095" s="58" t="str">
        <f>Tabla1[[#This Row],[nudo inicial]]</f>
        <v>N588</v>
      </c>
      <c r="C1095" s="58" t="str">
        <f>Tabla1[[#This Row],[nudo final]]</f>
        <v>TP384</v>
      </c>
      <c r="D1095" s="51">
        <f>Tabla1[[#This Row],[longitud]]</f>
        <v>56.54</v>
      </c>
      <c r="E1095" s="51" t="str">
        <f>Tabla1[[#This Row],[diametro]]</f>
        <v>3"</v>
      </c>
      <c r="F1095" s="51" t="str">
        <f>Tabla1[[#This Row],[material]]</f>
        <v>PVC</v>
      </c>
      <c r="G109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095" s="52" t="str">
        <f>IF(Tabla1[[#This Row],[5]]="TPD",Tabla1[[#This Row],[6]],"")</f>
        <v>3"</v>
      </c>
      <c r="I1095" s="52">
        <f>IF(OR(Tabla1[[#This Row],[5]]="TPD"),Tabla1[[#This Row],[7]],"")</f>
        <v>1</v>
      </c>
      <c r="J1095" s="52">
        <f>IF(Tabla15[[#This Row],[2]]="",0,VLOOKUP(TRAMOS!$H$2,Tabla5[#All],3,FALSE)*Tabla15[[#This Row],[3]])</f>
        <v>0.15</v>
      </c>
      <c r="K1095" s="52" t="str">
        <f>IF(Tabla1[[#This Row],[5]]="TPL",Tabla1[[#This Row],[6]],"")</f>
        <v/>
      </c>
      <c r="L1095" s="52" t="str">
        <f>IF(OR(Tabla1[[#This Row],[5]]="TPL"),Tabla1[[#This Row],[7]],"")</f>
        <v/>
      </c>
      <c r="M1095" s="52">
        <f>IF(Tabla15[[#This Row],[5]]="",0,VLOOKUP(TRAMOS!$K$2,Tabla5[#All],3,FALSE)*Tabla15[[#This Row],[6]])</f>
        <v>0</v>
      </c>
      <c r="N109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9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95" s="52">
        <f>IF(Tabla15[[#This Row],[8]]="",0,VLOOKUP(TRAMOS!$H$2,Tabla5[#All],3,FALSE)*Tabla15[[#This Row],[9]])</f>
        <v>0</v>
      </c>
      <c r="Q109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9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95" s="52">
        <f>IF(Tabla15[[#This Row],[11]]="",0,VLOOKUP(TRAMOS!$Q$2,Tabla5[#All],3,FALSE)*Tabla15[[#This Row],[12]])</f>
        <v>0</v>
      </c>
      <c r="T109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9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9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9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9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9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9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9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95" s="52">
        <f>IF(Tabla15[[#This Row],[20]]="",0,VLOOKUP("VRP",Tabla5[#All],3,FALSE)*Tabla15[[#This Row],[21]])</f>
        <v>0</v>
      </c>
      <c r="AC109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9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95" s="52">
        <f>IF(Tabla15[[#This Row],[23]]="",0,VLOOKUP("VC",Tabla5[#All],3,FALSE)*Tabla15[[#This Row],[24]])</f>
        <v>0</v>
      </c>
      <c r="AF109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9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95" s="52">
        <f>IF(Tabla15[[#This Row],[26]]="",0,VLOOKUP(TRAMOS!$K$2,Tabla5[#All],3,FALSE)*Tabla15[[#This Row],[27]])</f>
        <v>0</v>
      </c>
      <c r="AI109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9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9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9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9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1095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09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096" spans="2:41" x14ac:dyDescent="0.25">
      <c r="B1096" s="58" t="str">
        <f>Tabla1[[#This Row],[nudo inicial]]</f>
        <v>N588</v>
      </c>
      <c r="C1096" s="58" t="str">
        <f>Tabla1[[#This Row],[nudo final]]</f>
        <v>TP385</v>
      </c>
      <c r="D1096" s="51">
        <f>Tabla1[[#This Row],[longitud]]</f>
        <v>241.72</v>
      </c>
      <c r="E1096" s="51" t="str">
        <f>Tabla1[[#This Row],[diametro]]</f>
        <v>2"</v>
      </c>
      <c r="F1096" s="51" t="str">
        <f>Tabla1[[#This Row],[material]]</f>
        <v>PVC</v>
      </c>
      <c r="G109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096" s="52" t="str">
        <f>IF(Tabla1[[#This Row],[5]]="TPD",Tabla1[[#This Row],[6]],"")</f>
        <v/>
      </c>
      <c r="I1096" s="52" t="str">
        <f>IF(OR(Tabla1[[#This Row],[5]]="TPD"),Tabla1[[#This Row],[7]],"")</f>
        <v/>
      </c>
      <c r="J1096" s="52">
        <f>IF(Tabla15[[#This Row],[2]]="",0,VLOOKUP(TRAMOS!$H$2,Tabla5[#All],3,FALSE)*Tabla15[[#This Row],[3]])</f>
        <v>0</v>
      </c>
      <c r="K1096" s="52" t="str">
        <f>IF(Tabla1[[#This Row],[5]]="TPL",Tabla1[[#This Row],[6]],"")</f>
        <v>3"</v>
      </c>
      <c r="L1096" s="52">
        <f>IF(OR(Tabla1[[#This Row],[5]]="TPL"),Tabla1[[#This Row],[7]],"")</f>
        <v>1</v>
      </c>
      <c r="M1096" s="52">
        <f>IF(Tabla15[[#This Row],[5]]="",0,VLOOKUP(TRAMOS!$K$2,Tabla5[#All],3,FALSE)*Tabla15[[#This Row],[6]])</f>
        <v>0.9</v>
      </c>
      <c r="N109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9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96" s="52">
        <f>IF(Tabla15[[#This Row],[8]]="",0,VLOOKUP(TRAMOS!$H$2,Tabla5[#All],3,FALSE)*Tabla15[[#This Row],[9]])</f>
        <v>0</v>
      </c>
      <c r="Q109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9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96" s="52">
        <f>IF(Tabla15[[#This Row],[11]]="",0,VLOOKUP(TRAMOS!$Q$2,Tabla5[#All],3,FALSE)*Tabla15[[#This Row],[12]])</f>
        <v>0</v>
      </c>
      <c r="T109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1096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09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109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9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9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9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9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96" s="52">
        <f>IF(Tabla15[[#This Row],[20]]="",0,VLOOKUP("VRP",Tabla5[#All],3,FALSE)*Tabla15[[#This Row],[21]])</f>
        <v>0</v>
      </c>
      <c r="AC109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9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96" s="52">
        <f>IF(Tabla15[[#This Row],[23]]="",0,VLOOKUP("VC",Tabla5[#All],3,FALSE)*Tabla15[[#This Row],[24]])</f>
        <v>0</v>
      </c>
      <c r="AF109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9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96" s="52">
        <f>IF(Tabla15[[#This Row],[26]]="",0,VLOOKUP(TRAMOS!$K$2,Tabla5[#All],3,FALSE)*Tabla15[[#This Row],[27]])</f>
        <v>0</v>
      </c>
      <c r="AI109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9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9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9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9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09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09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1097" spans="2:41" x14ac:dyDescent="0.25">
      <c r="B1097" s="58" t="str">
        <f>Tabla1[[#This Row],[nudo inicial]]</f>
        <v>N586</v>
      </c>
      <c r="C1097" s="58" t="str">
        <f>Tabla1[[#This Row],[nudo final]]</f>
        <v>N589</v>
      </c>
      <c r="D1097" s="51">
        <f>Tabla1[[#This Row],[longitud]]</f>
        <v>22.75</v>
      </c>
      <c r="E1097" s="51" t="str">
        <f>Tabla1[[#This Row],[diametro]]</f>
        <v>3"</v>
      </c>
      <c r="F1097" s="51" t="str">
        <f>Tabla1[[#This Row],[material]]</f>
        <v>PVC</v>
      </c>
      <c r="G109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097" s="52" t="str">
        <f>IF(Tabla1[[#This Row],[5]]="TPD",Tabla1[[#This Row],[6]],"")</f>
        <v>3"</v>
      </c>
      <c r="I1097" s="52">
        <f>IF(OR(Tabla1[[#This Row],[5]]="TPD"),Tabla1[[#This Row],[7]],"")</f>
        <v>1</v>
      </c>
      <c r="J1097" s="52">
        <f>IF(Tabla15[[#This Row],[2]]="",0,VLOOKUP(TRAMOS!$H$2,Tabla5[#All],3,FALSE)*Tabla15[[#This Row],[3]])</f>
        <v>0.15</v>
      </c>
      <c r="K1097" s="52" t="str">
        <f>IF(Tabla1[[#This Row],[5]]="TPL",Tabla1[[#This Row],[6]],"")</f>
        <v/>
      </c>
      <c r="L1097" s="52" t="str">
        <f>IF(OR(Tabla1[[#This Row],[5]]="TPL"),Tabla1[[#This Row],[7]],"")</f>
        <v/>
      </c>
      <c r="M1097" s="52">
        <f>IF(Tabla15[[#This Row],[5]]="",0,VLOOKUP(TRAMOS!$K$2,Tabla5[#All],3,FALSE)*Tabla15[[#This Row],[6]])</f>
        <v>0</v>
      </c>
      <c r="N109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9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97" s="52">
        <f>IF(Tabla15[[#This Row],[8]]="",0,VLOOKUP(TRAMOS!$H$2,Tabla5[#All],3,FALSE)*Tabla15[[#This Row],[9]])</f>
        <v>0</v>
      </c>
      <c r="Q109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9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97" s="52">
        <f>IF(Tabla15[[#This Row],[11]]="",0,VLOOKUP(TRAMOS!$Q$2,Tabla5[#All],3,FALSE)*Tabla15[[#This Row],[12]])</f>
        <v>0</v>
      </c>
      <c r="T109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09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09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09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9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9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9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9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97" s="52">
        <f>IF(Tabla15[[#This Row],[20]]="",0,VLOOKUP("VRP",Tabla5[#All],3,FALSE)*Tabla15[[#This Row],[21]])</f>
        <v>0</v>
      </c>
      <c r="AC109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9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97" s="52">
        <f>IF(Tabla15[[#This Row],[23]]="",0,VLOOKUP("VC",Tabla5[#All],3,FALSE)*Tabla15[[#This Row],[24]])</f>
        <v>0</v>
      </c>
      <c r="AF109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9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97" s="52">
        <f>IF(Tabla15[[#This Row],[26]]="",0,VLOOKUP(TRAMOS!$K$2,Tabla5[#All],3,FALSE)*Tabla15[[#This Row],[27]])</f>
        <v>0</v>
      </c>
      <c r="AI109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9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9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9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9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9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9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098" spans="2:41" x14ac:dyDescent="0.25">
      <c r="B1098" s="58" t="str">
        <f>Tabla1[[#This Row],[nudo inicial]]</f>
        <v>N589</v>
      </c>
      <c r="C1098" s="58" t="str">
        <f>Tabla1[[#This Row],[nudo final]]</f>
        <v>TP386</v>
      </c>
      <c r="D1098" s="51">
        <f>Tabla1[[#This Row],[longitud]]</f>
        <v>260.94</v>
      </c>
      <c r="E1098" s="51" t="str">
        <f>Tabla1[[#This Row],[diametro]]</f>
        <v>2"</v>
      </c>
      <c r="F1098" s="51" t="str">
        <f>Tabla1[[#This Row],[material]]</f>
        <v>PVC</v>
      </c>
      <c r="G109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098" s="52" t="str">
        <f>IF(Tabla1[[#This Row],[5]]="TPD",Tabla1[[#This Row],[6]],"")</f>
        <v/>
      </c>
      <c r="I1098" s="52" t="str">
        <f>IF(OR(Tabla1[[#This Row],[5]]="TPD"),Tabla1[[#This Row],[7]],"")</f>
        <v/>
      </c>
      <c r="J1098" s="52">
        <f>IF(Tabla15[[#This Row],[2]]="",0,VLOOKUP(TRAMOS!$H$2,Tabla5[#All],3,FALSE)*Tabla15[[#This Row],[3]])</f>
        <v>0</v>
      </c>
      <c r="K1098" s="52" t="str">
        <f>IF(Tabla1[[#This Row],[5]]="TPL",Tabla1[[#This Row],[6]],"")</f>
        <v>3"</v>
      </c>
      <c r="L1098" s="52">
        <f>IF(OR(Tabla1[[#This Row],[5]]="TPL"),Tabla1[[#This Row],[7]],"")</f>
        <v>1</v>
      </c>
      <c r="M1098" s="52">
        <f>IF(Tabla15[[#This Row],[5]]="",0,VLOOKUP(TRAMOS!$K$2,Tabla5[#All],3,FALSE)*Tabla15[[#This Row],[6]])</f>
        <v>0.9</v>
      </c>
      <c r="N109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9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98" s="52">
        <f>IF(Tabla15[[#This Row],[8]]="",0,VLOOKUP(TRAMOS!$H$2,Tabla5[#All],3,FALSE)*Tabla15[[#This Row],[9]])</f>
        <v>0</v>
      </c>
      <c r="Q109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9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98" s="52">
        <f>IF(Tabla15[[#This Row],[11]]="",0,VLOOKUP(TRAMOS!$Q$2,Tabla5[#All],3,FALSE)*Tabla15[[#This Row],[12]])</f>
        <v>0</v>
      </c>
      <c r="T109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1098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09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109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9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9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9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9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98" s="52">
        <f>IF(Tabla15[[#This Row],[20]]="",0,VLOOKUP("VRP",Tabla5[#All],3,FALSE)*Tabla15[[#This Row],[21]])</f>
        <v>0</v>
      </c>
      <c r="AC109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9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98" s="52">
        <f>IF(Tabla15[[#This Row],[23]]="",0,VLOOKUP("VC",Tabla5[#All],3,FALSE)*Tabla15[[#This Row],[24]])</f>
        <v>0</v>
      </c>
      <c r="AF109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9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98" s="52">
        <f>IF(Tabla15[[#This Row],[26]]="",0,VLOOKUP(TRAMOS!$K$2,Tabla5[#All],3,FALSE)*Tabla15[[#This Row],[27]])</f>
        <v>0</v>
      </c>
      <c r="AI109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9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9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9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9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098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09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1099" spans="2:41" x14ac:dyDescent="0.25">
      <c r="B1099" s="58" t="str">
        <f>Tabla1[[#This Row],[nudo inicial]]</f>
        <v>N589</v>
      </c>
      <c r="C1099" s="58" t="str">
        <f>Tabla1[[#This Row],[nudo final]]</f>
        <v>N590</v>
      </c>
      <c r="D1099" s="51">
        <f>Tabla1[[#This Row],[longitud]]</f>
        <v>126.82</v>
      </c>
      <c r="E1099" s="51" t="str">
        <f>Tabla1[[#This Row],[diametro]]</f>
        <v>2"</v>
      </c>
      <c r="F1099" s="51" t="str">
        <f>Tabla1[[#This Row],[material]]</f>
        <v>PVC</v>
      </c>
      <c r="G109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099" s="52" t="str">
        <f>IF(Tabla1[[#This Row],[5]]="TPD",Tabla1[[#This Row],[6]],"")</f>
        <v>3"</v>
      </c>
      <c r="I1099" s="52">
        <f>IF(OR(Tabla1[[#This Row],[5]]="TPD"),Tabla1[[#This Row],[7]],"")</f>
        <v>1</v>
      </c>
      <c r="J1099" s="52">
        <f>IF(Tabla15[[#This Row],[2]]="",0,VLOOKUP(TRAMOS!$H$2,Tabla5[#All],3,FALSE)*Tabla15[[#This Row],[3]])</f>
        <v>0.15</v>
      </c>
      <c r="K1099" s="52" t="str">
        <f>IF(Tabla1[[#This Row],[5]]="TPL",Tabla1[[#This Row],[6]],"")</f>
        <v/>
      </c>
      <c r="L1099" s="52" t="str">
        <f>IF(OR(Tabla1[[#This Row],[5]]="TPL"),Tabla1[[#This Row],[7]],"")</f>
        <v/>
      </c>
      <c r="M1099" s="52">
        <f>IF(Tabla15[[#This Row],[5]]="",0,VLOOKUP(TRAMOS!$K$2,Tabla5[#All],3,FALSE)*Tabla15[[#This Row],[6]])</f>
        <v>0</v>
      </c>
      <c r="N109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09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099" s="52">
        <f>IF(Tabla15[[#This Row],[8]]="",0,VLOOKUP(TRAMOS!$H$2,Tabla5[#All],3,FALSE)*Tabla15[[#This Row],[9]])</f>
        <v>0</v>
      </c>
      <c r="Q109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09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099" s="52">
        <f>IF(Tabla15[[#This Row],[11]]="",0,VLOOKUP(TRAMOS!$Q$2,Tabla5[#All],3,FALSE)*Tabla15[[#This Row],[12]])</f>
        <v>0</v>
      </c>
      <c r="T109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1099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09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109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09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09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09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09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099" s="52">
        <f>IF(Tabla15[[#This Row],[20]]="",0,VLOOKUP("VRP",Tabla5[#All],3,FALSE)*Tabla15[[#This Row],[21]])</f>
        <v>0</v>
      </c>
      <c r="AC109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09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099" s="52">
        <f>IF(Tabla15[[#This Row],[23]]="",0,VLOOKUP("VC",Tabla5[#All],3,FALSE)*Tabla15[[#This Row],[24]])</f>
        <v>0</v>
      </c>
      <c r="AF109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09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099" s="52">
        <f>IF(Tabla15[[#This Row],[26]]="",0,VLOOKUP(TRAMOS!$K$2,Tabla5[#All],3,FALSE)*Tabla15[[#This Row],[27]])</f>
        <v>0</v>
      </c>
      <c r="AI109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09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09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09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09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09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09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0.36499999999999999</v>
      </c>
    </row>
    <row r="1100" spans="2:41" x14ac:dyDescent="0.25">
      <c r="B1100" s="58" t="str">
        <f>Tabla1[[#This Row],[nudo inicial]]</f>
        <v>N590</v>
      </c>
      <c r="C1100" s="58" t="str">
        <f>Tabla1[[#This Row],[nudo final]]</f>
        <v>TP387</v>
      </c>
      <c r="D1100" s="51">
        <f>Tabla1[[#This Row],[longitud]]</f>
        <v>145.91999999999999</v>
      </c>
      <c r="E1100" s="51" t="str">
        <f>Tabla1[[#This Row],[diametro]]</f>
        <v>2"</v>
      </c>
      <c r="F1100" s="51" t="str">
        <f>Tabla1[[#This Row],[material]]</f>
        <v>PVC</v>
      </c>
      <c r="G110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00" s="52" t="str">
        <f>IF(Tabla1[[#This Row],[5]]="TPD",Tabla1[[#This Row],[6]],"")</f>
        <v/>
      </c>
      <c r="I1100" s="52" t="str">
        <f>IF(OR(Tabla1[[#This Row],[5]]="TPD"),Tabla1[[#This Row],[7]],"")</f>
        <v/>
      </c>
      <c r="J1100" s="52">
        <f>IF(Tabla15[[#This Row],[2]]="",0,VLOOKUP(TRAMOS!$H$2,Tabla5[#All],3,FALSE)*Tabla15[[#This Row],[3]])</f>
        <v>0</v>
      </c>
      <c r="K1100" s="52" t="str">
        <f>IF(Tabla1[[#This Row],[5]]="TPL",Tabla1[[#This Row],[6]],"")</f>
        <v>2"</v>
      </c>
      <c r="L1100" s="52">
        <f>IF(OR(Tabla1[[#This Row],[5]]="TPL"),Tabla1[[#This Row],[7]],"")</f>
        <v>1</v>
      </c>
      <c r="M1100" s="52">
        <f>IF(Tabla15[[#This Row],[5]]="",0,VLOOKUP(TRAMOS!$K$2,Tabla5[#All],3,FALSE)*Tabla15[[#This Row],[6]])</f>
        <v>0.9</v>
      </c>
      <c r="N110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0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00" s="52">
        <f>IF(Tabla15[[#This Row],[8]]="",0,VLOOKUP(TRAMOS!$H$2,Tabla5[#All],3,FALSE)*Tabla15[[#This Row],[9]])</f>
        <v>0</v>
      </c>
      <c r="Q110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1100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1100" s="52">
        <f>IF(Tabla15[[#This Row],[11]]="",0,VLOOKUP(TRAMOS!$Q$2,Tabla5[#All],3,FALSE)*Tabla15[[#This Row],[12]])</f>
        <v>0.9</v>
      </c>
      <c r="T110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0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0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0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0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0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0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0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00" s="52">
        <f>IF(Tabla15[[#This Row],[20]]="",0,VLOOKUP("VRP",Tabla5[#All],3,FALSE)*Tabla15[[#This Row],[21]])</f>
        <v>0</v>
      </c>
      <c r="AC110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0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00" s="52">
        <f>IF(Tabla15[[#This Row],[23]]="",0,VLOOKUP("VC",Tabla5[#All],3,FALSE)*Tabla15[[#This Row],[24]])</f>
        <v>0</v>
      </c>
      <c r="AF110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0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00" s="52">
        <f>IF(Tabla15[[#This Row],[26]]="",0,VLOOKUP(TRAMOS!$K$2,Tabla5[#All],3,FALSE)*Tabla15[[#This Row],[27]])</f>
        <v>0</v>
      </c>
      <c r="AI110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0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0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0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0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100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0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1.8</v>
      </c>
    </row>
    <row r="1101" spans="2:41" x14ac:dyDescent="0.25">
      <c r="B1101" s="58" t="str">
        <f>Tabla1[[#This Row],[nudo inicial]]</f>
        <v>N590</v>
      </c>
      <c r="C1101" s="58" t="str">
        <f>Tabla1[[#This Row],[nudo final]]</f>
        <v>TP388</v>
      </c>
      <c r="D1101" s="51">
        <f>Tabla1[[#This Row],[longitud]]</f>
        <v>19.57</v>
      </c>
      <c r="E1101" s="51" t="str">
        <f>Tabla1[[#This Row],[diametro]]</f>
        <v>2"</v>
      </c>
      <c r="F1101" s="51" t="str">
        <f>Tabla1[[#This Row],[material]]</f>
        <v>PVC</v>
      </c>
      <c r="G110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01" s="52" t="str">
        <f>IF(Tabla1[[#This Row],[5]]="TPD",Tabla1[[#This Row],[6]],"")</f>
        <v/>
      </c>
      <c r="I1101" s="52" t="str">
        <f>IF(OR(Tabla1[[#This Row],[5]]="TPD"),Tabla1[[#This Row],[7]],"")</f>
        <v/>
      </c>
      <c r="J1101" s="52">
        <f>IF(Tabla15[[#This Row],[2]]="",0,VLOOKUP(TRAMOS!$H$2,Tabla5[#All],3,FALSE)*Tabla15[[#This Row],[3]])</f>
        <v>0</v>
      </c>
      <c r="K1101" s="52" t="str">
        <f>IF(Tabla1[[#This Row],[5]]="TPL",Tabla1[[#This Row],[6]],"")</f>
        <v>2"</v>
      </c>
      <c r="L1101" s="52">
        <f>IF(OR(Tabla1[[#This Row],[5]]="TPL"),Tabla1[[#This Row],[7]],"")</f>
        <v>1</v>
      </c>
      <c r="M1101" s="52">
        <f>IF(Tabla15[[#This Row],[5]]="",0,VLOOKUP(TRAMOS!$K$2,Tabla5[#All],3,FALSE)*Tabla15[[#This Row],[6]])</f>
        <v>0.9</v>
      </c>
      <c r="N110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0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01" s="52">
        <f>IF(Tabla15[[#This Row],[8]]="",0,VLOOKUP(TRAMOS!$H$2,Tabla5[#All],3,FALSE)*Tabla15[[#This Row],[9]])</f>
        <v>0</v>
      </c>
      <c r="Q110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1101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1101" s="52">
        <f>IF(Tabla15[[#This Row],[11]]="",0,VLOOKUP(TRAMOS!$Q$2,Tabla5[#All],3,FALSE)*Tabla15[[#This Row],[12]])</f>
        <v>0.9</v>
      </c>
      <c r="T110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0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0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0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0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0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0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0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01" s="52">
        <f>IF(Tabla15[[#This Row],[20]]="",0,VLOOKUP("VRP",Tabla5[#All],3,FALSE)*Tabla15[[#This Row],[21]])</f>
        <v>0</v>
      </c>
      <c r="AC110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0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01" s="52">
        <f>IF(Tabla15[[#This Row],[23]]="",0,VLOOKUP("VC",Tabla5[#All],3,FALSE)*Tabla15[[#This Row],[24]])</f>
        <v>0</v>
      </c>
      <c r="AF110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0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01" s="52">
        <f>IF(Tabla15[[#This Row],[26]]="",0,VLOOKUP(TRAMOS!$K$2,Tabla5[#All],3,FALSE)*Tabla15[[#This Row],[27]])</f>
        <v>0</v>
      </c>
      <c r="AI110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0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0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0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0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101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0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1.8</v>
      </c>
    </row>
    <row r="1102" spans="2:41" x14ac:dyDescent="0.25">
      <c r="B1102" s="58" t="str">
        <f>Tabla1[[#This Row],[nudo inicial]]</f>
        <v>N585</v>
      </c>
      <c r="C1102" s="58" t="str">
        <f>Tabla1[[#This Row],[nudo final]]</f>
        <v>N591</v>
      </c>
      <c r="D1102" s="51">
        <f>Tabla1[[#This Row],[longitud]]</f>
        <v>10.38</v>
      </c>
      <c r="E1102" s="51" t="str">
        <f>Tabla1[[#This Row],[diametro]]</f>
        <v>4"</v>
      </c>
      <c r="F1102" s="51" t="str">
        <f>Tabla1[[#This Row],[material]]</f>
        <v>PVC</v>
      </c>
      <c r="G110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1102" s="52" t="str">
        <f>IF(Tabla1[[#This Row],[5]]="TPD",Tabla1[[#This Row],[6]],"")</f>
        <v>4"</v>
      </c>
      <c r="I1102" s="52">
        <f>IF(OR(Tabla1[[#This Row],[5]]="TPD"),Tabla1[[#This Row],[7]],"")</f>
        <v>1</v>
      </c>
      <c r="J1102" s="52">
        <f>IF(Tabla15[[#This Row],[2]]="",0,VLOOKUP(TRAMOS!$H$2,Tabla5[#All],3,FALSE)*Tabla15[[#This Row],[3]])</f>
        <v>0.15</v>
      </c>
      <c r="K1102" s="52" t="str">
        <f>IF(Tabla1[[#This Row],[5]]="TPL",Tabla1[[#This Row],[6]],"")</f>
        <v/>
      </c>
      <c r="L1102" s="52" t="str">
        <f>IF(OR(Tabla1[[#This Row],[5]]="TPL"),Tabla1[[#This Row],[7]],"")</f>
        <v/>
      </c>
      <c r="M1102" s="52">
        <f>IF(Tabla15[[#This Row],[5]]="",0,VLOOKUP(TRAMOS!$K$2,Tabla5[#All],3,FALSE)*Tabla15[[#This Row],[6]])</f>
        <v>0</v>
      </c>
      <c r="N110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0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02" s="52">
        <f>IF(Tabla15[[#This Row],[8]]="",0,VLOOKUP(TRAMOS!$H$2,Tabla5[#All],3,FALSE)*Tabla15[[#This Row],[9]])</f>
        <v>0</v>
      </c>
      <c r="Q110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0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02" s="52">
        <f>IF(Tabla15[[#This Row],[11]]="",0,VLOOKUP(TRAMOS!$Q$2,Tabla5[#All],3,FALSE)*Tabla15[[#This Row],[12]])</f>
        <v>0</v>
      </c>
      <c r="T110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0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0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0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0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0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0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0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02" s="52">
        <f>IF(Tabla15[[#This Row],[20]]="",0,VLOOKUP("VRP",Tabla5[#All],3,FALSE)*Tabla15[[#This Row],[21]])</f>
        <v>0</v>
      </c>
      <c r="AC110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0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02" s="52">
        <f>IF(Tabla15[[#This Row],[23]]="",0,VLOOKUP("VC",Tabla5[#All],3,FALSE)*Tabla15[[#This Row],[24]])</f>
        <v>0</v>
      </c>
      <c r="AF110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0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02" s="52">
        <f>IF(Tabla15[[#This Row],[26]]="",0,VLOOKUP(TRAMOS!$K$2,Tabla5[#All],3,FALSE)*Tabla15[[#This Row],[27]])</f>
        <v>0</v>
      </c>
      <c r="AI110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0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0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0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0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0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0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103" spans="2:41" x14ac:dyDescent="0.25">
      <c r="B1103" s="58" t="str">
        <f>Tabla1[[#This Row],[nudo inicial]]</f>
        <v>N591</v>
      </c>
      <c r="C1103" s="58" t="str">
        <f>Tabla1[[#This Row],[nudo final]]</f>
        <v>N592</v>
      </c>
      <c r="D1103" s="51">
        <f>Tabla1[[#This Row],[longitud]]</f>
        <v>290.02</v>
      </c>
      <c r="E1103" s="51" t="str">
        <f>Tabla1[[#This Row],[diametro]]</f>
        <v>3"</v>
      </c>
      <c r="F1103" s="51" t="str">
        <f>Tabla1[[#This Row],[material]]</f>
        <v>PVC</v>
      </c>
      <c r="G110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1103" s="52" t="str">
        <f>IF(Tabla1[[#This Row],[5]]="TPD",Tabla1[[#This Row],[6]],"")</f>
        <v/>
      </c>
      <c r="I1103" s="52" t="str">
        <f>IF(OR(Tabla1[[#This Row],[5]]="TPD"),Tabla1[[#This Row],[7]],"")</f>
        <v/>
      </c>
      <c r="J1103" s="52">
        <f>IF(Tabla15[[#This Row],[2]]="",0,VLOOKUP(TRAMOS!$H$2,Tabla5[#All],3,FALSE)*Tabla15[[#This Row],[3]])</f>
        <v>0</v>
      </c>
      <c r="K1103" s="52" t="str">
        <f>IF(Tabla1[[#This Row],[5]]="TPL",Tabla1[[#This Row],[6]],"")</f>
        <v/>
      </c>
      <c r="L1103" s="52" t="str">
        <f>IF(OR(Tabla1[[#This Row],[5]]="TPL"),Tabla1[[#This Row],[7]],"")</f>
        <v/>
      </c>
      <c r="M1103" s="52">
        <f>IF(Tabla15[[#This Row],[5]]="",0,VLOOKUP(TRAMOS!$K$2,Tabla5[#All],3,FALSE)*Tabla15[[#This Row],[6]])</f>
        <v>0</v>
      </c>
      <c r="N110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0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03" s="52">
        <f>IF(Tabla15[[#This Row],[8]]="",0,VLOOKUP(TRAMOS!$H$2,Tabla5[#All],3,FALSE)*Tabla15[[#This Row],[9]])</f>
        <v>0</v>
      </c>
      <c r="Q110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0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03" s="52">
        <f>IF(Tabla15[[#This Row],[11]]="",0,VLOOKUP(TRAMOS!$Q$2,Tabla5[#All],3,FALSE)*Tabla15[[#This Row],[12]])</f>
        <v>0</v>
      </c>
      <c r="T110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1103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10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0.13850000000000007</v>
      </c>
      <c r="W110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0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0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0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0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03" s="52">
        <f>IF(Tabla15[[#This Row],[20]]="",0,VLOOKUP("VRP",Tabla5[#All],3,FALSE)*Tabla15[[#This Row],[21]])</f>
        <v>0</v>
      </c>
      <c r="AC110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0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03" s="52">
        <f>IF(Tabla15[[#This Row],[23]]="",0,VLOOKUP("VC",Tabla5[#All],3,FALSE)*Tabla15[[#This Row],[24]])</f>
        <v>0</v>
      </c>
      <c r="AF110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0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03" s="52">
        <f>IF(Tabla15[[#This Row],[26]]="",0,VLOOKUP(TRAMOS!$K$2,Tabla5[#All],3,FALSE)*Tabla15[[#This Row],[27]])</f>
        <v>0</v>
      </c>
      <c r="AI110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0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0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0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0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0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0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0.13850000000000007</v>
      </c>
    </row>
    <row r="1104" spans="2:41" x14ac:dyDescent="0.25">
      <c r="B1104" s="58" t="str">
        <f>Tabla1[[#This Row],[nudo inicial]]</f>
        <v>N592</v>
      </c>
      <c r="C1104" s="58" t="str">
        <f>Tabla1[[#This Row],[nudo final]]</f>
        <v>TP389</v>
      </c>
      <c r="D1104" s="51">
        <f>Tabla1[[#This Row],[longitud]]</f>
        <v>56.36</v>
      </c>
      <c r="E1104" s="51" t="str">
        <f>Tabla1[[#This Row],[diametro]]</f>
        <v>3"</v>
      </c>
      <c r="F1104" s="51" t="str">
        <f>Tabla1[[#This Row],[material]]</f>
        <v>PVC</v>
      </c>
      <c r="G110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104" s="52" t="str">
        <f>IF(Tabla1[[#This Row],[5]]="TPD",Tabla1[[#This Row],[6]],"")</f>
        <v>3"</v>
      </c>
      <c r="I1104" s="52">
        <f>IF(OR(Tabla1[[#This Row],[5]]="TPD"),Tabla1[[#This Row],[7]],"")</f>
        <v>1</v>
      </c>
      <c r="J1104" s="52">
        <f>IF(Tabla15[[#This Row],[2]]="",0,VLOOKUP(TRAMOS!$H$2,Tabla5[#All],3,FALSE)*Tabla15[[#This Row],[3]])</f>
        <v>0.15</v>
      </c>
      <c r="K1104" s="52" t="str">
        <f>IF(Tabla1[[#This Row],[5]]="TPL",Tabla1[[#This Row],[6]],"")</f>
        <v/>
      </c>
      <c r="L1104" s="52" t="str">
        <f>IF(OR(Tabla1[[#This Row],[5]]="TPL"),Tabla1[[#This Row],[7]],"")</f>
        <v/>
      </c>
      <c r="M1104" s="52">
        <f>IF(Tabla15[[#This Row],[5]]="",0,VLOOKUP(TRAMOS!$K$2,Tabla5[#All],3,FALSE)*Tabla15[[#This Row],[6]])</f>
        <v>0</v>
      </c>
      <c r="N110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0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04" s="52">
        <f>IF(Tabla15[[#This Row],[8]]="",0,VLOOKUP(TRAMOS!$H$2,Tabla5[#All],3,FALSE)*Tabla15[[#This Row],[9]])</f>
        <v>0</v>
      </c>
      <c r="Q110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0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04" s="52">
        <f>IF(Tabla15[[#This Row],[11]]="",0,VLOOKUP(TRAMOS!$Q$2,Tabla5[#All],3,FALSE)*Tabla15[[#This Row],[12]])</f>
        <v>0</v>
      </c>
      <c r="T110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0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0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0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0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0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0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0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04" s="52">
        <f>IF(Tabla15[[#This Row],[20]]="",0,VLOOKUP("VRP",Tabla5[#All],3,FALSE)*Tabla15[[#This Row],[21]])</f>
        <v>0</v>
      </c>
      <c r="AC110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0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04" s="52">
        <f>IF(Tabla15[[#This Row],[23]]="",0,VLOOKUP("VC",Tabla5[#All],3,FALSE)*Tabla15[[#This Row],[24]])</f>
        <v>0</v>
      </c>
      <c r="AF110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0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04" s="52">
        <f>IF(Tabla15[[#This Row],[26]]="",0,VLOOKUP(TRAMOS!$K$2,Tabla5[#All],3,FALSE)*Tabla15[[#This Row],[27]])</f>
        <v>0</v>
      </c>
      <c r="AI110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0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0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0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0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1104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0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105" spans="2:41" x14ac:dyDescent="0.25">
      <c r="B1105" s="58" t="str">
        <f>Tabla1[[#This Row],[nudo inicial]]</f>
        <v>N592</v>
      </c>
      <c r="C1105" s="58" t="str">
        <f>Tabla1[[#This Row],[nudo final]]</f>
        <v>N593</v>
      </c>
      <c r="D1105" s="51">
        <f>Tabla1[[#This Row],[longitud]]</f>
        <v>64.19</v>
      </c>
      <c r="E1105" s="51" t="str">
        <f>Tabla1[[#This Row],[diametro]]</f>
        <v>2"</v>
      </c>
      <c r="F1105" s="51" t="str">
        <f>Tabla1[[#This Row],[material]]</f>
        <v>PVC</v>
      </c>
      <c r="G110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105" s="52" t="str">
        <f>IF(Tabla1[[#This Row],[5]]="TPD",Tabla1[[#This Row],[6]],"")</f>
        <v/>
      </c>
      <c r="I1105" s="52" t="str">
        <f>IF(OR(Tabla1[[#This Row],[5]]="TPD"),Tabla1[[#This Row],[7]],"")</f>
        <v/>
      </c>
      <c r="J1105" s="52">
        <f>IF(Tabla15[[#This Row],[2]]="",0,VLOOKUP(TRAMOS!$H$2,Tabla5[#All],3,FALSE)*Tabla15[[#This Row],[3]])</f>
        <v>0</v>
      </c>
      <c r="K1105" s="52" t="str">
        <f>IF(Tabla1[[#This Row],[5]]="TPL",Tabla1[[#This Row],[6]],"")</f>
        <v>3"</v>
      </c>
      <c r="L1105" s="52">
        <f>IF(OR(Tabla1[[#This Row],[5]]="TPL"),Tabla1[[#This Row],[7]],"")</f>
        <v>1</v>
      </c>
      <c r="M1105" s="52">
        <f>IF(Tabla15[[#This Row],[5]]="",0,VLOOKUP(TRAMOS!$K$2,Tabla5[#All],3,FALSE)*Tabla15[[#This Row],[6]])</f>
        <v>0.9</v>
      </c>
      <c r="N110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0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05" s="52">
        <f>IF(Tabla15[[#This Row],[8]]="",0,VLOOKUP(TRAMOS!$H$2,Tabla5[#All],3,FALSE)*Tabla15[[#This Row],[9]])</f>
        <v>0</v>
      </c>
      <c r="Q110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0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05" s="52">
        <f>IF(Tabla15[[#This Row],[11]]="",0,VLOOKUP(TRAMOS!$Q$2,Tabla5[#All],3,FALSE)*Tabla15[[#This Row],[12]])</f>
        <v>0</v>
      </c>
      <c r="T110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1105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10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110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0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0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0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0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05" s="52">
        <f>IF(Tabla15[[#This Row],[20]]="",0,VLOOKUP("VRP",Tabla5[#All],3,FALSE)*Tabla15[[#This Row],[21]])</f>
        <v>0</v>
      </c>
      <c r="AC110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0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05" s="52">
        <f>IF(Tabla15[[#This Row],[23]]="",0,VLOOKUP("VC",Tabla5[#All],3,FALSE)*Tabla15[[#This Row],[24]])</f>
        <v>0</v>
      </c>
      <c r="AF110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0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05" s="52">
        <f>IF(Tabla15[[#This Row],[26]]="",0,VLOOKUP(TRAMOS!$K$2,Tabla5[#All],3,FALSE)*Tabla15[[#This Row],[27]])</f>
        <v>0</v>
      </c>
      <c r="AI110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0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0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0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0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0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0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1106" spans="2:41" x14ac:dyDescent="0.25">
      <c r="B1106" s="58" t="str">
        <f>Tabla1[[#This Row],[nudo inicial]]</f>
        <v>N593</v>
      </c>
      <c r="C1106" s="58" t="str">
        <f>Tabla1[[#This Row],[nudo final]]</f>
        <v>TP390</v>
      </c>
      <c r="D1106" s="51">
        <f>Tabla1[[#This Row],[longitud]]</f>
        <v>117</v>
      </c>
      <c r="E1106" s="51" t="str">
        <f>Tabla1[[#This Row],[diametro]]</f>
        <v>2"</v>
      </c>
      <c r="F1106" s="51" t="str">
        <f>Tabla1[[#This Row],[material]]</f>
        <v>PVC</v>
      </c>
      <c r="G110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06" s="52" t="str">
        <f>IF(Tabla1[[#This Row],[5]]="TPD",Tabla1[[#This Row],[6]],"")</f>
        <v>2"</v>
      </c>
      <c r="I1106" s="52">
        <f>IF(OR(Tabla1[[#This Row],[5]]="TPD"),Tabla1[[#This Row],[7]],"")</f>
        <v>1</v>
      </c>
      <c r="J1106" s="52">
        <f>IF(Tabla15[[#This Row],[2]]="",0,VLOOKUP(TRAMOS!$H$2,Tabla5[#All],3,FALSE)*Tabla15[[#This Row],[3]])</f>
        <v>0.15</v>
      </c>
      <c r="K1106" s="52" t="str">
        <f>IF(Tabla1[[#This Row],[5]]="TPL",Tabla1[[#This Row],[6]],"")</f>
        <v/>
      </c>
      <c r="L1106" s="52" t="str">
        <f>IF(OR(Tabla1[[#This Row],[5]]="TPL"),Tabla1[[#This Row],[7]],"")</f>
        <v/>
      </c>
      <c r="M1106" s="52">
        <f>IF(Tabla15[[#This Row],[5]]="",0,VLOOKUP(TRAMOS!$K$2,Tabla5[#All],3,FALSE)*Tabla15[[#This Row],[6]])</f>
        <v>0</v>
      </c>
      <c r="N110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0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06" s="52">
        <f>IF(Tabla15[[#This Row],[8]]="",0,VLOOKUP(TRAMOS!$H$2,Tabla5[#All],3,FALSE)*Tabla15[[#This Row],[9]])</f>
        <v>0</v>
      </c>
      <c r="Q110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1106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1106" s="52">
        <f>IF(Tabla15[[#This Row],[11]]="",0,VLOOKUP(TRAMOS!$Q$2,Tabla5[#All],3,FALSE)*Tabla15[[#This Row],[12]])</f>
        <v>0.9</v>
      </c>
      <c r="T110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0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0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0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0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0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0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0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06" s="52">
        <f>IF(Tabla15[[#This Row],[20]]="",0,VLOOKUP("VRP",Tabla5[#All],3,FALSE)*Tabla15[[#This Row],[21]])</f>
        <v>0</v>
      </c>
      <c r="AC110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0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06" s="52">
        <f>IF(Tabla15[[#This Row],[23]]="",0,VLOOKUP("VC",Tabla5[#All],3,FALSE)*Tabla15[[#This Row],[24]])</f>
        <v>0</v>
      </c>
      <c r="AF110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0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06" s="52">
        <f>IF(Tabla15[[#This Row],[26]]="",0,VLOOKUP(TRAMOS!$K$2,Tabla5[#All],3,FALSE)*Tabla15[[#This Row],[27]])</f>
        <v>0</v>
      </c>
      <c r="AI110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0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0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0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0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10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0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1107" spans="2:41" x14ac:dyDescent="0.25">
      <c r="B1107" s="58" t="str">
        <f>Tabla1[[#This Row],[nudo inicial]]</f>
        <v>N593</v>
      </c>
      <c r="C1107" s="58" t="str">
        <f>Tabla1[[#This Row],[nudo final]]</f>
        <v>N594</v>
      </c>
      <c r="D1107" s="51">
        <f>Tabla1[[#This Row],[longitud]]</f>
        <v>120.65</v>
      </c>
      <c r="E1107" s="51" t="str">
        <f>Tabla1[[#This Row],[diametro]]</f>
        <v>2"</v>
      </c>
      <c r="F1107" s="51" t="str">
        <f>Tabla1[[#This Row],[material]]</f>
        <v>PVC</v>
      </c>
      <c r="G110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07" s="52" t="str">
        <f>IF(Tabla1[[#This Row],[5]]="TPD",Tabla1[[#This Row],[6]],"")</f>
        <v/>
      </c>
      <c r="I1107" s="52" t="str">
        <f>IF(OR(Tabla1[[#This Row],[5]]="TPD"),Tabla1[[#This Row],[7]],"")</f>
        <v/>
      </c>
      <c r="J1107" s="52">
        <f>IF(Tabla15[[#This Row],[2]]="",0,VLOOKUP(TRAMOS!$H$2,Tabla5[#All],3,FALSE)*Tabla15[[#This Row],[3]])</f>
        <v>0</v>
      </c>
      <c r="K1107" s="52" t="str">
        <f>IF(Tabla1[[#This Row],[5]]="TPL",Tabla1[[#This Row],[6]],"")</f>
        <v>2"</v>
      </c>
      <c r="L1107" s="52">
        <f>IF(OR(Tabla1[[#This Row],[5]]="TPL"),Tabla1[[#This Row],[7]],"")</f>
        <v>1</v>
      </c>
      <c r="M1107" s="52">
        <f>IF(Tabla15[[#This Row],[5]]="",0,VLOOKUP(TRAMOS!$K$2,Tabla5[#All],3,FALSE)*Tabla15[[#This Row],[6]])</f>
        <v>0.9</v>
      </c>
      <c r="N110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0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07" s="52">
        <f>IF(Tabla15[[#This Row],[8]]="",0,VLOOKUP(TRAMOS!$H$2,Tabla5[#All],3,FALSE)*Tabla15[[#This Row],[9]])</f>
        <v>0</v>
      </c>
      <c r="Q110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1107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1107" s="52">
        <f>IF(Tabla15[[#This Row],[11]]="",0,VLOOKUP(TRAMOS!$Q$2,Tabla5[#All],3,FALSE)*Tabla15[[#This Row],[12]])</f>
        <v>0.9</v>
      </c>
      <c r="T110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0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0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0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0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0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0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0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07" s="52">
        <f>IF(Tabla15[[#This Row],[20]]="",0,VLOOKUP("VRP",Tabla5[#All],3,FALSE)*Tabla15[[#This Row],[21]])</f>
        <v>0</v>
      </c>
      <c r="AC110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1107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1107" s="52">
        <f>IF(Tabla15[[#This Row],[23]]="",0,VLOOKUP("VC",Tabla5[#All],3,FALSE)*Tabla15[[#This Row],[24]])</f>
        <v>0.25</v>
      </c>
      <c r="AF110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0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07" s="52">
        <f>IF(Tabla15[[#This Row],[26]]="",0,VLOOKUP(TRAMOS!$K$2,Tabla5[#All],3,FALSE)*Tabla15[[#This Row],[27]])</f>
        <v>0</v>
      </c>
      <c r="AI110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0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0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0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0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0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0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2.0499999999999998</v>
      </c>
    </row>
    <row r="1108" spans="2:41" x14ac:dyDescent="0.25">
      <c r="B1108" s="58" t="str">
        <f>Tabla1[[#This Row],[nudo inicial]]</f>
        <v>N594</v>
      </c>
      <c r="C1108" s="58" t="str">
        <f>Tabla1[[#This Row],[nudo final]]</f>
        <v>TP391</v>
      </c>
      <c r="D1108" s="51">
        <f>Tabla1[[#This Row],[longitud]]</f>
        <v>190.13</v>
      </c>
      <c r="E1108" s="51" t="str">
        <f>Tabla1[[#This Row],[diametro]]</f>
        <v>2"</v>
      </c>
      <c r="F1108" s="51" t="str">
        <f>Tabla1[[#This Row],[material]]</f>
        <v>PVC</v>
      </c>
      <c r="G110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08" s="52" t="str">
        <f>IF(Tabla1[[#This Row],[5]]="TPD",Tabla1[[#This Row],[6]],"")</f>
        <v/>
      </c>
      <c r="I1108" s="52" t="str">
        <f>IF(OR(Tabla1[[#This Row],[5]]="TPD"),Tabla1[[#This Row],[7]],"")</f>
        <v/>
      </c>
      <c r="J1108" s="52">
        <f>IF(Tabla15[[#This Row],[2]]="",0,VLOOKUP(TRAMOS!$H$2,Tabla5[#All],3,FALSE)*Tabla15[[#This Row],[3]])</f>
        <v>0</v>
      </c>
      <c r="K1108" s="52" t="str">
        <f>IF(Tabla1[[#This Row],[5]]="TPL",Tabla1[[#This Row],[6]],"")</f>
        <v>2"</v>
      </c>
      <c r="L1108" s="52">
        <f>IF(OR(Tabla1[[#This Row],[5]]="TPL"),Tabla1[[#This Row],[7]],"")</f>
        <v>1</v>
      </c>
      <c r="M1108" s="52">
        <f>IF(Tabla15[[#This Row],[5]]="",0,VLOOKUP(TRAMOS!$K$2,Tabla5[#All],3,FALSE)*Tabla15[[#This Row],[6]])</f>
        <v>0.9</v>
      </c>
      <c r="N110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0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08" s="52">
        <f>IF(Tabla15[[#This Row],[8]]="",0,VLOOKUP(TRAMOS!$H$2,Tabla5[#All],3,FALSE)*Tabla15[[#This Row],[9]])</f>
        <v>0</v>
      </c>
      <c r="Q110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0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08" s="52">
        <f>IF(Tabla15[[#This Row],[11]]="",0,VLOOKUP(TRAMOS!$Q$2,Tabla5[#All],3,FALSE)*Tabla15[[#This Row],[12]])</f>
        <v>0</v>
      </c>
      <c r="T110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0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0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0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0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0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0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0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08" s="52">
        <f>IF(Tabla15[[#This Row],[20]]="",0,VLOOKUP("VRP",Tabla5[#All],3,FALSE)*Tabla15[[#This Row],[21]])</f>
        <v>0</v>
      </c>
      <c r="AC110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0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08" s="52">
        <f>IF(Tabla15[[#This Row],[23]]="",0,VLOOKUP("VC",Tabla5[#All],3,FALSE)*Tabla15[[#This Row],[24]])</f>
        <v>0</v>
      </c>
      <c r="AF110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0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08" s="52">
        <f>IF(Tabla15[[#This Row],[26]]="",0,VLOOKUP(TRAMOS!$K$2,Tabla5[#All],3,FALSE)*Tabla15[[#This Row],[27]])</f>
        <v>0</v>
      </c>
      <c r="AI110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0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0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0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0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108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0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109" spans="2:41" x14ac:dyDescent="0.25">
      <c r="B1109" s="58" t="str">
        <f>Tabla1[[#This Row],[nudo inicial]]</f>
        <v>N594</v>
      </c>
      <c r="C1109" s="58" t="str">
        <f>Tabla1[[#This Row],[nudo final]]</f>
        <v>TP392</v>
      </c>
      <c r="D1109" s="51">
        <f>Tabla1[[#This Row],[longitud]]</f>
        <v>204.72</v>
      </c>
      <c r="E1109" s="51" t="str">
        <f>Tabla1[[#This Row],[diametro]]</f>
        <v>2"</v>
      </c>
      <c r="F1109" s="51" t="str">
        <f>Tabla1[[#This Row],[material]]</f>
        <v>PVC</v>
      </c>
      <c r="G110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09" s="52" t="str">
        <f>IF(Tabla1[[#This Row],[5]]="TPD",Tabla1[[#This Row],[6]],"")</f>
        <v>2"</v>
      </c>
      <c r="I1109" s="52">
        <f>IF(OR(Tabla1[[#This Row],[5]]="TPD"),Tabla1[[#This Row],[7]],"")</f>
        <v>1</v>
      </c>
      <c r="J1109" s="52">
        <f>IF(Tabla15[[#This Row],[2]]="",0,VLOOKUP(TRAMOS!$H$2,Tabla5[#All],3,FALSE)*Tabla15[[#This Row],[3]])</f>
        <v>0.15</v>
      </c>
      <c r="K1109" s="52" t="str">
        <f>IF(Tabla1[[#This Row],[5]]="TPL",Tabla1[[#This Row],[6]],"")</f>
        <v/>
      </c>
      <c r="L1109" s="52" t="str">
        <f>IF(OR(Tabla1[[#This Row],[5]]="TPL"),Tabla1[[#This Row],[7]],"")</f>
        <v/>
      </c>
      <c r="M1109" s="52">
        <f>IF(Tabla15[[#This Row],[5]]="",0,VLOOKUP(TRAMOS!$K$2,Tabla5[#All],3,FALSE)*Tabla15[[#This Row],[6]])</f>
        <v>0</v>
      </c>
      <c r="N110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0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09" s="52">
        <f>IF(Tabla15[[#This Row],[8]]="",0,VLOOKUP(TRAMOS!$H$2,Tabla5[#All],3,FALSE)*Tabla15[[#This Row],[9]])</f>
        <v>0</v>
      </c>
      <c r="Q110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1109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1109" s="52">
        <f>IF(Tabla15[[#This Row],[11]]="",0,VLOOKUP(TRAMOS!$Q$2,Tabla5[#All],3,FALSE)*Tabla15[[#This Row],[12]])</f>
        <v>0.9</v>
      </c>
      <c r="T110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0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0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0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0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0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0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0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09" s="52">
        <f>IF(Tabla15[[#This Row],[20]]="",0,VLOOKUP("VRP",Tabla5[#All],3,FALSE)*Tabla15[[#This Row],[21]])</f>
        <v>0</v>
      </c>
      <c r="AC110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0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09" s="52">
        <f>IF(Tabla15[[#This Row],[23]]="",0,VLOOKUP("VC",Tabla5[#All],3,FALSE)*Tabla15[[#This Row],[24]])</f>
        <v>0</v>
      </c>
      <c r="AF110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0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09" s="52">
        <f>IF(Tabla15[[#This Row],[26]]="",0,VLOOKUP(TRAMOS!$K$2,Tabla5[#All],3,FALSE)*Tabla15[[#This Row],[27]])</f>
        <v>0</v>
      </c>
      <c r="AI110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0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0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0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0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109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0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1110" spans="2:41" x14ac:dyDescent="0.25">
      <c r="B1110" s="58" t="str">
        <f>Tabla1[[#This Row],[nudo inicial]]</f>
        <v>N582</v>
      </c>
      <c r="C1110" s="58" t="str">
        <f>Tabla1[[#This Row],[nudo final]]</f>
        <v>N595</v>
      </c>
      <c r="D1110" s="51">
        <f>Tabla1[[#This Row],[longitud]]</f>
        <v>11.48</v>
      </c>
      <c r="E1110" s="51" t="str">
        <f>Tabla1[[#This Row],[diametro]]</f>
        <v>6"</v>
      </c>
      <c r="F1110" s="51" t="str">
        <f>Tabla1[[#This Row],[material]]</f>
        <v>PVC</v>
      </c>
      <c r="G111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1110" s="52" t="str">
        <f>IF(Tabla1[[#This Row],[5]]="TPD",Tabla1[[#This Row],[6]],"")</f>
        <v>6"</v>
      </c>
      <c r="I1110" s="52">
        <f>IF(OR(Tabla1[[#This Row],[5]]="TPD"),Tabla1[[#This Row],[7]],"")</f>
        <v>1</v>
      </c>
      <c r="J1110" s="52">
        <f>IF(Tabla15[[#This Row],[2]]="",0,VLOOKUP(TRAMOS!$H$2,Tabla5[#All],3,FALSE)*Tabla15[[#This Row],[3]])</f>
        <v>0.15</v>
      </c>
      <c r="K1110" s="52" t="str">
        <f>IF(Tabla1[[#This Row],[5]]="TPL",Tabla1[[#This Row],[6]],"")</f>
        <v/>
      </c>
      <c r="L1110" s="52" t="str">
        <f>IF(OR(Tabla1[[#This Row],[5]]="TPL"),Tabla1[[#This Row],[7]],"")</f>
        <v/>
      </c>
      <c r="M1110" s="52">
        <f>IF(Tabla15[[#This Row],[5]]="",0,VLOOKUP(TRAMOS!$K$2,Tabla5[#All],3,FALSE)*Tabla15[[#This Row],[6]])</f>
        <v>0</v>
      </c>
      <c r="N111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1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10" s="52">
        <f>IF(Tabla15[[#This Row],[8]]="",0,VLOOKUP(TRAMOS!$H$2,Tabla5[#All],3,FALSE)*Tabla15[[#This Row],[9]])</f>
        <v>0</v>
      </c>
      <c r="Q111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1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10" s="52">
        <f>IF(Tabla15[[#This Row],[11]]="",0,VLOOKUP(TRAMOS!$Q$2,Tabla5[#All],3,FALSE)*Tabla15[[#This Row],[12]])</f>
        <v>0</v>
      </c>
      <c r="T111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1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1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1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1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1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1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1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10" s="52">
        <f>IF(Tabla15[[#This Row],[20]]="",0,VLOOKUP("VRP",Tabla5[#All],3,FALSE)*Tabla15[[#This Row],[21]])</f>
        <v>0</v>
      </c>
      <c r="AC111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1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10" s="52">
        <f>IF(Tabla15[[#This Row],[23]]="",0,VLOOKUP("VC",Tabla5[#All],3,FALSE)*Tabla15[[#This Row],[24]])</f>
        <v>0</v>
      </c>
      <c r="AF111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1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10" s="52">
        <f>IF(Tabla15[[#This Row],[26]]="",0,VLOOKUP(TRAMOS!$K$2,Tabla5[#All],3,FALSE)*Tabla15[[#This Row],[27]])</f>
        <v>0</v>
      </c>
      <c r="AI111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1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1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1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1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1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1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111" spans="2:41" x14ac:dyDescent="0.25">
      <c r="B1111" s="58" t="str">
        <f>Tabla1[[#This Row],[nudo inicial]]</f>
        <v>N595</v>
      </c>
      <c r="C1111" s="58" t="str">
        <f>Tabla1[[#This Row],[nudo final]]</f>
        <v>N596</v>
      </c>
      <c r="D1111" s="51">
        <f>Tabla1[[#This Row],[longitud]]</f>
        <v>27</v>
      </c>
      <c r="E1111" s="51" t="str">
        <f>Tabla1[[#This Row],[diametro]]</f>
        <v>4"</v>
      </c>
      <c r="F1111" s="51" t="str">
        <f>Tabla1[[#This Row],[material]]</f>
        <v>PVC</v>
      </c>
      <c r="G111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6"</v>
      </c>
      <c r="H1111" s="52" t="str">
        <f>IF(Tabla1[[#This Row],[5]]="TPD",Tabla1[[#This Row],[6]],"")</f>
        <v/>
      </c>
      <c r="I1111" s="52" t="str">
        <f>IF(OR(Tabla1[[#This Row],[5]]="TPD"),Tabla1[[#This Row],[7]],"")</f>
        <v/>
      </c>
      <c r="J1111" s="52">
        <f>IF(Tabla15[[#This Row],[2]]="",0,VLOOKUP(TRAMOS!$H$2,Tabla5[#All],3,FALSE)*Tabla15[[#This Row],[3]])</f>
        <v>0</v>
      </c>
      <c r="K1111" s="52" t="str">
        <f>IF(Tabla1[[#This Row],[5]]="TPL",Tabla1[[#This Row],[6]],"")</f>
        <v/>
      </c>
      <c r="L1111" s="52" t="str">
        <f>IF(OR(Tabla1[[#This Row],[5]]="TPL"),Tabla1[[#This Row],[7]],"")</f>
        <v/>
      </c>
      <c r="M1111" s="52">
        <f>IF(Tabla15[[#This Row],[5]]="",0,VLOOKUP(TRAMOS!$K$2,Tabla5[#All],3,FALSE)*Tabla15[[#This Row],[6]])</f>
        <v>0</v>
      </c>
      <c r="N111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1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11" s="52">
        <f>IF(Tabla15[[#This Row],[8]]="",0,VLOOKUP(TRAMOS!$H$2,Tabla5[#All],3,FALSE)*Tabla15[[#This Row],[9]])</f>
        <v>0</v>
      </c>
      <c r="Q111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1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11" s="52">
        <f>IF(Tabla15[[#This Row],[11]]="",0,VLOOKUP(TRAMOS!$Q$2,Tabla5[#All],3,FALSE)*Tabla15[[#This Row],[12]])</f>
        <v>0</v>
      </c>
      <c r="T111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4"</v>
      </c>
      <c r="U1111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11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111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1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1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1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1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11" s="52">
        <f>IF(Tabla15[[#This Row],[20]]="",0,VLOOKUP("VRP",Tabla5[#All],3,FALSE)*Tabla15[[#This Row],[21]])</f>
        <v>0</v>
      </c>
      <c r="AC111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4"</v>
      </c>
      <c r="AD1111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1111" s="52">
        <f>IF(Tabla15[[#This Row],[23]]="",0,VLOOKUP("VC",Tabla5[#All],3,FALSE)*Tabla15[[#This Row],[24]])</f>
        <v>0.25</v>
      </c>
      <c r="AF111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1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11" s="52">
        <f>IF(Tabla15[[#This Row],[26]]="",0,VLOOKUP(TRAMOS!$K$2,Tabla5[#All],3,FALSE)*Tabla15[[#This Row],[27]])</f>
        <v>0</v>
      </c>
      <c r="AI111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1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1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1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1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1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1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0.46500000000000002</v>
      </c>
    </row>
    <row r="1112" spans="2:41" x14ac:dyDescent="0.25">
      <c r="B1112" s="58" t="str">
        <f>Tabla1[[#This Row],[nudo inicial]]</f>
        <v>N596</v>
      </c>
      <c r="C1112" s="58" t="str">
        <f>Tabla1[[#This Row],[nudo final]]</f>
        <v>TP393</v>
      </c>
      <c r="D1112" s="51">
        <f>Tabla1[[#This Row],[longitud]]</f>
        <v>59.4</v>
      </c>
      <c r="E1112" s="51" t="str">
        <f>Tabla1[[#This Row],[diametro]]</f>
        <v>1"</v>
      </c>
      <c r="F1112" s="51" t="str">
        <f>Tabla1[[#This Row],[material]]</f>
        <v>PVC</v>
      </c>
      <c r="G111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1112" s="52" t="str">
        <f>IF(Tabla1[[#This Row],[5]]="TPD",Tabla1[[#This Row],[6]],"")</f>
        <v/>
      </c>
      <c r="I1112" s="52" t="str">
        <f>IF(OR(Tabla1[[#This Row],[5]]="TPD"),Tabla1[[#This Row],[7]],"")</f>
        <v/>
      </c>
      <c r="J1112" s="52">
        <f>IF(Tabla15[[#This Row],[2]]="",0,VLOOKUP(TRAMOS!$H$2,Tabla5[#All],3,FALSE)*Tabla15[[#This Row],[3]])</f>
        <v>0</v>
      </c>
      <c r="K1112" s="52" t="str">
        <f>IF(Tabla1[[#This Row],[5]]="TPL",Tabla1[[#This Row],[6]],"")</f>
        <v>4"</v>
      </c>
      <c r="L1112" s="52">
        <f>IF(OR(Tabla1[[#This Row],[5]]="TPL"),Tabla1[[#This Row],[7]],"")</f>
        <v>1</v>
      </c>
      <c r="M1112" s="52">
        <f>IF(Tabla15[[#This Row],[5]]="",0,VLOOKUP(TRAMOS!$K$2,Tabla5[#All],3,FALSE)*Tabla15[[#This Row],[6]])</f>
        <v>0.9</v>
      </c>
      <c r="N111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1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12" s="52">
        <f>IF(Tabla15[[#This Row],[8]]="",0,VLOOKUP(TRAMOS!$H$2,Tabla5[#All],3,FALSE)*Tabla15[[#This Row],[9]])</f>
        <v>0</v>
      </c>
      <c r="Q111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1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12" s="52">
        <f>IF(Tabla15[[#This Row],[11]]="",0,VLOOKUP(TRAMOS!$Q$2,Tabla5[#All],3,FALSE)*Tabla15[[#This Row],[12]])</f>
        <v>0</v>
      </c>
      <c r="T111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1"</v>
      </c>
      <c r="U1112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11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0.45</v>
      </c>
      <c r="W111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1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1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1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1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12" s="52">
        <f>IF(Tabla15[[#This Row],[20]]="",0,VLOOKUP("VRP",Tabla5[#All],3,FALSE)*Tabla15[[#This Row],[21]])</f>
        <v>0</v>
      </c>
      <c r="AC111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1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12" s="52">
        <f>IF(Tabla15[[#This Row],[23]]="",0,VLOOKUP("VC",Tabla5[#All],3,FALSE)*Tabla15[[#This Row],[24]])</f>
        <v>0</v>
      </c>
      <c r="AF111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1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12" s="52">
        <f>IF(Tabla15[[#This Row],[26]]="",0,VLOOKUP(TRAMOS!$K$2,Tabla5[#All],3,FALSE)*Tabla15[[#This Row],[27]])</f>
        <v>0</v>
      </c>
      <c r="AI111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1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1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1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1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1"</v>
      </c>
      <c r="AN1112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1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1.35</v>
      </c>
    </row>
    <row r="1113" spans="2:41" x14ac:dyDescent="0.25">
      <c r="B1113" s="58" t="str">
        <f>Tabla1[[#This Row],[nudo inicial]]</f>
        <v>N596</v>
      </c>
      <c r="C1113" s="58" t="str">
        <f>Tabla1[[#This Row],[nudo final]]</f>
        <v>N597</v>
      </c>
      <c r="D1113" s="51">
        <f>Tabla1[[#This Row],[longitud]]</f>
        <v>168.76</v>
      </c>
      <c r="E1113" s="51" t="str">
        <f>Tabla1[[#This Row],[diametro]]</f>
        <v>4"</v>
      </c>
      <c r="F1113" s="51" t="str">
        <f>Tabla1[[#This Row],[material]]</f>
        <v>PVC</v>
      </c>
      <c r="G111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1113" s="52" t="str">
        <f>IF(Tabla1[[#This Row],[5]]="TPD",Tabla1[[#This Row],[6]],"")</f>
        <v>4"</v>
      </c>
      <c r="I1113" s="52">
        <f>IF(OR(Tabla1[[#This Row],[5]]="TPD"),Tabla1[[#This Row],[7]],"")</f>
        <v>1</v>
      </c>
      <c r="J1113" s="52">
        <f>IF(Tabla15[[#This Row],[2]]="",0,VLOOKUP(TRAMOS!$H$2,Tabla5[#All],3,FALSE)*Tabla15[[#This Row],[3]])</f>
        <v>0.15</v>
      </c>
      <c r="K1113" s="52" t="str">
        <f>IF(Tabla1[[#This Row],[5]]="TPL",Tabla1[[#This Row],[6]],"")</f>
        <v/>
      </c>
      <c r="L1113" s="52" t="str">
        <f>IF(OR(Tabla1[[#This Row],[5]]="TPL"),Tabla1[[#This Row],[7]],"")</f>
        <v/>
      </c>
      <c r="M1113" s="52">
        <f>IF(Tabla15[[#This Row],[5]]="",0,VLOOKUP(TRAMOS!$K$2,Tabla5[#All],3,FALSE)*Tabla15[[#This Row],[6]])</f>
        <v>0</v>
      </c>
      <c r="N111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1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13" s="52">
        <f>IF(Tabla15[[#This Row],[8]]="",0,VLOOKUP(TRAMOS!$H$2,Tabla5[#All],3,FALSE)*Tabla15[[#This Row],[9]])</f>
        <v>0</v>
      </c>
      <c r="Q111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1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13" s="52">
        <f>IF(Tabla15[[#This Row],[11]]="",0,VLOOKUP(TRAMOS!$Q$2,Tabla5[#All],3,FALSE)*Tabla15[[#This Row],[12]])</f>
        <v>0</v>
      </c>
      <c r="T111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1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1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1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1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1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1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1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13" s="52">
        <f>IF(Tabla15[[#This Row],[20]]="",0,VLOOKUP("VRP",Tabla5[#All],3,FALSE)*Tabla15[[#This Row],[21]])</f>
        <v>0</v>
      </c>
      <c r="AC111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1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13" s="52">
        <f>IF(Tabla15[[#This Row],[23]]="",0,VLOOKUP("VC",Tabla5[#All],3,FALSE)*Tabla15[[#This Row],[24]])</f>
        <v>0</v>
      </c>
      <c r="AF111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1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13" s="52">
        <f>IF(Tabla15[[#This Row],[26]]="",0,VLOOKUP(TRAMOS!$K$2,Tabla5[#All],3,FALSE)*Tabla15[[#This Row],[27]])</f>
        <v>0</v>
      </c>
      <c r="AI111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1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1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1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1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1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1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114" spans="2:41" x14ac:dyDescent="0.25">
      <c r="B1114" s="58" t="str">
        <f>Tabla1[[#This Row],[nudo inicial]]</f>
        <v>N597</v>
      </c>
      <c r="C1114" s="58" t="str">
        <f>Tabla1[[#This Row],[nudo final]]</f>
        <v>TP394</v>
      </c>
      <c r="D1114" s="51">
        <f>Tabla1[[#This Row],[longitud]]</f>
        <v>46.93</v>
      </c>
      <c r="E1114" s="51" t="str">
        <f>Tabla1[[#This Row],[diametro]]</f>
        <v>3"</v>
      </c>
      <c r="F1114" s="51" t="str">
        <f>Tabla1[[#This Row],[material]]</f>
        <v>PVC</v>
      </c>
      <c r="G111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1114" s="52" t="str">
        <f>IF(Tabla1[[#This Row],[5]]="TPD",Tabla1[[#This Row],[6]],"")</f>
        <v/>
      </c>
      <c r="I1114" s="52" t="str">
        <f>IF(OR(Tabla1[[#This Row],[5]]="TPD"),Tabla1[[#This Row],[7]],"")</f>
        <v/>
      </c>
      <c r="J1114" s="52">
        <f>IF(Tabla15[[#This Row],[2]]="",0,VLOOKUP(TRAMOS!$H$2,Tabla5[#All],3,FALSE)*Tabla15[[#This Row],[3]])</f>
        <v>0</v>
      </c>
      <c r="K1114" s="52" t="str">
        <f>IF(Tabla1[[#This Row],[5]]="TPL",Tabla1[[#This Row],[6]],"")</f>
        <v>4"</v>
      </c>
      <c r="L1114" s="52">
        <f>IF(OR(Tabla1[[#This Row],[5]]="TPL"),Tabla1[[#This Row],[7]],"")</f>
        <v>1</v>
      </c>
      <c r="M1114" s="52">
        <f>IF(Tabla15[[#This Row],[5]]="",0,VLOOKUP(TRAMOS!$K$2,Tabla5[#All],3,FALSE)*Tabla15[[#This Row],[6]])</f>
        <v>0.9</v>
      </c>
      <c r="N111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1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14" s="52">
        <f>IF(Tabla15[[#This Row],[8]]="",0,VLOOKUP(TRAMOS!$H$2,Tabla5[#All],3,FALSE)*Tabla15[[#This Row],[9]])</f>
        <v>0</v>
      </c>
      <c r="Q111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1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14" s="52">
        <f>IF(Tabla15[[#This Row],[11]]="",0,VLOOKUP(TRAMOS!$Q$2,Tabla5[#All],3,FALSE)*Tabla15[[#This Row],[12]])</f>
        <v>0</v>
      </c>
      <c r="T111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1114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11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0.13850000000000007</v>
      </c>
      <c r="W111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1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1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1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1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14" s="52">
        <f>IF(Tabla15[[#This Row],[20]]="",0,VLOOKUP("VRP",Tabla5[#All],3,FALSE)*Tabla15[[#This Row],[21]])</f>
        <v>0</v>
      </c>
      <c r="AC111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1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14" s="52">
        <f>IF(Tabla15[[#This Row],[23]]="",0,VLOOKUP("VC",Tabla5[#All],3,FALSE)*Tabla15[[#This Row],[24]])</f>
        <v>0</v>
      </c>
      <c r="AF111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1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14" s="52">
        <f>IF(Tabla15[[#This Row],[26]]="",0,VLOOKUP(TRAMOS!$K$2,Tabla5[#All],3,FALSE)*Tabla15[[#This Row],[27]])</f>
        <v>0</v>
      </c>
      <c r="AI111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1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1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1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1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1114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1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1.0385</v>
      </c>
    </row>
    <row r="1115" spans="2:41" x14ac:dyDescent="0.25">
      <c r="B1115" s="58" t="str">
        <f>Tabla1[[#This Row],[nudo inicial]]</f>
        <v>N597</v>
      </c>
      <c r="C1115" s="58" t="str">
        <f>Tabla1[[#This Row],[nudo final]]</f>
        <v>N598</v>
      </c>
      <c r="D1115" s="51">
        <f>Tabla1[[#This Row],[longitud]]</f>
        <v>7.12</v>
      </c>
      <c r="E1115" s="51" t="str">
        <f>Tabla1[[#This Row],[diametro]]</f>
        <v>4"</v>
      </c>
      <c r="F1115" s="51" t="str">
        <f>Tabla1[[#This Row],[material]]</f>
        <v>PVC</v>
      </c>
      <c r="G111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1115" s="52" t="str">
        <f>IF(Tabla1[[#This Row],[5]]="TPD",Tabla1[[#This Row],[6]],"")</f>
        <v>4"</v>
      </c>
      <c r="I1115" s="52">
        <f>IF(OR(Tabla1[[#This Row],[5]]="TPD"),Tabla1[[#This Row],[7]],"")</f>
        <v>1</v>
      </c>
      <c r="J1115" s="52">
        <f>IF(Tabla15[[#This Row],[2]]="",0,VLOOKUP(TRAMOS!$H$2,Tabla5[#All],3,FALSE)*Tabla15[[#This Row],[3]])</f>
        <v>0.15</v>
      </c>
      <c r="K1115" s="52" t="str">
        <f>IF(Tabla1[[#This Row],[5]]="TPL",Tabla1[[#This Row],[6]],"")</f>
        <v/>
      </c>
      <c r="L1115" s="52" t="str">
        <f>IF(OR(Tabla1[[#This Row],[5]]="TPL"),Tabla1[[#This Row],[7]],"")</f>
        <v/>
      </c>
      <c r="M1115" s="52">
        <f>IF(Tabla15[[#This Row],[5]]="",0,VLOOKUP(TRAMOS!$K$2,Tabla5[#All],3,FALSE)*Tabla15[[#This Row],[6]])</f>
        <v>0</v>
      </c>
      <c r="N111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1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15" s="52">
        <f>IF(Tabla15[[#This Row],[8]]="",0,VLOOKUP(TRAMOS!$H$2,Tabla5[#All],3,FALSE)*Tabla15[[#This Row],[9]])</f>
        <v>0</v>
      </c>
      <c r="Q111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1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15" s="52">
        <f>IF(Tabla15[[#This Row],[11]]="",0,VLOOKUP(TRAMOS!$Q$2,Tabla5[#All],3,FALSE)*Tabla15[[#This Row],[12]])</f>
        <v>0</v>
      </c>
      <c r="T111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1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1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1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1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1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1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1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15" s="52">
        <f>IF(Tabla15[[#This Row],[20]]="",0,VLOOKUP("VRP",Tabla5[#All],3,FALSE)*Tabla15[[#This Row],[21]])</f>
        <v>0</v>
      </c>
      <c r="AC111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1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15" s="52">
        <f>IF(Tabla15[[#This Row],[23]]="",0,VLOOKUP("VC",Tabla5[#All],3,FALSE)*Tabla15[[#This Row],[24]])</f>
        <v>0</v>
      </c>
      <c r="AF111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1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15" s="52">
        <f>IF(Tabla15[[#This Row],[26]]="",0,VLOOKUP(TRAMOS!$K$2,Tabla5[#All],3,FALSE)*Tabla15[[#This Row],[27]])</f>
        <v>0</v>
      </c>
      <c r="AI111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1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1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1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1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1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1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116" spans="2:41" x14ac:dyDescent="0.25">
      <c r="B1116" s="58" t="str">
        <f>Tabla1[[#This Row],[nudo inicial]]</f>
        <v>N598</v>
      </c>
      <c r="C1116" s="58" t="str">
        <f>Tabla1[[#This Row],[nudo final]]</f>
        <v>N599</v>
      </c>
      <c r="D1116" s="51">
        <f>Tabla1[[#This Row],[longitud]]</f>
        <v>123.04</v>
      </c>
      <c r="E1116" s="51" t="str">
        <f>Tabla1[[#This Row],[diametro]]</f>
        <v>3"</v>
      </c>
      <c r="F1116" s="51" t="str">
        <f>Tabla1[[#This Row],[material]]</f>
        <v>PVC</v>
      </c>
      <c r="G111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1116" s="52" t="str">
        <f>IF(Tabla1[[#This Row],[5]]="TPD",Tabla1[[#This Row],[6]],"")</f>
        <v/>
      </c>
      <c r="I1116" s="52" t="str">
        <f>IF(OR(Tabla1[[#This Row],[5]]="TPD"),Tabla1[[#This Row],[7]],"")</f>
        <v/>
      </c>
      <c r="J1116" s="52">
        <f>IF(Tabla15[[#This Row],[2]]="",0,VLOOKUP(TRAMOS!$H$2,Tabla5[#All],3,FALSE)*Tabla15[[#This Row],[3]])</f>
        <v>0</v>
      </c>
      <c r="K1116" s="52" t="str">
        <f>IF(Tabla1[[#This Row],[5]]="TPL",Tabla1[[#This Row],[6]],"")</f>
        <v>4"</v>
      </c>
      <c r="L1116" s="52">
        <f>IF(OR(Tabla1[[#This Row],[5]]="TPL"),Tabla1[[#This Row],[7]],"")</f>
        <v>1</v>
      </c>
      <c r="M1116" s="52">
        <f>IF(Tabla15[[#This Row],[5]]="",0,VLOOKUP(TRAMOS!$K$2,Tabla5[#All],3,FALSE)*Tabla15[[#This Row],[6]])</f>
        <v>0.9</v>
      </c>
      <c r="N111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1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16" s="52">
        <f>IF(Tabla15[[#This Row],[8]]="",0,VLOOKUP(TRAMOS!$H$2,Tabla5[#All],3,FALSE)*Tabla15[[#This Row],[9]])</f>
        <v>0</v>
      </c>
      <c r="Q111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1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16" s="52">
        <f>IF(Tabla15[[#This Row],[11]]="",0,VLOOKUP(TRAMOS!$Q$2,Tabla5[#All],3,FALSE)*Tabla15[[#This Row],[12]])</f>
        <v>0</v>
      </c>
      <c r="T111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3"</v>
      </c>
      <c r="U1116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11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0.13850000000000007</v>
      </c>
      <c r="W111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1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1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1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1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16" s="52">
        <f>IF(Tabla15[[#This Row],[20]]="",0,VLOOKUP("VRP",Tabla5[#All],3,FALSE)*Tabla15[[#This Row],[21]])</f>
        <v>0</v>
      </c>
      <c r="AC111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1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16" s="52">
        <f>IF(Tabla15[[#This Row],[23]]="",0,VLOOKUP("VC",Tabla5[#All],3,FALSE)*Tabla15[[#This Row],[24]])</f>
        <v>0</v>
      </c>
      <c r="AF111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1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16" s="52">
        <f>IF(Tabla15[[#This Row],[26]]="",0,VLOOKUP(TRAMOS!$K$2,Tabla5[#All],3,FALSE)*Tabla15[[#This Row],[27]])</f>
        <v>0</v>
      </c>
      <c r="AI111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1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1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1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1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1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1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1.0385</v>
      </c>
    </row>
    <row r="1117" spans="2:41" x14ac:dyDescent="0.25">
      <c r="B1117" s="58" t="str">
        <f>Tabla1[[#This Row],[nudo inicial]]</f>
        <v>N599</v>
      </c>
      <c r="C1117" s="58" t="str">
        <f>Tabla1[[#This Row],[nudo final]]</f>
        <v>TP395</v>
      </c>
      <c r="D1117" s="51">
        <f>Tabla1[[#This Row],[longitud]]</f>
        <v>84.67</v>
      </c>
      <c r="E1117" s="51" t="str">
        <f>Tabla1[[#This Row],[diametro]]</f>
        <v>2"</v>
      </c>
      <c r="F1117" s="51" t="str">
        <f>Tabla1[[#This Row],[material]]</f>
        <v>PVC</v>
      </c>
      <c r="G111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117" s="52" t="str">
        <f>IF(Tabla1[[#This Row],[5]]="TPD",Tabla1[[#This Row],[6]],"")</f>
        <v/>
      </c>
      <c r="I1117" s="52" t="str">
        <f>IF(OR(Tabla1[[#This Row],[5]]="TPD"),Tabla1[[#This Row],[7]],"")</f>
        <v/>
      </c>
      <c r="J1117" s="52">
        <f>IF(Tabla15[[#This Row],[2]]="",0,VLOOKUP(TRAMOS!$H$2,Tabla5[#All],3,FALSE)*Tabla15[[#This Row],[3]])</f>
        <v>0</v>
      </c>
      <c r="K1117" s="52" t="str">
        <f>IF(Tabla1[[#This Row],[5]]="TPL",Tabla1[[#This Row],[6]],"")</f>
        <v>3"</v>
      </c>
      <c r="L1117" s="52">
        <f>IF(OR(Tabla1[[#This Row],[5]]="TPL"),Tabla1[[#This Row],[7]],"")</f>
        <v>1</v>
      </c>
      <c r="M1117" s="52">
        <f>IF(Tabla15[[#This Row],[5]]="",0,VLOOKUP(TRAMOS!$K$2,Tabla5[#All],3,FALSE)*Tabla15[[#This Row],[6]])</f>
        <v>0.9</v>
      </c>
      <c r="N111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1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17" s="52">
        <f>IF(Tabla15[[#This Row],[8]]="",0,VLOOKUP(TRAMOS!$H$2,Tabla5[#All],3,FALSE)*Tabla15[[#This Row],[9]])</f>
        <v>0</v>
      </c>
      <c r="Q111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1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17" s="52">
        <f>IF(Tabla15[[#This Row],[11]]="",0,VLOOKUP(TRAMOS!$Q$2,Tabla5[#All],3,FALSE)*Tabla15[[#This Row],[12]])</f>
        <v>0</v>
      </c>
      <c r="T111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1117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11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111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1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1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1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1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17" s="52">
        <f>IF(Tabla15[[#This Row],[20]]="",0,VLOOKUP("VRP",Tabla5[#All],3,FALSE)*Tabla15[[#This Row],[21]])</f>
        <v>0</v>
      </c>
      <c r="AC111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1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17" s="52">
        <f>IF(Tabla15[[#This Row],[23]]="",0,VLOOKUP("VC",Tabla5[#All],3,FALSE)*Tabla15[[#This Row],[24]])</f>
        <v>0</v>
      </c>
      <c r="AF111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1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17" s="52">
        <f>IF(Tabla15[[#This Row],[26]]="",0,VLOOKUP(TRAMOS!$K$2,Tabla5[#All],3,FALSE)*Tabla15[[#This Row],[27]])</f>
        <v>0</v>
      </c>
      <c r="AI111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1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1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1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1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117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1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1118" spans="2:41" x14ac:dyDescent="0.25">
      <c r="B1118" s="58" t="str">
        <f>Tabla1[[#This Row],[nudo inicial]]</f>
        <v>N599</v>
      </c>
      <c r="C1118" s="58" t="str">
        <f>Tabla1[[#This Row],[nudo final]]</f>
        <v>N600</v>
      </c>
      <c r="D1118" s="51">
        <f>Tabla1[[#This Row],[longitud]]</f>
        <v>55.45</v>
      </c>
      <c r="E1118" s="51" t="str">
        <f>Tabla1[[#This Row],[diametro]]</f>
        <v>2"</v>
      </c>
      <c r="F1118" s="51" t="str">
        <f>Tabla1[[#This Row],[material]]</f>
        <v>PVC</v>
      </c>
      <c r="G111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18" s="52" t="str">
        <f>IF(Tabla1[[#This Row],[5]]="TPD",Tabla1[[#This Row],[6]],"")</f>
        <v>2"</v>
      </c>
      <c r="I1118" s="52">
        <f>IF(OR(Tabla1[[#This Row],[5]]="TPD"),Tabla1[[#This Row],[7]],"")</f>
        <v>1</v>
      </c>
      <c r="J1118" s="52">
        <f>IF(Tabla15[[#This Row],[2]]="",0,VLOOKUP(TRAMOS!$H$2,Tabla5[#All],3,FALSE)*Tabla15[[#This Row],[3]])</f>
        <v>0.15</v>
      </c>
      <c r="K1118" s="52" t="str">
        <f>IF(Tabla1[[#This Row],[5]]="TPL",Tabla1[[#This Row],[6]],"")</f>
        <v/>
      </c>
      <c r="L1118" s="52" t="str">
        <f>IF(OR(Tabla1[[#This Row],[5]]="TPL"),Tabla1[[#This Row],[7]],"")</f>
        <v/>
      </c>
      <c r="M1118" s="52">
        <f>IF(Tabla15[[#This Row],[5]]="",0,VLOOKUP(TRAMOS!$K$2,Tabla5[#All],3,FALSE)*Tabla15[[#This Row],[6]])</f>
        <v>0</v>
      </c>
      <c r="N111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1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18" s="52">
        <f>IF(Tabla15[[#This Row],[8]]="",0,VLOOKUP(TRAMOS!$H$2,Tabla5[#All],3,FALSE)*Tabla15[[#This Row],[9]])</f>
        <v>0</v>
      </c>
      <c r="Q111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1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18" s="52">
        <f>IF(Tabla15[[#This Row],[11]]="",0,VLOOKUP(TRAMOS!$Q$2,Tabla5[#All],3,FALSE)*Tabla15[[#This Row],[12]])</f>
        <v>0</v>
      </c>
      <c r="T111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1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1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1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1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1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1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1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18" s="52">
        <f>IF(Tabla15[[#This Row],[20]]="",0,VLOOKUP("VRP",Tabla5[#All],3,FALSE)*Tabla15[[#This Row],[21]])</f>
        <v>0</v>
      </c>
      <c r="AC111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1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18" s="52">
        <f>IF(Tabla15[[#This Row],[23]]="",0,VLOOKUP("VC",Tabla5[#All],3,FALSE)*Tabla15[[#This Row],[24]])</f>
        <v>0</v>
      </c>
      <c r="AF111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1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18" s="52">
        <f>IF(Tabla15[[#This Row],[26]]="",0,VLOOKUP(TRAMOS!$K$2,Tabla5[#All],3,FALSE)*Tabla15[[#This Row],[27]])</f>
        <v>0</v>
      </c>
      <c r="AI111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1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1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1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1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1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1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119" spans="2:41" x14ac:dyDescent="0.25">
      <c r="B1119" s="58" t="str">
        <f>Tabla1[[#This Row],[nudo inicial]]</f>
        <v>N600</v>
      </c>
      <c r="C1119" s="58" t="str">
        <f>Tabla1[[#This Row],[nudo final]]</f>
        <v>TP396</v>
      </c>
      <c r="D1119" s="51">
        <f>Tabla1[[#This Row],[longitud]]</f>
        <v>41.5</v>
      </c>
      <c r="E1119" s="51" t="str">
        <f>Tabla1[[#This Row],[diametro]]</f>
        <v>2"</v>
      </c>
      <c r="F1119" s="51" t="str">
        <f>Tabla1[[#This Row],[material]]</f>
        <v>PVC</v>
      </c>
      <c r="G111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19" s="52" t="str">
        <f>IF(Tabla1[[#This Row],[5]]="TPD",Tabla1[[#This Row],[6]],"")</f>
        <v/>
      </c>
      <c r="I1119" s="52" t="str">
        <f>IF(OR(Tabla1[[#This Row],[5]]="TPD"),Tabla1[[#This Row],[7]],"")</f>
        <v/>
      </c>
      <c r="J1119" s="52">
        <f>IF(Tabla15[[#This Row],[2]]="",0,VLOOKUP(TRAMOS!$H$2,Tabla5[#All],3,FALSE)*Tabla15[[#This Row],[3]])</f>
        <v>0</v>
      </c>
      <c r="K1119" s="52" t="str">
        <f>IF(Tabla1[[#This Row],[5]]="TPL",Tabla1[[#This Row],[6]],"")</f>
        <v>2"</v>
      </c>
      <c r="L1119" s="52">
        <f>IF(OR(Tabla1[[#This Row],[5]]="TPL"),Tabla1[[#This Row],[7]],"")</f>
        <v>1</v>
      </c>
      <c r="M1119" s="52">
        <f>IF(Tabla15[[#This Row],[5]]="",0,VLOOKUP(TRAMOS!$K$2,Tabla5[#All],3,FALSE)*Tabla15[[#This Row],[6]])</f>
        <v>0.9</v>
      </c>
      <c r="N111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1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19" s="52">
        <f>IF(Tabla15[[#This Row],[8]]="",0,VLOOKUP(TRAMOS!$H$2,Tabla5[#All],3,FALSE)*Tabla15[[#This Row],[9]])</f>
        <v>0</v>
      </c>
      <c r="Q111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1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19" s="52">
        <f>IF(Tabla15[[#This Row],[11]]="",0,VLOOKUP(TRAMOS!$Q$2,Tabla5[#All],3,FALSE)*Tabla15[[#This Row],[12]])</f>
        <v>0</v>
      </c>
      <c r="T111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1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1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1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1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1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1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1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19" s="52">
        <f>IF(Tabla15[[#This Row],[20]]="",0,VLOOKUP("VRP",Tabla5[#All],3,FALSE)*Tabla15[[#This Row],[21]])</f>
        <v>0</v>
      </c>
      <c r="AC111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1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19" s="52">
        <f>IF(Tabla15[[#This Row],[23]]="",0,VLOOKUP("VC",Tabla5[#All],3,FALSE)*Tabla15[[#This Row],[24]])</f>
        <v>0</v>
      </c>
      <c r="AF111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1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19" s="52">
        <f>IF(Tabla15[[#This Row],[26]]="",0,VLOOKUP(TRAMOS!$K$2,Tabla5[#All],3,FALSE)*Tabla15[[#This Row],[27]])</f>
        <v>0</v>
      </c>
      <c r="AI111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1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1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1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1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119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1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120" spans="2:41" x14ac:dyDescent="0.25">
      <c r="B1120" s="58" t="str">
        <f>Tabla1[[#This Row],[nudo inicial]]</f>
        <v>N600</v>
      </c>
      <c r="C1120" s="58" t="str">
        <f>Tabla1[[#This Row],[nudo final]]</f>
        <v>N601</v>
      </c>
      <c r="D1120" s="51">
        <f>Tabla1[[#This Row],[longitud]]</f>
        <v>8.7200000000000006</v>
      </c>
      <c r="E1120" s="51" t="str">
        <f>Tabla1[[#This Row],[diametro]]</f>
        <v>2"</v>
      </c>
      <c r="F1120" s="51" t="str">
        <f>Tabla1[[#This Row],[material]]</f>
        <v>PVC</v>
      </c>
      <c r="G112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20" s="52" t="str">
        <f>IF(Tabla1[[#This Row],[5]]="TPD",Tabla1[[#This Row],[6]],"")</f>
        <v>2"</v>
      </c>
      <c r="I1120" s="52">
        <f>IF(OR(Tabla1[[#This Row],[5]]="TPD"),Tabla1[[#This Row],[7]],"")</f>
        <v>1</v>
      </c>
      <c r="J1120" s="52">
        <f>IF(Tabla15[[#This Row],[2]]="",0,VLOOKUP(TRAMOS!$H$2,Tabla5[#All],3,FALSE)*Tabla15[[#This Row],[3]])</f>
        <v>0.15</v>
      </c>
      <c r="K1120" s="52" t="str">
        <f>IF(Tabla1[[#This Row],[5]]="TPL",Tabla1[[#This Row],[6]],"")</f>
        <v/>
      </c>
      <c r="L1120" s="52" t="str">
        <f>IF(OR(Tabla1[[#This Row],[5]]="TPL"),Tabla1[[#This Row],[7]],"")</f>
        <v/>
      </c>
      <c r="M1120" s="52">
        <f>IF(Tabla15[[#This Row],[5]]="",0,VLOOKUP(TRAMOS!$K$2,Tabla5[#All],3,FALSE)*Tabla15[[#This Row],[6]])</f>
        <v>0</v>
      </c>
      <c r="N112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2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20" s="52">
        <f>IF(Tabla15[[#This Row],[8]]="",0,VLOOKUP(TRAMOS!$H$2,Tabla5[#All],3,FALSE)*Tabla15[[#This Row],[9]])</f>
        <v>0</v>
      </c>
      <c r="Q112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2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20" s="52">
        <f>IF(Tabla15[[#This Row],[11]]="",0,VLOOKUP(TRAMOS!$Q$2,Tabla5[#All],3,FALSE)*Tabla15[[#This Row],[12]])</f>
        <v>0</v>
      </c>
      <c r="T112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2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2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2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2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2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2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2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20" s="52">
        <f>IF(Tabla15[[#This Row],[20]]="",0,VLOOKUP("VRP",Tabla5[#All],3,FALSE)*Tabla15[[#This Row],[21]])</f>
        <v>0</v>
      </c>
      <c r="AC112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2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20" s="52">
        <f>IF(Tabla15[[#This Row],[23]]="",0,VLOOKUP("VC",Tabla5[#All],3,FALSE)*Tabla15[[#This Row],[24]])</f>
        <v>0</v>
      </c>
      <c r="AF112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2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20" s="52">
        <f>IF(Tabla15[[#This Row],[26]]="",0,VLOOKUP(TRAMOS!$K$2,Tabla5[#All],3,FALSE)*Tabla15[[#This Row],[27]])</f>
        <v>0</v>
      </c>
      <c r="AI112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2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2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2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2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2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2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121" spans="2:41" x14ac:dyDescent="0.25">
      <c r="B1121" s="58" t="str">
        <f>Tabla1[[#This Row],[nudo inicial]]</f>
        <v>N601</v>
      </c>
      <c r="C1121" s="58" t="str">
        <f>Tabla1[[#This Row],[nudo final]]</f>
        <v>TP397</v>
      </c>
      <c r="D1121" s="51">
        <f>Tabla1[[#This Row],[longitud]]</f>
        <v>156.65</v>
      </c>
      <c r="E1121" s="51" t="str">
        <f>Tabla1[[#This Row],[diametro]]</f>
        <v>2"</v>
      </c>
      <c r="F1121" s="51" t="str">
        <f>Tabla1[[#This Row],[material]]</f>
        <v>PVC</v>
      </c>
      <c r="G112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21" s="52" t="str">
        <f>IF(Tabla1[[#This Row],[5]]="TPD",Tabla1[[#This Row],[6]],"")</f>
        <v/>
      </c>
      <c r="I1121" s="52" t="str">
        <f>IF(OR(Tabla1[[#This Row],[5]]="TPD"),Tabla1[[#This Row],[7]],"")</f>
        <v/>
      </c>
      <c r="J1121" s="52">
        <f>IF(Tabla15[[#This Row],[2]]="",0,VLOOKUP(TRAMOS!$H$2,Tabla5[#All],3,FALSE)*Tabla15[[#This Row],[3]])</f>
        <v>0</v>
      </c>
      <c r="K1121" s="52" t="str">
        <f>IF(Tabla1[[#This Row],[5]]="TPL",Tabla1[[#This Row],[6]],"")</f>
        <v>2"</v>
      </c>
      <c r="L1121" s="52">
        <f>IF(OR(Tabla1[[#This Row],[5]]="TPL"),Tabla1[[#This Row],[7]],"")</f>
        <v>1</v>
      </c>
      <c r="M1121" s="52">
        <f>IF(Tabla15[[#This Row],[5]]="",0,VLOOKUP(TRAMOS!$K$2,Tabla5[#All],3,FALSE)*Tabla15[[#This Row],[6]])</f>
        <v>0.9</v>
      </c>
      <c r="N112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2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21" s="52">
        <f>IF(Tabla15[[#This Row],[8]]="",0,VLOOKUP(TRAMOS!$H$2,Tabla5[#All],3,FALSE)*Tabla15[[#This Row],[9]])</f>
        <v>0</v>
      </c>
      <c r="Q112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1121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1121" s="52">
        <f>IF(Tabla15[[#This Row],[11]]="",0,VLOOKUP(TRAMOS!$Q$2,Tabla5[#All],3,FALSE)*Tabla15[[#This Row],[12]])</f>
        <v>0.9</v>
      </c>
      <c r="T112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2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2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2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2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2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2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2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21" s="52">
        <f>IF(Tabla15[[#This Row],[20]]="",0,VLOOKUP("VRP",Tabla5[#All],3,FALSE)*Tabla15[[#This Row],[21]])</f>
        <v>0</v>
      </c>
      <c r="AC112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2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21" s="52">
        <f>IF(Tabla15[[#This Row],[23]]="",0,VLOOKUP("VC",Tabla5[#All],3,FALSE)*Tabla15[[#This Row],[24]])</f>
        <v>0</v>
      </c>
      <c r="AF112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2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21" s="52">
        <f>IF(Tabla15[[#This Row],[26]]="",0,VLOOKUP(TRAMOS!$K$2,Tabla5[#All],3,FALSE)*Tabla15[[#This Row],[27]])</f>
        <v>0</v>
      </c>
      <c r="AI112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2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2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2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2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121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2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1.8</v>
      </c>
    </row>
    <row r="1122" spans="2:41" x14ac:dyDescent="0.25">
      <c r="B1122" s="58" t="str">
        <f>Tabla1[[#This Row],[nudo inicial]]</f>
        <v>N601</v>
      </c>
      <c r="C1122" s="58" t="str">
        <f>Tabla1[[#This Row],[nudo final]]</f>
        <v>N602</v>
      </c>
      <c r="D1122" s="51">
        <f>Tabla1[[#This Row],[longitud]]</f>
        <v>37.130000000000003</v>
      </c>
      <c r="E1122" s="51" t="str">
        <f>Tabla1[[#This Row],[diametro]]</f>
        <v>2"</v>
      </c>
      <c r="F1122" s="51" t="str">
        <f>Tabla1[[#This Row],[material]]</f>
        <v>PVC</v>
      </c>
      <c r="G112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22" s="52" t="str">
        <f>IF(Tabla1[[#This Row],[5]]="TPD",Tabla1[[#This Row],[6]],"")</f>
        <v>2"</v>
      </c>
      <c r="I1122" s="52">
        <f>IF(OR(Tabla1[[#This Row],[5]]="TPD"),Tabla1[[#This Row],[7]],"")</f>
        <v>1</v>
      </c>
      <c r="J1122" s="52">
        <f>IF(Tabla15[[#This Row],[2]]="",0,VLOOKUP(TRAMOS!$H$2,Tabla5[#All],3,FALSE)*Tabla15[[#This Row],[3]])</f>
        <v>0.15</v>
      </c>
      <c r="K1122" s="52" t="str">
        <f>IF(Tabla1[[#This Row],[5]]="TPL",Tabla1[[#This Row],[6]],"")</f>
        <v/>
      </c>
      <c r="L1122" s="52" t="str">
        <f>IF(OR(Tabla1[[#This Row],[5]]="TPL"),Tabla1[[#This Row],[7]],"")</f>
        <v/>
      </c>
      <c r="M1122" s="52">
        <f>IF(Tabla15[[#This Row],[5]]="",0,VLOOKUP(TRAMOS!$K$2,Tabla5[#All],3,FALSE)*Tabla15[[#This Row],[6]])</f>
        <v>0</v>
      </c>
      <c r="N112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2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22" s="52">
        <f>IF(Tabla15[[#This Row],[8]]="",0,VLOOKUP(TRAMOS!$H$2,Tabla5[#All],3,FALSE)*Tabla15[[#This Row],[9]])</f>
        <v>0</v>
      </c>
      <c r="Q112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2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22" s="52">
        <f>IF(Tabla15[[#This Row],[11]]="",0,VLOOKUP(TRAMOS!$Q$2,Tabla5[#All],3,FALSE)*Tabla15[[#This Row],[12]])</f>
        <v>0</v>
      </c>
      <c r="T112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2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2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2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2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2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2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2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22" s="52">
        <f>IF(Tabla15[[#This Row],[20]]="",0,VLOOKUP("VRP",Tabla5[#All],3,FALSE)*Tabla15[[#This Row],[21]])</f>
        <v>0</v>
      </c>
      <c r="AC112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2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22" s="52">
        <f>IF(Tabla15[[#This Row],[23]]="",0,VLOOKUP("VC",Tabla5[#All],3,FALSE)*Tabla15[[#This Row],[24]])</f>
        <v>0</v>
      </c>
      <c r="AF112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2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22" s="52">
        <f>IF(Tabla15[[#This Row],[26]]="",0,VLOOKUP(TRAMOS!$K$2,Tabla5[#All],3,FALSE)*Tabla15[[#This Row],[27]])</f>
        <v>0</v>
      </c>
      <c r="AI112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2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2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2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2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2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2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123" spans="2:41" x14ac:dyDescent="0.25">
      <c r="B1123" s="58" t="str">
        <f>Tabla1[[#This Row],[nudo inicial]]</f>
        <v>N602</v>
      </c>
      <c r="C1123" s="58" t="str">
        <f>Tabla1[[#This Row],[nudo final]]</f>
        <v>TP398</v>
      </c>
      <c r="D1123" s="51">
        <f>Tabla1[[#This Row],[longitud]]</f>
        <v>52.37</v>
      </c>
      <c r="E1123" s="51" t="str">
        <f>Tabla1[[#This Row],[diametro]]</f>
        <v>2"</v>
      </c>
      <c r="F1123" s="51" t="str">
        <f>Tabla1[[#This Row],[material]]</f>
        <v>PVC</v>
      </c>
      <c r="G112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23" s="52" t="str">
        <f>IF(Tabla1[[#This Row],[5]]="TPD",Tabla1[[#This Row],[6]],"")</f>
        <v/>
      </c>
      <c r="I1123" s="52" t="str">
        <f>IF(OR(Tabla1[[#This Row],[5]]="TPD"),Tabla1[[#This Row],[7]],"")</f>
        <v/>
      </c>
      <c r="J1123" s="52">
        <f>IF(Tabla15[[#This Row],[2]]="",0,VLOOKUP(TRAMOS!$H$2,Tabla5[#All],3,FALSE)*Tabla15[[#This Row],[3]])</f>
        <v>0</v>
      </c>
      <c r="K1123" s="52" t="str">
        <f>IF(Tabla1[[#This Row],[5]]="TPL",Tabla1[[#This Row],[6]],"")</f>
        <v>2"</v>
      </c>
      <c r="L1123" s="52">
        <f>IF(OR(Tabla1[[#This Row],[5]]="TPL"),Tabla1[[#This Row],[7]],"")</f>
        <v>1</v>
      </c>
      <c r="M1123" s="52">
        <f>IF(Tabla15[[#This Row],[5]]="",0,VLOOKUP(TRAMOS!$K$2,Tabla5[#All],3,FALSE)*Tabla15[[#This Row],[6]])</f>
        <v>0.9</v>
      </c>
      <c r="N112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2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23" s="52">
        <f>IF(Tabla15[[#This Row],[8]]="",0,VLOOKUP(TRAMOS!$H$2,Tabla5[#All],3,FALSE)*Tabla15[[#This Row],[9]])</f>
        <v>0</v>
      </c>
      <c r="Q112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2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23" s="52">
        <f>IF(Tabla15[[#This Row],[11]]="",0,VLOOKUP(TRAMOS!$Q$2,Tabla5[#All],3,FALSE)*Tabla15[[#This Row],[12]])</f>
        <v>0</v>
      </c>
      <c r="T112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2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2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2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2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2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2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2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23" s="52">
        <f>IF(Tabla15[[#This Row],[20]]="",0,VLOOKUP("VRP",Tabla5[#All],3,FALSE)*Tabla15[[#This Row],[21]])</f>
        <v>0</v>
      </c>
      <c r="AC112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2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23" s="52">
        <f>IF(Tabla15[[#This Row],[23]]="",0,VLOOKUP("VC",Tabla5[#All],3,FALSE)*Tabla15[[#This Row],[24]])</f>
        <v>0</v>
      </c>
      <c r="AF112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2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23" s="52">
        <f>IF(Tabla15[[#This Row],[26]]="",0,VLOOKUP(TRAMOS!$K$2,Tabla5[#All],3,FALSE)*Tabla15[[#This Row],[27]])</f>
        <v>0</v>
      </c>
      <c r="AI112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2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2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2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2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123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2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124" spans="2:41" x14ac:dyDescent="0.25">
      <c r="B1124" s="58" t="str">
        <f>Tabla1[[#This Row],[nudo inicial]]</f>
        <v>N602</v>
      </c>
      <c r="C1124" s="58" t="str">
        <f>Tabla1[[#This Row],[nudo final]]</f>
        <v>TP399</v>
      </c>
      <c r="D1124" s="51">
        <f>Tabla1[[#This Row],[longitud]]</f>
        <v>30.94</v>
      </c>
      <c r="E1124" s="51" t="str">
        <f>Tabla1[[#This Row],[diametro]]</f>
        <v>2"</v>
      </c>
      <c r="F1124" s="51" t="str">
        <f>Tabla1[[#This Row],[material]]</f>
        <v>PVC</v>
      </c>
      <c r="G112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24" s="52" t="str">
        <f>IF(Tabla1[[#This Row],[5]]="TPD",Tabla1[[#This Row],[6]],"")</f>
        <v>2"</v>
      </c>
      <c r="I1124" s="52">
        <f>IF(OR(Tabla1[[#This Row],[5]]="TPD"),Tabla1[[#This Row],[7]],"")</f>
        <v>1</v>
      </c>
      <c r="J1124" s="52">
        <f>IF(Tabla15[[#This Row],[2]]="",0,VLOOKUP(TRAMOS!$H$2,Tabla5[#All],3,FALSE)*Tabla15[[#This Row],[3]])</f>
        <v>0.15</v>
      </c>
      <c r="K1124" s="52" t="str">
        <f>IF(Tabla1[[#This Row],[5]]="TPL",Tabla1[[#This Row],[6]],"")</f>
        <v/>
      </c>
      <c r="L1124" s="52" t="str">
        <f>IF(OR(Tabla1[[#This Row],[5]]="TPL"),Tabla1[[#This Row],[7]],"")</f>
        <v/>
      </c>
      <c r="M1124" s="52">
        <f>IF(Tabla15[[#This Row],[5]]="",0,VLOOKUP(TRAMOS!$K$2,Tabla5[#All],3,FALSE)*Tabla15[[#This Row],[6]])</f>
        <v>0</v>
      </c>
      <c r="N112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2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24" s="52">
        <f>IF(Tabla15[[#This Row],[8]]="",0,VLOOKUP(TRAMOS!$H$2,Tabla5[#All],3,FALSE)*Tabla15[[#This Row],[9]])</f>
        <v>0</v>
      </c>
      <c r="Q112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2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24" s="52">
        <f>IF(Tabla15[[#This Row],[11]]="",0,VLOOKUP(TRAMOS!$Q$2,Tabla5[#All],3,FALSE)*Tabla15[[#This Row],[12]])</f>
        <v>0</v>
      </c>
      <c r="T112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2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2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2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2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2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2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2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24" s="52">
        <f>IF(Tabla15[[#This Row],[20]]="",0,VLOOKUP("VRP",Tabla5[#All],3,FALSE)*Tabla15[[#This Row],[21]])</f>
        <v>0</v>
      </c>
      <c r="AC112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2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24" s="52">
        <f>IF(Tabla15[[#This Row],[23]]="",0,VLOOKUP("VC",Tabla5[#All],3,FALSE)*Tabla15[[#This Row],[24]])</f>
        <v>0</v>
      </c>
      <c r="AF112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2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24" s="52">
        <f>IF(Tabla15[[#This Row],[26]]="",0,VLOOKUP(TRAMOS!$K$2,Tabla5[#All],3,FALSE)*Tabla15[[#This Row],[27]])</f>
        <v>0</v>
      </c>
      <c r="AI112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2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2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2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2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124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2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125" spans="2:41" x14ac:dyDescent="0.25">
      <c r="B1125" s="58" t="str">
        <f>Tabla1[[#This Row],[nudo inicial]]</f>
        <v>N598</v>
      </c>
      <c r="C1125" s="58" t="str">
        <f>Tabla1[[#This Row],[nudo final]]</f>
        <v>N603</v>
      </c>
      <c r="D1125" s="51">
        <f>Tabla1[[#This Row],[longitud]]</f>
        <v>96.08</v>
      </c>
      <c r="E1125" s="51" t="str">
        <f>Tabla1[[#This Row],[diametro]]</f>
        <v>4"</v>
      </c>
      <c r="F1125" s="51" t="str">
        <f>Tabla1[[#This Row],[material]]</f>
        <v>PVC</v>
      </c>
      <c r="G112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1125" s="52" t="str">
        <f>IF(Tabla1[[#This Row],[5]]="TPD",Tabla1[[#This Row],[6]],"")</f>
        <v>4"</v>
      </c>
      <c r="I1125" s="52">
        <f>IF(OR(Tabla1[[#This Row],[5]]="TPD"),Tabla1[[#This Row],[7]],"")</f>
        <v>1</v>
      </c>
      <c r="J1125" s="52">
        <f>IF(Tabla15[[#This Row],[2]]="",0,VLOOKUP(TRAMOS!$H$2,Tabla5[#All],3,FALSE)*Tabla15[[#This Row],[3]])</f>
        <v>0.15</v>
      </c>
      <c r="K1125" s="52" t="str">
        <f>IF(Tabla1[[#This Row],[5]]="TPL",Tabla1[[#This Row],[6]],"")</f>
        <v/>
      </c>
      <c r="L1125" s="52" t="str">
        <f>IF(OR(Tabla1[[#This Row],[5]]="TPL"),Tabla1[[#This Row],[7]],"")</f>
        <v/>
      </c>
      <c r="M1125" s="52">
        <f>IF(Tabla15[[#This Row],[5]]="",0,VLOOKUP(TRAMOS!$K$2,Tabla5[#All],3,FALSE)*Tabla15[[#This Row],[6]])</f>
        <v>0</v>
      </c>
      <c r="N112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2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25" s="52">
        <f>IF(Tabla15[[#This Row],[8]]="",0,VLOOKUP(TRAMOS!$H$2,Tabla5[#All],3,FALSE)*Tabla15[[#This Row],[9]])</f>
        <v>0</v>
      </c>
      <c r="Q112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2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25" s="52">
        <f>IF(Tabla15[[#This Row],[11]]="",0,VLOOKUP(TRAMOS!$Q$2,Tabla5[#All],3,FALSE)*Tabla15[[#This Row],[12]])</f>
        <v>0</v>
      </c>
      <c r="T112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2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2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2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2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2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2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2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25" s="52">
        <f>IF(Tabla15[[#This Row],[20]]="",0,VLOOKUP("VRP",Tabla5[#All],3,FALSE)*Tabla15[[#This Row],[21]])</f>
        <v>0</v>
      </c>
      <c r="AC112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2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25" s="52">
        <f>IF(Tabla15[[#This Row],[23]]="",0,VLOOKUP("VC",Tabla5[#All],3,FALSE)*Tabla15[[#This Row],[24]])</f>
        <v>0</v>
      </c>
      <c r="AF112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2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25" s="52">
        <f>IF(Tabla15[[#This Row],[26]]="",0,VLOOKUP(TRAMOS!$K$2,Tabla5[#All],3,FALSE)*Tabla15[[#This Row],[27]])</f>
        <v>0</v>
      </c>
      <c r="AI112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2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2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2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2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2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2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126" spans="2:41" x14ac:dyDescent="0.25">
      <c r="B1126" s="58" t="str">
        <f>Tabla1[[#This Row],[nudo inicial]]</f>
        <v>N603</v>
      </c>
      <c r="C1126" s="58" t="str">
        <f>Tabla1[[#This Row],[nudo final]]</f>
        <v>N604</v>
      </c>
      <c r="D1126" s="51">
        <f>Tabla1[[#This Row],[longitud]]</f>
        <v>10.19</v>
      </c>
      <c r="E1126" s="51" t="str">
        <f>Tabla1[[#This Row],[diametro]]</f>
        <v>2"</v>
      </c>
      <c r="F1126" s="51" t="str">
        <f>Tabla1[[#This Row],[material]]</f>
        <v>PVC</v>
      </c>
      <c r="G112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1126" s="52" t="str">
        <f>IF(Tabla1[[#This Row],[5]]="TPD",Tabla1[[#This Row],[6]],"")</f>
        <v/>
      </c>
      <c r="I1126" s="52" t="str">
        <f>IF(OR(Tabla1[[#This Row],[5]]="TPD"),Tabla1[[#This Row],[7]],"")</f>
        <v/>
      </c>
      <c r="J1126" s="52">
        <f>IF(Tabla15[[#This Row],[2]]="",0,VLOOKUP(TRAMOS!$H$2,Tabla5[#All],3,FALSE)*Tabla15[[#This Row],[3]])</f>
        <v>0</v>
      </c>
      <c r="K1126" s="52" t="str">
        <f>IF(Tabla1[[#This Row],[5]]="TPL",Tabla1[[#This Row],[6]],"")</f>
        <v>4"</v>
      </c>
      <c r="L1126" s="52">
        <f>IF(OR(Tabla1[[#This Row],[5]]="TPL"),Tabla1[[#This Row],[7]],"")</f>
        <v>1</v>
      </c>
      <c r="M1126" s="52">
        <f>IF(Tabla15[[#This Row],[5]]="",0,VLOOKUP(TRAMOS!$K$2,Tabla5[#All],3,FALSE)*Tabla15[[#This Row],[6]])</f>
        <v>0.9</v>
      </c>
      <c r="N112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2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26" s="52">
        <f>IF(Tabla15[[#This Row],[8]]="",0,VLOOKUP(TRAMOS!$H$2,Tabla5[#All],3,FALSE)*Tabla15[[#This Row],[9]])</f>
        <v>0</v>
      </c>
      <c r="Q112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2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26" s="52">
        <f>IF(Tabla15[[#This Row],[11]]="",0,VLOOKUP(TRAMOS!$Q$2,Tabla5[#All],3,FALSE)*Tabla15[[#This Row],[12]])</f>
        <v>0</v>
      </c>
      <c r="T112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1126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12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112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2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2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2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2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26" s="52">
        <f>IF(Tabla15[[#This Row],[20]]="",0,VLOOKUP("VRP",Tabla5[#All],3,FALSE)*Tabla15[[#This Row],[21]])</f>
        <v>0</v>
      </c>
      <c r="AC112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2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26" s="52">
        <f>IF(Tabla15[[#This Row],[23]]="",0,VLOOKUP("VC",Tabla5[#All],3,FALSE)*Tabla15[[#This Row],[24]])</f>
        <v>0</v>
      </c>
      <c r="AF112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2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26" s="52">
        <f>IF(Tabla15[[#This Row],[26]]="",0,VLOOKUP(TRAMOS!$K$2,Tabla5[#All],3,FALSE)*Tabla15[[#This Row],[27]])</f>
        <v>0</v>
      </c>
      <c r="AI112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2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2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2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2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2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2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1.27</v>
      </c>
    </row>
    <row r="1127" spans="2:41" x14ac:dyDescent="0.25">
      <c r="B1127" s="58" t="str">
        <f>Tabla1[[#This Row],[nudo inicial]]</f>
        <v>N604</v>
      </c>
      <c r="C1127" s="58" t="str">
        <f>Tabla1[[#This Row],[nudo final]]</f>
        <v>TP400</v>
      </c>
      <c r="D1127" s="51">
        <f>Tabla1[[#This Row],[longitud]]</f>
        <v>70.53</v>
      </c>
      <c r="E1127" s="51" t="str">
        <f>Tabla1[[#This Row],[diametro]]</f>
        <v>1"</v>
      </c>
      <c r="F1127" s="51" t="str">
        <f>Tabla1[[#This Row],[material]]</f>
        <v>PVC</v>
      </c>
      <c r="G112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27" s="52" t="str">
        <f>IF(Tabla1[[#This Row],[5]]="TPD",Tabla1[[#This Row],[6]],"")</f>
        <v/>
      </c>
      <c r="I1127" s="52" t="str">
        <f>IF(OR(Tabla1[[#This Row],[5]]="TPD"),Tabla1[[#This Row],[7]],"")</f>
        <v/>
      </c>
      <c r="J1127" s="52">
        <f>IF(Tabla15[[#This Row],[2]]="",0,VLOOKUP(TRAMOS!$H$2,Tabla5[#All],3,FALSE)*Tabla15[[#This Row],[3]])</f>
        <v>0</v>
      </c>
      <c r="K1127" s="52" t="str">
        <f>IF(Tabla1[[#This Row],[5]]="TPL",Tabla1[[#This Row],[6]],"")</f>
        <v>2"</v>
      </c>
      <c r="L1127" s="52">
        <f>IF(OR(Tabla1[[#This Row],[5]]="TPL"),Tabla1[[#This Row],[7]],"")</f>
        <v>1</v>
      </c>
      <c r="M1127" s="52">
        <f>IF(Tabla15[[#This Row],[5]]="",0,VLOOKUP(TRAMOS!$K$2,Tabla5[#All],3,FALSE)*Tabla15[[#This Row],[6]])</f>
        <v>0.9</v>
      </c>
      <c r="N112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2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27" s="52">
        <f>IF(Tabla15[[#This Row],[8]]="",0,VLOOKUP(TRAMOS!$H$2,Tabla5[#All],3,FALSE)*Tabla15[[#This Row],[9]])</f>
        <v>0</v>
      </c>
      <c r="Q112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1"</v>
      </c>
      <c r="R1127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1127" s="52">
        <f>IF(Tabla15[[#This Row],[11]]="",0,VLOOKUP(TRAMOS!$Q$2,Tabla5[#All],3,FALSE)*Tabla15[[#This Row],[12]])</f>
        <v>0.9</v>
      </c>
      <c r="T112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1"</v>
      </c>
      <c r="U1127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12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112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2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2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2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2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27" s="52">
        <f>IF(Tabla15[[#This Row],[20]]="",0,VLOOKUP("VRP",Tabla5[#All],3,FALSE)*Tabla15[[#This Row],[21]])</f>
        <v>0</v>
      </c>
      <c r="AC112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2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27" s="52">
        <f>IF(Tabla15[[#This Row],[23]]="",0,VLOOKUP("VC",Tabla5[#All],3,FALSE)*Tabla15[[#This Row],[24]])</f>
        <v>0</v>
      </c>
      <c r="AF112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2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27" s="52">
        <f>IF(Tabla15[[#This Row],[26]]="",0,VLOOKUP(TRAMOS!$K$2,Tabla5[#All],3,FALSE)*Tabla15[[#This Row],[27]])</f>
        <v>0</v>
      </c>
      <c r="AI112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2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2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2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2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1"</v>
      </c>
      <c r="AN1127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2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2.17</v>
      </c>
    </row>
    <row r="1128" spans="2:41" x14ac:dyDescent="0.25">
      <c r="B1128" s="58" t="str">
        <f>Tabla1[[#This Row],[nudo inicial]]</f>
        <v>N604</v>
      </c>
      <c r="C1128" s="58" t="str">
        <f>Tabla1[[#This Row],[nudo final]]</f>
        <v>N605</v>
      </c>
      <c r="D1128" s="51">
        <f>Tabla1[[#This Row],[longitud]]</f>
        <v>135.18</v>
      </c>
      <c r="E1128" s="51" t="str">
        <f>Tabla1[[#This Row],[diametro]]</f>
        <v>2"</v>
      </c>
      <c r="F1128" s="51" t="str">
        <f>Tabla1[[#This Row],[material]]</f>
        <v>PVC</v>
      </c>
      <c r="G112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28" s="52" t="str">
        <f>IF(Tabla1[[#This Row],[5]]="TPD",Tabla1[[#This Row],[6]],"")</f>
        <v>2"</v>
      </c>
      <c r="I1128" s="52">
        <f>IF(OR(Tabla1[[#This Row],[5]]="TPD"),Tabla1[[#This Row],[7]],"")</f>
        <v>1</v>
      </c>
      <c r="J1128" s="52">
        <f>IF(Tabla15[[#This Row],[2]]="",0,VLOOKUP(TRAMOS!$H$2,Tabla5[#All],3,FALSE)*Tabla15[[#This Row],[3]])</f>
        <v>0.15</v>
      </c>
      <c r="K1128" s="52" t="str">
        <f>IF(Tabla1[[#This Row],[5]]="TPL",Tabla1[[#This Row],[6]],"")</f>
        <v/>
      </c>
      <c r="L1128" s="52" t="str">
        <f>IF(OR(Tabla1[[#This Row],[5]]="TPL"),Tabla1[[#This Row],[7]],"")</f>
        <v/>
      </c>
      <c r="M1128" s="52">
        <f>IF(Tabla15[[#This Row],[5]]="",0,VLOOKUP(TRAMOS!$K$2,Tabla5[#All],3,FALSE)*Tabla15[[#This Row],[6]])</f>
        <v>0</v>
      </c>
      <c r="N112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2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28" s="52">
        <f>IF(Tabla15[[#This Row],[8]]="",0,VLOOKUP(TRAMOS!$H$2,Tabla5[#All],3,FALSE)*Tabla15[[#This Row],[9]])</f>
        <v>0</v>
      </c>
      <c r="Q112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2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28" s="52">
        <f>IF(Tabla15[[#This Row],[11]]="",0,VLOOKUP(TRAMOS!$Q$2,Tabla5[#All],3,FALSE)*Tabla15[[#This Row],[12]])</f>
        <v>0</v>
      </c>
      <c r="T112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2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2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2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2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2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2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2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28" s="52">
        <f>IF(Tabla15[[#This Row],[20]]="",0,VLOOKUP("VRP",Tabla5[#All],3,FALSE)*Tabla15[[#This Row],[21]])</f>
        <v>0</v>
      </c>
      <c r="AC112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2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28" s="52">
        <f>IF(Tabla15[[#This Row],[23]]="",0,VLOOKUP("VC",Tabla5[#All],3,FALSE)*Tabla15[[#This Row],[24]])</f>
        <v>0</v>
      </c>
      <c r="AF112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2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28" s="52">
        <f>IF(Tabla15[[#This Row],[26]]="",0,VLOOKUP(TRAMOS!$K$2,Tabla5[#All],3,FALSE)*Tabla15[[#This Row],[27]])</f>
        <v>0</v>
      </c>
      <c r="AI112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2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2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2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2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2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2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129" spans="2:41" x14ac:dyDescent="0.25">
      <c r="B1129" s="58" t="str">
        <f>Tabla1[[#This Row],[nudo inicial]]</f>
        <v>N605</v>
      </c>
      <c r="C1129" s="58" t="str">
        <f>Tabla1[[#This Row],[nudo final]]</f>
        <v>TP401</v>
      </c>
      <c r="D1129" s="51">
        <f>Tabla1[[#This Row],[longitud]]</f>
        <v>54.63</v>
      </c>
      <c r="E1129" s="51" t="str">
        <f>Tabla1[[#This Row],[diametro]]</f>
        <v>2"</v>
      </c>
      <c r="F1129" s="51" t="str">
        <f>Tabla1[[#This Row],[material]]</f>
        <v>PVC</v>
      </c>
      <c r="G112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29" s="52" t="str">
        <f>IF(Tabla1[[#This Row],[5]]="TPD",Tabla1[[#This Row],[6]],"")</f>
        <v>2"</v>
      </c>
      <c r="I1129" s="52">
        <f>IF(OR(Tabla1[[#This Row],[5]]="TPD"),Tabla1[[#This Row],[7]],"")</f>
        <v>1</v>
      </c>
      <c r="J1129" s="52">
        <f>IF(Tabla15[[#This Row],[2]]="",0,VLOOKUP(TRAMOS!$H$2,Tabla5[#All],3,FALSE)*Tabla15[[#This Row],[3]])</f>
        <v>0.15</v>
      </c>
      <c r="K1129" s="52" t="str">
        <f>IF(Tabla1[[#This Row],[5]]="TPL",Tabla1[[#This Row],[6]],"")</f>
        <v/>
      </c>
      <c r="L1129" s="52" t="str">
        <f>IF(OR(Tabla1[[#This Row],[5]]="TPL"),Tabla1[[#This Row],[7]],"")</f>
        <v/>
      </c>
      <c r="M1129" s="52">
        <f>IF(Tabla15[[#This Row],[5]]="",0,VLOOKUP(TRAMOS!$K$2,Tabla5[#All],3,FALSE)*Tabla15[[#This Row],[6]])</f>
        <v>0</v>
      </c>
      <c r="N112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2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29" s="52">
        <f>IF(Tabla15[[#This Row],[8]]="",0,VLOOKUP(TRAMOS!$H$2,Tabla5[#All],3,FALSE)*Tabla15[[#This Row],[9]])</f>
        <v>0</v>
      </c>
      <c r="Q112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2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29" s="52">
        <f>IF(Tabla15[[#This Row],[11]]="",0,VLOOKUP(TRAMOS!$Q$2,Tabla5[#All],3,FALSE)*Tabla15[[#This Row],[12]])</f>
        <v>0</v>
      </c>
      <c r="T112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2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2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2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2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2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2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2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29" s="52">
        <f>IF(Tabla15[[#This Row],[20]]="",0,VLOOKUP("VRP",Tabla5[#All],3,FALSE)*Tabla15[[#This Row],[21]])</f>
        <v>0</v>
      </c>
      <c r="AC112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2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29" s="52">
        <f>IF(Tabla15[[#This Row],[23]]="",0,VLOOKUP("VC",Tabla5[#All],3,FALSE)*Tabla15[[#This Row],[24]])</f>
        <v>0</v>
      </c>
      <c r="AF112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2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29" s="52">
        <f>IF(Tabla15[[#This Row],[26]]="",0,VLOOKUP(TRAMOS!$K$2,Tabla5[#All],3,FALSE)*Tabla15[[#This Row],[27]])</f>
        <v>0</v>
      </c>
      <c r="AI112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2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2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2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2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129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2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130" spans="2:41" x14ac:dyDescent="0.25">
      <c r="B1130" s="58" t="str">
        <f>Tabla1[[#This Row],[nudo inicial]]</f>
        <v>N605</v>
      </c>
      <c r="C1130" s="58" t="str">
        <f>Tabla1[[#This Row],[nudo final]]</f>
        <v>TP402</v>
      </c>
      <c r="D1130" s="51">
        <f>Tabla1[[#This Row],[longitud]]</f>
        <v>64.66</v>
      </c>
      <c r="E1130" s="51" t="str">
        <f>Tabla1[[#This Row],[diametro]]</f>
        <v>2"</v>
      </c>
      <c r="F1130" s="51" t="str">
        <f>Tabla1[[#This Row],[material]]</f>
        <v>PVC</v>
      </c>
      <c r="G113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30" s="52" t="str">
        <f>IF(Tabla1[[#This Row],[5]]="TPD",Tabla1[[#This Row],[6]],"")</f>
        <v/>
      </c>
      <c r="I1130" s="52" t="str">
        <f>IF(OR(Tabla1[[#This Row],[5]]="TPD"),Tabla1[[#This Row],[7]],"")</f>
        <v/>
      </c>
      <c r="J1130" s="52">
        <f>IF(Tabla15[[#This Row],[2]]="",0,VLOOKUP(TRAMOS!$H$2,Tabla5[#All],3,FALSE)*Tabla15[[#This Row],[3]])</f>
        <v>0</v>
      </c>
      <c r="K1130" s="52" t="str">
        <f>IF(Tabla1[[#This Row],[5]]="TPL",Tabla1[[#This Row],[6]],"")</f>
        <v>2"</v>
      </c>
      <c r="L1130" s="52">
        <f>IF(OR(Tabla1[[#This Row],[5]]="TPL"),Tabla1[[#This Row],[7]],"")</f>
        <v>1</v>
      </c>
      <c r="M1130" s="52">
        <f>IF(Tabla15[[#This Row],[5]]="",0,VLOOKUP(TRAMOS!$K$2,Tabla5[#All],3,FALSE)*Tabla15[[#This Row],[6]])</f>
        <v>0.9</v>
      </c>
      <c r="N113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3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30" s="52">
        <f>IF(Tabla15[[#This Row],[8]]="",0,VLOOKUP(TRAMOS!$H$2,Tabla5[#All],3,FALSE)*Tabla15[[#This Row],[9]])</f>
        <v>0</v>
      </c>
      <c r="Q113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3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30" s="52">
        <f>IF(Tabla15[[#This Row],[11]]="",0,VLOOKUP(TRAMOS!$Q$2,Tabla5[#All],3,FALSE)*Tabla15[[#This Row],[12]])</f>
        <v>0</v>
      </c>
      <c r="T113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3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3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3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3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3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3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3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30" s="52">
        <f>IF(Tabla15[[#This Row],[20]]="",0,VLOOKUP("VRP",Tabla5[#All],3,FALSE)*Tabla15[[#This Row],[21]])</f>
        <v>0</v>
      </c>
      <c r="AC113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3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30" s="52">
        <f>IF(Tabla15[[#This Row],[23]]="",0,VLOOKUP("VC",Tabla5[#All],3,FALSE)*Tabla15[[#This Row],[24]])</f>
        <v>0</v>
      </c>
      <c r="AF113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3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30" s="52">
        <f>IF(Tabla15[[#This Row],[26]]="",0,VLOOKUP(TRAMOS!$K$2,Tabla5[#All],3,FALSE)*Tabla15[[#This Row],[27]])</f>
        <v>0</v>
      </c>
      <c r="AI113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3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3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3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3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130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3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131" spans="2:41" x14ac:dyDescent="0.25">
      <c r="B1131" s="58" t="str">
        <f>Tabla1[[#This Row],[nudo inicial]]</f>
        <v>N603</v>
      </c>
      <c r="C1131" s="58" t="str">
        <f>Tabla1[[#This Row],[nudo final]]</f>
        <v>N606</v>
      </c>
      <c r="D1131" s="51">
        <f>Tabla1[[#This Row],[longitud]]</f>
        <v>51.32</v>
      </c>
      <c r="E1131" s="51" t="str">
        <f>Tabla1[[#This Row],[diametro]]</f>
        <v>4"</v>
      </c>
      <c r="F1131" s="51" t="str">
        <f>Tabla1[[#This Row],[material]]</f>
        <v>PVC</v>
      </c>
      <c r="G113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1131" s="52" t="str">
        <f>IF(Tabla1[[#This Row],[5]]="TPD",Tabla1[[#This Row],[6]],"")</f>
        <v>4"</v>
      </c>
      <c r="I1131" s="52">
        <f>IF(OR(Tabla1[[#This Row],[5]]="TPD"),Tabla1[[#This Row],[7]],"")</f>
        <v>1</v>
      </c>
      <c r="J1131" s="52">
        <f>IF(Tabla15[[#This Row],[2]]="",0,VLOOKUP(TRAMOS!$H$2,Tabla5[#All],3,FALSE)*Tabla15[[#This Row],[3]])</f>
        <v>0.15</v>
      </c>
      <c r="K1131" s="52" t="str">
        <f>IF(Tabla1[[#This Row],[5]]="TPL",Tabla1[[#This Row],[6]],"")</f>
        <v/>
      </c>
      <c r="L1131" s="52" t="str">
        <f>IF(OR(Tabla1[[#This Row],[5]]="TPL"),Tabla1[[#This Row],[7]],"")</f>
        <v/>
      </c>
      <c r="M1131" s="52">
        <f>IF(Tabla15[[#This Row],[5]]="",0,VLOOKUP(TRAMOS!$K$2,Tabla5[#All],3,FALSE)*Tabla15[[#This Row],[6]])</f>
        <v>0</v>
      </c>
      <c r="N113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3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31" s="52">
        <f>IF(Tabla15[[#This Row],[8]]="",0,VLOOKUP(TRAMOS!$H$2,Tabla5[#All],3,FALSE)*Tabla15[[#This Row],[9]])</f>
        <v>0</v>
      </c>
      <c r="Q113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3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31" s="52">
        <f>IF(Tabla15[[#This Row],[11]]="",0,VLOOKUP(TRAMOS!$Q$2,Tabla5[#All],3,FALSE)*Tabla15[[#This Row],[12]])</f>
        <v>0</v>
      </c>
      <c r="T113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3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3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3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3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3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3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3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31" s="52">
        <f>IF(Tabla15[[#This Row],[20]]="",0,VLOOKUP("VRP",Tabla5[#All],3,FALSE)*Tabla15[[#This Row],[21]])</f>
        <v>0</v>
      </c>
      <c r="AC113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3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31" s="52">
        <f>IF(Tabla15[[#This Row],[23]]="",0,VLOOKUP("VC",Tabla5[#All],3,FALSE)*Tabla15[[#This Row],[24]])</f>
        <v>0</v>
      </c>
      <c r="AF113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3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31" s="52">
        <f>IF(Tabla15[[#This Row],[26]]="",0,VLOOKUP(TRAMOS!$K$2,Tabla5[#All],3,FALSE)*Tabla15[[#This Row],[27]])</f>
        <v>0</v>
      </c>
      <c r="AI113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3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3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3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3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3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3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132" spans="2:41" x14ac:dyDescent="0.25">
      <c r="B1132" s="58" t="str">
        <f>Tabla1[[#This Row],[nudo inicial]]</f>
        <v>N606</v>
      </c>
      <c r="C1132" s="58" t="str">
        <f>Tabla1[[#This Row],[nudo final]]</f>
        <v>N607</v>
      </c>
      <c r="D1132" s="51">
        <f>Tabla1[[#This Row],[longitud]]</f>
        <v>92.03</v>
      </c>
      <c r="E1132" s="51" t="str">
        <f>Tabla1[[#This Row],[diametro]]</f>
        <v>2"</v>
      </c>
      <c r="F1132" s="51" t="str">
        <f>Tabla1[[#This Row],[material]]</f>
        <v>PVC</v>
      </c>
      <c r="G113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1132" s="52" t="str">
        <f>IF(Tabla1[[#This Row],[5]]="TPD",Tabla1[[#This Row],[6]],"")</f>
        <v>4"</v>
      </c>
      <c r="I1132" s="52">
        <f>IF(OR(Tabla1[[#This Row],[5]]="TPD"),Tabla1[[#This Row],[7]],"")</f>
        <v>1</v>
      </c>
      <c r="J1132" s="52">
        <f>IF(Tabla15[[#This Row],[2]]="",0,VLOOKUP(TRAMOS!$H$2,Tabla5[#All],3,FALSE)*Tabla15[[#This Row],[3]])</f>
        <v>0.15</v>
      </c>
      <c r="K1132" s="52" t="str">
        <f>IF(Tabla1[[#This Row],[5]]="TPL",Tabla1[[#This Row],[6]],"")</f>
        <v/>
      </c>
      <c r="L1132" s="52" t="str">
        <f>IF(OR(Tabla1[[#This Row],[5]]="TPL"),Tabla1[[#This Row],[7]],"")</f>
        <v/>
      </c>
      <c r="M1132" s="52">
        <f>IF(Tabla15[[#This Row],[5]]="",0,VLOOKUP(TRAMOS!$K$2,Tabla5[#All],3,FALSE)*Tabla15[[#This Row],[6]])</f>
        <v>0</v>
      </c>
      <c r="N113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3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32" s="52">
        <f>IF(Tabla15[[#This Row],[8]]="",0,VLOOKUP(TRAMOS!$H$2,Tabla5[#All],3,FALSE)*Tabla15[[#This Row],[9]])</f>
        <v>0</v>
      </c>
      <c r="Q113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3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32" s="52">
        <f>IF(Tabla15[[#This Row],[11]]="",0,VLOOKUP(TRAMOS!$Q$2,Tabla5[#All],3,FALSE)*Tabla15[[#This Row],[12]])</f>
        <v>0</v>
      </c>
      <c r="T113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1132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13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113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3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3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3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3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32" s="52">
        <f>IF(Tabla15[[#This Row],[20]]="",0,VLOOKUP("VRP",Tabla5[#All],3,FALSE)*Tabla15[[#This Row],[21]])</f>
        <v>0</v>
      </c>
      <c r="AC113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1132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1132" s="52">
        <f>IF(Tabla15[[#This Row],[23]]="",0,VLOOKUP("VC",Tabla5[#All],3,FALSE)*Tabla15[[#This Row],[24]])</f>
        <v>0.25</v>
      </c>
      <c r="AF113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3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32" s="52">
        <f>IF(Tabla15[[#This Row],[26]]="",0,VLOOKUP(TRAMOS!$K$2,Tabla5[#All],3,FALSE)*Tabla15[[#This Row],[27]])</f>
        <v>0</v>
      </c>
      <c r="AI113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3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3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3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3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3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3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0.77</v>
      </c>
    </row>
    <row r="1133" spans="2:41" x14ac:dyDescent="0.25">
      <c r="B1133" s="58" t="str">
        <f>Tabla1[[#This Row],[nudo inicial]]</f>
        <v>N607</v>
      </c>
      <c r="C1133" s="58" t="str">
        <f>Tabla1[[#This Row],[nudo final]]</f>
        <v>N608</v>
      </c>
      <c r="D1133" s="51">
        <f>Tabla1[[#This Row],[longitud]]</f>
        <v>68.72</v>
      </c>
      <c r="E1133" s="51" t="str">
        <f>Tabla1[[#This Row],[diametro]]</f>
        <v>2"</v>
      </c>
      <c r="F1133" s="51" t="str">
        <f>Tabla1[[#This Row],[material]]</f>
        <v>PVC</v>
      </c>
      <c r="G113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33" s="52" t="str">
        <f>IF(Tabla1[[#This Row],[5]]="TPD",Tabla1[[#This Row],[6]],"")</f>
        <v>2"</v>
      </c>
      <c r="I1133" s="52">
        <f>IF(OR(Tabla1[[#This Row],[5]]="TPD"),Tabla1[[#This Row],[7]],"")</f>
        <v>1</v>
      </c>
      <c r="J1133" s="52">
        <f>IF(Tabla15[[#This Row],[2]]="",0,VLOOKUP(TRAMOS!$H$2,Tabla5[#All],3,FALSE)*Tabla15[[#This Row],[3]])</f>
        <v>0.15</v>
      </c>
      <c r="K1133" s="52" t="str">
        <f>IF(Tabla1[[#This Row],[5]]="TPL",Tabla1[[#This Row],[6]],"")</f>
        <v/>
      </c>
      <c r="L1133" s="52" t="str">
        <f>IF(OR(Tabla1[[#This Row],[5]]="TPL"),Tabla1[[#This Row],[7]],"")</f>
        <v/>
      </c>
      <c r="M1133" s="52">
        <f>IF(Tabla15[[#This Row],[5]]="",0,VLOOKUP(TRAMOS!$K$2,Tabla5[#All],3,FALSE)*Tabla15[[#This Row],[6]])</f>
        <v>0</v>
      </c>
      <c r="N113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3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33" s="52">
        <f>IF(Tabla15[[#This Row],[8]]="",0,VLOOKUP(TRAMOS!$H$2,Tabla5[#All],3,FALSE)*Tabla15[[#This Row],[9]])</f>
        <v>0</v>
      </c>
      <c r="Q113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3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33" s="52">
        <f>IF(Tabla15[[#This Row],[11]]="",0,VLOOKUP(TRAMOS!$Q$2,Tabla5[#All],3,FALSE)*Tabla15[[#This Row],[12]])</f>
        <v>0</v>
      </c>
      <c r="T113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3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3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3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3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3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3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3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33" s="52">
        <f>IF(Tabla15[[#This Row],[20]]="",0,VLOOKUP("VRP",Tabla5[#All],3,FALSE)*Tabla15[[#This Row],[21]])</f>
        <v>0</v>
      </c>
      <c r="AC113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3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33" s="52">
        <f>IF(Tabla15[[#This Row],[23]]="",0,VLOOKUP("VC",Tabla5[#All],3,FALSE)*Tabla15[[#This Row],[24]])</f>
        <v>0</v>
      </c>
      <c r="AF113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3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33" s="52">
        <f>IF(Tabla15[[#This Row],[26]]="",0,VLOOKUP(TRAMOS!$K$2,Tabla5[#All],3,FALSE)*Tabla15[[#This Row],[27]])</f>
        <v>0</v>
      </c>
      <c r="AI113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3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3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3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3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3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3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134" spans="2:41" x14ac:dyDescent="0.25">
      <c r="B1134" s="58" t="str">
        <f>Tabla1[[#This Row],[nudo inicial]]</f>
        <v>N608</v>
      </c>
      <c r="C1134" s="58" t="str">
        <f>Tabla1[[#This Row],[nudo final]]</f>
        <v>N609</v>
      </c>
      <c r="D1134" s="51">
        <f>Tabla1[[#This Row],[longitud]]</f>
        <v>58.24</v>
      </c>
      <c r="E1134" s="51" t="str">
        <f>Tabla1[[#This Row],[diametro]]</f>
        <v>2"</v>
      </c>
      <c r="F1134" s="51" t="str">
        <f>Tabla1[[#This Row],[material]]</f>
        <v>PVC</v>
      </c>
      <c r="G113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34" s="52" t="str">
        <f>IF(Tabla1[[#This Row],[5]]="TPD",Tabla1[[#This Row],[6]],"")</f>
        <v>2"</v>
      </c>
      <c r="I1134" s="52">
        <f>IF(OR(Tabla1[[#This Row],[5]]="TPD"),Tabla1[[#This Row],[7]],"")</f>
        <v>1</v>
      </c>
      <c r="J1134" s="52">
        <f>IF(Tabla15[[#This Row],[2]]="",0,VLOOKUP(TRAMOS!$H$2,Tabla5[#All],3,FALSE)*Tabla15[[#This Row],[3]])</f>
        <v>0.15</v>
      </c>
      <c r="K1134" s="52" t="str">
        <f>IF(Tabla1[[#This Row],[5]]="TPL",Tabla1[[#This Row],[6]],"")</f>
        <v/>
      </c>
      <c r="L1134" s="52" t="str">
        <f>IF(OR(Tabla1[[#This Row],[5]]="TPL"),Tabla1[[#This Row],[7]],"")</f>
        <v/>
      </c>
      <c r="M1134" s="52">
        <f>IF(Tabla15[[#This Row],[5]]="",0,VLOOKUP(TRAMOS!$K$2,Tabla5[#All],3,FALSE)*Tabla15[[#This Row],[6]])</f>
        <v>0</v>
      </c>
      <c r="N113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3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34" s="52">
        <f>IF(Tabla15[[#This Row],[8]]="",0,VLOOKUP(TRAMOS!$H$2,Tabla5[#All],3,FALSE)*Tabla15[[#This Row],[9]])</f>
        <v>0</v>
      </c>
      <c r="Q113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1134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1134" s="52">
        <f>IF(Tabla15[[#This Row],[11]]="",0,VLOOKUP(TRAMOS!$Q$2,Tabla5[#All],3,FALSE)*Tabla15[[#This Row],[12]])</f>
        <v>0.9</v>
      </c>
      <c r="T113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3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3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3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3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3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3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3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34" s="52">
        <f>IF(Tabla15[[#This Row],[20]]="",0,VLOOKUP("VRP",Tabla5[#All],3,FALSE)*Tabla15[[#This Row],[21]])</f>
        <v>0</v>
      </c>
      <c r="AC113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1134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1134" s="52">
        <f>IF(Tabla15[[#This Row],[23]]="",0,VLOOKUP("VC",Tabla5[#All],3,FALSE)*Tabla15[[#This Row],[24]])</f>
        <v>0.25</v>
      </c>
      <c r="AF113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3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34" s="52">
        <f>IF(Tabla15[[#This Row],[26]]="",0,VLOOKUP(TRAMOS!$K$2,Tabla5[#All],3,FALSE)*Tabla15[[#This Row],[27]])</f>
        <v>0</v>
      </c>
      <c r="AI113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3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3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3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3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3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3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</v>
      </c>
    </row>
    <row r="1135" spans="2:41" x14ac:dyDescent="0.25">
      <c r="B1135" s="58" t="str">
        <f>Tabla1[[#This Row],[nudo inicial]]</f>
        <v>N609</v>
      </c>
      <c r="C1135" s="58" t="str">
        <f>Tabla1[[#This Row],[nudo final]]</f>
        <v>TP403</v>
      </c>
      <c r="D1135" s="51">
        <f>Tabla1[[#This Row],[longitud]]</f>
        <v>24.9</v>
      </c>
      <c r="E1135" s="51" t="str">
        <f>Tabla1[[#This Row],[diametro]]</f>
        <v>2"</v>
      </c>
      <c r="F1135" s="51" t="str">
        <f>Tabla1[[#This Row],[material]]</f>
        <v>PVC</v>
      </c>
      <c r="G113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35" s="52" t="str">
        <f>IF(Tabla1[[#This Row],[5]]="TPD",Tabla1[[#This Row],[6]],"")</f>
        <v>2"</v>
      </c>
      <c r="I1135" s="52">
        <f>IF(OR(Tabla1[[#This Row],[5]]="TPD"),Tabla1[[#This Row],[7]],"")</f>
        <v>1</v>
      </c>
      <c r="J1135" s="52">
        <f>IF(Tabla15[[#This Row],[2]]="",0,VLOOKUP(TRAMOS!$H$2,Tabla5[#All],3,FALSE)*Tabla15[[#This Row],[3]])</f>
        <v>0.15</v>
      </c>
      <c r="K1135" s="52" t="str">
        <f>IF(Tabla1[[#This Row],[5]]="TPL",Tabla1[[#This Row],[6]],"")</f>
        <v/>
      </c>
      <c r="L1135" s="52" t="str">
        <f>IF(OR(Tabla1[[#This Row],[5]]="TPL"),Tabla1[[#This Row],[7]],"")</f>
        <v/>
      </c>
      <c r="M1135" s="52">
        <f>IF(Tabla15[[#This Row],[5]]="",0,VLOOKUP(TRAMOS!$K$2,Tabla5[#All],3,FALSE)*Tabla15[[#This Row],[6]])</f>
        <v>0</v>
      </c>
      <c r="N113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3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35" s="52">
        <f>IF(Tabla15[[#This Row],[8]]="",0,VLOOKUP(TRAMOS!$H$2,Tabla5[#All],3,FALSE)*Tabla15[[#This Row],[9]])</f>
        <v>0</v>
      </c>
      <c r="Q113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3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35" s="52">
        <f>IF(Tabla15[[#This Row],[11]]="",0,VLOOKUP(TRAMOS!$Q$2,Tabla5[#All],3,FALSE)*Tabla15[[#This Row],[12]])</f>
        <v>0</v>
      </c>
      <c r="T113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3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3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3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3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3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3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3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35" s="52">
        <f>IF(Tabla15[[#This Row],[20]]="",0,VLOOKUP("VRP",Tabla5[#All],3,FALSE)*Tabla15[[#This Row],[21]])</f>
        <v>0</v>
      </c>
      <c r="AC113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3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35" s="52">
        <f>IF(Tabla15[[#This Row],[23]]="",0,VLOOKUP("VC",Tabla5[#All],3,FALSE)*Tabla15[[#This Row],[24]])</f>
        <v>0</v>
      </c>
      <c r="AF113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3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35" s="52">
        <f>IF(Tabla15[[#This Row],[26]]="",0,VLOOKUP(TRAMOS!$K$2,Tabla5[#All],3,FALSE)*Tabla15[[#This Row],[27]])</f>
        <v>0</v>
      </c>
      <c r="AI113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3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3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3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3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135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3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136" spans="2:41" x14ac:dyDescent="0.25">
      <c r="B1136" s="58" t="str">
        <f>Tabla1[[#This Row],[nudo inicial]]</f>
        <v>N609</v>
      </c>
      <c r="C1136" s="58" t="str">
        <f>Tabla1[[#This Row],[nudo final]]</f>
        <v>TP404</v>
      </c>
      <c r="D1136" s="51">
        <f>Tabla1[[#This Row],[longitud]]</f>
        <v>49.48</v>
      </c>
      <c r="E1136" s="51" t="str">
        <f>Tabla1[[#This Row],[diametro]]</f>
        <v>2"</v>
      </c>
      <c r="F1136" s="51" t="str">
        <f>Tabla1[[#This Row],[material]]</f>
        <v>PVC</v>
      </c>
      <c r="G113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36" s="52" t="str">
        <f>IF(Tabla1[[#This Row],[5]]="TPD",Tabla1[[#This Row],[6]],"")</f>
        <v/>
      </c>
      <c r="I1136" s="52" t="str">
        <f>IF(OR(Tabla1[[#This Row],[5]]="TPD"),Tabla1[[#This Row],[7]],"")</f>
        <v/>
      </c>
      <c r="J1136" s="52">
        <f>IF(Tabla15[[#This Row],[2]]="",0,VLOOKUP(TRAMOS!$H$2,Tabla5[#All],3,FALSE)*Tabla15[[#This Row],[3]])</f>
        <v>0</v>
      </c>
      <c r="K1136" s="52" t="str">
        <f>IF(Tabla1[[#This Row],[5]]="TPL",Tabla1[[#This Row],[6]],"")</f>
        <v>2"</v>
      </c>
      <c r="L1136" s="52">
        <f>IF(OR(Tabla1[[#This Row],[5]]="TPL"),Tabla1[[#This Row],[7]],"")</f>
        <v>1</v>
      </c>
      <c r="M1136" s="52">
        <f>IF(Tabla15[[#This Row],[5]]="",0,VLOOKUP(TRAMOS!$K$2,Tabla5[#All],3,FALSE)*Tabla15[[#This Row],[6]])</f>
        <v>0.9</v>
      </c>
      <c r="N113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3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36" s="52">
        <f>IF(Tabla15[[#This Row],[8]]="",0,VLOOKUP(TRAMOS!$H$2,Tabla5[#All],3,FALSE)*Tabla15[[#This Row],[9]])</f>
        <v>0</v>
      </c>
      <c r="Q113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3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36" s="52">
        <f>IF(Tabla15[[#This Row],[11]]="",0,VLOOKUP(TRAMOS!$Q$2,Tabla5[#All],3,FALSE)*Tabla15[[#This Row],[12]])</f>
        <v>0</v>
      </c>
      <c r="T113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3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3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3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3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3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3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3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36" s="52">
        <f>IF(Tabla15[[#This Row],[20]]="",0,VLOOKUP("VRP",Tabla5[#All],3,FALSE)*Tabla15[[#This Row],[21]])</f>
        <v>0</v>
      </c>
      <c r="AC113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3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36" s="52">
        <f>IF(Tabla15[[#This Row],[23]]="",0,VLOOKUP("VC",Tabla5[#All],3,FALSE)*Tabla15[[#This Row],[24]])</f>
        <v>0</v>
      </c>
      <c r="AF113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3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36" s="52">
        <f>IF(Tabla15[[#This Row],[26]]="",0,VLOOKUP(TRAMOS!$K$2,Tabla5[#All],3,FALSE)*Tabla15[[#This Row],[27]])</f>
        <v>0</v>
      </c>
      <c r="AI113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3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3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3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3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13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3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137" spans="2:41" x14ac:dyDescent="0.25">
      <c r="B1137" s="58" t="str">
        <f>Tabla1[[#This Row],[nudo inicial]]</f>
        <v>N608</v>
      </c>
      <c r="C1137" s="58" t="str">
        <f>Tabla1[[#This Row],[nudo final]]</f>
        <v>N610</v>
      </c>
      <c r="D1137" s="51">
        <f>Tabla1[[#This Row],[longitud]]</f>
        <v>41.21</v>
      </c>
      <c r="E1137" s="51" t="str">
        <f>Tabla1[[#This Row],[diametro]]</f>
        <v>2"</v>
      </c>
      <c r="F1137" s="51" t="str">
        <f>Tabla1[[#This Row],[material]]</f>
        <v>PVC</v>
      </c>
      <c r="G113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37" s="52" t="str">
        <f>IF(Tabla1[[#This Row],[5]]="TPD",Tabla1[[#This Row],[6]],"")</f>
        <v/>
      </c>
      <c r="I1137" s="52" t="str">
        <f>IF(OR(Tabla1[[#This Row],[5]]="TPD"),Tabla1[[#This Row],[7]],"")</f>
        <v/>
      </c>
      <c r="J1137" s="52">
        <f>IF(Tabla15[[#This Row],[2]]="",0,VLOOKUP(TRAMOS!$H$2,Tabla5[#All],3,FALSE)*Tabla15[[#This Row],[3]])</f>
        <v>0</v>
      </c>
      <c r="K1137" s="52" t="str">
        <f>IF(Tabla1[[#This Row],[5]]="TPL",Tabla1[[#This Row],[6]],"")</f>
        <v>2"</v>
      </c>
      <c r="L1137" s="52">
        <f>IF(OR(Tabla1[[#This Row],[5]]="TPL"),Tabla1[[#This Row],[7]],"")</f>
        <v>1</v>
      </c>
      <c r="M1137" s="52">
        <f>IF(Tabla15[[#This Row],[5]]="",0,VLOOKUP(TRAMOS!$K$2,Tabla5[#All],3,FALSE)*Tabla15[[#This Row],[6]])</f>
        <v>0.9</v>
      </c>
      <c r="N113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3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37" s="52">
        <f>IF(Tabla15[[#This Row],[8]]="",0,VLOOKUP(TRAMOS!$H$2,Tabla5[#All],3,FALSE)*Tabla15[[#This Row],[9]])</f>
        <v>0</v>
      </c>
      <c r="Q113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1137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3</v>
      </c>
      <c r="S1137" s="52">
        <f>IF(Tabla15[[#This Row],[11]]="",0,VLOOKUP(TRAMOS!$Q$2,Tabla5[#All],3,FALSE)*Tabla15[[#This Row],[12]])</f>
        <v>2.7</v>
      </c>
      <c r="T113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3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3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3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3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3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3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3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37" s="52">
        <f>IF(Tabla15[[#This Row],[20]]="",0,VLOOKUP("VRP",Tabla5[#All],3,FALSE)*Tabla15[[#This Row],[21]])</f>
        <v>0</v>
      </c>
      <c r="AC113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3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37" s="52">
        <f>IF(Tabla15[[#This Row],[23]]="",0,VLOOKUP("VC",Tabla5[#All],3,FALSE)*Tabla15[[#This Row],[24]])</f>
        <v>0</v>
      </c>
      <c r="AF113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3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37" s="52">
        <f>IF(Tabla15[[#This Row],[26]]="",0,VLOOKUP(TRAMOS!$K$2,Tabla5[#All],3,FALSE)*Tabla15[[#This Row],[27]])</f>
        <v>0</v>
      </c>
      <c r="AI113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3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3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3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3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3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3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3.6</v>
      </c>
    </row>
    <row r="1138" spans="2:41" x14ac:dyDescent="0.25">
      <c r="B1138" s="58" t="str">
        <f>Tabla1[[#This Row],[nudo inicial]]</f>
        <v>N610</v>
      </c>
      <c r="C1138" s="58" t="str">
        <f>Tabla1[[#This Row],[nudo final]]</f>
        <v>N611</v>
      </c>
      <c r="D1138" s="51">
        <f>Tabla1[[#This Row],[longitud]]</f>
        <v>25.67</v>
      </c>
      <c r="E1138" s="51" t="str">
        <f>Tabla1[[#This Row],[diametro]]</f>
        <v>2"</v>
      </c>
      <c r="F1138" s="51" t="str">
        <f>Tabla1[[#This Row],[material]]</f>
        <v>PVC</v>
      </c>
      <c r="G113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38" s="52" t="str">
        <f>IF(Tabla1[[#This Row],[5]]="TPD",Tabla1[[#This Row],[6]],"")</f>
        <v/>
      </c>
      <c r="I1138" s="52" t="str">
        <f>IF(OR(Tabla1[[#This Row],[5]]="TPD"),Tabla1[[#This Row],[7]],"")</f>
        <v/>
      </c>
      <c r="J1138" s="52">
        <f>IF(Tabla15[[#This Row],[2]]="",0,VLOOKUP(TRAMOS!$H$2,Tabla5[#All],3,FALSE)*Tabla15[[#This Row],[3]])</f>
        <v>0</v>
      </c>
      <c r="K1138" s="52" t="str">
        <f>IF(Tabla1[[#This Row],[5]]="TPL",Tabla1[[#This Row],[6]],"")</f>
        <v>2"</v>
      </c>
      <c r="L1138" s="52">
        <f>IF(OR(Tabla1[[#This Row],[5]]="TPL"),Tabla1[[#This Row],[7]],"")</f>
        <v>1</v>
      </c>
      <c r="M1138" s="52">
        <f>IF(Tabla15[[#This Row],[5]]="",0,VLOOKUP(TRAMOS!$K$2,Tabla5[#All],3,FALSE)*Tabla15[[#This Row],[6]])</f>
        <v>0.9</v>
      </c>
      <c r="N113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3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38" s="52">
        <f>IF(Tabla15[[#This Row],[8]]="",0,VLOOKUP(TRAMOS!$H$2,Tabla5[#All],3,FALSE)*Tabla15[[#This Row],[9]])</f>
        <v>0</v>
      </c>
      <c r="Q113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3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38" s="52">
        <f>IF(Tabla15[[#This Row],[11]]="",0,VLOOKUP(TRAMOS!$Q$2,Tabla5[#All],3,FALSE)*Tabla15[[#This Row],[12]])</f>
        <v>0</v>
      </c>
      <c r="T113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3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3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3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3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3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3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3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38" s="52">
        <f>IF(Tabla15[[#This Row],[20]]="",0,VLOOKUP("VRP",Tabla5[#All],3,FALSE)*Tabla15[[#This Row],[21]])</f>
        <v>0</v>
      </c>
      <c r="AC113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3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38" s="52">
        <f>IF(Tabla15[[#This Row],[23]]="",0,VLOOKUP("VC",Tabla5[#All],3,FALSE)*Tabla15[[#This Row],[24]])</f>
        <v>0</v>
      </c>
      <c r="AF113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3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38" s="52">
        <f>IF(Tabla15[[#This Row],[26]]="",0,VLOOKUP(TRAMOS!$K$2,Tabla5[#All],3,FALSE)*Tabla15[[#This Row],[27]])</f>
        <v>0</v>
      </c>
      <c r="AI113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3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3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3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3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3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3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139" spans="2:41" x14ac:dyDescent="0.25">
      <c r="B1139" s="58" t="str">
        <f>Tabla1[[#This Row],[nudo inicial]]</f>
        <v>N611</v>
      </c>
      <c r="C1139" s="58" t="str">
        <f>Tabla1[[#This Row],[nudo final]]</f>
        <v>TP405</v>
      </c>
      <c r="D1139" s="51">
        <f>Tabla1[[#This Row],[longitud]]</f>
        <v>26.1</v>
      </c>
      <c r="E1139" s="51" t="str">
        <f>Tabla1[[#This Row],[diametro]]</f>
        <v>2"</v>
      </c>
      <c r="F1139" s="51" t="str">
        <f>Tabla1[[#This Row],[material]]</f>
        <v>PVC</v>
      </c>
      <c r="G113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39" s="52" t="str">
        <f>IF(Tabla1[[#This Row],[5]]="TPD",Tabla1[[#This Row],[6]],"")</f>
        <v/>
      </c>
      <c r="I1139" s="52" t="str">
        <f>IF(OR(Tabla1[[#This Row],[5]]="TPD"),Tabla1[[#This Row],[7]],"")</f>
        <v/>
      </c>
      <c r="J1139" s="52">
        <f>IF(Tabla15[[#This Row],[2]]="",0,VLOOKUP(TRAMOS!$H$2,Tabla5[#All],3,FALSE)*Tabla15[[#This Row],[3]])</f>
        <v>0</v>
      </c>
      <c r="K1139" s="52" t="str">
        <f>IF(Tabla1[[#This Row],[5]]="TPL",Tabla1[[#This Row],[6]],"")</f>
        <v>2"</v>
      </c>
      <c r="L1139" s="52">
        <f>IF(OR(Tabla1[[#This Row],[5]]="TPL"),Tabla1[[#This Row],[7]],"")</f>
        <v>1</v>
      </c>
      <c r="M1139" s="52">
        <f>IF(Tabla15[[#This Row],[5]]="",0,VLOOKUP(TRAMOS!$K$2,Tabla5[#All],3,FALSE)*Tabla15[[#This Row],[6]])</f>
        <v>0.9</v>
      </c>
      <c r="N113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3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39" s="52">
        <f>IF(Tabla15[[#This Row],[8]]="",0,VLOOKUP(TRAMOS!$H$2,Tabla5[#All],3,FALSE)*Tabla15[[#This Row],[9]])</f>
        <v>0</v>
      </c>
      <c r="Q113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3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39" s="52">
        <f>IF(Tabla15[[#This Row],[11]]="",0,VLOOKUP(TRAMOS!$Q$2,Tabla5[#All],3,FALSE)*Tabla15[[#This Row],[12]])</f>
        <v>0</v>
      </c>
      <c r="T113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3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3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3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3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3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3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3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39" s="52">
        <f>IF(Tabla15[[#This Row],[20]]="",0,VLOOKUP("VRP",Tabla5[#All],3,FALSE)*Tabla15[[#This Row],[21]])</f>
        <v>0</v>
      </c>
      <c r="AC113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3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39" s="52">
        <f>IF(Tabla15[[#This Row],[23]]="",0,VLOOKUP("VC",Tabla5[#All],3,FALSE)*Tabla15[[#This Row],[24]])</f>
        <v>0</v>
      </c>
      <c r="AF113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3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39" s="52">
        <f>IF(Tabla15[[#This Row],[26]]="",0,VLOOKUP(TRAMOS!$K$2,Tabla5[#All],3,FALSE)*Tabla15[[#This Row],[27]])</f>
        <v>0</v>
      </c>
      <c r="AI113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3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3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3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3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139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3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140" spans="2:41" x14ac:dyDescent="0.25">
      <c r="B1140" s="58" t="str">
        <f>Tabla1[[#This Row],[nudo inicial]]</f>
        <v>N611</v>
      </c>
      <c r="C1140" s="58" t="str">
        <f>Tabla1[[#This Row],[nudo final]]</f>
        <v>N612</v>
      </c>
      <c r="D1140" s="51">
        <f>Tabla1[[#This Row],[longitud]]</f>
        <v>29.11</v>
      </c>
      <c r="E1140" s="51" t="str">
        <f>Tabla1[[#This Row],[diametro]]</f>
        <v>2"</v>
      </c>
      <c r="F1140" s="51" t="str">
        <f>Tabla1[[#This Row],[material]]</f>
        <v>PVC</v>
      </c>
      <c r="G114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40" s="52" t="str">
        <f>IF(Tabla1[[#This Row],[5]]="TPD",Tabla1[[#This Row],[6]],"")</f>
        <v>2"</v>
      </c>
      <c r="I1140" s="52">
        <f>IF(OR(Tabla1[[#This Row],[5]]="TPD"),Tabla1[[#This Row],[7]],"")</f>
        <v>1</v>
      </c>
      <c r="J1140" s="52">
        <f>IF(Tabla15[[#This Row],[2]]="",0,VLOOKUP(TRAMOS!$H$2,Tabla5[#All],3,FALSE)*Tabla15[[#This Row],[3]])</f>
        <v>0.15</v>
      </c>
      <c r="K1140" s="52" t="str">
        <f>IF(Tabla1[[#This Row],[5]]="TPL",Tabla1[[#This Row],[6]],"")</f>
        <v/>
      </c>
      <c r="L1140" s="52" t="str">
        <f>IF(OR(Tabla1[[#This Row],[5]]="TPL"),Tabla1[[#This Row],[7]],"")</f>
        <v/>
      </c>
      <c r="M1140" s="52">
        <f>IF(Tabla15[[#This Row],[5]]="",0,VLOOKUP(TRAMOS!$K$2,Tabla5[#All],3,FALSE)*Tabla15[[#This Row],[6]])</f>
        <v>0</v>
      </c>
      <c r="N114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4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40" s="52">
        <f>IF(Tabla15[[#This Row],[8]]="",0,VLOOKUP(TRAMOS!$H$2,Tabla5[#All],3,FALSE)*Tabla15[[#This Row],[9]])</f>
        <v>0</v>
      </c>
      <c r="Q114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1140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1140" s="52">
        <f>IF(Tabla15[[#This Row],[11]]="",0,VLOOKUP(TRAMOS!$Q$2,Tabla5[#All],3,FALSE)*Tabla15[[#This Row],[12]])</f>
        <v>0.9</v>
      </c>
      <c r="T114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4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4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4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4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4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4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4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40" s="52">
        <f>IF(Tabla15[[#This Row],[20]]="",0,VLOOKUP("VRP",Tabla5[#All],3,FALSE)*Tabla15[[#This Row],[21]])</f>
        <v>0</v>
      </c>
      <c r="AC114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4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40" s="52">
        <f>IF(Tabla15[[#This Row],[23]]="",0,VLOOKUP("VC",Tabla5[#All],3,FALSE)*Tabla15[[#This Row],[24]])</f>
        <v>0</v>
      </c>
      <c r="AF114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4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40" s="52">
        <f>IF(Tabla15[[#This Row],[26]]="",0,VLOOKUP(TRAMOS!$K$2,Tabla5[#All],3,FALSE)*Tabla15[[#This Row],[27]])</f>
        <v>0</v>
      </c>
      <c r="AI114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4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4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4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4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4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4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1141" spans="2:41" x14ac:dyDescent="0.25">
      <c r="B1141" s="58" t="str">
        <f>Tabla1[[#This Row],[nudo inicial]]</f>
        <v>N607</v>
      </c>
      <c r="C1141" s="58" t="str">
        <f>Tabla1[[#This Row],[nudo final]]</f>
        <v>N613</v>
      </c>
      <c r="D1141" s="51">
        <f>Tabla1[[#This Row],[longitud]]</f>
        <v>30.03</v>
      </c>
      <c r="E1141" s="51" t="str">
        <f>Tabla1[[#This Row],[diametro]]</f>
        <v>2"</v>
      </c>
      <c r="F1141" s="51" t="str">
        <f>Tabla1[[#This Row],[material]]</f>
        <v>PVC</v>
      </c>
      <c r="G114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41" s="52" t="str">
        <f>IF(Tabla1[[#This Row],[5]]="TPD",Tabla1[[#This Row],[6]],"")</f>
        <v/>
      </c>
      <c r="I1141" s="52" t="str">
        <f>IF(OR(Tabla1[[#This Row],[5]]="TPD"),Tabla1[[#This Row],[7]],"")</f>
        <v/>
      </c>
      <c r="J1141" s="52">
        <f>IF(Tabla15[[#This Row],[2]]="",0,VLOOKUP(TRAMOS!$H$2,Tabla5[#All],3,FALSE)*Tabla15[[#This Row],[3]])</f>
        <v>0</v>
      </c>
      <c r="K1141" s="52" t="str">
        <f>IF(Tabla1[[#This Row],[5]]="TPL",Tabla1[[#This Row],[6]],"")</f>
        <v>2"</v>
      </c>
      <c r="L1141" s="52">
        <f>IF(OR(Tabla1[[#This Row],[5]]="TPL"),Tabla1[[#This Row],[7]],"")</f>
        <v>1</v>
      </c>
      <c r="M1141" s="52">
        <f>IF(Tabla15[[#This Row],[5]]="",0,VLOOKUP(TRAMOS!$K$2,Tabla5[#All],3,FALSE)*Tabla15[[#This Row],[6]])</f>
        <v>0.9</v>
      </c>
      <c r="N114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4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41" s="52">
        <f>IF(Tabla15[[#This Row],[8]]="",0,VLOOKUP(TRAMOS!$H$2,Tabla5[#All],3,FALSE)*Tabla15[[#This Row],[9]])</f>
        <v>0</v>
      </c>
      <c r="Q114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1141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1141" s="52">
        <f>IF(Tabla15[[#This Row],[11]]="",0,VLOOKUP(TRAMOS!$Q$2,Tabla5[#All],3,FALSE)*Tabla15[[#This Row],[12]])</f>
        <v>0.9</v>
      </c>
      <c r="T114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4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4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4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4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4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4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4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41" s="52">
        <f>IF(Tabla15[[#This Row],[20]]="",0,VLOOKUP("VRP",Tabla5[#All],3,FALSE)*Tabla15[[#This Row],[21]])</f>
        <v>0</v>
      </c>
      <c r="AC114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4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41" s="52">
        <f>IF(Tabla15[[#This Row],[23]]="",0,VLOOKUP("VC",Tabla5[#All],3,FALSE)*Tabla15[[#This Row],[24]])</f>
        <v>0</v>
      </c>
      <c r="AF114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4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41" s="52">
        <f>IF(Tabla15[[#This Row],[26]]="",0,VLOOKUP(TRAMOS!$K$2,Tabla5[#All],3,FALSE)*Tabla15[[#This Row],[27]])</f>
        <v>0</v>
      </c>
      <c r="AI114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4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4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4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4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4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4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1.8</v>
      </c>
    </row>
    <row r="1142" spans="2:41" x14ac:dyDescent="0.25">
      <c r="B1142" s="58" t="str">
        <f>Tabla1[[#This Row],[nudo inicial]]</f>
        <v>N613</v>
      </c>
      <c r="C1142" s="58" t="str">
        <f>Tabla1[[#This Row],[nudo final]]</f>
        <v>N610</v>
      </c>
      <c r="D1142" s="51">
        <f>Tabla1[[#This Row],[longitud]]</f>
        <v>52.51</v>
      </c>
      <c r="E1142" s="51" t="str">
        <f>Tabla1[[#This Row],[diametro]]</f>
        <v>2"</v>
      </c>
      <c r="F1142" s="51" t="str">
        <f>Tabla1[[#This Row],[material]]</f>
        <v>PVC</v>
      </c>
      <c r="G114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42" s="52" t="str">
        <f>IF(Tabla1[[#This Row],[5]]="TPD",Tabla1[[#This Row],[6]],"")</f>
        <v>2"</v>
      </c>
      <c r="I1142" s="52">
        <f>IF(OR(Tabla1[[#This Row],[5]]="TPD"),Tabla1[[#This Row],[7]],"")</f>
        <v>1</v>
      </c>
      <c r="J1142" s="52">
        <f>IF(Tabla15[[#This Row],[2]]="",0,VLOOKUP(TRAMOS!$H$2,Tabla5[#All],3,FALSE)*Tabla15[[#This Row],[3]])</f>
        <v>0.15</v>
      </c>
      <c r="K1142" s="52" t="str">
        <f>IF(Tabla1[[#This Row],[5]]="TPL",Tabla1[[#This Row],[6]],"")</f>
        <v/>
      </c>
      <c r="L1142" s="52" t="str">
        <f>IF(OR(Tabla1[[#This Row],[5]]="TPL"),Tabla1[[#This Row],[7]],"")</f>
        <v/>
      </c>
      <c r="M1142" s="52">
        <f>IF(Tabla15[[#This Row],[5]]="",0,VLOOKUP(TRAMOS!$K$2,Tabla5[#All],3,FALSE)*Tabla15[[#This Row],[6]])</f>
        <v>0</v>
      </c>
      <c r="N114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4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42" s="52">
        <f>IF(Tabla15[[#This Row],[8]]="",0,VLOOKUP(TRAMOS!$H$2,Tabla5[#All],3,FALSE)*Tabla15[[#This Row],[9]])</f>
        <v>0</v>
      </c>
      <c r="Q114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4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42" s="52">
        <f>IF(Tabla15[[#This Row],[11]]="",0,VLOOKUP(TRAMOS!$Q$2,Tabla5[#All],3,FALSE)*Tabla15[[#This Row],[12]])</f>
        <v>0</v>
      </c>
      <c r="T114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4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4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4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4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4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4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4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42" s="52">
        <f>IF(Tabla15[[#This Row],[20]]="",0,VLOOKUP("VRP",Tabla5[#All],3,FALSE)*Tabla15[[#This Row],[21]])</f>
        <v>0</v>
      </c>
      <c r="AC114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4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42" s="52">
        <f>IF(Tabla15[[#This Row],[23]]="",0,VLOOKUP("VC",Tabla5[#All],3,FALSE)*Tabla15[[#This Row],[24]])</f>
        <v>0</v>
      </c>
      <c r="AF114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4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42" s="52">
        <f>IF(Tabla15[[#This Row],[26]]="",0,VLOOKUP(TRAMOS!$K$2,Tabla5[#All],3,FALSE)*Tabla15[[#This Row],[27]])</f>
        <v>0</v>
      </c>
      <c r="AI114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4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4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4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4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4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4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143" spans="2:41" x14ac:dyDescent="0.25">
      <c r="B1143" s="58" t="str">
        <f>Tabla1[[#This Row],[nudo inicial]]</f>
        <v>N613</v>
      </c>
      <c r="C1143" s="58" t="str">
        <f>Tabla1[[#This Row],[nudo final]]</f>
        <v>N612</v>
      </c>
      <c r="D1143" s="51">
        <f>Tabla1[[#This Row],[longitud]]</f>
        <v>123.9</v>
      </c>
      <c r="E1143" s="51" t="str">
        <f>Tabla1[[#This Row],[diametro]]</f>
        <v>2"</v>
      </c>
      <c r="F1143" s="51" t="str">
        <f>Tabla1[[#This Row],[material]]</f>
        <v>PVC</v>
      </c>
      <c r="G114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43" s="52" t="str">
        <f>IF(Tabla1[[#This Row],[5]]="TPD",Tabla1[[#This Row],[6]],"")</f>
        <v/>
      </c>
      <c r="I1143" s="52" t="str">
        <f>IF(OR(Tabla1[[#This Row],[5]]="TPD"),Tabla1[[#This Row],[7]],"")</f>
        <v/>
      </c>
      <c r="J1143" s="52">
        <f>IF(Tabla15[[#This Row],[2]]="",0,VLOOKUP(TRAMOS!$H$2,Tabla5[#All],3,FALSE)*Tabla15[[#This Row],[3]])</f>
        <v>0</v>
      </c>
      <c r="K1143" s="52" t="str">
        <f>IF(Tabla1[[#This Row],[5]]="TPL",Tabla1[[#This Row],[6]],"")</f>
        <v>2"</v>
      </c>
      <c r="L1143" s="52">
        <f>IF(OR(Tabla1[[#This Row],[5]]="TPL"),Tabla1[[#This Row],[7]],"")</f>
        <v>1</v>
      </c>
      <c r="M1143" s="52">
        <f>IF(Tabla15[[#This Row],[5]]="",0,VLOOKUP(TRAMOS!$K$2,Tabla5[#All],3,FALSE)*Tabla15[[#This Row],[6]])</f>
        <v>0.9</v>
      </c>
      <c r="N114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4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43" s="52">
        <f>IF(Tabla15[[#This Row],[8]]="",0,VLOOKUP(TRAMOS!$H$2,Tabla5[#All],3,FALSE)*Tabla15[[#This Row],[9]])</f>
        <v>0</v>
      </c>
      <c r="Q114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1143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2</v>
      </c>
      <c r="S1143" s="52">
        <f>IF(Tabla15[[#This Row],[11]]="",0,VLOOKUP(TRAMOS!$Q$2,Tabla5[#All],3,FALSE)*Tabla15[[#This Row],[12]])</f>
        <v>1.8</v>
      </c>
      <c r="T114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4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4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4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4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4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4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4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43" s="52">
        <f>IF(Tabla15[[#This Row],[20]]="",0,VLOOKUP("VRP",Tabla5[#All],3,FALSE)*Tabla15[[#This Row],[21]])</f>
        <v>0</v>
      </c>
      <c r="AC114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4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43" s="52">
        <f>IF(Tabla15[[#This Row],[23]]="",0,VLOOKUP("VC",Tabla5[#All],3,FALSE)*Tabla15[[#This Row],[24]])</f>
        <v>0</v>
      </c>
      <c r="AF114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4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43" s="52">
        <f>IF(Tabla15[[#This Row],[26]]="",0,VLOOKUP(TRAMOS!$K$2,Tabla5[#All],3,FALSE)*Tabla15[[#This Row],[27]])</f>
        <v>0</v>
      </c>
      <c r="AI114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4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4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4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4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4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4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2.7</v>
      </c>
    </row>
    <row r="1144" spans="2:41" x14ac:dyDescent="0.25">
      <c r="B1144" s="58" t="str">
        <f>Tabla1[[#This Row],[nudo inicial]]</f>
        <v>N612</v>
      </c>
      <c r="C1144" s="58" t="str">
        <f>Tabla1[[#This Row],[nudo final]]</f>
        <v>N614</v>
      </c>
      <c r="D1144" s="51">
        <f>Tabla1[[#This Row],[longitud]]</f>
        <v>51.64</v>
      </c>
      <c r="E1144" s="51" t="str">
        <f>Tabla1[[#This Row],[diametro]]</f>
        <v>2"</v>
      </c>
      <c r="F1144" s="51" t="str">
        <f>Tabla1[[#This Row],[material]]</f>
        <v>PVC</v>
      </c>
      <c r="G114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44" s="52" t="str">
        <f>IF(Tabla1[[#This Row],[5]]="TPD",Tabla1[[#This Row],[6]],"")</f>
        <v/>
      </c>
      <c r="I1144" s="52" t="str">
        <f>IF(OR(Tabla1[[#This Row],[5]]="TPD"),Tabla1[[#This Row],[7]],"")</f>
        <v/>
      </c>
      <c r="J1144" s="52">
        <f>IF(Tabla15[[#This Row],[2]]="",0,VLOOKUP(TRAMOS!$H$2,Tabla5[#All],3,FALSE)*Tabla15[[#This Row],[3]])</f>
        <v>0</v>
      </c>
      <c r="K1144" s="52" t="str">
        <f>IF(Tabla1[[#This Row],[5]]="TPL",Tabla1[[#This Row],[6]],"")</f>
        <v>2"</v>
      </c>
      <c r="L1144" s="52">
        <f>IF(OR(Tabla1[[#This Row],[5]]="TPL"),Tabla1[[#This Row],[7]],"")</f>
        <v>1</v>
      </c>
      <c r="M1144" s="52">
        <f>IF(Tabla15[[#This Row],[5]]="",0,VLOOKUP(TRAMOS!$K$2,Tabla5[#All],3,FALSE)*Tabla15[[#This Row],[6]])</f>
        <v>0.9</v>
      </c>
      <c r="N114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4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44" s="52">
        <f>IF(Tabla15[[#This Row],[8]]="",0,VLOOKUP(TRAMOS!$H$2,Tabla5[#All],3,FALSE)*Tabla15[[#This Row],[9]])</f>
        <v>0</v>
      </c>
      <c r="Q114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1144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1144" s="52">
        <f>IF(Tabla15[[#This Row],[11]]="",0,VLOOKUP(TRAMOS!$Q$2,Tabla5[#All],3,FALSE)*Tabla15[[#This Row],[12]])</f>
        <v>0.9</v>
      </c>
      <c r="T114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4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4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4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4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4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4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4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44" s="52">
        <f>IF(Tabla15[[#This Row],[20]]="",0,VLOOKUP("VRP",Tabla5[#All],3,FALSE)*Tabla15[[#This Row],[21]])</f>
        <v>0</v>
      </c>
      <c r="AC114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4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44" s="52">
        <f>IF(Tabla15[[#This Row],[23]]="",0,VLOOKUP("VC",Tabla5[#All],3,FALSE)*Tabla15[[#This Row],[24]])</f>
        <v>0</v>
      </c>
      <c r="AF114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4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44" s="52">
        <f>IF(Tabla15[[#This Row],[26]]="",0,VLOOKUP(TRAMOS!$K$2,Tabla5[#All],3,FALSE)*Tabla15[[#This Row],[27]])</f>
        <v>0</v>
      </c>
      <c r="AI114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4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4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4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4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4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4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1.8</v>
      </c>
    </row>
    <row r="1145" spans="2:41" x14ac:dyDescent="0.25">
      <c r="B1145" s="58" t="str">
        <f>Tabla1[[#This Row],[nudo inicial]]</f>
        <v>N614</v>
      </c>
      <c r="C1145" s="58" t="str">
        <f>Tabla1[[#This Row],[nudo final]]</f>
        <v>N615</v>
      </c>
      <c r="D1145" s="51">
        <f>Tabla1[[#This Row],[longitud]]</f>
        <v>32.86</v>
      </c>
      <c r="E1145" s="51" t="str">
        <f>Tabla1[[#This Row],[diametro]]</f>
        <v>2"</v>
      </c>
      <c r="F1145" s="51" t="str">
        <f>Tabla1[[#This Row],[material]]</f>
        <v>PVC</v>
      </c>
      <c r="G114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45" s="52" t="str">
        <f>IF(Tabla1[[#This Row],[5]]="TPD",Tabla1[[#This Row],[6]],"")</f>
        <v/>
      </c>
      <c r="I1145" s="52" t="str">
        <f>IF(OR(Tabla1[[#This Row],[5]]="TPD"),Tabla1[[#This Row],[7]],"")</f>
        <v/>
      </c>
      <c r="J1145" s="52">
        <f>IF(Tabla15[[#This Row],[2]]="",0,VLOOKUP(TRAMOS!$H$2,Tabla5[#All],3,FALSE)*Tabla15[[#This Row],[3]])</f>
        <v>0</v>
      </c>
      <c r="K1145" s="52" t="str">
        <f>IF(Tabla1[[#This Row],[5]]="TPL",Tabla1[[#This Row],[6]],"")</f>
        <v>2"</v>
      </c>
      <c r="L1145" s="52">
        <f>IF(OR(Tabla1[[#This Row],[5]]="TPL"),Tabla1[[#This Row],[7]],"")</f>
        <v>1</v>
      </c>
      <c r="M1145" s="52">
        <f>IF(Tabla15[[#This Row],[5]]="",0,VLOOKUP(TRAMOS!$K$2,Tabla5[#All],3,FALSE)*Tabla15[[#This Row],[6]])</f>
        <v>0.9</v>
      </c>
      <c r="N114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4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45" s="52">
        <f>IF(Tabla15[[#This Row],[8]]="",0,VLOOKUP(TRAMOS!$H$2,Tabla5[#All],3,FALSE)*Tabla15[[#This Row],[9]])</f>
        <v>0</v>
      </c>
      <c r="Q114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4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45" s="52">
        <f>IF(Tabla15[[#This Row],[11]]="",0,VLOOKUP(TRAMOS!$Q$2,Tabla5[#All],3,FALSE)*Tabla15[[#This Row],[12]])</f>
        <v>0</v>
      </c>
      <c r="T114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4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4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4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4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4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4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4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45" s="52">
        <f>IF(Tabla15[[#This Row],[20]]="",0,VLOOKUP("VRP",Tabla5[#All],3,FALSE)*Tabla15[[#This Row],[21]])</f>
        <v>0</v>
      </c>
      <c r="AC114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4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45" s="52">
        <f>IF(Tabla15[[#This Row],[23]]="",0,VLOOKUP("VC",Tabla5[#All],3,FALSE)*Tabla15[[#This Row],[24]])</f>
        <v>0</v>
      </c>
      <c r="AF114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4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45" s="52">
        <f>IF(Tabla15[[#This Row],[26]]="",0,VLOOKUP(TRAMOS!$K$2,Tabla5[#All],3,FALSE)*Tabla15[[#This Row],[27]])</f>
        <v>0</v>
      </c>
      <c r="AI114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4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4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4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4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4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4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146" spans="2:41" x14ac:dyDescent="0.25">
      <c r="B1146" s="58" t="str">
        <f>Tabla1[[#This Row],[nudo inicial]]</f>
        <v>N615</v>
      </c>
      <c r="C1146" s="58" t="str">
        <f>Tabla1[[#This Row],[nudo final]]</f>
        <v>TP406</v>
      </c>
      <c r="D1146" s="51">
        <f>Tabla1[[#This Row],[longitud]]</f>
        <v>72.37</v>
      </c>
      <c r="E1146" s="51" t="str">
        <f>Tabla1[[#This Row],[diametro]]</f>
        <v>2"</v>
      </c>
      <c r="F1146" s="51" t="str">
        <f>Tabla1[[#This Row],[material]]</f>
        <v>PVC</v>
      </c>
      <c r="G114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46" s="52" t="str">
        <f>IF(Tabla1[[#This Row],[5]]="TPD",Tabla1[[#This Row],[6]],"")</f>
        <v/>
      </c>
      <c r="I1146" s="52" t="str">
        <f>IF(OR(Tabla1[[#This Row],[5]]="TPD"),Tabla1[[#This Row],[7]],"")</f>
        <v/>
      </c>
      <c r="J1146" s="52">
        <f>IF(Tabla15[[#This Row],[2]]="",0,VLOOKUP(TRAMOS!$H$2,Tabla5[#All],3,FALSE)*Tabla15[[#This Row],[3]])</f>
        <v>0</v>
      </c>
      <c r="K1146" s="52" t="str">
        <f>IF(Tabla1[[#This Row],[5]]="TPL",Tabla1[[#This Row],[6]],"")</f>
        <v>2"</v>
      </c>
      <c r="L1146" s="52">
        <f>IF(OR(Tabla1[[#This Row],[5]]="TPL"),Tabla1[[#This Row],[7]],"")</f>
        <v>1</v>
      </c>
      <c r="M1146" s="52">
        <f>IF(Tabla15[[#This Row],[5]]="",0,VLOOKUP(TRAMOS!$K$2,Tabla5[#All],3,FALSE)*Tabla15[[#This Row],[6]])</f>
        <v>0.9</v>
      </c>
      <c r="N114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4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46" s="52">
        <f>IF(Tabla15[[#This Row],[8]]="",0,VLOOKUP(TRAMOS!$H$2,Tabla5[#All],3,FALSE)*Tabla15[[#This Row],[9]])</f>
        <v>0</v>
      </c>
      <c r="Q114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1146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1146" s="52">
        <f>IF(Tabla15[[#This Row],[11]]="",0,VLOOKUP(TRAMOS!$Q$2,Tabla5[#All],3,FALSE)*Tabla15[[#This Row],[12]])</f>
        <v>0.9</v>
      </c>
      <c r="T114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4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4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4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4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4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4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4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46" s="52">
        <f>IF(Tabla15[[#This Row],[20]]="",0,VLOOKUP("VRP",Tabla5[#All],3,FALSE)*Tabla15[[#This Row],[21]])</f>
        <v>0</v>
      </c>
      <c r="AC114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4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46" s="52">
        <f>IF(Tabla15[[#This Row],[23]]="",0,VLOOKUP("VC",Tabla5[#All],3,FALSE)*Tabla15[[#This Row],[24]])</f>
        <v>0</v>
      </c>
      <c r="AF114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4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46" s="52">
        <f>IF(Tabla15[[#This Row],[26]]="",0,VLOOKUP(TRAMOS!$K$2,Tabla5[#All],3,FALSE)*Tabla15[[#This Row],[27]])</f>
        <v>0</v>
      </c>
      <c r="AI114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4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4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4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4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14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4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1.8</v>
      </c>
    </row>
    <row r="1147" spans="2:41" x14ac:dyDescent="0.25">
      <c r="B1147" s="58" t="str">
        <f>Tabla1[[#This Row],[nudo inicial]]</f>
        <v>N615</v>
      </c>
      <c r="C1147" s="58" t="str">
        <f>Tabla1[[#This Row],[nudo final]]</f>
        <v>N616</v>
      </c>
      <c r="D1147" s="51">
        <f>Tabla1[[#This Row],[longitud]]</f>
        <v>12.15</v>
      </c>
      <c r="E1147" s="51" t="str">
        <f>Tabla1[[#This Row],[diametro]]</f>
        <v>2"</v>
      </c>
      <c r="F1147" s="51" t="str">
        <f>Tabla1[[#This Row],[material]]</f>
        <v>PVC</v>
      </c>
      <c r="G114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47" s="52" t="str">
        <f>IF(Tabla1[[#This Row],[5]]="TPD",Tabla1[[#This Row],[6]],"")</f>
        <v/>
      </c>
      <c r="I1147" s="52" t="str">
        <f>IF(OR(Tabla1[[#This Row],[5]]="TPD"),Tabla1[[#This Row],[7]],"")</f>
        <v/>
      </c>
      <c r="J1147" s="52">
        <f>IF(Tabla15[[#This Row],[2]]="",0,VLOOKUP(TRAMOS!$H$2,Tabla5[#All],3,FALSE)*Tabla15[[#This Row],[3]])</f>
        <v>0</v>
      </c>
      <c r="K1147" s="52" t="str">
        <f>IF(Tabla1[[#This Row],[5]]="TPL",Tabla1[[#This Row],[6]],"")</f>
        <v>2"</v>
      </c>
      <c r="L1147" s="52">
        <f>IF(OR(Tabla1[[#This Row],[5]]="TPL"),Tabla1[[#This Row],[7]],"")</f>
        <v>1</v>
      </c>
      <c r="M1147" s="52">
        <f>IF(Tabla15[[#This Row],[5]]="",0,VLOOKUP(TRAMOS!$K$2,Tabla5[#All],3,FALSE)*Tabla15[[#This Row],[6]])</f>
        <v>0.9</v>
      </c>
      <c r="N114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4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47" s="52">
        <f>IF(Tabla15[[#This Row],[8]]="",0,VLOOKUP(TRAMOS!$H$2,Tabla5[#All],3,FALSE)*Tabla15[[#This Row],[9]])</f>
        <v>0</v>
      </c>
      <c r="Q114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4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47" s="52">
        <f>IF(Tabla15[[#This Row],[11]]="",0,VLOOKUP(TRAMOS!$Q$2,Tabla5[#All],3,FALSE)*Tabla15[[#This Row],[12]])</f>
        <v>0</v>
      </c>
      <c r="T114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4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4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4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4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4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4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4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47" s="52">
        <f>IF(Tabla15[[#This Row],[20]]="",0,VLOOKUP("VRP",Tabla5[#All],3,FALSE)*Tabla15[[#This Row],[21]])</f>
        <v>0</v>
      </c>
      <c r="AC114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4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47" s="52">
        <f>IF(Tabla15[[#This Row],[23]]="",0,VLOOKUP("VC",Tabla5[#All],3,FALSE)*Tabla15[[#This Row],[24]])</f>
        <v>0</v>
      </c>
      <c r="AF114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4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47" s="52">
        <f>IF(Tabla15[[#This Row],[26]]="",0,VLOOKUP(TRAMOS!$K$2,Tabla5[#All],3,FALSE)*Tabla15[[#This Row],[27]])</f>
        <v>0</v>
      </c>
      <c r="AI114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4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4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4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4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4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4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148" spans="2:41" x14ac:dyDescent="0.25">
      <c r="B1148" s="58" t="str">
        <f>Tabla1[[#This Row],[nudo inicial]]</f>
        <v>N616</v>
      </c>
      <c r="C1148" s="58" t="str">
        <f>Tabla1[[#This Row],[nudo final]]</f>
        <v>TP407</v>
      </c>
      <c r="D1148" s="51">
        <f>Tabla1[[#This Row],[longitud]]</f>
        <v>25.67</v>
      </c>
      <c r="E1148" s="51" t="str">
        <f>Tabla1[[#This Row],[diametro]]</f>
        <v>2"</v>
      </c>
      <c r="F1148" s="51" t="str">
        <f>Tabla1[[#This Row],[material]]</f>
        <v>PVC</v>
      </c>
      <c r="G114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48" s="52" t="str">
        <f>IF(Tabla1[[#This Row],[5]]="TPD",Tabla1[[#This Row],[6]],"")</f>
        <v/>
      </c>
      <c r="I1148" s="52" t="str">
        <f>IF(OR(Tabla1[[#This Row],[5]]="TPD"),Tabla1[[#This Row],[7]],"")</f>
        <v/>
      </c>
      <c r="J1148" s="52">
        <f>IF(Tabla15[[#This Row],[2]]="",0,VLOOKUP(TRAMOS!$H$2,Tabla5[#All],3,FALSE)*Tabla15[[#This Row],[3]])</f>
        <v>0</v>
      </c>
      <c r="K1148" s="52" t="str">
        <f>IF(Tabla1[[#This Row],[5]]="TPL",Tabla1[[#This Row],[6]],"")</f>
        <v>2"</v>
      </c>
      <c r="L1148" s="52">
        <f>IF(OR(Tabla1[[#This Row],[5]]="TPL"),Tabla1[[#This Row],[7]],"")</f>
        <v>1</v>
      </c>
      <c r="M1148" s="52">
        <f>IF(Tabla15[[#This Row],[5]]="",0,VLOOKUP(TRAMOS!$K$2,Tabla5[#All],3,FALSE)*Tabla15[[#This Row],[6]])</f>
        <v>0.9</v>
      </c>
      <c r="N114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4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48" s="52">
        <f>IF(Tabla15[[#This Row],[8]]="",0,VLOOKUP(TRAMOS!$H$2,Tabla5[#All],3,FALSE)*Tabla15[[#This Row],[9]])</f>
        <v>0</v>
      </c>
      <c r="Q114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4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48" s="52">
        <f>IF(Tabla15[[#This Row],[11]]="",0,VLOOKUP(TRAMOS!$Q$2,Tabla5[#All],3,FALSE)*Tabla15[[#This Row],[12]])</f>
        <v>0</v>
      </c>
      <c r="T114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4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4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4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4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4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4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4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48" s="52">
        <f>IF(Tabla15[[#This Row],[20]]="",0,VLOOKUP("VRP",Tabla5[#All],3,FALSE)*Tabla15[[#This Row],[21]])</f>
        <v>0</v>
      </c>
      <c r="AC114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4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48" s="52">
        <f>IF(Tabla15[[#This Row],[23]]="",0,VLOOKUP("VC",Tabla5[#All],3,FALSE)*Tabla15[[#This Row],[24]])</f>
        <v>0</v>
      </c>
      <c r="AF114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4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48" s="52">
        <f>IF(Tabla15[[#This Row],[26]]="",0,VLOOKUP(TRAMOS!$K$2,Tabla5[#All],3,FALSE)*Tabla15[[#This Row],[27]])</f>
        <v>0</v>
      </c>
      <c r="AI114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4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4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4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4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148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4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149" spans="2:41" x14ac:dyDescent="0.25">
      <c r="B1149" s="58" t="str">
        <f>Tabla1[[#This Row],[nudo inicial]]</f>
        <v>N616</v>
      </c>
      <c r="C1149" s="58" t="str">
        <f>Tabla1[[#This Row],[nudo final]]</f>
        <v>N617</v>
      </c>
      <c r="D1149" s="51">
        <f>Tabla1[[#This Row],[longitud]]</f>
        <v>28.85</v>
      </c>
      <c r="E1149" s="51" t="str">
        <f>Tabla1[[#This Row],[diametro]]</f>
        <v>2"</v>
      </c>
      <c r="F1149" s="51" t="str">
        <f>Tabla1[[#This Row],[material]]</f>
        <v>PVC</v>
      </c>
      <c r="G114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49" s="52" t="str">
        <f>IF(Tabla1[[#This Row],[5]]="TPD",Tabla1[[#This Row],[6]],"")</f>
        <v>2"</v>
      </c>
      <c r="I1149" s="52">
        <f>IF(OR(Tabla1[[#This Row],[5]]="TPD"),Tabla1[[#This Row],[7]],"")</f>
        <v>1</v>
      </c>
      <c r="J1149" s="52">
        <f>IF(Tabla15[[#This Row],[2]]="",0,VLOOKUP(TRAMOS!$H$2,Tabla5[#All],3,FALSE)*Tabla15[[#This Row],[3]])</f>
        <v>0.15</v>
      </c>
      <c r="K1149" s="52" t="str">
        <f>IF(Tabla1[[#This Row],[5]]="TPL",Tabla1[[#This Row],[6]],"")</f>
        <v/>
      </c>
      <c r="L1149" s="52" t="str">
        <f>IF(OR(Tabla1[[#This Row],[5]]="TPL"),Tabla1[[#This Row],[7]],"")</f>
        <v/>
      </c>
      <c r="M1149" s="52">
        <f>IF(Tabla15[[#This Row],[5]]="",0,VLOOKUP(TRAMOS!$K$2,Tabla5[#All],3,FALSE)*Tabla15[[#This Row],[6]])</f>
        <v>0</v>
      </c>
      <c r="N114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4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49" s="52">
        <f>IF(Tabla15[[#This Row],[8]]="",0,VLOOKUP(TRAMOS!$H$2,Tabla5[#All],3,FALSE)*Tabla15[[#This Row],[9]])</f>
        <v>0</v>
      </c>
      <c r="Q114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4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49" s="52">
        <f>IF(Tabla15[[#This Row],[11]]="",0,VLOOKUP(TRAMOS!$Q$2,Tabla5[#All],3,FALSE)*Tabla15[[#This Row],[12]])</f>
        <v>0</v>
      </c>
      <c r="T114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4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4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4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4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4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4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4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49" s="52">
        <f>IF(Tabla15[[#This Row],[20]]="",0,VLOOKUP("VRP",Tabla5[#All],3,FALSE)*Tabla15[[#This Row],[21]])</f>
        <v>0</v>
      </c>
      <c r="AC114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4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49" s="52">
        <f>IF(Tabla15[[#This Row],[23]]="",0,VLOOKUP("VC",Tabla5[#All],3,FALSE)*Tabla15[[#This Row],[24]])</f>
        <v>0</v>
      </c>
      <c r="AF114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4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49" s="52">
        <f>IF(Tabla15[[#This Row],[26]]="",0,VLOOKUP(TRAMOS!$K$2,Tabla5[#All],3,FALSE)*Tabla15[[#This Row],[27]])</f>
        <v>0</v>
      </c>
      <c r="AI114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4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4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4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4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4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4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150" spans="2:41" x14ac:dyDescent="0.25">
      <c r="B1150" s="58" t="str">
        <f>Tabla1[[#This Row],[nudo inicial]]</f>
        <v>N617</v>
      </c>
      <c r="C1150" s="58" t="str">
        <f>Tabla1[[#This Row],[nudo final]]</f>
        <v>TP408</v>
      </c>
      <c r="D1150" s="51">
        <f>Tabla1[[#This Row],[longitud]]</f>
        <v>28.71</v>
      </c>
      <c r="E1150" s="51" t="str">
        <f>Tabla1[[#This Row],[diametro]]</f>
        <v>2"</v>
      </c>
      <c r="F1150" s="51" t="str">
        <f>Tabla1[[#This Row],[material]]</f>
        <v>PVC</v>
      </c>
      <c r="G115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50" s="52" t="str">
        <f>IF(Tabla1[[#This Row],[5]]="TPD",Tabla1[[#This Row],[6]],"")</f>
        <v/>
      </c>
      <c r="I1150" s="52" t="str">
        <f>IF(OR(Tabla1[[#This Row],[5]]="TPD"),Tabla1[[#This Row],[7]],"")</f>
        <v/>
      </c>
      <c r="J1150" s="52">
        <f>IF(Tabla15[[#This Row],[2]]="",0,VLOOKUP(TRAMOS!$H$2,Tabla5[#All],3,FALSE)*Tabla15[[#This Row],[3]])</f>
        <v>0</v>
      </c>
      <c r="K1150" s="52" t="str">
        <f>IF(Tabla1[[#This Row],[5]]="TPL",Tabla1[[#This Row],[6]],"")</f>
        <v/>
      </c>
      <c r="L1150" s="52" t="str">
        <f>IF(OR(Tabla1[[#This Row],[5]]="TPL"),Tabla1[[#This Row],[7]],"")</f>
        <v/>
      </c>
      <c r="M1150" s="52">
        <f>IF(Tabla15[[#This Row],[5]]="",0,VLOOKUP(TRAMOS!$K$2,Tabla5[#All],3,FALSE)*Tabla15[[#This Row],[6]])</f>
        <v>0</v>
      </c>
      <c r="N115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2"</v>
      </c>
      <c r="O1150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1150" s="52">
        <f>IF(Tabla15[[#This Row],[8]]="",0,VLOOKUP(TRAMOS!$H$2,Tabla5[#All],3,FALSE)*Tabla15[[#This Row],[9]])</f>
        <v>0.15</v>
      </c>
      <c r="Q115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5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50" s="52">
        <f>IF(Tabla15[[#This Row],[11]]="",0,VLOOKUP(TRAMOS!$Q$2,Tabla5[#All],3,FALSE)*Tabla15[[#This Row],[12]])</f>
        <v>0</v>
      </c>
      <c r="T115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5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5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5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5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5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5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5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50" s="52">
        <f>IF(Tabla15[[#This Row],[20]]="",0,VLOOKUP("VRP",Tabla5[#All],3,FALSE)*Tabla15[[#This Row],[21]])</f>
        <v>0</v>
      </c>
      <c r="AC115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5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50" s="52">
        <f>IF(Tabla15[[#This Row],[23]]="",0,VLOOKUP("VC",Tabla5[#All],3,FALSE)*Tabla15[[#This Row],[24]])</f>
        <v>0</v>
      </c>
      <c r="AF115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5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50" s="52">
        <f>IF(Tabla15[[#This Row],[26]]="",0,VLOOKUP(TRAMOS!$K$2,Tabla5[#All],3,FALSE)*Tabla15[[#This Row],[27]])</f>
        <v>0</v>
      </c>
      <c r="AI115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5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5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5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5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150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5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151" spans="2:41" x14ac:dyDescent="0.25">
      <c r="B1151" s="58" t="str">
        <f>Tabla1[[#This Row],[nudo inicial]]</f>
        <v>N617</v>
      </c>
      <c r="C1151" s="58" t="str">
        <f>Tabla1[[#This Row],[nudo final]]</f>
        <v>TP409</v>
      </c>
      <c r="D1151" s="51">
        <f>Tabla1[[#This Row],[longitud]]</f>
        <v>58.09</v>
      </c>
      <c r="E1151" s="51" t="str">
        <f>Tabla1[[#This Row],[diametro]]</f>
        <v>2"</v>
      </c>
      <c r="F1151" s="51" t="str">
        <f>Tabla1[[#This Row],[material]]</f>
        <v>PVC</v>
      </c>
      <c r="G115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51" s="52" t="str">
        <f>IF(Tabla1[[#This Row],[5]]="TPD",Tabla1[[#This Row],[6]],"")</f>
        <v/>
      </c>
      <c r="I1151" s="52" t="str">
        <f>IF(OR(Tabla1[[#This Row],[5]]="TPD"),Tabla1[[#This Row],[7]],"")</f>
        <v/>
      </c>
      <c r="J1151" s="52">
        <f>IF(Tabla15[[#This Row],[2]]="",0,VLOOKUP(TRAMOS!$H$2,Tabla5[#All],3,FALSE)*Tabla15[[#This Row],[3]])</f>
        <v>0</v>
      </c>
      <c r="K1151" s="52" t="str">
        <f>IF(Tabla1[[#This Row],[5]]="TPL",Tabla1[[#This Row],[6]],"")</f>
        <v/>
      </c>
      <c r="L1151" s="52" t="str">
        <f>IF(OR(Tabla1[[#This Row],[5]]="TPL"),Tabla1[[#This Row],[7]],"")</f>
        <v/>
      </c>
      <c r="M1151" s="52">
        <f>IF(Tabla15[[#This Row],[5]]="",0,VLOOKUP(TRAMOS!$K$2,Tabla5[#All],3,FALSE)*Tabla15[[#This Row],[6]])</f>
        <v>0</v>
      </c>
      <c r="N115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2"</v>
      </c>
      <c r="O1151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1151" s="52">
        <f>IF(Tabla15[[#This Row],[8]]="",0,VLOOKUP(TRAMOS!$H$2,Tabla5[#All],3,FALSE)*Tabla15[[#This Row],[9]])</f>
        <v>0.15</v>
      </c>
      <c r="Q115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5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51" s="52">
        <f>IF(Tabla15[[#This Row],[11]]="",0,VLOOKUP(TRAMOS!$Q$2,Tabla5[#All],3,FALSE)*Tabla15[[#This Row],[12]])</f>
        <v>0</v>
      </c>
      <c r="T115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5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5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5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5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5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5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5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51" s="52">
        <f>IF(Tabla15[[#This Row],[20]]="",0,VLOOKUP("VRP",Tabla5[#All],3,FALSE)*Tabla15[[#This Row],[21]])</f>
        <v>0</v>
      </c>
      <c r="AC115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5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51" s="52">
        <f>IF(Tabla15[[#This Row],[23]]="",0,VLOOKUP("VC",Tabla5[#All],3,FALSE)*Tabla15[[#This Row],[24]])</f>
        <v>0</v>
      </c>
      <c r="AF115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5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51" s="52">
        <f>IF(Tabla15[[#This Row],[26]]="",0,VLOOKUP(TRAMOS!$K$2,Tabla5[#All],3,FALSE)*Tabla15[[#This Row],[27]])</f>
        <v>0</v>
      </c>
      <c r="AI115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5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5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5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5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151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5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152" spans="2:41" x14ac:dyDescent="0.25">
      <c r="B1152" s="58" t="str">
        <f>Tabla1[[#This Row],[nudo inicial]]</f>
        <v>N617</v>
      </c>
      <c r="C1152" s="58" t="str">
        <f>Tabla1[[#This Row],[nudo final]]</f>
        <v>N618</v>
      </c>
      <c r="D1152" s="51">
        <f>Tabla1[[#This Row],[longitud]]</f>
        <v>27.5</v>
      </c>
      <c r="E1152" s="51" t="str">
        <f>Tabla1[[#This Row],[diametro]]</f>
        <v>2"</v>
      </c>
      <c r="F1152" s="51" t="str">
        <f>Tabla1[[#This Row],[material]]</f>
        <v>PVC</v>
      </c>
      <c r="G115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52" s="52" t="str">
        <f>IF(Tabla1[[#This Row],[5]]="TPD",Tabla1[[#This Row],[6]],"")</f>
        <v/>
      </c>
      <c r="I1152" s="52" t="str">
        <f>IF(OR(Tabla1[[#This Row],[5]]="TPD"),Tabla1[[#This Row],[7]],"")</f>
        <v/>
      </c>
      <c r="J1152" s="52">
        <f>IF(Tabla15[[#This Row],[2]]="",0,VLOOKUP(TRAMOS!$H$2,Tabla5[#All],3,FALSE)*Tabla15[[#This Row],[3]])</f>
        <v>0</v>
      </c>
      <c r="K1152" s="52" t="str">
        <f>IF(Tabla1[[#This Row],[5]]="TPL",Tabla1[[#This Row],[6]],"")</f>
        <v/>
      </c>
      <c r="L1152" s="52" t="str">
        <f>IF(OR(Tabla1[[#This Row],[5]]="TPL"),Tabla1[[#This Row],[7]],"")</f>
        <v/>
      </c>
      <c r="M1152" s="52">
        <f>IF(Tabla15[[#This Row],[5]]="",0,VLOOKUP(TRAMOS!$K$2,Tabla5[#All],3,FALSE)*Tabla15[[#This Row],[6]])</f>
        <v>0</v>
      </c>
      <c r="N115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>2"</v>
      </c>
      <c r="O1152" s="52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>1</v>
      </c>
      <c r="P1152" s="52">
        <f>IF(Tabla15[[#This Row],[8]]="",0,VLOOKUP(TRAMOS!$H$2,Tabla5[#All],3,FALSE)*Tabla15[[#This Row],[9]])</f>
        <v>0.15</v>
      </c>
      <c r="Q115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5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52" s="52">
        <f>IF(Tabla15[[#This Row],[11]]="",0,VLOOKUP(TRAMOS!$Q$2,Tabla5[#All],3,FALSE)*Tabla15[[#This Row],[12]])</f>
        <v>0</v>
      </c>
      <c r="T115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5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5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5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5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5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5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5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52" s="52">
        <f>IF(Tabla15[[#This Row],[20]]="",0,VLOOKUP("VRP",Tabla5[#All],3,FALSE)*Tabla15[[#This Row],[21]])</f>
        <v>0</v>
      </c>
      <c r="AC115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5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52" s="52">
        <f>IF(Tabla15[[#This Row],[23]]="",0,VLOOKUP("VC",Tabla5[#All],3,FALSE)*Tabla15[[#This Row],[24]])</f>
        <v>0</v>
      </c>
      <c r="AF115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5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52" s="52">
        <f>IF(Tabla15[[#This Row],[26]]="",0,VLOOKUP(TRAMOS!$K$2,Tabla5[#All],3,FALSE)*Tabla15[[#This Row],[27]])</f>
        <v>0</v>
      </c>
      <c r="AI115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5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5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5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5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5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5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153" spans="2:41" x14ac:dyDescent="0.25">
      <c r="B1153" s="58" t="str">
        <f>Tabla1[[#This Row],[nudo inicial]]</f>
        <v>N618</v>
      </c>
      <c r="C1153" s="58" t="str">
        <f>Tabla1[[#This Row],[nudo final]]</f>
        <v>TP410</v>
      </c>
      <c r="D1153" s="51">
        <f>Tabla1[[#This Row],[longitud]]</f>
        <v>20.309999999999999</v>
      </c>
      <c r="E1153" s="51" t="str">
        <f>Tabla1[[#This Row],[diametro]]</f>
        <v>2"</v>
      </c>
      <c r="F1153" s="51" t="str">
        <f>Tabla1[[#This Row],[material]]</f>
        <v>PVC</v>
      </c>
      <c r="G115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53" s="52" t="str">
        <f>IF(Tabla1[[#This Row],[5]]="TPD",Tabla1[[#This Row],[6]],"")</f>
        <v/>
      </c>
      <c r="I1153" s="52" t="str">
        <f>IF(OR(Tabla1[[#This Row],[5]]="TPD"),Tabla1[[#This Row],[7]],"")</f>
        <v/>
      </c>
      <c r="J1153" s="52">
        <f>IF(Tabla15[[#This Row],[2]]="",0,VLOOKUP(TRAMOS!$H$2,Tabla5[#All],3,FALSE)*Tabla15[[#This Row],[3]])</f>
        <v>0</v>
      </c>
      <c r="K1153" s="52" t="str">
        <f>IF(Tabla1[[#This Row],[5]]="TPL",Tabla1[[#This Row],[6]],"")</f>
        <v>2"</v>
      </c>
      <c r="L1153" s="52">
        <f>IF(OR(Tabla1[[#This Row],[5]]="TPL"),Tabla1[[#This Row],[7]],"")</f>
        <v>1</v>
      </c>
      <c r="M1153" s="52">
        <f>IF(Tabla15[[#This Row],[5]]="",0,VLOOKUP(TRAMOS!$K$2,Tabla5[#All],3,FALSE)*Tabla15[[#This Row],[6]])</f>
        <v>0.9</v>
      </c>
      <c r="N115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5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53" s="52">
        <f>IF(Tabla15[[#This Row],[8]]="",0,VLOOKUP(TRAMOS!$H$2,Tabla5[#All],3,FALSE)*Tabla15[[#This Row],[9]])</f>
        <v>0</v>
      </c>
      <c r="Q115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5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53" s="52">
        <f>IF(Tabla15[[#This Row],[11]]="",0,VLOOKUP(TRAMOS!$Q$2,Tabla5[#All],3,FALSE)*Tabla15[[#This Row],[12]])</f>
        <v>0</v>
      </c>
      <c r="T115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5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5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5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5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5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5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5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53" s="52">
        <f>IF(Tabla15[[#This Row],[20]]="",0,VLOOKUP("VRP",Tabla5[#All],3,FALSE)*Tabla15[[#This Row],[21]])</f>
        <v>0</v>
      </c>
      <c r="AC115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5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53" s="52">
        <f>IF(Tabla15[[#This Row],[23]]="",0,VLOOKUP("VC",Tabla5[#All],3,FALSE)*Tabla15[[#This Row],[24]])</f>
        <v>0</v>
      </c>
      <c r="AF115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5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53" s="52">
        <f>IF(Tabla15[[#This Row],[26]]="",0,VLOOKUP(TRAMOS!$K$2,Tabla5[#All],3,FALSE)*Tabla15[[#This Row],[27]])</f>
        <v>0</v>
      </c>
      <c r="AI115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5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5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5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5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153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5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154" spans="2:41" x14ac:dyDescent="0.25">
      <c r="B1154" s="58" t="str">
        <f>Tabla1[[#This Row],[nudo inicial]]</f>
        <v>N618</v>
      </c>
      <c r="C1154" s="58" t="str">
        <f>Tabla1[[#This Row],[nudo final]]</f>
        <v>TP411</v>
      </c>
      <c r="D1154" s="51">
        <f>Tabla1[[#This Row],[longitud]]</f>
        <v>59.16</v>
      </c>
      <c r="E1154" s="51" t="str">
        <f>Tabla1[[#This Row],[diametro]]</f>
        <v>2"</v>
      </c>
      <c r="F1154" s="51" t="str">
        <f>Tabla1[[#This Row],[material]]</f>
        <v>PVC</v>
      </c>
      <c r="G115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54" s="52" t="str">
        <f>IF(Tabla1[[#This Row],[5]]="TPD",Tabla1[[#This Row],[6]],"")</f>
        <v/>
      </c>
      <c r="I1154" s="52" t="str">
        <f>IF(OR(Tabla1[[#This Row],[5]]="TPD"),Tabla1[[#This Row],[7]],"")</f>
        <v/>
      </c>
      <c r="J1154" s="52">
        <f>IF(Tabla15[[#This Row],[2]]="",0,VLOOKUP(TRAMOS!$H$2,Tabla5[#All],3,FALSE)*Tabla15[[#This Row],[3]])</f>
        <v>0</v>
      </c>
      <c r="K1154" s="52" t="str">
        <f>IF(Tabla1[[#This Row],[5]]="TPL",Tabla1[[#This Row],[6]],"")</f>
        <v>2"</v>
      </c>
      <c r="L1154" s="52">
        <f>IF(OR(Tabla1[[#This Row],[5]]="TPL"),Tabla1[[#This Row],[7]],"")</f>
        <v>1</v>
      </c>
      <c r="M1154" s="52">
        <f>IF(Tabla15[[#This Row],[5]]="",0,VLOOKUP(TRAMOS!$K$2,Tabla5[#All],3,FALSE)*Tabla15[[#This Row],[6]])</f>
        <v>0.9</v>
      </c>
      <c r="N115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5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54" s="52">
        <f>IF(Tabla15[[#This Row],[8]]="",0,VLOOKUP(TRAMOS!$H$2,Tabla5[#All],3,FALSE)*Tabla15[[#This Row],[9]])</f>
        <v>0</v>
      </c>
      <c r="Q115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5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54" s="52">
        <f>IF(Tabla15[[#This Row],[11]]="",0,VLOOKUP(TRAMOS!$Q$2,Tabla5[#All],3,FALSE)*Tabla15[[#This Row],[12]])</f>
        <v>0</v>
      </c>
      <c r="T115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5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5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5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5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5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5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5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54" s="52">
        <f>IF(Tabla15[[#This Row],[20]]="",0,VLOOKUP("VRP",Tabla5[#All],3,FALSE)*Tabla15[[#This Row],[21]])</f>
        <v>0</v>
      </c>
      <c r="AC115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5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54" s="52">
        <f>IF(Tabla15[[#This Row],[23]]="",0,VLOOKUP("VC",Tabla5[#All],3,FALSE)*Tabla15[[#This Row],[24]])</f>
        <v>0</v>
      </c>
      <c r="AF115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5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54" s="52">
        <f>IF(Tabla15[[#This Row],[26]]="",0,VLOOKUP(TRAMOS!$K$2,Tabla5[#All],3,FALSE)*Tabla15[[#This Row],[27]])</f>
        <v>0</v>
      </c>
      <c r="AI115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5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5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5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5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154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5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155" spans="2:41" x14ac:dyDescent="0.25">
      <c r="B1155" s="58" t="str">
        <f>Tabla1[[#This Row],[nudo inicial]]</f>
        <v>N614</v>
      </c>
      <c r="C1155" s="58" t="str">
        <f>Tabla1[[#This Row],[nudo final]]</f>
        <v>N619</v>
      </c>
      <c r="D1155" s="51">
        <f>Tabla1[[#This Row],[longitud]]</f>
        <v>103.7</v>
      </c>
      <c r="E1155" s="51" t="str">
        <f>Tabla1[[#This Row],[diametro]]</f>
        <v>2"</v>
      </c>
      <c r="F1155" s="51" t="str">
        <f>Tabla1[[#This Row],[material]]</f>
        <v>PVC</v>
      </c>
      <c r="G115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55" s="52" t="str">
        <f>IF(Tabla1[[#This Row],[5]]="TPD",Tabla1[[#This Row],[6]],"")</f>
        <v/>
      </c>
      <c r="I1155" s="52" t="str">
        <f>IF(OR(Tabla1[[#This Row],[5]]="TPD"),Tabla1[[#This Row],[7]],"")</f>
        <v/>
      </c>
      <c r="J1155" s="52">
        <f>IF(Tabla15[[#This Row],[2]]="",0,VLOOKUP(TRAMOS!$H$2,Tabla5[#All],3,FALSE)*Tabla15[[#This Row],[3]])</f>
        <v>0</v>
      </c>
      <c r="K1155" s="52" t="str">
        <f>IF(Tabla1[[#This Row],[5]]="TPL",Tabla1[[#This Row],[6]],"")</f>
        <v>2"</v>
      </c>
      <c r="L1155" s="52">
        <f>IF(OR(Tabla1[[#This Row],[5]]="TPL"),Tabla1[[#This Row],[7]],"")</f>
        <v>1</v>
      </c>
      <c r="M1155" s="52">
        <f>IF(Tabla15[[#This Row],[5]]="",0,VLOOKUP(TRAMOS!$K$2,Tabla5[#All],3,FALSE)*Tabla15[[#This Row],[6]])</f>
        <v>0.9</v>
      </c>
      <c r="N115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5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55" s="52">
        <f>IF(Tabla15[[#This Row],[8]]="",0,VLOOKUP(TRAMOS!$H$2,Tabla5[#All],3,FALSE)*Tabla15[[#This Row],[9]])</f>
        <v>0</v>
      </c>
      <c r="Q115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5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55" s="52">
        <f>IF(Tabla15[[#This Row],[11]]="",0,VLOOKUP(TRAMOS!$Q$2,Tabla5[#All],3,FALSE)*Tabla15[[#This Row],[12]])</f>
        <v>0</v>
      </c>
      <c r="T115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5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5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5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5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5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5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5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55" s="52">
        <f>IF(Tabla15[[#This Row],[20]]="",0,VLOOKUP("VRP",Tabla5[#All],3,FALSE)*Tabla15[[#This Row],[21]])</f>
        <v>0</v>
      </c>
      <c r="AC115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5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55" s="52">
        <f>IF(Tabla15[[#This Row],[23]]="",0,VLOOKUP("VC",Tabla5[#All],3,FALSE)*Tabla15[[#This Row],[24]])</f>
        <v>0</v>
      </c>
      <c r="AF115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5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55" s="52">
        <f>IF(Tabla15[[#This Row],[26]]="",0,VLOOKUP(TRAMOS!$K$2,Tabla5[#All],3,FALSE)*Tabla15[[#This Row],[27]])</f>
        <v>0</v>
      </c>
      <c r="AI115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5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5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5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5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5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5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156" spans="2:41" x14ac:dyDescent="0.25">
      <c r="B1156" s="58" t="str">
        <f>Tabla1[[#This Row],[nudo inicial]]</f>
        <v>N619</v>
      </c>
      <c r="C1156" s="58" t="str">
        <f>Tabla1[[#This Row],[nudo final]]</f>
        <v>TP412</v>
      </c>
      <c r="D1156" s="51">
        <f>Tabla1[[#This Row],[longitud]]</f>
        <v>71.7</v>
      </c>
      <c r="E1156" s="51" t="str">
        <f>Tabla1[[#This Row],[diametro]]</f>
        <v>2"</v>
      </c>
      <c r="F1156" s="51" t="str">
        <f>Tabla1[[#This Row],[material]]</f>
        <v>PVC</v>
      </c>
      <c r="G115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56" s="52" t="str">
        <f>IF(Tabla1[[#This Row],[5]]="TPD",Tabla1[[#This Row],[6]],"")</f>
        <v/>
      </c>
      <c r="I1156" s="52" t="str">
        <f>IF(OR(Tabla1[[#This Row],[5]]="TPD"),Tabla1[[#This Row],[7]],"")</f>
        <v/>
      </c>
      <c r="J1156" s="52">
        <f>IF(Tabla15[[#This Row],[2]]="",0,VLOOKUP(TRAMOS!$H$2,Tabla5[#All],3,FALSE)*Tabla15[[#This Row],[3]])</f>
        <v>0</v>
      </c>
      <c r="K1156" s="52" t="str">
        <f>IF(Tabla1[[#This Row],[5]]="TPL",Tabla1[[#This Row],[6]],"")</f>
        <v>2"</v>
      </c>
      <c r="L1156" s="52">
        <f>IF(OR(Tabla1[[#This Row],[5]]="TPL"),Tabla1[[#This Row],[7]],"")</f>
        <v>1</v>
      </c>
      <c r="M1156" s="52">
        <f>IF(Tabla15[[#This Row],[5]]="",0,VLOOKUP(TRAMOS!$K$2,Tabla5[#All],3,FALSE)*Tabla15[[#This Row],[6]])</f>
        <v>0.9</v>
      </c>
      <c r="N115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5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56" s="52">
        <f>IF(Tabla15[[#This Row],[8]]="",0,VLOOKUP(TRAMOS!$H$2,Tabla5[#All],3,FALSE)*Tabla15[[#This Row],[9]])</f>
        <v>0</v>
      </c>
      <c r="Q115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5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56" s="52">
        <f>IF(Tabla15[[#This Row],[11]]="",0,VLOOKUP(TRAMOS!$Q$2,Tabla5[#All],3,FALSE)*Tabla15[[#This Row],[12]])</f>
        <v>0</v>
      </c>
      <c r="T115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5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5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5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5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5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5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5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56" s="52">
        <f>IF(Tabla15[[#This Row],[20]]="",0,VLOOKUP("VRP",Tabla5[#All],3,FALSE)*Tabla15[[#This Row],[21]])</f>
        <v>0</v>
      </c>
      <c r="AC115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5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56" s="52">
        <f>IF(Tabla15[[#This Row],[23]]="",0,VLOOKUP("VC",Tabla5[#All],3,FALSE)*Tabla15[[#This Row],[24]])</f>
        <v>0</v>
      </c>
      <c r="AF115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5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56" s="52">
        <f>IF(Tabla15[[#This Row],[26]]="",0,VLOOKUP(TRAMOS!$K$2,Tabla5[#All],3,FALSE)*Tabla15[[#This Row],[27]])</f>
        <v>0</v>
      </c>
      <c r="AI115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5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5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5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5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15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5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157" spans="2:41" x14ac:dyDescent="0.25">
      <c r="B1157" s="58" t="str">
        <f>Tabla1[[#This Row],[nudo inicial]]</f>
        <v>N619</v>
      </c>
      <c r="C1157" s="58" t="str">
        <f>Tabla1[[#This Row],[nudo final]]</f>
        <v>N620</v>
      </c>
      <c r="D1157" s="51">
        <f>Tabla1[[#This Row],[longitud]]</f>
        <v>40.450000000000003</v>
      </c>
      <c r="E1157" s="51" t="str">
        <f>Tabla1[[#This Row],[diametro]]</f>
        <v>2"</v>
      </c>
      <c r="F1157" s="51" t="str">
        <f>Tabla1[[#This Row],[material]]</f>
        <v>PVC</v>
      </c>
      <c r="G115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57" s="52" t="str">
        <f>IF(Tabla1[[#This Row],[5]]="TPD",Tabla1[[#This Row],[6]],"")</f>
        <v>2"</v>
      </c>
      <c r="I1157" s="52">
        <f>IF(OR(Tabla1[[#This Row],[5]]="TPD"),Tabla1[[#This Row],[7]],"")</f>
        <v>1</v>
      </c>
      <c r="J1157" s="52">
        <f>IF(Tabla15[[#This Row],[2]]="",0,VLOOKUP(TRAMOS!$H$2,Tabla5[#All],3,FALSE)*Tabla15[[#This Row],[3]])</f>
        <v>0.15</v>
      </c>
      <c r="K1157" s="52" t="str">
        <f>IF(Tabla1[[#This Row],[5]]="TPL",Tabla1[[#This Row],[6]],"")</f>
        <v/>
      </c>
      <c r="L1157" s="52" t="str">
        <f>IF(OR(Tabla1[[#This Row],[5]]="TPL"),Tabla1[[#This Row],[7]],"")</f>
        <v/>
      </c>
      <c r="M1157" s="52">
        <f>IF(Tabla15[[#This Row],[5]]="",0,VLOOKUP(TRAMOS!$K$2,Tabla5[#All],3,FALSE)*Tabla15[[#This Row],[6]])</f>
        <v>0</v>
      </c>
      <c r="N115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5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57" s="52">
        <f>IF(Tabla15[[#This Row],[8]]="",0,VLOOKUP(TRAMOS!$H$2,Tabla5[#All],3,FALSE)*Tabla15[[#This Row],[9]])</f>
        <v>0</v>
      </c>
      <c r="Q115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5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57" s="52">
        <f>IF(Tabla15[[#This Row],[11]]="",0,VLOOKUP(TRAMOS!$Q$2,Tabla5[#All],3,FALSE)*Tabla15[[#This Row],[12]])</f>
        <v>0</v>
      </c>
      <c r="T115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5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5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5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5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5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5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5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57" s="52">
        <f>IF(Tabla15[[#This Row],[20]]="",0,VLOOKUP("VRP",Tabla5[#All],3,FALSE)*Tabla15[[#This Row],[21]])</f>
        <v>0</v>
      </c>
      <c r="AC115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1157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1157" s="52">
        <f>IF(Tabla15[[#This Row],[23]]="",0,VLOOKUP("VC",Tabla5[#All],3,FALSE)*Tabla15[[#This Row],[24]])</f>
        <v>0.25</v>
      </c>
      <c r="AF115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5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57" s="52">
        <f>IF(Tabla15[[#This Row],[26]]="",0,VLOOKUP(TRAMOS!$K$2,Tabla5[#All],3,FALSE)*Tabla15[[#This Row],[27]])</f>
        <v>0</v>
      </c>
      <c r="AI115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5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5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5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5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5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5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0.4</v>
      </c>
    </row>
    <row r="1158" spans="2:41" x14ac:dyDescent="0.25">
      <c r="B1158" s="58" t="str">
        <f>Tabla1[[#This Row],[nudo inicial]]</f>
        <v>N620</v>
      </c>
      <c r="C1158" s="58" t="str">
        <f>Tabla1[[#This Row],[nudo final]]</f>
        <v>TP413</v>
      </c>
      <c r="D1158" s="51">
        <f>Tabla1[[#This Row],[longitud]]</f>
        <v>122.76</v>
      </c>
      <c r="E1158" s="51" t="str">
        <f>Tabla1[[#This Row],[diametro]]</f>
        <v>2"</v>
      </c>
      <c r="F1158" s="51" t="str">
        <f>Tabla1[[#This Row],[material]]</f>
        <v>PVC</v>
      </c>
      <c r="G115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58" s="52" t="str">
        <f>IF(Tabla1[[#This Row],[5]]="TPD",Tabla1[[#This Row],[6]],"")</f>
        <v/>
      </c>
      <c r="I1158" s="52" t="str">
        <f>IF(OR(Tabla1[[#This Row],[5]]="TPD"),Tabla1[[#This Row],[7]],"")</f>
        <v/>
      </c>
      <c r="J1158" s="52">
        <f>IF(Tabla15[[#This Row],[2]]="",0,VLOOKUP(TRAMOS!$H$2,Tabla5[#All],3,FALSE)*Tabla15[[#This Row],[3]])</f>
        <v>0</v>
      </c>
      <c r="K1158" s="52" t="str">
        <f>IF(Tabla1[[#This Row],[5]]="TPL",Tabla1[[#This Row],[6]],"")</f>
        <v>2"</v>
      </c>
      <c r="L1158" s="52">
        <f>IF(OR(Tabla1[[#This Row],[5]]="TPL"),Tabla1[[#This Row],[7]],"")</f>
        <v>1</v>
      </c>
      <c r="M1158" s="52">
        <f>IF(Tabla15[[#This Row],[5]]="",0,VLOOKUP(TRAMOS!$K$2,Tabla5[#All],3,FALSE)*Tabla15[[#This Row],[6]])</f>
        <v>0.9</v>
      </c>
      <c r="N115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5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58" s="52">
        <f>IF(Tabla15[[#This Row],[8]]="",0,VLOOKUP(TRAMOS!$H$2,Tabla5[#All],3,FALSE)*Tabla15[[#This Row],[9]])</f>
        <v>0</v>
      </c>
      <c r="Q115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5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58" s="52">
        <f>IF(Tabla15[[#This Row],[11]]="",0,VLOOKUP(TRAMOS!$Q$2,Tabla5[#All],3,FALSE)*Tabla15[[#This Row],[12]])</f>
        <v>0</v>
      </c>
      <c r="T115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5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5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5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5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5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5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5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58" s="52">
        <f>IF(Tabla15[[#This Row],[20]]="",0,VLOOKUP("VRP",Tabla5[#All],3,FALSE)*Tabla15[[#This Row],[21]])</f>
        <v>0</v>
      </c>
      <c r="AC115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5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58" s="52">
        <f>IF(Tabla15[[#This Row],[23]]="",0,VLOOKUP("VC",Tabla5[#All],3,FALSE)*Tabla15[[#This Row],[24]])</f>
        <v>0</v>
      </c>
      <c r="AF115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5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58" s="52">
        <f>IF(Tabla15[[#This Row],[26]]="",0,VLOOKUP(TRAMOS!$K$2,Tabla5[#All],3,FALSE)*Tabla15[[#This Row],[27]])</f>
        <v>0</v>
      </c>
      <c r="AI115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5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5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5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5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158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5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159" spans="2:41" x14ac:dyDescent="0.25">
      <c r="B1159" s="58" t="str">
        <f>Tabla1[[#This Row],[nudo inicial]]</f>
        <v>N620</v>
      </c>
      <c r="C1159" s="58" t="str">
        <f>Tabla1[[#This Row],[nudo final]]</f>
        <v>N621</v>
      </c>
      <c r="D1159" s="51">
        <f>Tabla1[[#This Row],[longitud]]</f>
        <v>12.32</v>
      </c>
      <c r="E1159" s="51" t="str">
        <f>Tabla1[[#This Row],[diametro]]</f>
        <v>2"</v>
      </c>
      <c r="F1159" s="51" t="str">
        <f>Tabla1[[#This Row],[material]]</f>
        <v>PVC</v>
      </c>
      <c r="G115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59" s="52" t="str">
        <f>IF(Tabla1[[#This Row],[5]]="TPD",Tabla1[[#This Row],[6]],"")</f>
        <v>2"</v>
      </c>
      <c r="I1159" s="52">
        <f>IF(OR(Tabla1[[#This Row],[5]]="TPD"),Tabla1[[#This Row],[7]],"")</f>
        <v>1</v>
      </c>
      <c r="J1159" s="52">
        <f>IF(Tabla15[[#This Row],[2]]="",0,VLOOKUP(TRAMOS!$H$2,Tabla5[#All],3,FALSE)*Tabla15[[#This Row],[3]])</f>
        <v>0.15</v>
      </c>
      <c r="K1159" s="52" t="str">
        <f>IF(Tabla1[[#This Row],[5]]="TPL",Tabla1[[#This Row],[6]],"")</f>
        <v/>
      </c>
      <c r="L1159" s="52" t="str">
        <f>IF(OR(Tabla1[[#This Row],[5]]="TPL"),Tabla1[[#This Row],[7]],"")</f>
        <v/>
      </c>
      <c r="M1159" s="52">
        <f>IF(Tabla15[[#This Row],[5]]="",0,VLOOKUP(TRAMOS!$K$2,Tabla5[#All],3,FALSE)*Tabla15[[#This Row],[6]])</f>
        <v>0</v>
      </c>
      <c r="N115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5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59" s="52">
        <f>IF(Tabla15[[#This Row],[8]]="",0,VLOOKUP(TRAMOS!$H$2,Tabla5[#All],3,FALSE)*Tabla15[[#This Row],[9]])</f>
        <v>0</v>
      </c>
      <c r="Q115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5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59" s="52">
        <f>IF(Tabla15[[#This Row],[11]]="",0,VLOOKUP(TRAMOS!$Q$2,Tabla5[#All],3,FALSE)*Tabla15[[#This Row],[12]])</f>
        <v>0</v>
      </c>
      <c r="T115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5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5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5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5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5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5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5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59" s="52">
        <f>IF(Tabla15[[#This Row],[20]]="",0,VLOOKUP("VRP",Tabla5[#All],3,FALSE)*Tabla15[[#This Row],[21]])</f>
        <v>0</v>
      </c>
      <c r="AC115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5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59" s="52">
        <f>IF(Tabla15[[#This Row],[23]]="",0,VLOOKUP("VC",Tabla5[#All],3,FALSE)*Tabla15[[#This Row],[24]])</f>
        <v>0</v>
      </c>
      <c r="AF115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5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59" s="52">
        <f>IF(Tabla15[[#This Row],[26]]="",0,VLOOKUP(TRAMOS!$K$2,Tabla5[#All],3,FALSE)*Tabla15[[#This Row],[27]])</f>
        <v>0</v>
      </c>
      <c r="AI115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5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5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5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5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5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5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160" spans="2:41" x14ac:dyDescent="0.25">
      <c r="B1160" s="58" t="str">
        <f>Tabla1[[#This Row],[nudo inicial]]</f>
        <v>N621</v>
      </c>
      <c r="C1160" s="58" t="str">
        <f>Tabla1[[#This Row],[nudo final]]</f>
        <v>TP414</v>
      </c>
      <c r="D1160" s="51">
        <f>Tabla1[[#This Row],[longitud]]</f>
        <v>52.4</v>
      </c>
      <c r="E1160" s="51" t="str">
        <f>Tabla1[[#This Row],[diametro]]</f>
        <v>2"</v>
      </c>
      <c r="F1160" s="51" t="str">
        <f>Tabla1[[#This Row],[material]]</f>
        <v>PVC</v>
      </c>
      <c r="G116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60" s="52" t="str">
        <f>IF(Tabla1[[#This Row],[5]]="TPD",Tabla1[[#This Row],[6]],"")</f>
        <v/>
      </c>
      <c r="I1160" s="52" t="str">
        <f>IF(OR(Tabla1[[#This Row],[5]]="TPD"),Tabla1[[#This Row],[7]],"")</f>
        <v/>
      </c>
      <c r="J1160" s="52">
        <f>IF(Tabla15[[#This Row],[2]]="",0,VLOOKUP(TRAMOS!$H$2,Tabla5[#All],3,FALSE)*Tabla15[[#This Row],[3]])</f>
        <v>0</v>
      </c>
      <c r="K1160" s="52" t="str">
        <f>IF(Tabla1[[#This Row],[5]]="TPL",Tabla1[[#This Row],[6]],"")</f>
        <v>2"</v>
      </c>
      <c r="L1160" s="52">
        <f>IF(OR(Tabla1[[#This Row],[5]]="TPL"),Tabla1[[#This Row],[7]],"")</f>
        <v>1</v>
      </c>
      <c r="M1160" s="52">
        <f>IF(Tabla15[[#This Row],[5]]="",0,VLOOKUP(TRAMOS!$K$2,Tabla5[#All],3,FALSE)*Tabla15[[#This Row],[6]])</f>
        <v>0.9</v>
      </c>
      <c r="N116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6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60" s="52">
        <f>IF(Tabla15[[#This Row],[8]]="",0,VLOOKUP(TRAMOS!$H$2,Tabla5[#All],3,FALSE)*Tabla15[[#This Row],[9]])</f>
        <v>0</v>
      </c>
      <c r="Q116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6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60" s="52">
        <f>IF(Tabla15[[#This Row],[11]]="",0,VLOOKUP(TRAMOS!$Q$2,Tabla5[#All],3,FALSE)*Tabla15[[#This Row],[12]])</f>
        <v>0</v>
      </c>
      <c r="T116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6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6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6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6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6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6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6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60" s="52">
        <f>IF(Tabla15[[#This Row],[20]]="",0,VLOOKUP("VRP",Tabla5[#All],3,FALSE)*Tabla15[[#This Row],[21]])</f>
        <v>0</v>
      </c>
      <c r="AC116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6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60" s="52">
        <f>IF(Tabla15[[#This Row],[23]]="",0,VLOOKUP("VC",Tabla5[#All],3,FALSE)*Tabla15[[#This Row],[24]])</f>
        <v>0</v>
      </c>
      <c r="AF116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6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60" s="52">
        <f>IF(Tabla15[[#This Row],[26]]="",0,VLOOKUP(TRAMOS!$K$2,Tabla5[#All],3,FALSE)*Tabla15[[#This Row],[27]])</f>
        <v>0</v>
      </c>
      <c r="AI116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6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6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6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6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160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6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161" spans="2:41" x14ac:dyDescent="0.25">
      <c r="B1161" s="58" t="str">
        <f>Tabla1[[#This Row],[nudo inicial]]</f>
        <v>N621</v>
      </c>
      <c r="C1161" s="58" t="str">
        <f>Tabla1[[#This Row],[nudo final]]</f>
        <v>N622</v>
      </c>
      <c r="D1161" s="51">
        <f>Tabla1[[#This Row],[longitud]]</f>
        <v>41.68</v>
      </c>
      <c r="E1161" s="51" t="str">
        <f>Tabla1[[#This Row],[diametro]]</f>
        <v>2"</v>
      </c>
      <c r="F1161" s="51" t="str">
        <f>Tabla1[[#This Row],[material]]</f>
        <v>PVC</v>
      </c>
      <c r="G116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61" s="52" t="str">
        <f>IF(Tabla1[[#This Row],[5]]="TPD",Tabla1[[#This Row],[6]],"")</f>
        <v>2"</v>
      </c>
      <c r="I1161" s="52">
        <f>IF(OR(Tabla1[[#This Row],[5]]="TPD"),Tabla1[[#This Row],[7]],"")</f>
        <v>1</v>
      </c>
      <c r="J1161" s="52">
        <f>IF(Tabla15[[#This Row],[2]]="",0,VLOOKUP(TRAMOS!$H$2,Tabla5[#All],3,FALSE)*Tabla15[[#This Row],[3]])</f>
        <v>0.15</v>
      </c>
      <c r="K1161" s="52" t="str">
        <f>IF(Tabla1[[#This Row],[5]]="TPL",Tabla1[[#This Row],[6]],"")</f>
        <v/>
      </c>
      <c r="L1161" s="52" t="str">
        <f>IF(OR(Tabla1[[#This Row],[5]]="TPL"),Tabla1[[#This Row],[7]],"")</f>
        <v/>
      </c>
      <c r="M1161" s="52">
        <f>IF(Tabla15[[#This Row],[5]]="",0,VLOOKUP(TRAMOS!$K$2,Tabla5[#All],3,FALSE)*Tabla15[[#This Row],[6]])</f>
        <v>0</v>
      </c>
      <c r="N116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6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61" s="52">
        <f>IF(Tabla15[[#This Row],[8]]="",0,VLOOKUP(TRAMOS!$H$2,Tabla5[#All],3,FALSE)*Tabla15[[#This Row],[9]])</f>
        <v>0</v>
      </c>
      <c r="Q116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6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61" s="52">
        <f>IF(Tabla15[[#This Row],[11]]="",0,VLOOKUP(TRAMOS!$Q$2,Tabla5[#All],3,FALSE)*Tabla15[[#This Row],[12]])</f>
        <v>0</v>
      </c>
      <c r="T116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6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6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6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6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6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6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6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61" s="52">
        <f>IF(Tabla15[[#This Row],[20]]="",0,VLOOKUP("VRP",Tabla5[#All],3,FALSE)*Tabla15[[#This Row],[21]])</f>
        <v>0</v>
      </c>
      <c r="AC116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6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61" s="52">
        <f>IF(Tabla15[[#This Row],[23]]="",0,VLOOKUP("VC",Tabla5[#All],3,FALSE)*Tabla15[[#This Row],[24]])</f>
        <v>0</v>
      </c>
      <c r="AF116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6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61" s="52">
        <f>IF(Tabla15[[#This Row],[26]]="",0,VLOOKUP(TRAMOS!$K$2,Tabla5[#All],3,FALSE)*Tabla15[[#This Row],[27]])</f>
        <v>0</v>
      </c>
      <c r="AI116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6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6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6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6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6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6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162" spans="2:41" x14ac:dyDescent="0.25">
      <c r="B1162" s="58" t="str">
        <f>Tabla1[[#This Row],[nudo inicial]]</f>
        <v>N622</v>
      </c>
      <c r="C1162" s="58" t="str">
        <f>Tabla1[[#This Row],[nudo final]]</f>
        <v>TP415</v>
      </c>
      <c r="D1162" s="51">
        <f>Tabla1[[#This Row],[longitud]]</f>
        <v>110.82</v>
      </c>
      <c r="E1162" s="51" t="str">
        <f>Tabla1[[#This Row],[diametro]]</f>
        <v>2"</v>
      </c>
      <c r="F1162" s="51" t="str">
        <f>Tabla1[[#This Row],[material]]</f>
        <v>PVC</v>
      </c>
      <c r="G116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62" s="52" t="str">
        <f>IF(Tabla1[[#This Row],[5]]="TPD",Tabla1[[#This Row],[6]],"")</f>
        <v/>
      </c>
      <c r="I1162" s="52" t="str">
        <f>IF(OR(Tabla1[[#This Row],[5]]="TPD"),Tabla1[[#This Row],[7]],"")</f>
        <v/>
      </c>
      <c r="J1162" s="52">
        <f>IF(Tabla15[[#This Row],[2]]="",0,VLOOKUP(TRAMOS!$H$2,Tabla5[#All],3,FALSE)*Tabla15[[#This Row],[3]])</f>
        <v>0</v>
      </c>
      <c r="K1162" s="52" t="str">
        <f>IF(Tabla1[[#This Row],[5]]="TPL",Tabla1[[#This Row],[6]],"")</f>
        <v>2"</v>
      </c>
      <c r="L1162" s="52">
        <f>IF(OR(Tabla1[[#This Row],[5]]="TPL"),Tabla1[[#This Row],[7]],"")</f>
        <v>1</v>
      </c>
      <c r="M1162" s="52">
        <f>IF(Tabla15[[#This Row],[5]]="",0,VLOOKUP(TRAMOS!$K$2,Tabla5[#All],3,FALSE)*Tabla15[[#This Row],[6]])</f>
        <v>0.9</v>
      </c>
      <c r="N116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6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62" s="52">
        <f>IF(Tabla15[[#This Row],[8]]="",0,VLOOKUP(TRAMOS!$H$2,Tabla5[#All],3,FALSE)*Tabla15[[#This Row],[9]])</f>
        <v>0</v>
      </c>
      <c r="Q116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6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62" s="52">
        <f>IF(Tabla15[[#This Row],[11]]="",0,VLOOKUP(TRAMOS!$Q$2,Tabla5[#All],3,FALSE)*Tabla15[[#This Row],[12]])</f>
        <v>0</v>
      </c>
      <c r="T116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6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6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6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6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6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6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6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62" s="52">
        <f>IF(Tabla15[[#This Row],[20]]="",0,VLOOKUP("VRP",Tabla5[#All],3,FALSE)*Tabla15[[#This Row],[21]])</f>
        <v>0</v>
      </c>
      <c r="AC116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6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62" s="52">
        <f>IF(Tabla15[[#This Row],[23]]="",0,VLOOKUP("VC",Tabla5[#All],3,FALSE)*Tabla15[[#This Row],[24]])</f>
        <v>0</v>
      </c>
      <c r="AF116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6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62" s="52">
        <f>IF(Tabla15[[#This Row],[26]]="",0,VLOOKUP(TRAMOS!$K$2,Tabla5[#All],3,FALSE)*Tabla15[[#This Row],[27]])</f>
        <v>0</v>
      </c>
      <c r="AI116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6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6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6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6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162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6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163" spans="2:41" x14ac:dyDescent="0.25">
      <c r="B1163" s="58" t="str">
        <f>Tabla1[[#This Row],[nudo inicial]]</f>
        <v>N622</v>
      </c>
      <c r="C1163" s="58" t="str">
        <f>Tabla1[[#This Row],[nudo final]]</f>
        <v>N623</v>
      </c>
      <c r="D1163" s="51">
        <f>Tabla1[[#This Row],[longitud]]</f>
        <v>51</v>
      </c>
      <c r="E1163" s="51" t="str">
        <f>Tabla1[[#This Row],[diametro]]</f>
        <v>2"</v>
      </c>
      <c r="F1163" s="51" t="str">
        <f>Tabla1[[#This Row],[material]]</f>
        <v>PVC</v>
      </c>
      <c r="G116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63" s="52" t="str">
        <f>IF(Tabla1[[#This Row],[5]]="TPD",Tabla1[[#This Row],[6]],"")</f>
        <v/>
      </c>
      <c r="I1163" s="52" t="str">
        <f>IF(OR(Tabla1[[#This Row],[5]]="TPD"),Tabla1[[#This Row],[7]],"")</f>
        <v/>
      </c>
      <c r="J1163" s="52">
        <f>IF(Tabla15[[#This Row],[2]]="",0,VLOOKUP(TRAMOS!$H$2,Tabla5[#All],3,FALSE)*Tabla15[[#This Row],[3]])</f>
        <v>0</v>
      </c>
      <c r="K1163" s="52" t="str">
        <f>IF(Tabla1[[#This Row],[5]]="TPL",Tabla1[[#This Row],[6]],"")</f>
        <v>2"</v>
      </c>
      <c r="L1163" s="52">
        <f>IF(OR(Tabla1[[#This Row],[5]]="TPL"),Tabla1[[#This Row],[7]],"")</f>
        <v>1</v>
      </c>
      <c r="M1163" s="52">
        <f>IF(Tabla15[[#This Row],[5]]="",0,VLOOKUP(TRAMOS!$K$2,Tabla5[#All],3,FALSE)*Tabla15[[#This Row],[6]])</f>
        <v>0.9</v>
      </c>
      <c r="N116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6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63" s="52">
        <f>IF(Tabla15[[#This Row],[8]]="",0,VLOOKUP(TRAMOS!$H$2,Tabla5[#All],3,FALSE)*Tabla15[[#This Row],[9]])</f>
        <v>0</v>
      </c>
      <c r="Q116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6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63" s="52">
        <f>IF(Tabla15[[#This Row],[11]]="",0,VLOOKUP(TRAMOS!$Q$2,Tabla5[#All],3,FALSE)*Tabla15[[#This Row],[12]])</f>
        <v>0</v>
      </c>
      <c r="T116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6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6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6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6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6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6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6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63" s="52">
        <f>IF(Tabla15[[#This Row],[20]]="",0,VLOOKUP("VRP",Tabla5[#All],3,FALSE)*Tabla15[[#This Row],[21]])</f>
        <v>0</v>
      </c>
      <c r="AC116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6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63" s="52">
        <f>IF(Tabla15[[#This Row],[23]]="",0,VLOOKUP("VC",Tabla5[#All],3,FALSE)*Tabla15[[#This Row],[24]])</f>
        <v>0</v>
      </c>
      <c r="AF116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6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63" s="52">
        <f>IF(Tabla15[[#This Row],[26]]="",0,VLOOKUP(TRAMOS!$K$2,Tabla5[#All],3,FALSE)*Tabla15[[#This Row],[27]])</f>
        <v>0</v>
      </c>
      <c r="AI116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6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6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6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6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63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6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164" spans="2:41" x14ac:dyDescent="0.25">
      <c r="B1164" s="58" t="str">
        <f>Tabla1[[#This Row],[nudo inicial]]</f>
        <v>N606</v>
      </c>
      <c r="C1164" s="58" t="str">
        <f>Tabla1[[#This Row],[nudo final]]</f>
        <v>T. VILLA CRISTINA</v>
      </c>
      <c r="D1164" s="51">
        <f>Tabla1[[#This Row],[longitud]]</f>
        <v>87.63</v>
      </c>
      <c r="E1164" s="51" t="str">
        <f>Tabla1[[#This Row],[diametro]]</f>
        <v>4"</v>
      </c>
      <c r="F1164" s="51" t="str">
        <f>Tabla1[[#This Row],[material]]</f>
        <v>PVC</v>
      </c>
      <c r="G116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1164" s="52" t="str">
        <f>IF(Tabla1[[#This Row],[5]]="TPD",Tabla1[[#This Row],[6]],"")</f>
        <v/>
      </c>
      <c r="I1164" s="52" t="str">
        <f>IF(OR(Tabla1[[#This Row],[5]]="TPD"),Tabla1[[#This Row],[7]],"")</f>
        <v/>
      </c>
      <c r="J1164" s="52">
        <f>IF(Tabla15[[#This Row],[2]]="",0,VLOOKUP(TRAMOS!$H$2,Tabla5[#All],3,FALSE)*Tabla15[[#This Row],[3]])</f>
        <v>0</v>
      </c>
      <c r="K1164" s="52" t="str">
        <f>IF(Tabla1[[#This Row],[5]]="TPL",Tabla1[[#This Row],[6]],"")</f>
        <v>4"</v>
      </c>
      <c r="L1164" s="52">
        <f>IF(OR(Tabla1[[#This Row],[5]]="TPL"),Tabla1[[#This Row],[7]],"")</f>
        <v>1</v>
      </c>
      <c r="M1164" s="52">
        <f>IF(Tabla15[[#This Row],[5]]="",0,VLOOKUP(TRAMOS!$K$2,Tabla5[#All],3,FALSE)*Tabla15[[#This Row],[6]])</f>
        <v>0.9</v>
      </c>
      <c r="N116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6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64" s="52">
        <f>IF(Tabla15[[#This Row],[8]]="",0,VLOOKUP(TRAMOS!$H$2,Tabla5[#All],3,FALSE)*Tabla15[[#This Row],[9]])</f>
        <v>0</v>
      </c>
      <c r="Q116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4"</v>
      </c>
      <c r="R1164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1164" s="52">
        <f>IF(Tabla15[[#This Row],[11]]="",0,VLOOKUP(TRAMOS!$Q$2,Tabla5[#All],3,FALSE)*Tabla15[[#This Row],[12]])</f>
        <v>0.9</v>
      </c>
      <c r="T116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6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6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6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6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6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6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6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64" s="52">
        <f>IF(Tabla15[[#This Row],[20]]="",0,VLOOKUP("VRP",Tabla5[#All],3,FALSE)*Tabla15[[#This Row],[21]])</f>
        <v>0</v>
      </c>
      <c r="AC116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6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64" s="52">
        <f>IF(Tabla15[[#This Row],[23]]="",0,VLOOKUP("VC",Tabla5[#All],3,FALSE)*Tabla15[[#This Row],[24]])</f>
        <v>0</v>
      </c>
      <c r="AF116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6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64" s="52">
        <f>IF(Tabla15[[#This Row],[26]]="",0,VLOOKUP(TRAMOS!$K$2,Tabla5[#All],3,FALSE)*Tabla15[[#This Row],[27]])</f>
        <v>0</v>
      </c>
      <c r="AI116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6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6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6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6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6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6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1.8</v>
      </c>
    </row>
    <row r="1165" spans="2:41" x14ac:dyDescent="0.25">
      <c r="B1165" s="58" t="str">
        <f>Tabla1[[#This Row],[nudo inicial]]</f>
        <v>T. VILLA CRISTINA</v>
      </c>
      <c r="C1165" s="58" t="str">
        <f>Tabla1[[#This Row],[nudo final]]</f>
        <v>N624</v>
      </c>
      <c r="D1165" s="51">
        <f>Tabla1[[#This Row],[longitud]]</f>
        <v>88.33</v>
      </c>
      <c r="E1165" s="51" t="str">
        <f>Tabla1[[#This Row],[diametro]]</f>
        <v>3"</v>
      </c>
      <c r="F1165" s="51" t="str">
        <f>Tabla1[[#This Row],[material]]</f>
        <v>PVC</v>
      </c>
      <c r="G116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1165" s="52" t="str">
        <f>IF(Tabla1[[#This Row],[5]]="TPD",Tabla1[[#This Row],[6]],"")</f>
        <v/>
      </c>
      <c r="I1165" s="52" t="str">
        <f>IF(OR(Tabla1[[#This Row],[5]]="TPD"),Tabla1[[#This Row],[7]],"")</f>
        <v/>
      </c>
      <c r="J1165" s="52">
        <f>IF(Tabla15[[#This Row],[2]]="",0,VLOOKUP(TRAMOS!$H$2,Tabla5[#All],3,FALSE)*Tabla15[[#This Row],[3]])</f>
        <v>0</v>
      </c>
      <c r="K1165" s="52" t="str">
        <f>IF(Tabla1[[#This Row],[5]]="TPL",Tabla1[[#This Row],[6]],"")</f>
        <v/>
      </c>
      <c r="L1165" s="52" t="str">
        <f>IF(OR(Tabla1[[#This Row],[5]]="TPL"),Tabla1[[#This Row],[7]],"")</f>
        <v/>
      </c>
      <c r="M1165" s="52">
        <f>IF(Tabla15[[#This Row],[5]]="",0,VLOOKUP(TRAMOS!$K$2,Tabla5[#All],3,FALSE)*Tabla15[[#This Row],[6]])</f>
        <v>0</v>
      </c>
      <c r="N116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6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65" s="52">
        <f>IF(Tabla15[[#This Row],[8]]="",0,VLOOKUP(TRAMOS!$H$2,Tabla5[#All],3,FALSE)*Tabla15[[#This Row],[9]])</f>
        <v>0</v>
      </c>
      <c r="Q116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3"</v>
      </c>
      <c r="R1165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2</v>
      </c>
      <c r="S1165" s="52">
        <f>IF(Tabla15[[#This Row],[11]]="",0,VLOOKUP(TRAMOS!$Q$2,Tabla5[#All],3,FALSE)*Tabla15[[#This Row],[12]])</f>
        <v>1.8</v>
      </c>
      <c r="T116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6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6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6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6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6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6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6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65" s="52">
        <f>IF(Tabla15[[#This Row],[20]]="",0,VLOOKUP("VRP",Tabla5[#All],3,FALSE)*Tabla15[[#This Row],[21]])</f>
        <v>0</v>
      </c>
      <c r="AC116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6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65" s="52">
        <f>IF(Tabla15[[#This Row],[23]]="",0,VLOOKUP("VC",Tabla5[#All],3,FALSE)*Tabla15[[#This Row],[24]])</f>
        <v>0</v>
      </c>
      <c r="AF116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6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65" s="52">
        <f>IF(Tabla15[[#This Row],[26]]="",0,VLOOKUP(TRAMOS!$K$2,Tabla5[#All],3,FALSE)*Tabla15[[#This Row],[27]])</f>
        <v>0</v>
      </c>
      <c r="AI116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6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6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6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6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6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6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1.8</v>
      </c>
    </row>
    <row r="1166" spans="2:41" x14ac:dyDescent="0.25">
      <c r="B1166" s="58" t="str">
        <f>Tabla1[[#This Row],[nudo inicial]]</f>
        <v>N624</v>
      </c>
      <c r="C1166" s="58" t="str">
        <f>Tabla1[[#This Row],[nudo final]]</f>
        <v>TP416</v>
      </c>
      <c r="D1166" s="51">
        <f>Tabla1[[#This Row],[longitud]]</f>
        <v>44.75</v>
      </c>
      <c r="E1166" s="51" t="str">
        <f>Tabla1[[#This Row],[diametro]]</f>
        <v>3"</v>
      </c>
      <c r="F1166" s="51" t="str">
        <f>Tabla1[[#This Row],[material]]</f>
        <v>PVC</v>
      </c>
      <c r="G116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166" s="52" t="str">
        <f>IF(Tabla1[[#This Row],[5]]="TPD",Tabla1[[#This Row],[6]],"")</f>
        <v/>
      </c>
      <c r="I1166" s="52" t="str">
        <f>IF(OR(Tabla1[[#This Row],[5]]="TPD"),Tabla1[[#This Row],[7]],"")</f>
        <v/>
      </c>
      <c r="J1166" s="52">
        <f>IF(Tabla15[[#This Row],[2]]="",0,VLOOKUP(TRAMOS!$H$2,Tabla5[#All],3,FALSE)*Tabla15[[#This Row],[3]])</f>
        <v>0</v>
      </c>
      <c r="K1166" s="52" t="str">
        <f>IF(Tabla1[[#This Row],[5]]="TPL",Tabla1[[#This Row],[6]],"")</f>
        <v>3"</v>
      </c>
      <c r="L1166" s="52">
        <f>IF(OR(Tabla1[[#This Row],[5]]="TPL"),Tabla1[[#This Row],[7]],"")</f>
        <v>1</v>
      </c>
      <c r="M1166" s="52">
        <f>IF(Tabla15[[#This Row],[5]]="",0,VLOOKUP(TRAMOS!$K$2,Tabla5[#All],3,FALSE)*Tabla15[[#This Row],[6]])</f>
        <v>0.9</v>
      </c>
      <c r="N116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6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66" s="52">
        <f>IF(Tabla15[[#This Row],[8]]="",0,VLOOKUP(TRAMOS!$H$2,Tabla5[#All],3,FALSE)*Tabla15[[#This Row],[9]])</f>
        <v>0</v>
      </c>
      <c r="Q116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6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66" s="52">
        <f>IF(Tabla15[[#This Row],[11]]="",0,VLOOKUP(TRAMOS!$Q$2,Tabla5[#All],3,FALSE)*Tabla15[[#This Row],[12]])</f>
        <v>0</v>
      </c>
      <c r="T116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6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6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6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6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6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6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6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66" s="52">
        <f>IF(Tabla15[[#This Row],[20]]="",0,VLOOKUP("VRP",Tabla5[#All],3,FALSE)*Tabla15[[#This Row],[21]])</f>
        <v>0</v>
      </c>
      <c r="AC116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6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66" s="52">
        <f>IF(Tabla15[[#This Row],[23]]="",0,VLOOKUP("VC",Tabla5[#All],3,FALSE)*Tabla15[[#This Row],[24]])</f>
        <v>0</v>
      </c>
      <c r="AF116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6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66" s="52">
        <f>IF(Tabla15[[#This Row],[26]]="",0,VLOOKUP(TRAMOS!$K$2,Tabla5[#All],3,FALSE)*Tabla15[[#This Row],[27]])</f>
        <v>0</v>
      </c>
      <c r="AI116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6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6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6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6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116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6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167" spans="2:41" x14ac:dyDescent="0.25">
      <c r="B1167" s="58" t="str">
        <f>Tabla1[[#This Row],[nudo inicial]]</f>
        <v>N624</v>
      </c>
      <c r="C1167" s="58" t="str">
        <f>Tabla1[[#This Row],[nudo final]]</f>
        <v>N625</v>
      </c>
      <c r="D1167" s="51">
        <f>Tabla1[[#This Row],[longitud]]</f>
        <v>27.57</v>
      </c>
      <c r="E1167" s="51" t="str">
        <f>Tabla1[[#This Row],[diametro]]</f>
        <v>3"</v>
      </c>
      <c r="F1167" s="51" t="str">
        <f>Tabla1[[#This Row],[material]]</f>
        <v>PVC</v>
      </c>
      <c r="G116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167" s="52" t="str">
        <f>IF(Tabla1[[#This Row],[5]]="TPD",Tabla1[[#This Row],[6]],"")</f>
        <v>3"</v>
      </c>
      <c r="I1167" s="52">
        <f>IF(OR(Tabla1[[#This Row],[5]]="TPD"),Tabla1[[#This Row],[7]],"")</f>
        <v>1</v>
      </c>
      <c r="J1167" s="52">
        <f>IF(Tabla15[[#This Row],[2]]="",0,VLOOKUP(TRAMOS!$H$2,Tabla5[#All],3,FALSE)*Tabla15[[#This Row],[3]])</f>
        <v>0.15</v>
      </c>
      <c r="K1167" s="52" t="str">
        <f>IF(Tabla1[[#This Row],[5]]="TPL",Tabla1[[#This Row],[6]],"")</f>
        <v/>
      </c>
      <c r="L1167" s="52" t="str">
        <f>IF(OR(Tabla1[[#This Row],[5]]="TPL"),Tabla1[[#This Row],[7]],"")</f>
        <v/>
      </c>
      <c r="M1167" s="52">
        <f>IF(Tabla15[[#This Row],[5]]="",0,VLOOKUP(TRAMOS!$K$2,Tabla5[#All],3,FALSE)*Tabla15[[#This Row],[6]])</f>
        <v>0</v>
      </c>
      <c r="N116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6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67" s="52">
        <f>IF(Tabla15[[#This Row],[8]]="",0,VLOOKUP(TRAMOS!$H$2,Tabla5[#All],3,FALSE)*Tabla15[[#This Row],[9]])</f>
        <v>0</v>
      </c>
      <c r="Q116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6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67" s="52">
        <f>IF(Tabla15[[#This Row],[11]]="",0,VLOOKUP(TRAMOS!$Q$2,Tabla5[#All],3,FALSE)*Tabla15[[#This Row],[12]])</f>
        <v>0</v>
      </c>
      <c r="T116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6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6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6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6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6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6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6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67" s="52">
        <f>IF(Tabla15[[#This Row],[20]]="",0,VLOOKUP("VRP",Tabla5[#All],3,FALSE)*Tabla15[[#This Row],[21]])</f>
        <v>0</v>
      </c>
      <c r="AC116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6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67" s="52">
        <f>IF(Tabla15[[#This Row],[23]]="",0,VLOOKUP("VC",Tabla5[#All],3,FALSE)*Tabla15[[#This Row],[24]])</f>
        <v>0</v>
      </c>
      <c r="AF116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6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67" s="52">
        <f>IF(Tabla15[[#This Row],[26]]="",0,VLOOKUP(TRAMOS!$K$2,Tabla5[#All],3,FALSE)*Tabla15[[#This Row],[27]])</f>
        <v>0</v>
      </c>
      <c r="AI116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6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6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6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6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6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6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168" spans="2:41" x14ac:dyDescent="0.25">
      <c r="B1168" s="58" t="str">
        <f>Tabla1[[#This Row],[nudo inicial]]</f>
        <v>N625</v>
      </c>
      <c r="C1168" s="58" t="str">
        <f>Tabla1[[#This Row],[nudo final]]</f>
        <v>TP417</v>
      </c>
      <c r="D1168" s="51">
        <f>Tabla1[[#This Row],[longitud]]</f>
        <v>103.55</v>
      </c>
      <c r="E1168" s="51" t="str">
        <f>Tabla1[[#This Row],[diametro]]</f>
        <v>2"</v>
      </c>
      <c r="F1168" s="51" t="str">
        <f>Tabla1[[#This Row],[material]]</f>
        <v>PVC</v>
      </c>
      <c r="G116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168" s="52" t="str">
        <f>IF(Tabla1[[#This Row],[5]]="TPD",Tabla1[[#This Row],[6]],"")</f>
        <v/>
      </c>
      <c r="I1168" s="52" t="str">
        <f>IF(OR(Tabla1[[#This Row],[5]]="TPD"),Tabla1[[#This Row],[7]],"")</f>
        <v/>
      </c>
      <c r="J1168" s="52">
        <f>IF(Tabla15[[#This Row],[2]]="",0,VLOOKUP(TRAMOS!$H$2,Tabla5[#All],3,FALSE)*Tabla15[[#This Row],[3]])</f>
        <v>0</v>
      </c>
      <c r="K1168" s="52" t="str">
        <f>IF(Tabla1[[#This Row],[5]]="TPL",Tabla1[[#This Row],[6]],"")</f>
        <v>3"</v>
      </c>
      <c r="L1168" s="52">
        <f>IF(OR(Tabla1[[#This Row],[5]]="TPL"),Tabla1[[#This Row],[7]],"")</f>
        <v>1</v>
      </c>
      <c r="M1168" s="52">
        <f>IF(Tabla15[[#This Row],[5]]="",0,VLOOKUP(TRAMOS!$K$2,Tabla5[#All],3,FALSE)*Tabla15[[#This Row],[6]])</f>
        <v>0.9</v>
      </c>
      <c r="N116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6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68" s="52">
        <f>IF(Tabla15[[#This Row],[8]]="",0,VLOOKUP(TRAMOS!$H$2,Tabla5[#All],3,FALSE)*Tabla15[[#This Row],[9]])</f>
        <v>0</v>
      </c>
      <c r="Q116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6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68" s="52">
        <f>IF(Tabla15[[#This Row],[11]]="",0,VLOOKUP(TRAMOS!$Q$2,Tabla5[#All],3,FALSE)*Tabla15[[#This Row],[12]])</f>
        <v>0</v>
      </c>
      <c r="T116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1168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16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116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6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6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6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6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68" s="52">
        <f>IF(Tabla15[[#This Row],[20]]="",0,VLOOKUP("VRP",Tabla5[#All],3,FALSE)*Tabla15[[#This Row],[21]])</f>
        <v>0</v>
      </c>
      <c r="AC116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6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68" s="52">
        <f>IF(Tabla15[[#This Row],[23]]="",0,VLOOKUP("VC",Tabla5[#All],3,FALSE)*Tabla15[[#This Row],[24]])</f>
        <v>0</v>
      </c>
      <c r="AF116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6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68" s="52">
        <f>IF(Tabla15[[#This Row],[26]]="",0,VLOOKUP(TRAMOS!$K$2,Tabla5[#All],3,FALSE)*Tabla15[[#This Row],[27]])</f>
        <v>0</v>
      </c>
      <c r="AI116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6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6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6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6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168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6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1169" spans="2:41" x14ac:dyDescent="0.25">
      <c r="B1169" s="58" t="str">
        <f>Tabla1[[#This Row],[nudo inicial]]</f>
        <v>N625</v>
      </c>
      <c r="C1169" s="58" t="str">
        <f>Tabla1[[#This Row],[nudo final]]</f>
        <v>N626</v>
      </c>
      <c r="D1169" s="51">
        <f>Tabla1[[#This Row],[longitud]]</f>
        <v>41.18</v>
      </c>
      <c r="E1169" s="51" t="str">
        <f>Tabla1[[#This Row],[diametro]]</f>
        <v>3"</v>
      </c>
      <c r="F1169" s="51" t="str">
        <f>Tabla1[[#This Row],[material]]</f>
        <v>PVC</v>
      </c>
      <c r="G116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169" s="52" t="str">
        <f>IF(Tabla1[[#This Row],[5]]="TPD",Tabla1[[#This Row],[6]],"")</f>
        <v>3"</v>
      </c>
      <c r="I1169" s="52">
        <f>IF(OR(Tabla1[[#This Row],[5]]="TPD"),Tabla1[[#This Row],[7]],"")</f>
        <v>1</v>
      </c>
      <c r="J1169" s="52">
        <f>IF(Tabla15[[#This Row],[2]]="",0,VLOOKUP(TRAMOS!$H$2,Tabla5[#All],3,FALSE)*Tabla15[[#This Row],[3]])</f>
        <v>0.15</v>
      </c>
      <c r="K1169" s="52" t="str">
        <f>IF(Tabla1[[#This Row],[5]]="TPL",Tabla1[[#This Row],[6]],"")</f>
        <v/>
      </c>
      <c r="L1169" s="52" t="str">
        <f>IF(OR(Tabla1[[#This Row],[5]]="TPL"),Tabla1[[#This Row],[7]],"")</f>
        <v/>
      </c>
      <c r="M1169" s="52">
        <f>IF(Tabla15[[#This Row],[5]]="",0,VLOOKUP(TRAMOS!$K$2,Tabla5[#All],3,FALSE)*Tabla15[[#This Row],[6]])</f>
        <v>0</v>
      </c>
      <c r="N116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6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69" s="52">
        <f>IF(Tabla15[[#This Row],[8]]="",0,VLOOKUP(TRAMOS!$H$2,Tabla5[#All],3,FALSE)*Tabla15[[#This Row],[9]])</f>
        <v>0</v>
      </c>
      <c r="Q116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6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69" s="52">
        <f>IF(Tabla15[[#This Row],[11]]="",0,VLOOKUP(TRAMOS!$Q$2,Tabla5[#All],3,FALSE)*Tabla15[[#This Row],[12]])</f>
        <v>0</v>
      </c>
      <c r="T116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6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6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6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6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6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6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6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69" s="52">
        <f>IF(Tabla15[[#This Row],[20]]="",0,VLOOKUP("VRP",Tabla5[#All],3,FALSE)*Tabla15[[#This Row],[21]])</f>
        <v>0</v>
      </c>
      <c r="AC116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6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69" s="52">
        <f>IF(Tabla15[[#This Row],[23]]="",0,VLOOKUP("VC",Tabla5[#All],3,FALSE)*Tabla15[[#This Row],[24]])</f>
        <v>0</v>
      </c>
      <c r="AF116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6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69" s="52">
        <f>IF(Tabla15[[#This Row],[26]]="",0,VLOOKUP(TRAMOS!$K$2,Tabla5[#All],3,FALSE)*Tabla15[[#This Row],[27]])</f>
        <v>0</v>
      </c>
      <c r="AI116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6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6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6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6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6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6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170" spans="2:41" x14ac:dyDescent="0.25">
      <c r="B1170" s="58" t="str">
        <f>Tabla1[[#This Row],[nudo inicial]]</f>
        <v>N626</v>
      </c>
      <c r="C1170" s="58" t="str">
        <f>Tabla1[[#This Row],[nudo final]]</f>
        <v>N627</v>
      </c>
      <c r="D1170" s="51">
        <f>Tabla1[[#This Row],[longitud]]</f>
        <v>114.24</v>
      </c>
      <c r="E1170" s="51" t="str">
        <f>Tabla1[[#This Row],[diametro]]</f>
        <v>2"</v>
      </c>
      <c r="F1170" s="51" t="str">
        <f>Tabla1[[#This Row],[material]]</f>
        <v>PVC</v>
      </c>
      <c r="G117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170" s="52" t="str">
        <f>IF(Tabla1[[#This Row],[5]]="TPD",Tabla1[[#This Row],[6]],"")</f>
        <v/>
      </c>
      <c r="I1170" s="52" t="str">
        <f>IF(OR(Tabla1[[#This Row],[5]]="TPD"),Tabla1[[#This Row],[7]],"")</f>
        <v/>
      </c>
      <c r="J1170" s="52">
        <f>IF(Tabla15[[#This Row],[2]]="",0,VLOOKUP(TRAMOS!$H$2,Tabla5[#All],3,FALSE)*Tabla15[[#This Row],[3]])</f>
        <v>0</v>
      </c>
      <c r="K1170" s="52" t="str">
        <f>IF(Tabla1[[#This Row],[5]]="TPL",Tabla1[[#This Row],[6]],"")</f>
        <v>3"</v>
      </c>
      <c r="L1170" s="52">
        <f>IF(OR(Tabla1[[#This Row],[5]]="TPL"),Tabla1[[#This Row],[7]],"")</f>
        <v>1</v>
      </c>
      <c r="M1170" s="52">
        <f>IF(Tabla15[[#This Row],[5]]="",0,VLOOKUP(TRAMOS!$K$2,Tabla5[#All],3,FALSE)*Tabla15[[#This Row],[6]])</f>
        <v>0.9</v>
      </c>
      <c r="N117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7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70" s="52">
        <f>IF(Tabla15[[#This Row],[8]]="",0,VLOOKUP(TRAMOS!$H$2,Tabla5[#All],3,FALSE)*Tabla15[[#This Row],[9]])</f>
        <v>0</v>
      </c>
      <c r="Q117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7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70" s="52">
        <f>IF(Tabla15[[#This Row],[11]]="",0,VLOOKUP(TRAMOS!$Q$2,Tabla5[#All],3,FALSE)*Tabla15[[#This Row],[12]])</f>
        <v>0</v>
      </c>
      <c r="T117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1170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17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117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7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7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7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7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70" s="52">
        <f>IF(Tabla15[[#This Row],[20]]="",0,VLOOKUP("VRP",Tabla5[#All],3,FALSE)*Tabla15[[#This Row],[21]])</f>
        <v>0</v>
      </c>
      <c r="AC117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7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70" s="52">
        <f>IF(Tabla15[[#This Row],[23]]="",0,VLOOKUP("VC",Tabla5[#All],3,FALSE)*Tabla15[[#This Row],[24]])</f>
        <v>0</v>
      </c>
      <c r="AF117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7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70" s="52">
        <f>IF(Tabla15[[#This Row],[26]]="",0,VLOOKUP(TRAMOS!$K$2,Tabla5[#All],3,FALSE)*Tabla15[[#This Row],[27]])</f>
        <v>0</v>
      </c>
      <c r="AI117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7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7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7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7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7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7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1171" spans="2:41" x14ac:dyDescent="0.25">
      <c r="B1171" s="58" t="str">
        <f>Tabla1[[#This Row],[nudo inicial]]</f>
        <v>N627</v>
      </c>
      <c r="C1171" s="58" t="str">
        <f>Tabla1[[#This Row],[nudo final]]</f>
        <v>TP418</v>
      </c>
      <c r="D1171" s="51">
        <f>Tabla1[[#This Row],[longitud]]</f>
        <v>114.53</v>
      </c>
      <c r="E1171" s="51" t="str">
        <f>Tabla1[[#This Row],[diametro]]</f>
        <v>2"</v>
      </c>
      <c r="F1171" s="51" t="str">
        <f>Tabla1[[#This Row],[material]]</f>
        <v>PVC</v>
      </c>
      <c r="G117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71" s="52" t="str">
        <f>IF(Tabla1[[#This Row],[5]]="TPD",Tabla1[[#This Row],[6]],"")</f>
        <v>2"</v>
      </c>
      <c r="I1171" s="52">
        <f>IF(OR(Tabla1[[#This Row],[5]]="TPD"),Tabla1[[#This Row],[7]],"")</f>
        <v>1</v>
      </c>
      <c r="J1171" s="52">
        <f>IF(Tabla15[[#This Row],[2]]="",0,VLOOKUP(TRAMOS!$H$2,Tabla5[#All],3,FALSE)*Tabla15[[#This Row],[3]])</f>
        <v>0.15</v>
      </c>
      <c r="K1171" s="52" t="str">
        <f>IF(Tabla1[[#This Row],[5]]="TPL",Tabla1[[#This Row],[6]],"")</f>
        <v/>
      </c>
      <c r="L1171" s="52" t="str">
        <f>IF(OR(Tabla1[[#This Row],[5]]="TPL"),Tabla1[[#This Row],[7]],"")</f>
        <v/>
      </c>
      <c r="M1171" s="52">
        <f>IF(Tabla15[[#This Row],[5]]="",0,VLOOKUP(TRAMOS!$K$2,Tabla5[#All],3,FALSE)*Tabla15[[#This Row],[6]])</f>
        <v>0</v>
      </c>
      <c r="N117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7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71" s="52">
        <f>IF(Tabla15[[#This Row],[8]]="",0,VLOOKUP(TRAMOS!$H$2,Tabla5[#All],3,FALSE)*Tabla15[[#This Row],[9]])</f>
        <v>0</v>
      </c>
      <c r="Q117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7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71" s="52">
        <f>IF(Tabla15[[#This Row],[11]]="",0,VLOOKUP(TRAMOS!$Q$2,Tabla5[#All],3,FALSE)*Tabla15[[#This Row],[12]])</f>
        <v>0</v>
      </c>
      <c r="T117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7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7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7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7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7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7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7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71" s="52">
        <f>IF(Tabla15[[#This Row],[20]]="",0,VLOOKUP("VRP",Tabla5[#All],3,FALSE)*Tabla15[[#This Row],[21]])</f>
        <v>0</v>
      </c>
      <c r="AC117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7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71" s="52">
        <f>IF(Tabla15[[#This Row],[23]]="",0,VLOOKUP("VC",Tabla5[#All],3,FALSE)*Tabla15[[#This Row],[24]])</f>
        <v>0</v>
      </c>
      <c r="AF117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7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71" s="52">
        <f>IF(Tabla15[[#This Row],[26]]="",0,VLOOKUP(TRAMOS!$K$2,Tabla5[#All],3,FALSE)*Tabla15[[#This Row],[27]])</f>
        <v>0</v>
      </c>
      <c r="AI117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7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7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7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7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171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7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172" spans="2:41" x14ac:dyDescent="0.25">
      <c r="B1172" s="58" t="str">
        <f>Tabla1[[#This Row],[nudo inicial]]</f>
        <v>N627</v>
      </c>
      <c r="C1172" s="58" t="str">
        <f>Tabla1[[#This Row],[nudo final]]</f>
        <v>N628</v>
      </c>
      <c r="D1172" s="51">
        <f>Tabla1[[#This Row],[longitud]]</f>
        <v>116.68</v>
      </c>
      <c r="E1172" s="51" t="str">
        <f>Tabla1[[#This Row],[diametro]]</f>
        <v>2"</v>
      </c>
      <c r="F1172" s="51" t="str">
        <f>Tabla1[[#This Row],[material]]</f>
        <v>PVC</v>
      </c>
      <c r="G117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72" s="52" t="str">
        <f>IF(Tabla1[[#This Row],[5]]="TPD",Tabla1[[#This Row],[6]],"")</f>
        <v/>
      </c>
      <c r="I1172" s="52" t="str">
        <f>IF(OR(Tabla1[[#This Row],[5]]="TPD"),Tabla1[[#This Row],[7]],"")</f>
        <v/>
      </c>
      <c r="J1172" s="52">
        <f>IF(Tabla15[[#This Row],[2]]="",0,VLOOKUP(TRAMOS!$H$2,Tabla5[#All],3,FALSE)*Tabla15[[#This Row],[3]])</f>
        <v>0</v>
      </c>
      <c r="K1172" s="52" t="str">
        <f>IF(Tabla1[[#This Row],[5]]="TPL",Tabla1[[#This Row],[6]],"")</f>
        <v>2"</v>
      </c>
      <c r="L1172" s="52">
        <f>IF(OR(Tabla1[[#This Row],[5]]="TPL"),Tabla1[[#This Row],[7]],"")</f>
        <v>1</v>
      </c>
      <c r="M1172" s="52">
        <f>IF(Tabla15[[#This Row],[5]]="",0,VLOOKUP(TRAMOS!$K$2,Tabla5[#All],3,FALSE)*Tabla15[[#This Row],[6]])</f>
        <v>0.9</v>
      </c>
      <c r="N117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7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72" s="52">
        <f>IF(Tabla15[[#This Row],[8]]="",0,VLOOKUP(TRAMOS!$H$2,Tabla5[#All],3,FALSE)*Tabla15[[#This Row],[9]])</f>
        <v>0</v>
      </c>
      <c r="Q117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1172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2</v>
      </c>
      <c r="S1172" s="52">
        <f>IF(Tabla15[[#This Row],[11]]="",0,VLOOKUP(TRAMOS!$Q$2,Tabla5[#All],3,FALSE)*Tabla15[[#This Row],[12]])</f>
        <v>1.8</v>
      </c>
      <c r="T117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7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7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7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7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7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7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7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72" s="52">
        <f>IF(Tabla15[[#This Row],[20]]="",0,VLOOKUP("VRP",Tabla5[#All],3,FALSE)*Tabla15[[#This Row],[21]])</f>
        <v>0</v>
      </c>
      <c r="AC117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7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72" s="52">
        <f>IF(Tabla15[[#This Row],[23]]="",0,VLOOKUP("VC",Tabla5[#All],3,FALSE)*Tabla15[[#This Row],[24]])</f>
        <v>0</v>
      </c>
      <c r="AF117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7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72" s="52">
        <f>IF(Tabla15[[#This Row],[26]]="",0,VLOOKUP(TRAMOS!$K$2,Tabla5[#All],3,FALSE)*Tabla15[[#This Row],[27]])</f>
        <v>0</v>
      </c>
      <c r="AI117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7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7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7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7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7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7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2.7</v>
      </c>
    </row>
    <row r="1173" spans="2:41" x14ac:dyDescent="0.25">
      <c r="B1173" s="58" t="str">
        <f>Tabla1[[#This Row],[nudo inicial]]</f>
        <v>N628</v>
      </c>
      <c r="C1173" s="58" t="str">
        <f>Tabla1[[#This Row],[nudo final]]</f>
        <v>TP419</v>
      </c>
      <c r="D1173" s="51">
        <f>Tabla1[[#This Row],[longitud]]</f>
        <v>26.55</v>
      </c>
      <c r="E1173" s="51" t="str">
        <f>Tabla1[[#This Row],[diametro]]</f>
        <v>2"</v>
      </c>
      <c r="F1173" s="51" t="str">
        <f>Tabla1[[#This Row],[material]]</f>
        <v>PVC</v>
      </c>
      <c r="G117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73" s="52" t="str">
        <f>IF(Tabla1[[#This Row],[5]]="TPD",Tabla1[[#This Row],[6]],"")</f>
        <v>2"</v>
      </c>
      <c r="I1173" s="52">
        <f>IF(OR(Tabla1[[#This Row],[5]]="TPD"),Tabla1[[#This Row],[7]],"")</f>
        <v>1</v>
      </c>
      <c r="J1173" s="52">
        <f>IF(Tabla15[[#This Row],[2]]="",0,VLOOKUP(TRAMOS!$H$2,Tabla5[#All],3,FALSE)*Tabla15[[#This Row],[3]])</f>
        <v>0.15</v>
      </c>
      <c r="K1173" s="52" t="str">
        <f>IF(Tabla1[[#This Row],[5]]="TPL",Tabla1[[#This Row],[6]],"")</f>
        <v/>
      </c>
      <c r="L1173" s="52" t="str">
        <f>IF(OR(Tabla1[[#This Row],[5]]="TPL"),Tabla1[[#This Row],[7]],"")</f>
        <v/>
      </c>
      <c r="M1173" s="52">
        <f>IF(Tabla15[[#This Row],[5]]="",0,VLOOKUP(TRAMOS!$K$2,Tabla5[#All],3,FALSE)*Tabla15[[#This Row],[6]])</f>
        <v>0</v>
      </c>
      <c r="N117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7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73" s="52">
        <f>IF(Tabla15[[#This Row],[8]]="",0,VLOOKUP(TRAMOS!$H$2,Tabla5[#All],3,FALSE)*Tabla15[[#This Row],[9]])</f>
        <v>0</v>
      </c>
      <c r="Q117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7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73" s="52">
        <f>IF(Tabla15[[#This Row],[11]]="",0,VLOOKUP(TRAMOS!$Q$2,Tabla5[#All],3,FALSE)*Tabla15[[#This Row],[12]])</f>
        <v>0</v>
      </c>
      <c r="T117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7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7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7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7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7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7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7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73" s="52">
        <f>IF(Tabla15[[#This Row],[20]]="",0,VLOOKUP("VRP",Tabla5[#All],3,FALSE)*Tabla15[[#This Row],[21]])</f>
        <v>0</v>
      </c>
      <c r="AC117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7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73" s="52">
        <f>IF(Tabla15[[#This Row],[23]]="",0,VLOOKUP("VC",Tabla5[#All],3,FALSE)*Tabla15[[#This Row],[24]])</f>
        <v>0</v>
      </c>
      <c r="AF117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7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73" s="52">
        <f>IF(Tabla15[[#This Row],[26]]="",0,VLOOKUP(TRAMOS!$K$2,Tabla5[#All],3,FALSE)*Tabla15[[#This Row],[27]])</f>
        <v>0</v>
      </c>
      <c r="AI117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7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7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7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7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173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7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174" spans="2:41" x14ac:dyDescent="0.25">
      <c r="B1174" s="58" t="str">
        <f>Tabla1[[#This Row],[nudo inicial]]</f>
        <v>N628</v>
      </c>
      <c r="C1174" s="58" t="str">
        <f>Tabla1[[#This Row],[nudo final]]</f>
        <v>N629</v>
      </c>
      <c r="D1174" s="51">
        <f>Tabla1[[#This Row],[longitud]]</f>
        <v>163.75</v>
      </c>
      <c r="E1174" s="51" t="str">
        <f>Tabla1[[#This Row],[diametro]]</f>
        <v>2"</v>
      </c>
      <c r="F1174" s="51" t="str">
        <f>Tabla1[[#This Row],[material]]</f>
        <v>PVC</v>
      </c>
      <c r="G117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74" s="52" t="str">
        <f>IF(Tabla1[[#This Row],[5]]="TPD",Tabla1[[#This Row],[6]],"")</f>
        <v/>
      </c>
      <c r="I1174" s="52" t="str">
        <f>IF(OR(Tabla1[[#This Row],[5]]="TPD"),Tabla1[[#This Row],[7]],"")</f>
        <v/>
      </c>
      <c r="J1174" s="52">
        <f>IF(Tabla15[[#This Row],[2]]="",0,VLOOKUP(TRAMOS!$H$2,Tabla5[#All],3,FALSE)*Tabla15[[#This Row],[3]])</f>
        <v>0</v>
      </c>
      <c r="K1174" s="52" t="str">
        <f>IF(Tabla1[[#This Row],[5]]="TPL",Tabla1[[#This Row],[6]],"")</f>
        <v>2"</v>
      </c>
      <c r="L1174" s="52">
        <f>IF(OR(Tabla1[[#This Row],[5]]="TPL"),Tabla1[[#This Row],[7]],"")</f>
        <v>1</v>
      </c>
      <c r="M1174" s="52">
        <f>IF(Tabla15[[#This Row],[5]]="",0,VLOOKUP(TRAMOS!$K$2,Tabla5[#All],3,FALSE)*Tabla15[[#This Row],[6]])</f>
        <v>0.9</v>
      </c>
      <c r="N117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7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74" s="52">
        <f>IF(Tabla15[[#This Row],[8]]="",0,VLOOKUP(TRAMOS!$H$2,Tabla5[#All],3,FALSE)*Tabla15[[#This Row],[9]])</f>
        <v>0</v>
      </c>
      <c r="Q117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7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74" s="52">
        <f>IF(Tabla15[[#This Row],[11]]="",0,VLOOKUP(TRAMOS!$Q$2,Tabla5[#All],3,FALSE)*Tabla15[[#This Row],[12]])</f>
        <v>0</v>
      </c>
      <c r="T117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7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7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7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7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7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7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7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74" s="52">
        <f>IF(Tabla15[[#This Row],[20]]="",0,VLOOKUP("VRP",Tabla5[#All],3,FALSE)*Tabla15[[#This Row],[21]])</f>
        <v>0</v>
      </c>
      <c r="AC117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7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74" s="52">
        <f>IF(Tabla15[[#This Row],[23]]="",0,VLOOKUP("VC",Tabla5[#All],3,FALSE)*Tabla15[[#This Row],[24]])</f>
        <v>0</v>
      </c>
      <c r="AF117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7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74" s="52">
        <f>IF(Tabla15[[#This Row],[26]]="",0,VLOOKUP(TRAMOS!$K$2,Tabla5[#All],3,FALSE)*Tabla15[[#This Row],[27]])</f>
        <v>0</v>
      </c>
      <c r="AI117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7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7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7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7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7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7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175" spans="2:41" x14ac:dyDescent="0.25">
      <c r="B1175" s="58" t="str">
        <f>Tabla1[[#This Row],[nudo inicial]]</f>
        <v>N629</v>
      </c>
      <c r="C1175" s="58" t="str">
        <f>Tabla1[[#This Row],[nudo final]]</f>
        <v>TP420</v>
      </c>
      <c r="D1175" s="51">
        <f>Tabla1[[#This Row],[longitud]]</f>
        <v>29.85</v>
      </c>
      <c r="E1175" s="51" t="str">
        <f>Tabla1[[#This Row],[diametro]]</f>
        <v>2"</v>
      </c>
      <c r="F1175" s="51" t="str">
        <f>Tabla1[[#This Row],[material]]</f>
        <v>PVC</v>
      </c>
      <c r="G117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75" s="52" t="str">
        <f>IF(Tabla1[[#This Row],[5]]="TPD",Tabla1[[#This Row],[6]],"")</f>
        <v>2"</v>
      </c>
      <c r="I1175" s="52">
        <f>IF(OR(Tabla1[[#This Row],[5]]="TPD"),Tabla1[[#This Row],[7]],"")</f>
        <v>1</v>
      </c>
      <c r="J1175" s="52">
        <f>IF(Tabla15[[#This Row],[2]]="",0,VLOOKUP(TRAMOS!$H$2,Tabla5[#All],3,FALSE)*Tabla15[[#This Row],[3]])</f>
        <v>0.15</v>
      </c>
      <c r="K1175" s="52" t="str">
        <f>IF(Tabla1[[#This Row],[5]]="TPL",Tabla1[[#This Row],[6]],"")</f>
        <v/>
      </c>
      <c r="L1175" s="52" t="str">
        <f>IF(OR(Tabla1[[#This Row],[5]]="TPL"),Tabla1[[#This Row],[7]],"")</f>
        <v/>
      </c>
      <c r="M1175" s="52">
        <f>IF(Tabla15[[#This Row],[5]]="",0,VLOOKUP(TRAMOS!$K$2,Tabla5[#All],3,FALSE)*Tabla15[[#This Row],[6]])</f>
        <v>0</v>
      </c>
      <c r="N117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7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75" s="52">
        <f>IF(Tabla15[[#This Row],[8]]="",0,VLOOKUP(TRAMOS!$H$2,Tabla5[#All],3,FALSE)*Tabla15[[#This Row],[9]])</f>
        <v>0</v>
      </c>
      <c r="Q117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1175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1175" s="52">
        <f>IF(Tabla15[[#This Row],[11]]="",0,VLOOKUP(TRAMOS!$Q$2,Tabla5[#All],3,FALSE)*Tabla15[[#This Row],[12]])</f>
        <v>0.9</v>
      </c>
      <c r="T117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7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7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7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7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7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7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7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75" s="52">
        <f>IF(Tabla15[[#This Row],[20]]="",0,VLOOKUP("VRP",Tabla5[#All],3,FALSE)*Tabla15[[#This Row],[21]])</f>
        <v>0</v>
      </c>
      <c r="AC117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7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75" s="52">
        <f>IF(Tabla15[[#This Row],[23]]="",0,VLOOKUP("VC",Tabla5[#All],3,FALSE)*Tabla15[[#This Row],[24]])</f>
        <v>0</v>
      </c>
      <c r="AF117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7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75" s="52">
        <f>IF(Tabla15[[#This Row],[26]]="",0,VLOOKUP(TRAMOS!$K$2,Tabla5[#All],3,FALSE)*Tabla15[[#This Row],[27]])</f>
        <v>0</v>
      </c>
      <c r="AI117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7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7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7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7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175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7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1176" spans="2:41" x14ac:dyDescent="0.25">
      <c r="B1176" s="58" t="str">
        <f>Tabla1[[#This Row],[nudo inicial]]</f>
        <v>N629</v>
      </c>
      <c r="C1176" s="58" t="str">
        <f>Tabla1[[#This Row],[nudo final]]</f>
        <v>TP421</v>
      </c>
      <c r="D1176" s="51">
        <f>Tabla1[[#This Row],[longitud]]</f>
        <v>29.15</v>
      </c>
      <c r="E1176" s="51" t="str">
        <f>Tabla1[[#This Row],[diametro]]</f>
        <v>2"</v>
      </c>
      <c r="F1176" s="51" t="str">
        <f>Tabla1[[#This Row],[material]]</f>
        <v>PVC</v>
      </c>
      <c r="G117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76" s="52" t="str">
        <f>IF(Tabla1[[#This Row],[5]]="TPD",Tabla1[[#This Row],[6]],"")</f>
        <v/>
      </c>
      <c r="I1176" s="52" t="str">
        <f>IF(OR(Tabla1[[#This Row],[5]]="TPD"),Tabla1[[#This Row],[7]],"")</f>
        <v/>
      </c>
      <c r="J1176" s="52">
        <f>IF(Tabla15[[#This Row],[2]]="",0,VLOOKUP(TRAMOS!$H$2,Tabla5[#All],3,FALSE)*Tabla15[[#This Row],[3]])</f>
        <v>0</v>
      </c>
      <c r="K1176" s="52" t="str">
        <f>IF(Tabla1[[#This Row],[5]]="TPL",Tabla1[[#This Row],[6]],"")</f>
        <v>2"</v>
      </c>
      <c r="L1176" s="52">
        <f>IF(OR(Tabla1[[#This Row],[5]]="TPL"),Tabla1[[#This Row],[7]],"")</f>
        <v>1</v>
      </c>
      <c r="M1176" s="52">
        <f>IF(Tabla15[[#This Row],[5]]="",0,VLOOKUP(TRAMOS!$K$2,Tabla5[#All],3,FALSE)*Tabla15[[#This Row],[6]])</f>
        <v>0.9</v>
      </c>
      <c r="N117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7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76" s="52">
        <f>IF(Tabla15[[#This Row],[8]]="",0,VLOOKUP(TRAMOS!$H$2,Tabla5[#All],3,FALSE)*Tabla15[[#This Row],[9]])</f>
        <v>0</v>
      </c>
      <c r="Q117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7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76" s="52">
        <f>IF(Tabla15[[#This Row],[11]]="",0,VLOOKUP(TRAMOS!$Q$2,Tabla5[#All],3,FALSE)*Tabla15[[#This Row],[12]])</f>
        <v>0</v>
      </c>
      <c r="T117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7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7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7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7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7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7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7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76" s="52">
        <f>IF(Tabla15[[#This Row],[20]]="",0,VLOOKUP("VRP",Tabla5[#All],3,FALSE)*Tabla15[[#This Row],[21]])</f>
        <v>0</v>
      </c>
      <c r="AC117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7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76" s="52">
        <f>IF(Tabla15[[#This Row],[23]]="",0,VLOOKUP("VC",Tabla5[#All],3,FALSE)*Tabla15[[#This Row],[24]])</f>
        <v>0</v>
      </c>
      <c r="AF117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7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76" s="52">
        <f>IF(Tabla15[[#This Row],[26]]="",0,VLOOKUP(TRAMOS!$K$2,Tabla5[#All],3,FALSE)*Tabla15[[#This Row],[27]])</f>
        <v>0</v>
      </c>
      <c r="AI117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7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7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7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7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17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7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177" spans="2:41" x14ac:dyDescent="0.25">
      <c r="B1177" s="58" t="str">
        <f>Tabla1[[#This Row],[nudo inicial]]</f>
        <v>N626</v>
      </c>
      <c r="C1177" s="58" t="str">
        <f>Tabla1[[#This Row],[nudo final]]</f>
        <v>N630</v>
      </c>
      <c r="D1177" s="51">
        <f>Tabla1[[#This Row],[longitud]]</f>
        <v>36.04</v>
      </c>
      <c r="E1177" s="51" t="str">
        <f>Tabla1[[#This Row],[diametro]]</f>
        <v>3"</v>
      </c>
      <c r="F1177" s="51" t="str">
        <f>Tabla1[[#This Row],[material]]</f>
        <v>PVC</v>
      </c>
      <c r="G117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177" s="52" t="str">
        <f>IF(Tabla1[[#This Row],[5]]="TPD",Tabla1[[#This Row],[6]],"")</f>
        <v>3"</v>
      </c>
      <c r="I1177" s="52">
        <f>IF(OR(Tabla1[[#This Row],[5]]="TPD"),Tabla1[[#This Row],[7]],"")</f>
        <v>1</v>
      </c>
      <c r="J1177" s="52">
        <f>IF(Tabla15[[#This Row],[2]]="",0,VLOOKUP(TRAMOS!$H$2,Tabla5[#All],3,FALSE)*Tabla15[[#This Row],[3]])</f>
        <v>0.15</v>
      </c>
      <c r="K1177" s="52" t="str">
        <f>IF(Tabla1[[#This Row],[5]]="TPL",Tabla1[[#This Row],[6]],"")</f>
        <v/>
      </c>
      <c r="L1177" s="52" t="str">
        <f>IF(OR(Tabla1[[#This Row],[5]]="TPL"),Tabla1[[#This Row],[7]],"")</f>
        <v/>
      </c>
      <c r="M1177" s="52">
        <f>IF(Tabla15[[#This Row],[5]]="",0,VLOOKUP(TRAMOS!$K$2,Tabla5[#All],3,FALSE)*Tabla15[[#This Row],[6]])</f>
        <v>0</v>
      </c>
      <c r="N117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7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77" s="52">
        <f>IF(Tabla15[[#This Row],[8]]="",0,VLOOKUP(TRAMOS!$H$2,Tabla5[#All],3,FALSE)*Tabla15[[#This Row],[9]])</f>
        <v>0</v>
      </c>
      <c r="Q117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7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77" s="52">
        <f>IF(Tabla15[[#This Row],[11]]="",0,VLOOKUP(TRAMOS!$Q$2,Tabla5[#All],3,FALSE)*Tabla15[[#This Row],[12]])</f>
        <v>0</v>
      </c>
      <c r="T117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7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7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7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7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7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7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7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77" s="52">
        <f>IF(Tabla15[[#This Row],[20]]="",0,VLOOKUP("VRP",Tabla5[#All],3,FALSE)*Tabla15[[#This Row],[21]])</f>
        <v>0</v>
      </c>
      <c r="AC117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7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77" s="52">
        <f>IF(Tabla15[[#This Row],[23]]="",0,VLOOKUP("VC",Tabla5[#All],3,FALSE)*Tabla15[[#This Row],[24]])</f>
        <v>0</v>
      </c>
      <c r="AF117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7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77" s="52">
        <f>IF(Tabla15[[#This Row],[26]]="",0,VLOOKUP(TRAMOS!$K$2,Tabla5[#All],3,FALSE)*Tabla15[[#This Row],[27]])</f>
        <v>0</v>
      </c>
      <c r="AI117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7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7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7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7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7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7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178" spans="2:41" x14ac:dyDescent="0.25">
      <c r="B1178" s="58" t="str">
        <f>Tabla1[[#This Row],[nudo inicial]]</f>
        <v>N630</v>
      </c>
      <c r="C1178" s="58" t="str">
        <f>Tabla1[[#This Row],[nudo final]]</f>
        <v>TP422</v>
      </c>
      <c r="D1178" s="51">
        <f>Tabla1[[#This Row],[longitud]]</f>
        <v>241.49</v>
      </c>
      <c r="E1178" s="51" t="str">
        <f>Tabla1[[#This Row],[diametro]]</f>
        <v>2"</v>
      </c>
      <c r="F1178" s="51" t="str">
        <f>Tabla1[[#This Row],[material]]</f>
        <v>PVC</v>
      </c>
      <c r="G117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178" s="52" t="str">
        <f>IF(Tabla1[[#This Row],[5]]="TPD",Tabla1[[#This Row],[6]],"")</f>
        <v/>
      </c>
      <c r="I1178" s="52" t="str">
        <f>IF(OR(Tabla1[[#This Row],[5]]="TPD"),Tabla1[[#This Row],[7]],"")</f>
        <v/>
      </c>
      <c r="J1178" s="52">
        <f>IF(Tabla15[[#This Row],[2]]="",0,VLOOKUP(TRAMOS!$H$2,Tabla5[#All],3,FALSE)*Tabla15[[#This Row],[3]])</f>
        <v>0</v>
      </c>
      <c r="K1178" s="52" t="str">
        <f>IF(Tabla1[[#This Row],[5]]="TPL",Tabla1[[#This Row],[6]],"")</f>
        <v>3"</v>
      </c>
      <c r="L1178" s="52">
        <f>IF(OR(Tabla1[[#This Row],[5]]="TPL"),Tabla1[[#This Row],[7]],"")</f>
        <v>1</v>
      </c>
      <c r="M1178" s="52">
        <f>IF(Tabla15[[#This Row],[5]]="",0,VLOOKUP(TRAMOS!$K$2,Tabla5[#All],3,FALSE)*Tabla15[[#This Row],[6]])</f>
        <v>0.9</v>
      </c>
      <c r="N117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7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78" s="52">
        <f>IF(Tabla15[[#This Row],[8]]="",0,VLOOKUP(TRAMOS!$H$2,Tabla5[#All],3,FALSE)*Tabla15[[#This Row],[9]])</f>
        <v>0</v>
      </c>
      <c r="Q117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7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78" s="52">
        <f>IF(Tabla15[[#This Row],[11]]="",0,VLOOKUP(TRAMOS!$Q$2,Tabla5[#All],3,FALSE)*Tabla15[[#This Row],[12]])</f>
        <v>0</v>
      </c>
      <c r="T117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1178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17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117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7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7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7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7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78" s="52">
        <f>IF(Tabla15[[#This Row],[20]]="",0,VLOOKUP("VRP",Tabla5[#All],3,FALSE)*Tabla15[[#This Row],[21]])</f>
        <v>0</v>
      </c>
      <c r="AC117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7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78" s="52">
        <f>IF(Tabla15[[#This Row],[23]]="",0,VLOOKUP("VC",Tabla5[#All],3,FALSE)*Tabla15[[#This Row],[24]])</f>
        <v>0</v>
      </c>
      <c r="AF117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7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78" s="52">
        <f>IF(Tabla15[[#This Row],[26]]="",0,VLOOKUP(TRAMOS!$K$2,Tabla5[#All],3,FALSE)*Tabla15[[#This Row],[27]])</f>
        <v>0</v>
      </c>
      <c r="AI117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7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7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7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7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178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7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1179" spans="2:41" x14ac:dyDescent="0.25">
      <c r="B1179" s="58" t="str">
        <f>Tabla1[[#This Row],[nudo inicial]]</f>
        <v>N630</v>
      </c>
      <c r="C1179" s="58" t="str">
        <f>Tabla1[[#This Row],[nudo final]]</f>
        <v>N623</v>
      </c>
      <c r="D1179" s="51">
        <f>Tabla1[[#This Row],[longitud]]</f>
        <v>10.31</v>
      </c>
      <c r="E1179" s="51" t="str">
        <f>Tabla1[[#This Row],[diametro]]</f>
        <v>3"</v>
      </c>
      <c r="F1179" s="51" t="str">
        <f>Tabla1[[#This Row],[material]]</f>
        <v>PVC</v>
      </c>
      <c r="G117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179" s="52" t="str">
        <f>IF(Tabla1[[#This Row],[5]]="TPD",Tabla1[[#This Row],[6]],"")</f>
        <v>3"</v>
      </c>
      <c r="I1179" s="52">
        <f>IF(OR(Tabla1[[#This Row],[5]]="TPD"),Tabla1[[#This Row],[7]],"")</f>
        <v>1</v>
      </c>
      <c r="J1179" s="52">
        <f>IF(Tabla15[[#This Row],[2]]="",0,VLOOKUP(TRAMOS!$H$2,Tabla5[#All],3,FALSE)*Tabla15[[#This Row],[3]])</f>
        <v>0.15</v>
      </c>
      <c r="K1179" s="52" t="str">
        <f>IF(Tabla1[[#This Row],[5]]="TPL",Tabla1[[#This Row],[6]],"")</f>
        <v/>
      </c>
      <c r="L1179" s="52" t="str">
        <f>IF(OR(Tabla1[[#This Row],[5]]="TPL"),Tabla1[[#This Row],[7]],"")</f>
        <v/>
      </c>
      <c r="M1179" s="52">
        <f>IF(Tabla15[[#This Row],[5]]="",0,VLOOKUP(TRAMOS!$K$2,Tabla5[#All],3,FALSE)*Tabla15[[#This Row],[6]])</f>
        <v>0</v>
      </c>
      <c r="N117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7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79" s="52">
        <f>IF(Tabla15[[#This Row],[8]]="",0,VLOOKUP(TRAMOS!$H$2,Tabla5[#All],3,FALSE)*Tabla15[[#This Row],[9]])</f>
        <v>0</v>
      </c>
      <c r="Q117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7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79" s="52">
        <f>IF(Tabla15[[#This Row],[11]]="",0,VLOOKUP(TRAMOS!$Q$2,Tabla5[#All],3,FALSE)*Tabla15[[#This Row],[12]])</f>
        <v>0</v>
      </c>
      <c r="T117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7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7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7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7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7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7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7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79" s="52">
        <f>IF(Tabla15[[#This Row],[20]]="",0,VLOOKUP("VRP",Tabla5[#All],3,FALSE)*Tabla15[[#This Row],[21]])</f>
        <v>0</v>
      </c>
      <c r="AC117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7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79" s="52">
        <f>IF(Tabla15[[#This Row],[23]]="",0,VLOOKUP("VC",Tabla5[#All],3,FALSE)*Tabla15[[#This Row],[24]])</f>
        <v>0</v>
      </c>
      <c r="AF117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7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79" s="52">
        <f>IF(Tabla15[[#This Row],[26]]="",0,VLOOKUP(TRAMOS!$K$2,Tabla5[#All],3,FALSE)*Tabla15[[#This Row],[27]])</f>
        <v>0</v>
      </c>
      <c r="AI117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7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7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7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7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7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7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180" spans="2:41" x14ac:dyDescent="0.25">
      <c r="B1180" s="58" t="str">
        <f>Tabla1[[#This Row],[nudo inicial]]</f>
        <v>N623</v>
      </c>
      <c r="C1180" s="58" t="str">
        <f>Tabla1[[#This Row],[nudo final]]</f>
        <v>N637</v>
      </c>
      <c r="D1180" s="51">
        <f>Tabla1[[#This Row],[longitud]]</f>
        <v>25.56</v>
      </c>
      <c r="E1180" s="51" t="str">
        <f>Tabla1[[#This Row],[diametro]]</f>
        <v>3"</v>
      </c>
      <c r="F1180" s="51" t="str">
        <f>Tabla1[[#This Row],[material]]</f>
        <v>PVC</v>
      </c>
      <c r="G118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180" s="52" t="str">
        <f>IF(Tabla1[[#This Row],[5]]="TPD",Tabla1[[#This Row],[6]],"")</f>
        <v>3"</v>
      </c>
      <c r="I1180" s="52">
        <f>IF(OR(Tabla1[[#This Row],[5]]="TPD"),Tabla1[[#This Row],[7]],"")</f>
        <v>1</v>
      </c>
      <c r="J1180" s="52">
        <f>IF(Tabla15[[#This Row],[2]]="",0,VLOOKUP(TRAMOS!$H$2,Tabla5[#All],3,FALSE)*Tabla15[[#This Row],[3]])</f>
        <v>0.15</v>
      </c>
      <c r="K1180" s="52" t="str">
        <f>IF(Tabla1[[#This Row],[5]]="TPL",Tabla1[[#This Row],[6]],"")</f>
        <v/>
      </c>
      <c r="L1180" s="52" t="str">
        <f>IF(OR(Tabla1[[#This Row],[5]]="TPL"),Tabla1[[#This Row],[7]],"")</f>
        <v/>
      </c>
      <c r="M1180" s="52">
        <f>IF(Tabla15[[#This Row],[5]]="",0,VLOOKUP(TRAMOS!$K$2,Tabla5[#All],3,FALSE)*Tabla15[[#This Row],[6]])</f>
        <v>0</v>
      </c>
      <c r="N118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8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80" s="52">
        <f>IF(Tabla15[[#This Row],[8]]="",0,VLOOKUP(TRAMOS!$H$2,Tabla5[#All],3,FALSE)*Tabla15[[#This Row],[9]])</f>
        <v>0</v>
      </c>
      <c r="Q118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8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80" s="52">
        <f>IF(Tabla15[[#This Row],[11]]="",0,VLOOKUP(TRAMOS!$Q$2,Tabla5[#All],3,FALSE)*Tabla15[[#This Row],[12]])</f>
        <v>0</v>
      </c>
      <c r="T118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8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8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8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8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8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8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8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80" s="52">
        <f>IF(Tabla15[[#This Row],[20]]="",0,VLOOKUP("VRP",Tabla5[#All],3,FALSE)*Tabla15[[#This Row],[21]])</f>
        <v>0</v>
      </c>
      <c r="AC118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8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80" s="52">
        <f>IF(Tabla15[[#This Row],[23]]="",0,VLOOKUP("VC",Tabla5[#All],3,FALSE)*Tabla15[[#This Row],[24]])</f>
        <v>0</v>
      </c>
      <c r="AF118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8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80" s="52">
        <f>IF(Tabla15[[#This Row],[26]]="",0,VLOOKUP(TRAMOS!$K$2,Tabla5[#All],3,FALSE)*Tabla15[[#This Row],[27]])</f>
        <v>0</v>
      </c>
      <c r="AI118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8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8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8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8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8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8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181" spans="2:41" x14ac:dyDescent="0.25">
      <c r="B1181" s="58" t="str">
        <f>Tabla1[[#This Row],[nudo inicial]]</f>
        <v>N637</v>
      </c>
      <c r="C1181" s="58" t="str">
        <f>Tabla1[[#This Row],[nudo final]]</f>
        <v>N631</v>
      </c>
      <c r="D1181" s="51">
        <f>Tabla1[[#This Row],[longitud]]</f>
        <v>21.17</v>
      </c>
      <c r="E1181" s="51" t="str">
        <f>Tabla1[[#This Row],[diametro]]</f>
        <v>3"</v>
      </c>
      <c r="F1181" s="51" t="str">
        <f>Tabla1[[#This Row],[material]]</f>
        <v>PVC</v>
      </c>
      <c r="G118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181" s="52" t="str">
        <f>IF(Tabla1[[#This Row],[5]]="TPD",Tabla1[[#This Row],[6]],"")</f>
        <v>3"</v>
      </c>
      <c r="I1181" s="52">
        <f>IF(OR(Tabla1[[#This Row],[5]]="TPD"),Tabla1[[#This Row],[7]],"")</f>
        <v>1</v>
      </c>
      <c r="J1181" s="52">
        <f>IF(Tabla15[[#This Row],[2]]="",0,VLOOKUP(TRAMOS!$H$2,Tabla5[#All],3,FALSE)*Tabla15[[#This Row],[3]])</f>
        <v>0.15</v>
      </c>
      <c r="K1181" s="52" t="str">
        <f>IF(Tabla1[[#This Row],[5]]="TPL",Tabla1[[#This Row],[6]],"")</f>
        <v/>
      </c>
      <c r="L1181" s="52" t="str">
        <f>IF(OR(Tabla1[[#This Row],[5]]="TPL"),Tabla1[[#This Row],[7]],"")</f>
        <v/>
      </c>
      <c r="M1181" s="52">
        <f>IF(Tabla15[[#This Row],[5]]="",0,VLOOKUP(TRAMOS!$K$2,Tabla5[#All],3,FALSE)*Tabla15[[#This Row],[6]])</f>
        <v>0</v>
      </c>
      <c r="N118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8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81" s="52">
        <f>IF(Tabla15[[#This Row],[8]]="",0,VLOOKUP(TRAMOS!$H$2,Tabla5[#All],3,FALSE)*Tabla15[[#This Row],[9]])</f>
        <v>0</v>
      </c>
      <c r="Q118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3"</v>
      </c>
      <c r="R1181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1181" s="52">
        <f>IF(Tabla15[[#This Row],[11]]="",0,VLOOKUP(TRAMOS!$Q$2,Tabla5[#All],3,FALSE)*Tabla15[[#This Row],[12]])</f>
        <v>0.9</v>
      </c>
      <c r="T118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8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8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8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8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8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8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8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81" s="52">
        <f>IF(Tabla15[[#This Row],[20]]="",0,VLOOKUP("VRP",Tabla5[#All],3,FALSE)*Tabla15[[#This Row],[21]])</f>
        <v>0</v>
      </c>
      <c r="AC118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8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81" s="52">
        <f>IF(Tabla15[[#This Row],[23]]="",0,VLOOKUP("VC",Tabla5[#All],3,FALSE)*Tabla15[[#This Row],[24]])</f>
        <v>0</v>
      </c>
      <c r="AF118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8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81" s="52">
        <f>IF(Tabla15[[#This Row],[26]]="",0,VLOOKUP(TRAMOS!$K$2,Tabla5[#All],3,FALSE)*Tabla15[[#This Row],[27]])</f>
        <v>0</v>
      </c>
      <c r="AI118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8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8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8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8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81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8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1182" spans="2:41" x14ac:dyDescent="0.25">
      <c r="B1182" s="58" t="str">
        <f>Tabla1[[#This Row],[nudo inicial]]</f>
        <v>N631</v>
      </c>
      <c r="C1182" s="58" t="str">
        <f>Tabla1[[#This Row],[nudo final]]</f>
        <v>N632</v>
      </c>
      <c r="D1182" s="51">
        <f>Tabla1[[#This Row],[longitud]]</f>
        <v>6.66</v>
      </c>
      <c r="E1182" s="51" t="str">
        <f>Tabla1[[#This Row],[diametro]]</f>
        <v>2"</v>
      </c>
      <c r="F1182" s="51" t="str">
        <f>Tabla1[[#This Row],[material]]</f>
        <v>PVC</v>
      </c>
      <c r="G118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182" s="52" t="str">
        <f>IF(Tabla1[[#This Row],[5]]="TPD",Tabla1[[#This Row],[6]],"")</f>
        <v/>
      </c>
      <c r="I1182" s="52" t="str">
        <f>IF(OR(Tabla1[[#This Row],[5]]="TPD"),Tabla1[[#This Row],[7]],"")</f>
        <v/>
      </c>
      <c r="J1182" s="52">
        <f>IF(Tabla15[[#This Row],[2]]="",0,VLOOKUP(TRAMOS!$H$2,Tabla5[#All],3,FALSE)*Tabla15[[#This Row],[3]])</f>
        <v>0</v>
      </c>
      <c r="K1182" s="52" t="str">
        <f>IF(Tabla1[[#This Row],[5]]="TPL",Tabla1[[#This Row],[6]],"")</f>
        <v>3"</v>
      </c>
      <c r="L1182" s="52">
        <f>IF(OR(Tabla1[[#This Row],[5]]="TPL"),Tabla1[[#This Row],[7]],"")</f>
        <v>1</v>
      </c>
      <c r="M1182" s="52">
        <f>IF(Tabla15[[#This Row],[5]]="",0,VLOOKUP(TRAMOS!$K$2,Tabla5[#All],3,FALSE)*Tabla15[[#This Row],[6]])</f>
        <v>0.9</v>
      </c>
      <c r="N118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8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82" s="52">
        <f>IF(Tabla15[[#This Row],[8]]="",0,VLOOKUP(TRAMOS!$H$2,Tabla5[#All],3,FALSE)*Tabla15[[#This Row],[9]])</f>
        <v>0</v>
      </c>
      <c r="Q118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8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82" s="52">
        <f>IF(Tabla15[[#This Row],[11]]="",0,VLOOKUP(TRAMOS!$Q$2,Tabla5[#All],3,FALSE)*Tabla15[[#This Row],[12]])</f>
        <v>0</v>
      </c>
      <c r="T118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1182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18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118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8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8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8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8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82" s="52">
        <f>IF(Tabla15[[#This Row],[20]]="",0,VLOOKUP("VRP",Tabla5[#All],3,FALSE)*Tabla15[[#This Row],[21]])</f>
        <v>0</v>
      </c>
      <c r="AC118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1182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1182" s="52">
        <f>IF(Tabla15[[#This Row],[23]]="",0,VLOOKUP("VC",Tabla5[#All],3,FALSE)*Tabla15[[#This Row],[24]])</f>
        <v>0.25</v>
      </c>
      <c r="AF118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8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82" s="52">
        <f>IF(Tabla15[[#This Row],[26]]="",0,VLOOKUP(TRAMOS!$K$2,Tabla5[#All],3,FALSE)*Tabla15[[#This Row],[27]])</f>
        <v>0</v>
      </c>
      <c r="AI118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8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8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8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8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8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8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1.365</v>
      </c>
    </row>
    <row r="1183" spans="2:41" x14ac:dyDescent="0.25">
      <c r="B1183" s="58" t="str">
        <f>Tabla1[[#This Row],[nudo inicial]]</f>
        <v>N632</v>
      </c>
      <c r="C1183" s="58" t="str">
        <f>Tabla1[[#This Row],[nudo final]]</f>
        <v>TP423</v>
      </c>
      <c r="D1183" s="51">
        <f>Tabla1[[#This Row],[longitud]]</f>
        <v>50.88</v>
      </c>
      <c r="E1183" s="51" t="str">
        <f>Tabla1[[#This Row],[diametro]]</f>
        <v>2"</v>
      </c>
      <c r="F1183" s="51" t="str">
        <f>Tabla1[[#This Row],[material]]</f>
        <v>PVC</v>
      </c>
      <c r="G118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83" s="52" t="str">
        <f>IF(Tabla1[[#This Row],[5]]="TPD",Tabla1[[#This Row],[6]],"")</f>
        <v>2"</v>
      </c>
      <c r="I1183" s="52">
        <f>IF(OR(Tabla1[[#This Row],[5]]="TPD"),Tabla1[[#This Row],[7]],"")</f>
        <v>1</v>
      </c>
      <c r="J1183" s="52">
        <f>IF(Tabla15[[#This Row],[2]]="",0,VLOOKUP(TRAMOS!$H$2,Tabla5[#All],3,FALSE)*Tabla15[[#This Row],[3]])</f>
        <v>0.15</v>
      </c>
      <c r="K1183" s="52" t="str">
        <f>IF(Tabla1[[#This Row],[5]]="TPL",Tabla1[[#This Row],[6]],"")</f>
        <v/>
      </c>
      <c r="L1183" s="52" t="str">
        <f>IF(OR(Tabla1[[#This Row],[5]]="TPL"),Tabla1[[#This Row],[7]],"")</f>
        <v/>
      </c>
      <c r="M1183" s="52">
        <f>IF(Tabla15[[#This Row],[5]]="",0,VLOOKUP(TRAMOS!$K$2,Tabla5[#All],3,FALSE)*Tabla15[[#This Row],[6]])</f>
        <v>0</v>
      </c>
      <c r="N118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8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83" s="52">
        <f>IF(Tabla15[[#This Row],[8]]="",0,VLOOKUP(TRAMOS!$H$2,Tabla5[#All],3,FALSE)*Tabla15[[#This Row],[9]])</f>
        <v>0</v>
      </c>
      <c r="Q118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8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83" s="52">
        <f>IF(Tabla15[[#This Row],[11]]="",0,VLOOKUP(TRAMOS!$Q$2,Tabla5[#All],3,FALSE)*Tabla15[[#This Row],[12]])</f>
        <v>0</v>
      </c>
      <c r="T118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83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8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8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8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8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8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8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83" s="52">
        <f>IF(Tabla15[[#This Row],[20]]="",0,VLOOKUP("VRP",Tabla5[#All],3,FALSE)*Tabla15[[#This Row],[21]])</f>
        <v>0</v>
      </c>
      <c r="AC118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8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83" s="52">
        <f>IF(Tabla15[[#This Row],[23]]="",0,VLOOKUP("VC",Tabla5[#All],3,FALSE)*Tabla15[[#This Row],[24]])</f>
        <v>0</v>
      </c>
      <c r="AF118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8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83" s="52">
        <f>IF(Tabla15[[#This Row],[26]]="",0,VLOOKUP(TRAMOS!$K$2,Tabla5[#All],3,FALSE)*Tabla15[[#This Row],[27]])</f>
        <v>0</v>
      </c>
      <c r="AI118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8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8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8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8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183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8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184" spans="2:41" x14ac:dyDescent="0.25">
      <c r="B1184" s="58" t="str">
        <f>Tabla1[[#This Row],[nudo inicial]]</f>
        <v>N632</v>
      </c>
      <c r="C1184" s="58" t="str">
        <f>Tabla1[[#This Row],[nudo final]]</f>
        <v>N633</v>
      </c>
      <c r="D1184" s="51">
        <f>Tabla1[[#This Row],[longitud]]</f>
        <v>24.38</v>
      </c>
      <c r="E1184" s="51" t="str">
        <f>Tabla1[[#This Row],[diametro]]</f>
        <v>2"</v>
      </c>
      <c r="F1184" s="51" t="str">
        <f>Tabla1[[#This Row],[material]]</f>
        <v>PVC</v>
      </c>
      <c r="G118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84" s="52" t="str">
        <f>IF(Tabla1[[#This Row],[5]]="TPD",Tabla1[[#This Row],[6]],"")</f>
        <v/>
      </c>
      <c r="I1184" s="52" t="str">
        <f>IF(OR(Tabla1[[#This Row],[5]]="TPD"),Tabla1[[#This Row],[7]],"")</f>
        <v/>
      </c>
      <c r="J1184" s="52">
        <f>IF(Tabla15[[#This Row],[2]]="",0,VLOOKUP(TRAMOS!$H$2,Tabla5[#All],3,FALSE)*Tabla15[[#This Row],[3]])</f>
        <v>0</v>
      </c>
      <c r="K1184" s="52" t="str">
        <f>IF(Tabla1[[#This Row],[5]]="TPL",Tabla1[[#This Row],[6]],"")</f>
        <v>2"</v>
      </c>
      <c r="L1184" s="52">
        <f>IF(OR(Tabla1[[#This Row],[5]]="TPL"),Tabla1[[#This Row],[7]],"")</f>
        <v>1</v>
      </c>
      <c r="M1184" s="52">
        <f>IF(Tabla15[[#This Row],[5]]="",0,VLOOKUP(TRAMOS!$K$2,Tabla5[#All],3,FALSE)*Tabla15[[#This Row],[6]])</f>
        <v>0.9</v>
      </c>
      <c r="N118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8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84" s="52">
        <f>IF(Tabla15[[#This Row],[8]]="",0,VLOOKUP(TRAMOS!$H$2,Tabla5[#All],3,FALSE)*Tabla15[[#This Row],[9]])</f>
        <v>0</v>
      </c>
      <c r="Q118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8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84" s="52">
        <f>IF(Tabla15[[#This Row],[11]]="",0,VLOOKUP(TRAMOS!$Q$2,Tabla5[#All],3,FALSE)*Tabla15[[#This Row],[12]])</f>
        <v>0</v>
      </c>
      <c r="T118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8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8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8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8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8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8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8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84" s="52">
        <f>IF(Tabla15[[#This Row],[20]]="",0,VLOOKUP("VRP",Tabla5[#All],3,FALSE)*Tabla15[[#This Row],[21]])</f>
        <v>0</v>
      </c>
      <c r="AC118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8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84" s="52">
        <f>IF(Tabla15[[#This Row],[23]]="",0,VLOOKUP("VC",Tabla5[#All],3,FALSE)*Tabla15[[#This Row],[24]])</f>
        <v>0</v>
      </c>
      <c r="AF118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8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84" s="52">
        <f>IF(Tabla15[[#This Row],[26]]="",0,VLOOKUP(TRAMOS!$K$2,Tabla5[#All],3,FALSE)*Tabla15[[#This Row],[27]])</f>
        <v>0</v>
      </c>
      <c r="AI118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8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8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8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8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8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8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185" spans="2:41" x14ac:dyDescent="0.25">
      <c r="B1185" s="58" t="str">
        <f>Tabla1[[#This Row],[nudo inicial]]</f>
        <v>N633</v>
      </c>
      <c r="C1185" s="58" t="str">
        <f>Tabla1[[#This Row],[nudo final]]</f>
        <v>TP424</v>
      </c>
      <c r="D1185" s="51">
        <f>Tabla1[[#This Row],[longitud]]</f>
        <v>54.62</v>
      </c>
      <c r="E1185" s="51" t="str">
        <f>Tabla1[[#This Row],[diametro]]</f>
        <v>2"</v>
      </c>
      <c r="F1185" s="51" t="str">
        <f>Tabla1[[#This Row],[material]]</f>
        <v>PVC</v>
      </c>
      <c r="G118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85" s="52" t="str">
        <f>IF(Tabla1[[#This Row],[5]]="TPD",Tabla1[[#This Row],[6]],"")</f>
        <v/>
      </c>
      <c r="I1185" s="52" t="str">
        <f>IF(OR(Tabla1[[#This Row],[5]]="TPD"),Tabla1[[#This Row],[7]],"")</f>
        <v/>
      </c>
      <c r="J1185" s="52">
        <f>IF(Tabla15[[#This Row],[2]]="",0,VLOOKUP(TRAMOS!$H$2,Tabla5[#All],3,FALSE)*Tabla15[[#This Row],[3]])</f>
        <v>0</v>
      </c>
      <c r="K1185" s="52" t="str">
        <f>IF(Tabla1[[#This Row],[5]]="TPL",Tabla1[[#This Row],[6]],"")</f>
        <v>2"</v>
      </c>
      <c r="L1185" s="52">
        <f>IF(OR(Tabla1[[#This Row],[5]]="TPL"),Tabla1[[#This Row],[7]],"")</f>
        <v>1</v>
      </c>
      <c r="M1185" s="52">
        <f>IF(Tabla15[[#This Row],[5]]="",0,VLOOKUP(TRAMOS!$K$2,Tabla5[#All],3,FALSE)*Tabla15[[#This Row],[6]])</f>
        <v>0.9</v>
      </c>
      <c r="N118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8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85" s="52">
        <f>IF(Tabla15[[#This Row],[8]]="",0,VLOOKUP(TRAMOS!$H$2,Tabla5[#All],3,FALSE)*Tabla15[[#This Row],[9]])</f>
        <v>0</v>
      </c>
      <c r="Q118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8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85" s="52">
        <f>IF(Tabla15[[#This Row],[11]]="",0,VLOOKUP(TRAMOS!$Q$2,Tabla5[#All],3,FALSE)*Tabla15[[#This Row],[12]])</f>
        <v>0</v>
      </c>
      <c r="T118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8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8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8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8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8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8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8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85" s="52">
        <f>IF(Tabla15[[#This Row],[20]]="",0,VLOOKUP("VRP",Tabla5[#All],3,FALSE)*Tabla15[[#This Row],[21]])</f>
        <v>0</v>
      </c>
      <c r="AC118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8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85" s="52">
        <f>IF(Tabla15[[#This Row],[23]]="",0,VLOOKUP("VC",Tabla5[#All],3,FALSE)*Tabla15[[#This Row],[24]])</f>
        <v>0</v>
      </c>
      <c r="AF118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8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85" s="52">
        <f>IF(Tabla15[[#This Row],[26]]="",0,VLOOKUP(TRAMOS!$K$2,Tabla5[#All],3,FALSE)*Tabla15[[#This Row],[27]])</f>
        <v>0</v>
      </c>
      <c r="AI118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8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8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8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8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185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8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186" spans="2:41" x14ac:dyDescent="0.25">
      <c r="B1186" s="58" t="str">
        <f>Tabla1[[#This Row],[nudo inicial]]</f>
        <v>N633</v>
      </c>
      <c r="C1186" s="58" t="str">
        <f>Tabla1[[#This Row],[nudo final]]</f>
        <v>TP425</v>
      </c>
      <c r="D1186" s="51">
        <f>Tabla1[[#This Row],[longitud]]</f>
        <v>77.66</v>
      </c>
      <c r="E1186" s="51" t="str">
        <f>Tabla1[[#This Row],[diametro]]</f>
        <v>2"</v>
      </c>
      <c r="F1186" s="51" t="str">
        <f>Tabla1[[#This Row],[material]]</f>
        <v>PVC</v>
      </c>
      <c r="G118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86" s="52" t="str">
        <f>IF(Tabla1[[#This Row],[5]]="TPD",Tabla1[[#This Row],[6]],"")</f>
        <v>2"</v>
      </c>
      <c r="I1186" s="52">
        <f>IF(OR(Tabla1[[#This Row],[5]]="TPD"),Tabla1[[#This Row],[7]],"")</f>
        <v>1</v>
      </c>
      <c r="J1186" s="52">
        <f>IF(Tabla15[[#This Row],[2]]="",0,VLOOKUP(TRAMOS!$H$2,Tabla5[#All],3,FALSE)*Tabla15[[#This Row],[3]])</f>
        <v>0.15</v>
      </c>
      <c r="K1186" s="52" t="str">
        <f>IF(Tabla1[[#This Row],[5]]="TPL",Tabla1[[#This Row],[6]],"")</f>
        <v/>
      </c>
      <c r="L1186" s="52" t="str">
        <f>IF(OR(Tabla1[[#This Row],[5]]="TPL"),Tabla1[[#This Row],[7]],"")</f>
        <v/>
      </c>
      <c r="M1186" s="52">
        <f>IF(Tabla15[[#This Row],[5]]="",0,VLOOKUP(TRAMOS!$K$2,Tabla5[#All],3,FALSE)*Tabla15[[#This Row],[6]])</f>
        <v>0</v>
      </c>
      <c r="N118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8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86" s="52">
        <f>IF(Tabla15[[#This Row],[8]]="",0,VLOOKUP(TRAMOS!$H$2,Tabla5[#All],3,FALSE)*Tabla15[[#This Row],[9]])</f>
        <v>0</v>
      </c>
      <c r="Q118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1186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1186" s="52">
        <f>IF(Tabla15[[#This Row],[11]]="",0,VLOOKUP(TRAMOS!$Q$2,Tabla5[#All],3,FALSE)*Tabla15[[#This Row],[12]])</f>
        <v>0.9</v>
      </c>
      <c r="T118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86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8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8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8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8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8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8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86" s="52">
        <f>IF(Tabla15[[#This Row],[20]]="",0,VLOOKUP("VRP",Tabla5[#All],3,FALSE)*Tabla15[[#This Row],[21]])</f>
        <v>0</v>
      </c>
      <c r="AC118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8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86" s="52">
        <f>IF(Tabla15[[#This Row],[23]]="",0,VLOOKUP("VC",Tabla5[#All],3,FALSE)*Tabla15[[#This Row],[24]])</f>
        <v>0</v>
      </c>
      <c r="AF118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8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86" s="52">
        <f>IF(Tabla15[[#This Row],[26]]="",0,VLOOKUP(TRAMOS!$K$2,Tabla5[#All],3,FALSE)*Tabla15[[#This Row],[27]])</f>
        <v>0</v>
      </c>
      <c r="AI118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8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8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8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8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186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8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1187" spans="2:41" x14ac:dyDescent="0.25">
      <c r="B1187" s="58" t="str">
        <f>Tabla1[[#This Row],[nudo inicial]]</f>
        <v>N631</v>
      </c>
      <c r="C1187" s="58" t="str">
        <f>Tabla1[[#This Row],[nudo final]]</f>
        <v>N634</v>
      </c>
      <c r="D1187" s="51">
        <f>Tabla1[[#This Row],[longitud]]</f>
        <v>158.87</v>
      </c>
      <c r="E1187" s="51" t="str">
        <f>Tabla1[[#This Row],[diametro]]</f>
        <v>2"</v>
      </c>
      <c r="F1187" s="51" t="str">
        <f>Tabla1[[#This Row],[material]]</f>
        <v>PVC</v>
      </c>
      <c r="G118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187" s="52" t="str">
        <f>IF(Tabla1[[#This Row],[5]]="TPD",Tabla1[[#This Row],[6]],"")</f>
        <v>3"</v>
      </c>
      <c r="I1187" s="52">
        <f>IF(OR(Tabla1[[#This Row],[5]]="TPD"),Tabla1[[#This Row],[7]],"")</f>
        <v>1</v>
      </c>
      <c r="J1187" s="52">
        <f>IF(Tabla15[[#This Row],[2]]="",0,VLOOKUP(TRAMOS!$H$2,Tabla5[#All],3,FALSE)*Tabla15[[#This Row],[3]])</f>
        <v>0.15</v>
      </c>
      <c r="K1187" s="52" t="str">
        <f>IF(Tabla1[[#This Row],[5]]="TPL",Tabla1[[#This Row],[6]],"")</f>
        <v/>
      </c>
      <c r="L1187" s="52" t="str">
        <f>IF(OR(Tabla1[[#This Row],[5]]="TPL"),Tabla1[[#This Row],[7]],"")</f>
        <v/>
      </c>
      <c r="M1187" s="52">
        <f>IF(Tabla15[[#This Row],[5]]="",0,VLOOKUP(TRAMOS!$K$2,Tabla5[#All],3,FALSE)*Tabla15[[#This Row],[6]])</f>
        <v>0</v>
      </c>
      <c r="N118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8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87" s="52">
        <f>IF(Tabla15[[#This Row],[8]]="",0,VLOOKUP(TRAMOS!$H$2,Tabla5[#All],3,FALSE)*Tabla15[[#This Row],[9]])</f>
        <v>0</v>
      </c>
      <c r="Q118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1187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1187" s="52">
        <f>IF(Tabla15[[#This Row],[11]]="",0,VLOOKUP(TRAMOS!$Q$2,Tabla5[#All],3,FALSE)*Tabla15[[#This Row],[12]])</f>
        <v>0.9</v>
      </c>
      <c r="T118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1187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18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118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8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8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8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8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87" s="52">
        <f>IF(Tabla15[[#This Row],[20]]="",0,VLOOKUP("VRP",Tabla5[#All],3,FALSE)*Tabla15[[#This Row],[21]])</f>
        <v>0</v>
      </c>
      <c r="AC118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8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87" s="52">
        <f>IF(Tabla15[[#This Row],[23]]="",0,VLOOKUP("VC",Tabla5[#All],3,FALSE)*Tabla15[[#This Row],[24]])</f>
        <v>0</v>
      </c>
      <c r="AF118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8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87" s="52">
        <f>IF(Tabla15[[#This Row],[26]]="",0,VLOOKUP(TRAMOS!$K$2,Tabla5[#All],3,FALSE)*Tabla15[[#This Row],[27]])</f>
        <v>0</v>
      </c>
      <c r="AI118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8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8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8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8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87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8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1.2650000000000001</v>
      </c>
    </row>
    <row r="1188" spans="2:41" x14ac:dyDescent="0.25">
      <c r="B1188" s="58" t="str">
        <f>Tabla1[[#This Row],[nudo inicial]]</f>
        <v>N634</v>
      </c>
      <c r="C1188" s="58" t="str">
        <f>Tabla1[[#This Row],[nudo final]]</f>
        <v>TP426</v>
      </c>
      <c r="D1188" s="51">
        <f>Tabla1[[#This Row],[longitud]]</f>
        <v>43.32</v>
      </c>
      <c r="E1188" s="51" t="str">
        <f>Tabla1[[#This Row],[diametro]]</f>
        <v>2"</v>
      </c>
      <c r="F1188" s="51" t="str">
        <f>Tabla1[[#This Row],[material]]</f>
        <v>PVC</v>
      </c>
      <c r="G118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88" s="52" t="str">
        <f>IF(Tabla1[[#This Row],[5]]="TPD",Tabla1[[#This Row],[6]],"")</f>
        <v>2"</v>
      </c>
      <c r="I1188" s="52">
        <f>IF(OR(Tabla1[[#This Row],[5]]="TPD"),Tabla1[[#This Row],[7]],"")</f>
        <v>1</v>
      </c>
      <c r="J1188" s="52">
        <f>IF(Tabla15[[#This Row],[2]]="",0,VLOOKUP(TRAMOS!$H$2,Tabla5[#All],3,FALSE)*Tabla15[[#This Row],[3]])</f>
        <v>0.15</v>
      </c>
      <c r="K1188" s="52" t="str">
        <f>IF(Tabla1[[#This Row],[5]]="TPL",Tabla1[[#This Row],[6]],"")</f>
        <v/>
      </c>
      <c r="L1188" s="52" t="str">
        <f>IF(OR(Tabla1[[#This Row],[5]]="TPL"),Tabla1[[#This Row],[7]],"")</f>
        <v/>
      </c>
      <c r="M1188" s="52">
        <f>IF(Tabla15[[#This Row],[5]]="",0,VLOOKUP(TRAMOS!$K$2,Tabla5[#All],3,FALSE)*Tabla15[[#This Row],[6]])</f>
        <v>0</v>
      </c>
      <c r="N118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8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88" s="52">
        <f>IF(Tabla15[[#This Row],[8]]="",0,VLOOKUP(TRAMOS!$H$2,Tabla5[#All],3,FALSE)*Tabla15[[#This Row],[9]])</f>
        <v>0</v>
      </c>
      <c r="Q118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8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88" s="52">
        <f>IF(Tabla15[[#This Row],[11]]="",0,VLOOKUP(TRAMOS!$Q$2,Tabla5[#All],3,FALSE)*Tabla15[[#This Row],[12]])</f>
        <v>0</v>
      </c>
      <c r="T118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8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8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8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8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8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8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8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88" s="52">
        <f>IF(Tabla15[[#This Row],[20]]="",0,VLOOKUP("VRP",Tabla5[#All],3,FALSE)*Tabla15[[#This Row],[21]])</f>
        <v>0</v>
      </c>
      <c r="AC118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8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88" s="52">
        <f>IF(Tabla15[[#This Row],[23]]="",0,VLOOKUP("VC",Tabla5[#All],3,FALSE)*Tabla15[[#This Row],[24]])</f>
        <v>0</v>
      </c>
      <c r="AF118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8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88" s="52">
        <f>IF(Tabla15[[#This Row],[26]]="",0,VLOOKUP(TRAMOS!$K$2,Tabla5[#All],3,FALSE)*Tabla15[[#This Row],[27]])</f>
        <v>0</v>
      </c>
      <c r="AI118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8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8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8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8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188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8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189" spans="2:41" x14ac:dyDescent="0.25">
      <c r="B1189" s="58" t="str">
        <f>Tabla1[[#This Row],[nudo inicial]]</f>
        <v>N634</v>
      </c>
      <c r="C1189" s="58" t="str">
        <f>Tabla1[[#This Row],[nudo final]]</f>
        <v>TP427</v>
      </c>
      <c r="D1189" s="51">
        <f>Tabla1[[#This Row],[longitud]]</f>
        <v>107.14</v>
      </c>
      <c r="E1189" s="51" t="str">
        <f>Tabla1[[#This Row],[diametro]]</f>
        <v>2"</v>
      </c>
      <c r="F1189" s="51" t="str">
        <f>Tabla1[[#This Row],[material]]</f>
        <v>PVC</v>
      </c>
      <c r="G118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89" s="52" t="str">
        <f>IF(Tabla1[[#This Row],[5]]="TPD",Tabla1[[#This Row],[6]],"")</f>
        <v/>
      </c>
      <c r="I1189" s="52" t="str">
        <f>IF(OR(Tabla1[[#This Row],[5]]="TPD"),Tabla1[[#This Row],[7]],"")</f>
        <v/>
      </c>
      <c r="J1189" s="52">
        <f>IF(Tabla15[[#This Row],[2]]="",0,VLOOKUP(TRAMOS!$H$2,Tabla5[#All],3,FALSE)*Tabla15[[#This Row],[3]])</f>
        <v>0</v>
      </c>
      <c r="K1189" s="52" t="str">
        <f>IF(Tabla1[[#This Row],[5]]="TPL",Tabla1[[#This Row],[6]],"")</f>
        <v>2"</v>
      </c>
      <c r="L1189" s="52">
        <f>IF(OR(Tabla1[[#This Row],[5]]="TPL"),Tabla1[[#This Row],[7]],"")</f>
        <v>1</v>
      </c>
      <c r="M1189" s="52">
        <f>IF(Tabla15[[#This Row],[5]]="",0,VLOOKUP(TRAMOS!$K$2,Tabla5[#All],3,FALSE)*Tabla15[[#This Row],[6]])</f>
        <v>0.9</v>
      </c>
      <c r="N118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8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89" s="52">
        <f>IF(Tabla15[[#This Row],[8]]="",0,VLOOKUP(TRAMOS!$H$2,Tabla5[#All],3,FALSE)*Tabla15[[#This Row],[9]])</f>
        <v>0</v>
      </c>
      <c r="Q118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89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89" s="52">
        <f>IF(Tabla15[[#This Row],[11]]="",0,VLOOKUP(TRAMOS!$Q$2,Tabla5[#All],3,FALSE)*Tabla15[[#This Row],[12]])</f>
        <v>0</v>
      </c>
      <c r="T118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8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8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8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8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8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8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8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89" s="52">
        <f>IF(Tabla15[[#This Row],[20]]="",0,VLOOKUP("VRP",Tabla5[#All],3,FALSE)*Tabla15[[#This Row],[21]])</f>
        <v>0</v>
      </c>
      <c r="AC118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>2"</v>
      </c>
      <c r="AD1189" s="52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>1</v>
      </c>
      <c r="AE1189" s="52">
        <f>IF(Tabla15[[#This Row],[23]]="",0,VLOOKUP("VC",Tabla5[#All],3,FALSE)*Tabla15[[#This Row],[24]])</f>
        <v>0.25</v>
      </c>
      <c r="AF118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8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89" s="52">
        <f>IF(Tabla15[[#This Row],[26]]="",0,VLOOKUP(TRAMOS!$K$2,Tabla5[#All],3,FALSE)*Tabla15[[#This Row],[27]])</f>
        <v>0</v>
      </c>
      <c r="AI118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8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8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8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8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189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8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1.1499999999999999</v>
      </c>
    </row>
    <row r="1190" spans="2:41" x14ac:dyDescent="0.25">
      <c r="B1190" s="58" t="str">
        <f>Tabla1[[#This Row],[nudo inicial]]</f>
        <v>T. VILLA CRISTINA</v>
      </c>
      <c r="C1190" s="58" t="str">
        <f>Tabla1[[#This Row],[nudo final]]</f>
        <v>N635</v>
      </c>
      <c r="D1190" s="51">
        <f>Tabla1[[#This Row],[longitud]]</f>
        <v>336.34</v>
      </c>
      <c r="E1190" s="51" t="str">
        <f>Tabla1[[#This Row],[diametro]]</f>
        <v>3"</v>
      </c>
      <c r="F1190" s="51" t="str">
        <f>Tabla1[[#This Row],[material]]</f>
        <v>PVC</v>
      </c>
      <c r="G119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4"</v>
      </c>
      <c r="H1190" s="52" t="str">
        <f>IF(Tabla1[[#This Row],[5]]="TPD",Tabla1[[#This Row],[6]],"")</f>
        <v/>
      </c>
      <c r="I1190" s="52" t="str">
        <f>IF(OR(Tabla1[[#This Row],[5]]="TPD"),Tabla1[[#This Row],[7]],"")</f>
        <v/>
      </c>
      <c r="J1190" s="52">
        <f>IF(Tabla15[[#This Row],[2]]="",0,VLOOKUP(TRAMOS!$H$2,Tabla5[#All],3,FALSE)*Tabla15[[#This Row],[3]])</f>
        <v>0</v>
      </c>
      <c r="K1190" s="52" t="str">
        <f>IF(Tabla1[[#This Row],[5]]="TPL",Tabla1[[#This Row],[6]],"")</f>
        <v/>
      </c>
      <c r="L1190" s="52" t="str">
        <f>IF(OR(Tabla1[[#This Row],[5]]="TPL"),Tabla1[[#This Row],[7]],"")</f>
        <v/>
      </c>
      <c r="M1190" s="52">
        <f>IF(Tabla15[[#This Row],[5]]="",0,VLOOKUP(TRAMOS!$K$2,Tabla5[#All],3,FALSE)*Tabla15[[#This Row],[6]])</f>
        <v>0</v>
      </c>
      <c r="N119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9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90" s="52">
        <f>IF(Tabla15[[#This Row],[8]]="",0,VLOOKUP(TRAMOS!$H$2,Tabla5[#All],3,FALSE)*Tabla15[[#This Row],[9]])</f>
        <v>0</v>
      </c>
      <c r="Q119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3"</v>
      </c>
      <c r="R1190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5</v>
      </c>
      <c r="S1190" s="52">
        <f>IF(Tabla15[[#This Row],[11]]="",0,VLOOKUP(TRAMOS!$Q$2,Tabla5[#All],3,FALSE)*Tabla15[[#This Row],[12]])</f>
        <v>4.5</v>
      </c>
      <c r="T119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90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9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9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9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9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9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9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90" s="52">
        <f>IF(Tabla15[[#This Row],[20]]="",0,VLOOKUP("VRP",Tabla5[#All],3,FALSE)*Tabla15[[#This Row],[21]])</f>
        <v>0</v>
      </c>
      <c r="AC119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9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90" s="52">
        <f>IF(Tabla15[[#This Row],[23]]="",0,VLOOKUP("VC",Tabla5[#All],3,FALSE)*Tabla15[[#This Row],[24]])</f>
        <v>0</v>
      </c>
      <c r="AF119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9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90" s="52">
        <f>IF(Tabla15[[#This Row],[26]]="",0,VLOOKUP(TRAMOS!$K$2,Tabla5[#All],3,FALSE)*Tabla15[[#This Row],[27]])</f>
        <v>0</v>
      </c>
      <c r="AI119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9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9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9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9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90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9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4.5</v>
      </c>
    </row>
    <row r="1191" spans="2:41" x14ac:dyDescent="0.25">
      <c r="B1191" s="58" t="str">
        <f>Tabla1[[#This Row],[nudo inicial]]</f>
        <v>N635</v>
      </c>
      <c r="C1191" s="58" t="str">
        <f>Tabla1[[#This Row],[nudo final]]</f>
        <v>TP428</v>
      </c>
      <c r="D1191" s="51">
        <f>Tabla1[[#This Row],[longitud]]</f>
        <v>113.9</v>
      </c>
      <c r="E1191" s="51" t="str">
        <f>Tabla1[[#This Row],[diametro]]</f>
        <v>2"</v>
      </c>
      <c r="F1191" s="51" t="str">
        <f>Tabla1[[#This Row],[material]]</f>
        <v>PVC</v>
      </c>
      <c r="G119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191" s="52" t="str">
        <f>IF(Tabla1[[#This Row],[5]]="TPD",Tabla1[[#This Row],[6]],"")</f>
        <v/>
      </c>
      <c r="I1191" s="52" t="str">
        <f>IF(OR(Tabla1[[#This Row],[5]]="TPD"),Tabla1[[#This Row],[7]],"")</f>
        <v/>
      </c>
      <c r="J1191" s="52">
        <f>IF(Tabla15[[#This Row],[2]]="",0,VLOOKUP(TRAMOS!$H$2,Tabla5[#All],3,FALSE)*Tabla15[[#This Row],[3]])</f>
        <v>0</v>
      </c>
      <c r="K1191" s="52" t="str">
        <f>IF(Tabla1[[#This Row],[5]]="TPL",Tabla1[[#This Row],[6]],"")</f>
        <v>3"</v>
      </c>
      <c r="L1191" s="52">
        <f>IF(OR(Tabla1[[#This Row],[5]]="TPL"),Tabla1[[#This Row],[7]],"")</f>
        <v>1</v>
      </c>
      <c r="M1191" s="52">
        <f>IF(Tabla15[[#This Row],[5]]="",0,VLOOKUP(TRAMOS!$K$2,Tabla5[#All],3,FALSE)*Tabla15[[#This Row],[6]])</f>
        <v>0.9</v>
      </c>
      <c r="N119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9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91" s="52">
        <f>IF(Tabla15[[#This Row],[8]]="",0,VLOOKUP(TRAMOS!$H$2,Tabla5[#All],3,FALSE)*Tabla15[[#This Row],[9]])</f>
        <v>0</v>
      </c>
      <c r="Q119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91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91" s="52">
        <f>IF(Tabla15[[#This Row],[11]]="",0,VLOOKUP(TRAMOS!$Q$2,Tabla5[#All],3,FALSE)*Tabla15[[#This Row],[12]])</f>
        <v>0</v>
      </c>
      <c r="T119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1191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19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119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9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9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9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9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91" s="52">
        <f>IF(Tabla15[[#This Row],[20]]="",0,VLOOKUP("VRP",Tabla5[#All],3,FALSE)*Tabla15[[#This Row],[21]])</f>
        <v>0</v>
      </c>
      <c r="AC119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9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91" s="52">
        <f>IF(Tabla15[[#This Row],[23]]="",0,VLOOKUP("VC",Tabla5[#All],3,FALSE)*Tabla15[[#This Row],[24]])</f>
        <v>0</v>
      </c>
      <c r="AF119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9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91" s="52">
        <f>IF(Tabla15[[#This Row],[26]]="",0,VLOOKUP(TRAMOS!$K$2,Tabla5[#All],3,FALSE)*Tabla15[[#This Row],[27]])</f>
        <v>0</v>
      </c>
      <c r="AI119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9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9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9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9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191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9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1192" spans="2:41" x14ac:dyDescent="0.25">
      <c r="B1192" s="58" t="str">
        <f>Tabla1[[#This Row],[nudo inicial]]</f>
        <v>N635</v>
      </c>
      <c r="C1192" s="58" t="str">
        <f>Tabla1[[#This Row],[nudo final]]</f>
        <v>N636</v>
      </c>
      <c r="D1192" s="51">
        <f>Tabla1[[#This Row],[longitud]]</f>
        <v>52.17</v>
      </c>
      <c r="E1192" s="51" t="str">
        <f>Tabla1[[#This Row],[diametro]]</f>
        <v>3"</v>
      </c>
      <c r="F1192" s="51" t="str">
        <f>Tabla1[[#This Row],[material]]</f>
        <v>PVC</v>
      </c>
      <c r="G119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192" s="52" t="str">
        <f>IF(Tabla1[[#This Row],[5]]="TPD",Tabla1[[#This Row],[6]],"")</f>
        <v>3"</v>
      </c>
      <c r="I1192" s="52">
        <f>IF(OR(Tabla1[[#This Row],[5]]="TPD"),Tabla1[[#This Row],[7]],"")</f>
        <v>1</v>
      </c>
      <c r="J1192" s="52">
        <f>IF(Tabla15[[#This Row],[2]]="",0,VLOOKUP(TRAMOS!$H$2,Tabla5[#All],3,FALSE)*Tabla15[[#This Row],[3]])</f>
        <v>0.15</v>
      </c>
      <c r="K1192" s="52" t="str">
        <f>IF(Tabla1[[#This Row],[5]]="TPL",Tabla1[[#This Row],[6]],"")</f>
        <v/>
      </c>
      <c r="L1192" s="52" t="str">
        <f>IF(OR(Tabla1[[#This Row],[5]]="TPL"),Tabla1[[#This Row],[7]],"")</f>
        <v/>
      </c>
      <c r="M1192" s="52">
        <f>IF(Tabla15[[#This Row],[5]]="",0,VLOOKUP(TRAMOS!$K$2,Tabla5[#All],3,FALSE)*Tabla15[[#This Row],[6]])</f>
        <v>0</v>
      </c>
      <c r="N119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9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92" s="52">
        <f>IF(Tabla15[[#This Row],[8]]="",0,VLOOKUP(TRAMOS!$H$2,Tabla5[#All],3,FALSE)*Tabla15[[#This Row],[9]])</f>
        <v>0</v>
      </c>
      <c r="Q119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9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92" s="52">
        <f>IF(Tabla15[[#This Row],[11]]="",0,VLOOKUP(TRAMOS!$Q$2,Tabla5[#All],3,FALSE)*Tabla15[[#This Row],[12]])</f>
        <v>0</v>
      </c>
      <c r="T119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9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9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9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9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9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9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9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92" s="52">
        <f>IF(Tabla15[[#This Row],[20]]="",0,VLOOKUP("VRP",Tabla5[#All],3,FALSE)*Tabla15[[#This Row],[21]])</f>
        <v>0</v>
      </c>
      <c r="AC119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9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92" s="52">
        <f>IF(Tabla15[[#This Row],[23]]="",0,VLOOKUP("VC",Tabla5[#All],3,FALSE)*Tabla15[[#This Row],[24]])</f>
        <v>0</v>
      </c>
      <c r="AF119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9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92" s="52">
        <f>IF(Tabla15[[#This Row],[26]]="",0,VLOOKUP(TRAMOS!$K$2,Tabla5[#All],3,FALSE)*Tabla15[[#This Row],[27]])</f>
        <v>0</v>
      </c>
      <c r="AI1192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92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9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9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9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9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9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193" spans="2:41" x14ac:dyDescent="0.25">
      <c r="B1193" s="58" t="str">
        <f>Tabla1[[#This Row],[nudo inicial]]</f>
        <v>N636</v>
      </c>
      <c r="C1193" s="58" t="str">
        <f>Tabla1[[#This Row],[nudo final]]</f>
        <v>TP429</v>
      </c>
      <c r="D1193" s="51">
        <f>Tabla1[[#This Row],[longitud]]</f>
        <v>111.97</v>
      </c>
      <c r="E1193" s="51" t="str">
        <f>Tabla1[[#This Row],[diametro]]</f>
        <v>2"</v>
      </c>
      <c r="F1193" s="51" t="str">
        <f>Tabla1[[#This Row],[material]]</f>
        <v>PVC</v>
      </c>
      <c r="G119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193" s="52" t="str">
        <f>IF(Tabla1[[#This Row],[5]]="TPD",Tabla1[[#This Row],[6]],"")</f>
        <v/>
      </c>
      <c r="I1193" s="52" t="str">
        <f>IF(OR(Tabla1[[#This Row],[5]]="TPD"),Tabla1[[#This Row],[7]],"")</f>
        <v/>
      </c>
      <c r="J1193" s="52">
        <f>IF(Tabla15[[#This Row],[2]]="",0,VLOOKUP(TRAMOS!$H$2,Tabla5[#All],3,FALSE)*Tabla15[[#This Row],[3]])</f>
        <v>0</v>
      </c>
      <c r="K1193" s="52" t="str">
        <f>IF(Tabla1[[#This Row],[5]]="TPL",Tabla1[[#This Row],[6]],"")</f>
        <v>3"</v>
      </c>
      <c r="L1193" s="52">
        <f>IF(OR(Tabla1[[#This Row],[5]]="TPL"),Tabla1[[#This Row],[7]],"")</f>
        <v>1</v>
      </c>
      <c r="M1193" s="52">
        <f>IF(Tabla15[[#This Row],[5]]="",0,VLOOKUP(TRAMOS!$K$2,Tabla5[#All],3,FALSE)*Tabla15[[#This Row],[6]])</f>
        <v>0.9</v>
      </c>
      <c r="N119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9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93" s="52">
        <f>IF(Tabla15[[#This Row],[8]]="",0,VLOOKUP(TRAMOS!$H$2,Tabla5[#All],3,FALSE)*Tabla15[[#This Row],[9]])</f>
        <v>0</v>
      </c>
      <c r="Q119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9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93" s="52">
        <f>IF(Tabla15[[#This Row],[11]]="",0,VLOOKUP(TRAMOS!$Q$2,Tabla5[#All],3,FALSE)*Tabla15[[#This Row],[12]])</f>
        <v>0</v>
      </c>
      <c r="T119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1193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19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119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9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9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9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9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93" s="52">
        <f>IF(Tabla15[[#This Row],[20]]="",0,VLOOKUP("VRP",Tabla5[#All],3,FALSE)*Tabla15[[#This Row],[21]])</f>
        <v>0</v>
      </c>
      <c r="AC119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9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93" s="52">
        <f>IF(Tabla15[[#This Row],[23]]="",0,VLOOKUP("VC",Tabla5[#All],3,FALSE)*Tabla15[[#This Row],[24]])</f>
        <v>0</v>
      </c>
      <c r="AF119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9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93" s="52">
        <f>IF(Tabla15[[#This Row],[26]]="",0,VLOOKUP(TRAMOS!$K$2,Tabla5[#All],3,FALSE)*Tabla15[[#This Row],[27]])</f>
        <v>0</v>
      </c>
      <c r="AI119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9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9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9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9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193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9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1194" spans="2:41" x14ac:dyDescent="0.25">
      <c r="B1194" s="58" t="str">
        <f>Tabla1[[#This Row],[nudo inicial]]</f>
        <v>N636</v>
      </c>
      <c r="C1194" s="58" t="str">
        <f>Tabla1[[#This Row],[nudo final]]</f>
        <v>TP430</v>
      </c>
      <c r="D1194" s="51">
        <f>Tabla1[[#This Row],[longitud]]</f>
        <v>229.81</v>
      </c>
      <c r="E1194" s="51" t="str">
        <f>Tabla1[[#This Row],[diametro]]</f>
        <v>2"</v>
      </c>
      <c r="F1194" s="51" t="str">
        <f>Tabla1[[#This Row],[material]]</f>
        <v>PVC</v>
      </c>
      <c r="G119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194" s="52" t="str">
        <f>IF(Tabla1[[#This Row],[5]]="TPD",Tabla1[[#This Row],[6]],"")</f>
        <v>3"</v>
      </c>
      <c r="I1194" s="52">
        <f>IF(OR(Tabla1[[#This Row],[5]]="TPD"),Tabla1[[#This Row],[7]],"")</f>
        <v>1</v>
      </c>
      <c r="J1194" s="52">
        <f>IF(Tabla15[[#This Row],[2]]="",0,VLOOKUP(TRAMOS!$H$2,Tabla5[#All],3,FALSE)*Tabla15[[#This Row],[3]])</f>
        <v>0.15</v>
      </c>
      <c r="K1194" s="52" t="str">
        <f>IF(Tabla1[[#This Row],[5]]="TPL",Tabla1[[#This Row],[6]],"")</f>
        <v/>
      </c>
      <c r="L1194" s="52" t="str">
        <f>IF(OR(Tabla1[[#This Row],[5]]="TPL"),Tabla1[[#This Row],[7]],"")</f>
        <v/>
      </c>
      <c r="M1194" s="52">
        <f>IF(Tabla15[[#This Row],[5]]="",0,VLOOKUP(TRAMOS!$K$2,Tabla5[#All],3,FALSE)*Tabla15[[#This Row],[6]])</f>
        <v>0</v>
      </c>
      <c r="N119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9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94" s="52">
        <f>IF(Tabla15[[#This Row],[8]]="",0,VLOOKUP(TRAMOS!$H$2,Tabla5[#All],3,FALSE)*Tabla15[[#This Row],[9]])</f>
        <v>0</v>
      </c>
      <c r="Q119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1194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2</v>
      </c>
      <c r="S1194" s="52">
        <f>IF(Tabla15[[#This Row],[11]]="",0,VLOOKUP(TRAMOS!$Q$2,Tabla5[#All],3,FALSE)*Tabla15[[#This Row],[12]])</f>
        <v>1.8</v>
      </c>
      <c r="T119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1194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19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119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9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9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9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9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94" s="52">
        <f>IF(Tabla15[[#This Row],[20]]="",0,VLOOKUP("VRP",Tabla5[#All],3,FALSE)*Tabla15[[#This Row],[21]])</f>
        <v>0</v>
      </c>
      <c r="AC119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9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94" s="52">
        <f>IF(Tabla15[[#This Row],[23]]="",0,VLOOKUP("VC",Tabla5[#All],3,FALSE)*Tabla15[[#This Row],[24]])</f>
        <v>0</v>
      </c>
      <c r="AF119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9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94" s="52">
        <f>IF(Tabla15[[#This Row],[26]]="",0,VLOOKUP(TRAMOS!$K$2,Tabla5[#All],3,FALSE)*Tabla15[[#This Row],[27]])</f>
        <v>0</v>
      </c>
      <c r="AI119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9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9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9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9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194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9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2.165</v>
      </c>
    </row>
    <row r="1195" spans="2:41" x14ac:dyDescent="0.25">
      <c r="B1195" s="58" t="str">
        <f>Tabla1[[#This Row],[nudo inicial]]</f>
        <v>N637</v>
      </c>
      <c r="C1195" s="58" t="str">
        <f>Tabla1[[#This Row],[nudo final]]</f>
        <v>N638</v>
      </c>
      <c r="D1195" s="51">
        <f>Tabla1[[#This Row],[longitud]]</f>
        <v>214.3</v>
      </c>
      <c r="E1195" s="51" t="str">
        <f>Tabla1[[#This Row],[diametro]]</f>
        <v>3"</v>
      </c>
      <c r="F1195" s="51" t="str">
        <f>Tabla1[[#This Row],[material]]</f>
        <v>PVC</v>
      </c>
      <c r="G119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195" s="52" t="str">
        <f>IF(Tabla1[[#This Row],[5]]="TPD",Tabla1[[#This Row],[6]],"")</f>
        <v/>
      </c>
      <c r="I1195" s="52" t="str">
        <f>IF(OR(Tabla1[[#This Row],[5]]="TPD"),Tabla1[[#This Row],[7]],"")</f>
        <v/>
      </c>
      <c r="J1195" s="52">
        <f>IF(Tabla15[[#This Row],[2]]="",0,VLOOKUP(TRAMOS!$H$2,Tabla5[#All],3,FALSE)*Tabla15[[#This Row],[3]])</f>
        <v>0</v>
      </c>
      <c r="K1195" s="52" t="str">
        <f>IF(Tabla1[[#This Row],[5]]="TPL",Tabla1[[#This Row],[6]],"")</f>
        <v>3"</v>
      </c>
      <c r="L1195" s="52">
        <f>IF(OR(Tabla1[[#This Row],[5]]="TPL"),Tabla1[[#This Row],[7]],"")</f>
        <v>1</v>
      </c>
      <c r="M1195" s="52">
        <f>IF(Tabla15[[#This Row],[5]]="",0,VLOOKUP(TRAMOS!$K$2,Tabla5[#All],3,FALSE)*Tabla15[[#This Row],[6]])</f>
        <v>0.9</v>
      </c>
      <c r="N119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9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95" s="52">
        <f>IF(Tabla15[[#This Row],[8]]="",0,VLOOKUP(TRAMOS!$H$2,Tabla5[#All],3,FALSE)*Tabla15[[#This Row],[9]])</f>
        <v>0</v>
      </c>
      <c r="Q119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9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95" s="52">
        <f>IF(Tabla15[[#This Row],[11]]="",0,VLOOKUP(TRAMOS!$Q$2,Tabla5[#All],3,FALSE)*Tabla15[[#This Row],[12]])</f>
        <v>0</v>
      </c>
      <c r="T119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9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9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9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9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9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9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9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95" s="52">
        <f>IF(Tabla15[[#This Row],[20]]="",0,VLOOKUP("VRP",Tabla5[#All],3,FALSE)*Tabla15[[#This Row],[21]])</f>
        <v>0</v>
      </c>
      <c r="AC119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9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95" s="52">
        <f>IF(Tabla15[[#This Row],[23]]="",0,VLOOKUP("VC",Tabla5[#All],3,FALSE)*Tabla15[[#This Row],[24]])</f>
        <v>0</v>
      </c>
      <c r="AF119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9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95" s="52">
        <f>IF(Tabla15[[#This Row],[26]]="",0,VLOOKUP(TRAMOS!$K$2,Tabla5[#All],3,FALSE)*Tabla15[[#This Row],[27]])</f>
        <v>0</v>
      </c>
      <c r="AI119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9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9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9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9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95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9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196" spans="2:41" x14ac:dyDescent="0.25">
      <c r="B1196" s="58" t="str">
        <f>Tabla1[[#This Row],[nudo inicial]]</f>
        <v>N638</v>
      </c>
      <c r="C1196" s="58" t="str">
        <f>Tabla1[[#This Row],[nudo final]]</f>
        <v>N639</v>
      </c>
      <c r="D1196" s="51">
        <f>Tabla1[[#This Row],[longitud]]</f>
        <v>150.27000000000001</v>
      </c>
      <c r="E1196" s="51" t="str">
        <f>Tabla1[[#This Row],[diametro]]</f>
        <v>2"</v>
      </c>
      <c r="F1196" s="51" t="str">
        <f>Tabla1[[#This Row],[material]]</f>
        <v>PVC</v>
      </c>
      <c r="G119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196" s="52" t="str">
        <f>IF(Tabla1[[#This Row],[5]]="TPD",Tabla1[[#This Row],[6]],"")</f>
        <v/>
      </c>
      <c r="I1196" s="52" t="str">
        <f>IF(OR(Tabla1[[#This Row],[5]]="TPD"),Tabla1[[#This Row],[7]],"")</f>
        <v/>
      </c>
      <c r="J1196" s="52">
        <f>IF(Tabla15[[#This Row],[2]]="",0,VLOOKUP(TRAMOS!$H$2,Tabla5[#All],3,FALSE)*Tabla15[[#This Row],[3]])</f>
        <v>0</v>
      </c>
      <c r="K1196" s="52" t="str">
        <f>IF(Tabla1[[#This Row],[5]]="TPL",Tabla1[[#This Row],[6]],"")</f>
        <v>3"</v>
      </c>
      <c r="L1196" s="52">
        <f>IF(OR(Tabla1[[#This Row],[5]]="TPL"),Tabla1[[#This Row],[7]],"")</f>
        <v>1</v>
      </c>
      <c r="M1196" s="52">
        <f>IF(Tabla15[[#This Row],[5]]="",0,VLOOKUP(TRAMOS!$K$2,Tabla5[#All],3,FALSE)*Tabla15[[#This Row],[6]])</f>
        <v>0.9</v>
      </c>
      <c r="N119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9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96" s="52">
        <f>IF(Tabla15[[#This Row],[8]]="",0,VLOOKUP(TRAMOS!$H$2,Tabla5[#All],3,FALSE)*Tabla15[[#This Row],[9]])</f>
        <v>0</v>
      </c>
      <c r="Q119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1196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1196" s="52">
        <f>IF(Tabla15[[#This Row],[11]]="",0,VLOOKUP(TRAMOS!$Q$2,Tabla5[#All],3,FALSE)*Tabla15[[#This Row],[12]])</f>
        <v>0.9</v>
      </c>
      <c r="T119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1196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19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119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9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9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9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9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96" s="52">
        <f>IF(Tabla15[[#This Row],[20]]="",0,VLOOKUP("VRP",Tabla5[#All],3,FALSE)*Tabla15[[#This Row],[21]])</f>
        <v>0</v>
      </c>
      <c r="AC119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9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96" s="52">
        <f>IF(Tabla15[[#This Row],[23]]="",0,VLOOKUP("VC",Tabla5[#All],3,FALSE)*Tabla15[[#This Row],[24]])</f>
        <v>0</v>
      </c>
      <c r="AF119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9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96" s="52">
        <f>IF(Tabla15[[#This Row],[26]]="",0,VLOOKUP(TRAMOS!$K$2,Tabla5[#All],3,FALSE)*Tabla15[[#This Row],[27]])</f>
        <v>0</v>
      </c>
      <c r="AI119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9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9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9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9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9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9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2.0150000000000001</v>
      </c>
    </row>
    <row r="1197" spans="2:41" x14ac:dyDescent="0.25">
      <c r="B1197" s="58" t="str">
        <f>Tabla1[[#This Row],[nudo inicial]]</f>
        <v>N639</v>
      </c>
      <c r="C1197" s="58" t="str">
        <f>Tabla1[[#This Row],[nudo final]]</f>
        <v>TP431</v>
      </c>
      <c r="D1197" s="51">
        <f>Tabla1[[#This Row],[longitud]]</f>
        <v>50.66</v>
      </c>
      <c r="E1197" s="51" t="str">
        <f>Tabla1[[#This Row],[diametro]]</f>
        <v>2"</v>
      </c>
      <c r="F1197" s="51" t="str">
        <f>Tabla1[[#This Row],[material]]</f>
        <v>PVC</v>
      </c>
      <c r="G119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97" s="52" t="str">
        <f>IF(Tabla1[[#This Row],[5]]="TPD",Tabla1[[#This Row],[6]],"")</f>
        <v/>
      </c>
      <c r="I1197" s="52" t="str">
        <f>IF(OR(Tabla1[[#This Row],[5]]="TPD"),Tabla1[[#This Row],[7]],"")</f>
        <v/>
      </c>
      <c r="J1197" s="52">
        <f>IF(Tabla15[[#This Row],[2]]="",0,VLOOKUP(TRAMOS!$H$2,Tabla5[#All],3,FALSE)*Tabla15[[#This Row],[3]])</f>
        <v>0</v>
      </c>
      <c r="K1197" s="52" t="str">
        <f>IF(Tabla1[[#This Row],[5]]="TPL",Tabla1[[#This Row],[6]],"")</f>
        <v>2"</v>
      </c>
      <c r="L1197" s="52">
        <f>IF(OR(Tabla1[[#This Row],[5]]="TPL"),Tabla1[[#This Row],[7]],"")</f>
        <v>1</v>
      </c>
      <c r="M1197" s="52">
        <f>IF(Tabla15[[#This Row],[5]]="",0,VLOOKUP(TRAMOS!$K$2,Tabla5[#All],3,FALSE)*Tabla15[[#This Row],[6]])</f>
        <v>0.9</v>
      </c>
      <c r="N1197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97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97" s="52">
        <f>IF(Tabla15[[#This Row],[8]]="",0,VLOOKUP(TRAMOS!$H$2,Tabla5[#All],3,FALSE)*Tabla15[[#This Row],[9]])</f>
        <v>0</v>
      </c>
      <c r="Q119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9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97" s="52">
        <f>IF(Tabla15[[#This Row],[11]]="",0,VLOOKUP(TRAMOS!$Q$2,Tabla5[#All],3,FALSE)*Tabla15[[#This Row],[12]])</f>
        <v>0</v>
      </c>
      <c r="T119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9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9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9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9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9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9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9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97" s="52">
        <f>IF(Tabla15[[#This Row],[20]]="",0,VLOOKUP("VRP",Tabla5[#All],3,FALSE)*Tabla15[[#This Row],[21]])</f>
        <v>0</v>
      </c>
      <c r="AC119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9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97" s="52">
        <f>IF(Tabla15[[#This Row],[23]]="",0,VLOOKUP("VC",Tabla5[#All],3,FALSE)*Tabla15[[#This Row],[24]])</f>
        <v>0</v>
      </c>
      <c r="AF119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9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97" s="52">
        <f>IF(Tabla15[[#This Row],[26]]="",0,VLOOKUP(TRAMOS!$K$2,Tabla5[#All],3,FALSE)*Tabla15[[#This Row],[27]])</f>
        <v>0</v>
      </c>
      <c r="AI119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9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9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9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9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197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19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198" spans="2:41" x14ac:dyDescent="0.25">
      <c r="B1198" s="58" t="str">
        <f>Tabla1[[#This Row],[nudo inicial]]</f>
        <v>N639</v>
      </c>
      <c r="C1198" s="58" t="str">
        <f>Tabla1[[#This Row],[nudo final]]</f>
        <v>N640</v>
      </c>
      <c r="D1198" s="51">
        <f>Tabla1[[#This Row],[longitud]]</f>
        <v>37.49</v>
      </c>
      <c r="E1198" s="51" t="str">
        <f>Tabla1[[#This Row],[diametro]]</f>
        <v>2"</v>
      </c>
      <c r="F1198" s="51" t="str">
        <f>Tabla1[[#This Row],[material]]</f>
        <v>PVC</v>
      </c>
      <c r="G119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98" s="52" t="str">
        <f>IF(Tabla1[[#This Row],[5]]="TPD",Tabla1[[#This Row],[6]],"")</f>
        <v>2"</v>
      </c>
      <c r="I1198" s="52">
        <f>IF(OR(Tabla1[[#This Row],[5]]="TPD"),Tabla1[[#This Row],[7]],"")</f>
        <v>1</v>
      </c>
      <c r="J1198" s="52">
        <f>IF(Tabla15[[#This Row],[2]]="",0,VLOOKUP(TRAMOS!$H$2,Tabla5[#All],3,FALSE)*Tabla15[[#This Row],[3]])</f>
        <v>0.15</v>
      </c>
      <c r="K1198" s="52" t="str">
        <f>IF(Tabla1[[#This Row],[5]]="TPL",Tabla1[[#This Row],[6]],"")</f>
        <v/>
      </c>
      <c r="L1198" s="52" t="str">
        <f>IF(OR(Tabla1[[#This Row],[5]]="TPL"),Tabla1[[#This Row],[7]],"")</f>
        <v/>
      </c>
      <c r="M1198" s="52">
        <f>IF(Tabla15[[#This Row],[5]]="",0,VLOOKUP(TRAMOS!$K$2,Tabla5[#All],3,FALSE)*Tabla15[[#This Row],[6]])</f>
        <v>0</v>
      </c>
      <c r="N1198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98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98" s="52">
        <f>IF(Tabla15[[#This Row],[8]]="",0,VLOOKUP(TRAMOS!$H$2,Tabla5[#All],3,FALSE)*Tabla15[[#This Row],[9]])</f>
        <v>0</v>
      </c>
      <c r="Q119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198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198" s="52">
        <f>IF(Tabla15[[#This Row],[11]]="",0,VLOOKUP(TRAMOS!$Q$2,Tabla5[#All],3,FALSE)*Tabla15[[#This Row],[12]])</f>
        <v>0</v>
      </c>
      <c r="T119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9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9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9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9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9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9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9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98" s="52">
        <f>IF(Tabla15[[#This Row],[20]]="",0,VLOOKUP("VRP",Tabla5[#All],3,FALSE)*Tabla15[[#This Row],[21]])</f>
        <v>0</v>
      </c>
      <c r="AC119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9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98" s="52">
        <f>IF(Tabla15[[#This Row],[23]]="",0,VLOOKUP("VC",Tabla5[#All],3,FALSE)*Tabla15[[#This Row],[24]])</f>
        <v>0</v>
      </c>
      <c r="AF119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9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98" s="52">
        <f>IF(Tabla15[[#This Row],[26]]="",0,VLOOKUP(TRAMOS!$K$2,Tabla5[#All],3,FALSE)*Tabla15[[#This Row],[27]])</f>
        <v>0</v>
      </c>
      <c r="AI119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9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9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9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9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98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9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199" spans="2:41" x14ac:dyDescent="0.25">
      <c r="B1199" s="58" t="str">
        <f>Tabla1[[#This Row],[nudo inicial]]</f>
        <v>N640</v>
      </c>
      <c r="C1199" s="58" t="str">
        <f>Tabla1[[#This Row],[nudo final]]</f>
        <v>N641</v>
      </c>
      <c r="D1199" s="51">
        <f>Tabla1[[#This Row],[longitud]]</f>
        <v>42.55</v>
      </c>
      <c r="E1199" s="51" t="str">
        <f>Tabla1[[#This Row],[diametro]]</f>
        <v>2"</v>
      </c>
      <c r="F1199" s="51" t="str">
        <f>Tabla1[[#This Row],[material]]</f>
        <v>PVC</v>
      </c>
      <c r="G1199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199" s="52" t="str">
        <f>IF(Tabla1[[#This Row],[5]]="TPD",Tabla1[[#This Row],[6]],"")</f>
        <v/>
      </c>
      <c r="I1199" s="52" t="str">
        <f>IF(OR(Tabla1[[#This Row],[5]]="TPD"),Tabla1[[#This Row],[7]],"")</f>
        <v/>
      </c>
      <c r="J1199" s="52">
        <f>IF(Tabla15[[#This Row],[2]]="",0,VLOOKUP(TRAMOS!$H$2,Tabla5[#All],3,FALSE)*Tabla15[[#This Row],[3]])</f>
        <v>0</v>
      </c>
      <c r="K1199" s="52" t="str">
        <f>IF(Tabla1[[#This Row],[5]]="TPL",Tabla1[[#This Row],[6]],"")</f>
        <v>2"</v>
      </c>
      <c r="L1199" s="52">
        <f>IF(OR(Tabla1[[#This Row],[5]]="TPL"),Tabla1[[#This Row],[7]],"")</f>
        <v>1</v>
      </c>
      <c r="M1199" s="52">
        <f>IF(Tabla15[[#This Row],[5]]="",0,VLOOKUP(TRAMOS!$K$2,Tabla5[#All],3,FALSE)*Tabla15[[#This Row],[6]])</f>
        <v>0.9</v>
      </c>
      <c r="N1199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199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199" s="52">
        <f>IF(Tabla15[[#This Row],[8]]="",0,VLOOKUP(TRAMOS!$H$2,Tabla5[#All],3,FALSE)*Tabla15[[#This Row],[9]])</f>
        <v>0</v>
      </c>
      <c r="Q1199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1199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1199" s="52">
        <f>IF(Tabla15[[#This Row],[11]]="",0,VLOOKUP(TRAMOS!$Q$2,Tabla5[#All],3,FALSE)*Tabla15[[#This Row],[12]])</f>
        <v>0.9</v>
      </c>
      <c r="T1199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199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199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199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199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199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199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199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199" s="52">
        <f>IF(Tabla15[[#This Row],[20]]="",0,VLOOKUP("VRP",Tabla5[#All],3,FALSE)*Tabla15[[#This Row],[21]])</f>
        <v>0</v>
      </c>
      <c r="AC1199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199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199" s="52">
        <f>IF(Tabla15[[#This Row],[23]]="",0,VLOOKUP("VC",Tabla5[#All],3,FALSE)*Tabla15[[#This Row],[24]])</f>
        <v>0</v>
      </c>
      <c r="AF1199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199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199" s="52">
        <f>IF(Tabla15[[#This Row],[26]]="",0,VLOOKUP(TRAMOS!$K$2,Tabla5[#All],3,FALSE)*Tabla15[[#This Row],[27]])</f>
        <v>0</v>
      </c>
      <c r="AI1199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199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199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199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199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199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199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1.8</v>
      </c>
    </row>
    <row r="1200" spans="2:41" x14ac:dyDescent="0.25">
      <c r="B1200" s="58" t="str">
        <f>Tabla1[[#This Row],[nudo inicial]]</f>
        <v>N641</v>
      </c>
      <c r="C1200" s="58" t="str">
        <f>Tabla1[[#This Row],[nudo final]]</f>
        <v>TP432</v>
      </c>
      <c r="D1200" s="51">
        <f>Tabla1[[#This Row],[longitud]]</f>
        <v>18.53</v>
      </c>
      <c r="E1200" s="51" t="str">
        <f>Tabla1[[#This Row],[diametro]]</f>
        <v>1"</v>
      </c>
      <c r="F1200" s="51" t="str">
        <f>Tabla1[[#This Row],[material]]</f>
        <v>PVC</v>
      </c>
      <c r="G1200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200" s="52" t="str">
        <f>IF(Tabla1[[#This Row],[5]]="TPD",Tabla1[[#This Row],[6]],"")</f>
        <v/>
      </c>
      <c r="I1200" s="52" t="str">
        <f>IF(OR(Tabla1[[#This Row],[5]]="TPD"),Tabla1[[#This Row],[7]],"")</f>
        <v/>
      </c>
      <c r="J1200" s="52">
        <f>IF(Tabla15[[#This Row],[2]]="",0,VLOOKUP(TRAMOS!$H$2,Tabla5[#All],3,FALSE)*Tabla15[[#This Row],[3]])</f>
        <v>0</v>
      </c>
      <c r="K1200" s="52" t="str">
        <f>IF(Tabla1[[#This Row],[5]]="TPL",Tabla1[[#This Row],[6]],"")</f>
        <v/>
      </c>
      <c r="L1200" s="52" t="str">
        <f>IF(OR(Tabla1[[#This Row],[5]]="TPL"),Tabla1[[#This Row],[7]],"")</f>
        <v/>
      </c>
      <c r="M1200" s="52">
        <f>IF(Tabla15[[#This Row],[5]]="",0,VLOOKUP(TRAMOS!$K$2,Tabla5[#All],3,FALSE)*Tabla15[[#This Row],[6]])</f>
        <v>0</v>
      </c>
      <c r="N1200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200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200" s="52">
        <f>IF(Tabla15[[#This Row],[8]]="",0,VLOOKUP(TRAMOS!$H$2,Tabla5[#All],3,FALSE)*Tabla15[[#This Row],[9]])</f>
        <v>0</v>
      </c>
      <c r="Q1200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200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200" s="52">
        <f>IF(Tabla15[[#This Row],[11]]="",0,VLOOKUP(TRAMOS!$Q$2,Tabla5[#All],3,FALSE)*Tabla15[[#This Row],[12]])</f>
        <v>0</v>
      </c>
      <c r="T1200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1"</v>
      </c>
      <c r="U1200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200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0.37</v>
      </c>
      <c r="W1200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200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200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200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200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200" s="52">
        <f>IF(Tabla15[[#This Row],[20]]="",0,VLOOKUP("VRP",Tabla5[#All],3,FALSE)*Tabla15[[#This Row],[21]])</f>
        <v>0</v>
      </c>
      <c r="AC1200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200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200" s="52">
        <f>IF(Tabla15[[#This Row],[23]]="",0,VLOOKUP("VC",Tabla5[#All],3,FALSE)*Tabla15[[#This Row],[24]])</f>
        <v>0</v>
      </c>
      <c r="AF1200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200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200" s="52">
        <f>IF(Tabla15[[#This Row],[26]]="",0,VLOOKUP(TRAMOS!$K$2,Tabla5[#All],3,FALSE)*Tabla15[[#This Row],[27]])</f>
        <v>0</v>
      </c>
      <c r="AI1200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200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200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200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200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1"</v>
      </c>
      <c r="AN1200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200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0.37</v>
      </c>
    </row>
    <row r="1201" spans="2:41" x14ac:dyDescent="0.25">
      <c r="B1201" s="58" t="str">
        <f>Tabla1[[#This Row],[nudo inicial]]</f>
        <v>N640</v>
      </c>
      <c r="C1201" s="58" t="str">
        <f>Tabla1[[#This Row],[nudo final]]</f>
        <v>TP433</v>
      </c>
      <c r="D1201" s="51">
        <f>Tabla1[[#This Row],[longitud]]</f>
        <v>87.68</v>
      </c>
      <c r="E1201" s="51" t="str">
        <f>Tabla1[[#This Row],[diametro]]</f>
        <v>2"</v>
      </c>
      <c r="F1201" s="51" t="str">
        <f>Tabla1[[#This Row],[material]]</f>
        <v>PVC</v>
      </c>
      <c r="G1201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201" s="52" t="str">
        <f>IF(Tabla1[[#This Row],[5]]="TPD",Tabla1[[#This Row],[6]],"")</f>
        <v>2"</v>
      </c>
      <c r="I1201" s="52">
        <f>IF(OR(Tabla1[[#This Row],[5]]="TPD"),Tabla1[[#This Row],[7]],"")</f>
        <v>1</v>
      </c>
      <c r="J1201" s="52">
        <f>IF(Tabla15[[#This Row],[2]]="",0,VLOOKUP(TRAMOS!$H$2,Tabla5[#All],3,FALSE)*Tabla15[[#This Row],[3]])</f>
        <v>0.15</v>
      </c>
      <c r="K1201" s="52" t="str">
        <f>IF(Tabla1[[#This Row],[5]]="TPL",Tabla1[[#This Row],[6]],"")</f>
        <v/>
      </c>
      <c r="L1201" s="52" t="str">
        <f>IF(OR(Tabla1[[#This Row],[5]]="TPL"),Tabla1[[#This Row],[7]],"")</f>
        <v/>
      </c>
      <c r="M1201" s="52">
        <f>IF(Tabla15[[#This Row],[5]]="",0,VLOOKUP(TRAMOS!$K$2,Tabla5[#All],3,FALSE)*Tabla15[[#This Row],[6]])</f>
        <v>0</v>
      </c>
      <c r="N1201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201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201" s="52">
        <f>IF(Tabla15[[#This Row],[8]]="",0,VLOOKUP(TRAMOS!$H$2,Tabla5[#All],3,FALSE)*Tabla15[[#This Row],[9]])</f>
        <v>0</v>
      </c>
      <c r="Q1201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1201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1201" s="52">
        <f>IF(Tabla15[[#This Row],[11]]="",0,VLOOKUP(TRAMOS!$Q$2,Tabla5[#All],3,FALSE)*Tabla15[[#This Row],[12]])</f>
        <v>0.9</v>
      </c>
      <c r="T1201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201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201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201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201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201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201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201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201" s="52">
        <f>IF(Tabla15[[#This Row],[20]]="",0,VLOOKUP("VRP",Tabla5[#All],3,FALSE)*Tabla15[[#This Row],[21]])</f>
        <v>0</v>
      </c>
      <c r="AC1201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201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201" s="52">
        <f>IF(Tabla15[[#This Row],[23]]="",0,VLOOKUP("VC",Tabla5[#All],3,FALSE)*Tabla15[[#This Row],[24]])</f>
        <v>0</v>
      </c>
      <c r="AF1201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201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201" s="52">
        <f>IF(Tabla15[[#This Row],[26]]="",0,VLOOKUP(TRAMOS!$K$2,Tabla5[#All],3,FALSE)*Tabla15[[#This Row],[27]])</f>
        <v>0</v>
      </c>
      <c r="AI1201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201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201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201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201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201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201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1202" spans="2:41" x14ac:dyDescent="0.25">
      <c r="B1202" s="58" t="str">
        <f>Tabla1[[#This Row],[nudo inicial]]</f>
        <v>N638</v>
      </c>
      <c r="C1202" s="58" t="str">
        <f>Tabla1[[#This Row],[nudo final]]</f>
        <v>N642</v>
      </c>
      <c r="D1202" s="51">
        <f>Tabla1[[#This Row],[longitud]]</f>
        <v>271.32</v>
      </c>
      <c r="E1202" s="51" t="str">
        <f>Tabla1[[#This Row],[diametro]]</f>
        <v>3"</v>
      </c>
      <c r="F1202" s="51" t="str">
        <f>Tabla1[[#This Row],[material]]</f>
        <v>PVC</v>
      </c>
      <c r="G1202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202" s="52" t="str">
        <f>IF(Tabla1[[#This Row],[5]]="TPD",Tabla1[[#This Row],[6]],"")</f>
        <v>3"</v>
      </c>
      <c r="I1202" s="52">
        <f>IF(OR(Tabla1[[#This Row],[5]]="TPD"),Tabla1[[#This Row],[7]],"")</f>
        <v>1</v>
      </c>
      <c r="J1202" s="52">
        <f>IF(Tabla15[[#This Row],[2]]="",0,VLOOKUP(TRAMOS!$H$2,Tabla5[#All],3,FALSE)*Tabla15[[#This Row],[3]])</f>
        <v>0.15</v>
      </c>
      <c r="K1202" s="52" t="str">
        <f>IF(Tabla1[[#This Row],[5]]="TPL",Tabla1[[#This Row],[6]],"")</f>
        <v/>
      </c>
      <c r="L1202" s="52" t="str">
        <f>IF(OR(Tabla1[[#This Row],[5]]="TPL"),Tabla1[[#This Row],[7]],"")</f>
        <v/>
      </c>
      <c r="M1202" s="52">
        <f>IF(Tabla15[[#This Row],[5]]="",0,VLOOKUP(TRAMOS!$K$2,Tabla5[#All],3,FALSE)*Tabla15[[#This Row],[6]])</f>
        <v>0</v>
      </c>
      <c r="N1202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202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202" s="52">
        <f>IF(Tabla15[[#This Row],[8]]="",0,VLOOKUP(TRAMOS!$H$2,Tabla5[#All],3,FALSE)*Tabla15[[#This Row],[9]])</f>
        <v>0</v>
      </c>
      <c r="Q1202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202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202" s="52">
        <f>IF(Tabla15[[#This Row],[11]]="",0,VLOOKUP(TRAMOS!$Q$2,Tabla5[#All],3,FALSE)*Tabla15[[#This Row],[12]])</f>
        <v>0</v>
      </c>
      <c r="T1202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202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202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202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202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202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202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202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202" s="52">
        <f>IF(Tabla15[[#This Row],[20]]="",0,VLOOKUP("VRP",Tabla5[#All],3,FALSE)*Tabla15[[#This Row],[21]])</f>
        <v>0</v>
      </c>
      <c r="AC1202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202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202" s="52">
        <f>IF(Tabla15[[#This Row],[23]]="",0,VLOOKUP("VC",Tabla5[#All],3,FALSE)*Tabla15[[#This Row],[24]])</f>
        <v>0</v>
      </c>
      <c r="AF1202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202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202" s="52">
        <f>IF(Tabla15[[#This Row],[26]]="",0,VLOOKUP(TRAMOS!$K$2,Tabla5[#All],3,FALSE)*Tabla15[[#This Row],[27]])</f>
        <v>0</v>
      </c>
      <c r="AI1202" s="52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>0</v>
      </c>
      <c r="AJ1202" s="52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>1</v>
      </c>
      <c r="AK1202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202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202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202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202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203" spans="2:41" x14ac:dyDescent="0.25">
      <c r="B1203" s="58" t="str">
        <f>Tabla1[[#This Row],[nudo inicial]]</f>
        <v>N642</v>
      </c>
      <c r="C1203" s="58" t="str">
        <f>Tabla1[[#This Row],[nudo final]]</f>
        <v>TP434</v>
      </c>
      <c r="D1203" s="51">
        <f>Tabla1[[#This Row],[longitud]]</f>
        <v>41.27</v>
      </c>
      <c r="E1203" s="51" t="str">
        <f>Tabla1[[#This Row],[diametro]]</f>
        <v>2"</v>
      </c>
      <c r="F1203" s="51" t="str">
        <f>Tabla1[[#This Row],[material]]</f>
        <v>PVC</v>
      </c>
      <c r="G1203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203" s="52" t="str">
        <f>IF(Tabla1[[#This Row],[5]]="TPD",Tabla1[[#This Row],[6]],"")</f>
        <v/>
      </c>
      <c r="I1203" s="52" t="str">
        <f>IF(OR(Tabla1[[#This Row],[5]]="TPD"),Tabla1[[#This Row],[7]],"")</f>
        <v/>
      </c>
      <c r="J1203" s="52">
        <f>IF(Tabla15[[#This Row],[2]]="",0,VLOOKUP(TRAMOS!$H$2,Tabla5[#All],3,FALSE)*Tabla15[[#This Row],[3]])</f>
        <v>0</v>
      </c>
      <c r="K1203" s="52" t="str">
        <f>IF(Tabla1[[#This Row],[5]]="TPL",Tabla1[[#This Row],[6]],"")</f>
        <v>3"</v>
      </c>
      <c r="L1203" s="52">
        <f>IF(OR(Tabla1[[#This Row],[5]]="TPL"),Tabla1[[#This Row],[7]],"")</f>
        <v>1</v>
      </c>
      <c r="M1203" s="52">
        <f>IF(Tabla15[[#This Row],[5]]="",0,VLOOKUP(TRAMOS!$K$2,Tabla5[#All],3,FALSE)*Tabla15[[#This Row],[6]])</f>
        <v>0.9</v>
      </c>
      <c r="N1203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203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203" s="52">
        <f>IF(Tabla15[[#This Row],[8]]="",0,VLOOKUP(TRAMOS!$H$2,Tabla5[#All],3,FALSE)*Tabla15[[#This Row],[9]])</f>
        <v>0</v>
      </c>
      <c r="Q1203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203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203" s="52">
        <f>IF(Tabla15[[#This Row],[11]]="",0,VLOOKUP(TRAMOS!$Q$2,Tabla5[#All],3,FALSE)*Tabla15[[#This Row],[12]])</f>
        <v>0</v>
      </c>
      <c r="T1203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1203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203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1203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203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203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203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203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203" s="52">
        <f>IF(Tabla15[[#This Row],[20]]="",0,VLOOKUP("VRP",Tabla5[#All],3,FALSE)*Tabla15[[#This Row],[21]])</f>
        <v>0</v>
      </c>
      <c r="AC1203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203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203" s="52">
        <f>IF(Tabla15[[#This Row],[23]]="",0,VLOOKUP("VC",Tabla5[#All],3,FALSE)*Tabla15[[#This Row],[24]])</f>
        <v>0</v>
      </c>
      <c r="AF1203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203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203" s="52">
        <f>IF(Tabla15[[#This Row],[26]]="",0,VLOOKUP(TRAMOS!$K$2,Tabla5[#All],3,FALSE)*Tabla15[[#This Row],[27]])</f>
        <v>0</v>
      </c>
      <c r="AI1203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203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203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203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203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203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203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1204" spans="2:41" x14ac:dyDescent="0.25">
      <c r="B1204" s="58" t="str">
        <f>Tabla1[[#This Row],[nudo inicial]]</f>
        <v>N642</v>
      </c>
      <c r="C1204" s="58" t="str">
        <f>Tabla1[[#This Row],[nudo final]]</f>
        <v>N643</v>
      </c>
      <c r="D1204" s="51">
        <f>Tabla1[[#This Row],[longitud]]</f>
        <v>70.08</v>
      </c>
      <c r="E1204" s="51" t="str">
        <f>Tabla1[[#This Row],[diametro]]</f>
        <v>3"</v>
      </c>
      <c r="F1204" s="51" t="str">
        <f>Tabla1[[#This Row],[material]]</f>
        <v>PVC</v>
      </c>
      <c r="G1204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204" s="52" t="str">
        <f>IF(Tabla1[[#This Row],[5]]="TPD",Tabla1[[#This Row],[6]],"")</f>
        <v>3"</v>
      </c>
      <c r="I1204" s="52">
        <f>IF(OR(Tabla1[[#This Row],[5]]="TPD"),Tabla1[[#This Row],[7]],"")</f>
        <v>1</v>
      </c>
      <c r="J1204" s="52">
        <f>IF(Tabla15[[#This Row],[2]]="",0,VLOOKUP(TRAMOS!$H$2,Tabla5[#All],3,FALSE)*Tabla15[[#This Row],[3]])</f>
        <v>0.15</v>
      </c>
      <c r="K1204" s="52" t="str">
        <f>IF(Tabla1[[#This Row],[5]]="TPL",Tabla1[[#This Row],[6]],"")</f>
        <v/>
      </c>
      <c r="L1204" s="52" t="str">
        <f>IF(OR(Tabla1[[#This Row],[5]]="TPL"),Tabla1[[#This Row],[7]],"")</f>
        <v/>
      </c>
      <c r="M1204" s="52">
        <f>IF(Tabla15[[#This Row],[5]]="",0,VLOOKUP(TRAMOS!$K$2,Tabla5[#All],3,FALSE)*Tabla15[[#This Row],[6]])</f>
        <v>0</v>
      </c>
      <c r="N1204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204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204" s="52">
        <f>IF(Tabla15[[#This Row],[8]]="",0,VLOOKUP(TRAMOS!$H$2,Tabla5[#All],3,FALSE)*Tabla15[[#This Row],[9]])</f>
        <v>0</v>
      </c>
      <c r="Q1204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204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204" s="52">
        <f>IF(Tabla15[[#This Row],[11]]="",0,VLOOKUP(TRAMOS!$Q$2,Tabla5[#All],3,FALSE)*Tabla15[[#This Row],[12]])</f>
        <v>0</v>
      </c>
      <c r="T1204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204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204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204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204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204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204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204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204" s="52">
        <f>IF(Tabla15[[#This Row],[20]]="",0,VLOOKUP("VRP",Tabla5[#All],3,FALSE)*Tabla15[[#This Row],[21]])</f>
        <v>0</v>
      </c>
      <c r="AC1204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204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204" s="52">
        <f>IF(Tabla15[[#This Row],[23]]="",0,VLOOKUP("VC",Tabla5[#All],3,FALSE)*Tabla15[[#This Row],[24]])</f>
        <v>0</v>
      </c>
      <c r="AF1204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204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204" s="52">
        <f>IF(Tabla15[[#This Row],[26]]="",0,VLOOKUP(TRAMOS!$K$2,Tabla5[#All],3,FALSE)*Tabla15[[#This Row],[27]])</f>
        <v>0</v>
      </c>
      <c r="AI1204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204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204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204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204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204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204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205" spans="2:41" x14ac:dyDescent="0.25">
      <c r="B1205" s="58" t="str">
        <f>Tabla1[[#This Row],[nudo inicial]]</f>
        <v>N643</v>
      </c>
      <c r="C1205" s="58" t="str">
        <f>Tabla1[[#This Row],[nudo final]]</f>
        <v>TP435</v>
      </c>
      <c r="D1205" s="51">
        <f>Tabla1[[#This Row],[longitud]]</f>
        <v>7.61</v>
      </c>
      <c r="E1205" s="51" t="str">
        <f>Tabla1[[#This Row],[diametro]]</f>
        <v>3"</v>
      </c>
      <c r="F1205" s="51" t="str">
        <f>Tabla1[[#This Row],[material]]</f>
        <v>PVC</v>
      </c>
      <c r="G1205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205" s="52" t="str">
        <f>IF(Tabla1[[#This Row],[5]]="TPD",Tabla1[[#This Row],[6]],"")</f>
        <v>3"</v>
      </c>
      <c r="I1205" s="52">
        <f>IF(OR(Tabla1[[#This Row],[5]]="TPD"),Tabla1[[#This Row],[7]],"")</f>
        <v>1</v>
      </c>
      <c r="J1205" s="52">
        <f>IF(Tabla15[[#This Row],[2]]="",0,VLOOKUP(TRAMOS!$H$2,Tabla5[#All],3,FALSE)*Tabla15[[#This Row],[3]])</f>
        <v>0.15</v>
      </c>
      <c r="K1205" s="52" t="str">
        <f>IF(Tabla1[[#This Row],[5]]="TPL",Tabla1[[#This Row],[6]],"")</f>
        <v/>
      </c>
      <c r="L1205" s="52" t="str">
        <f>IF(OR(Tabla1[[#This Row],[5]]="TPL"),Tabla1[[#This Row],[7]],"")</f>
        <v/>
      </c>
      <c r="M1205" s="52">
        <f>IF(Tabla15[[#This Row],[5]]="",0,VLOOKUP(TRAMOS!$K$2,Tabla5[#All],3,FALSE)*Tabla15[[#This Row],[6]])</f>
        <v>0</v>
      </c>
      <c r="N1205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205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205" s="52">
        <f>IF(Tabla15[[#This Row],[8]]="",0,VLOOKUP(TRAMOS!$H$2,Tabla5[#All],3,FALSE)*Tabla15[[#This Row],[9]])</f>
        <v>0</v>
      </c>
      <c r="Q1205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205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205" s="52">
        <f>IF(Tabla15[[#This Row],[11]]="",0,VLOOKUP(TRAMOS!$Q$2,Tabla5[#All],3,FALSE)*Tabla15[[#This Row],[12]])</f>
        <v>0</v>
      </c>
      <c r="T1205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205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205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205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205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205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205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205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205" s="52">
        <f>IF(Tabla15[[#This Row],[20]]="",0,VLOOKUP("VRP",Tabla5[#All],3,FALSE)*Tabla15[[#This Row],[21]])</f>
        <v>0</v>
      </c>
      <c r="AC1205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205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205" s="52">
        <f>IF(Tabla15[[#This Row],[23]]="",0,VLOOKUP("VC",Tabla5[#All],3,FALSE)*Tabla15[[#This Row],[24]])</f>
        <v>0</v>
      </c>
      <c r="AF1205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205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205" s="52">
        <f>IF(Tabla15[[#This Row],[26]]="",0,VLOOKUP(TRAMOS!$K$2,Tabla5[#All],3,FALSE)*Tabla15[[#This Row],[27]])</f>
        <v>0</v>
      </c>
      <c r="AI1205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205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205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205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205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3"</v>
      </c>
      <c r="AN1205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205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0.15</v>
      </c>
    </row>
    <row r="1206" spans="2:41" x14ac:dyDescent="0.25">
      <c r="B1206" s="58" t="str">
        <f>Tabla1[[#This Row],[nudo inicial]]</f>
        <v>N643</v>
      </c>
      <c r="C1206" s="58" t="str">
        <f>Tabla1[[#This Row],[nudo final]]</f>
        <v>N644</v>
      </c>
      <c r="D1206" s="51">
        <f>Tabla1[[#This Row],[longitud]]</f>
        <v>33.06</v>
      </c>
      <c r="E1206" s="51" t="str">
        <f>Tabla1[[#This Row],[diametro]]</f>
        <v>2"</v>
      </c>
      <c r="F1206" s="51" t="str">
        <f>Tabla1[[#This Row],[material]]</f>
        <v>PVC</v>
      </c>
      <c r="G1206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3"</v>
      </c>
      <c r="H1206" s="52" t="str">
        <f>IF(Tabla1[[#This Row],[5]]="TPD",Tabla1[[#This Row],[6]],"")</f>
        <v/>
      </c>
      <c r="I1206" s="52" t="str">
        <f>IF(OR(Tabla1[[#This Row],[5]]="TPD"),Tabla1[[#This Row],[7]],"")</f>
        <v/>
      </c>
      <c r="J1206" s="52">
        <f>IF(Tabla15[[#This Row],[2]]="",0,VLOOKUP(TRAMOS!$H$2,Tabla5[#All],3,FALSE)*Tabla15[[#This Row],[3]])</f>
        <v>0</v>
      </c>
      <c r="K1206" s="52" t="str">
        <f>IF(Tabla1[[#This Row],[5]]="TPL",Tabla1[[#This Row],[6]],"")</f>
        <v>3"</v>
      </c>
      <c r="L1206" s="52">
        <f>IF(OR(Tabla1[[#This Row],[5]]="TPL"),Tabla1[[#This Row],[7]],"")</f>
        <v>1</v>
      </c>
      <c r="M1206" s="52">
        <f>IF(Tabla15[[#This Row],[5]]="",0,VLOOKUP(TRAMOS!$K$2,Tabla5[#All],3,FALSE)*Tabla15[[#This Row],[6]])</f>
        <v>0.9</v>
      </c>
      <c r="N1206" s="52" t="str">
        <f>_xlfn.IFNA(_xlfn.IFS(Tabla1[[#This Row],[5]]="Cruz",Tabla1[[#This Row],[6]],Tabla1[[#This Row],[8]]="Cruz",Tabla1[[#This Row],[9]],Tabla1[[#This Row],[11]]="Cruz",Tabla1[[#This Row],[12]],Tabla1[[#This Row],[14]]="Cruz",Tabla1[[#This Row],[15]],Tabla1[[#This Row],[17]]="Cruz",Tabla1[[#This Row],[18]]),"")</f>
        <v/>
      </c>
      <c r="O1206" s="52" t="str">
        <f>_xlfn.IFNA(_xlfn.IFS(Tabla1[[#This Row],[5]]="Cruz",Tabla1[[#This Row],[7]],Tabla1[[#This Row],[8]]="Cruz",Tabla1[[#This Row],[10]],Tabla1[[#This Row],[11]]="Cruz",Tabla1[[#This Row],[13]],Tabla1[[#This Row],[14]]="Cruz",Tabla1[[#This Row],[16]],Tabla1[[#This Row],[17]]="Cruz",Tabla1[[#This Row],[19]]),"")</f>
        <v/>
      </c>
      <c r="P1206" s="52">
        <f>IF(Tabla15[[#This Row],[8]]="",0,VLOOKUP(TRAMOS!$H$2,Tabla5[#All],3,FALSE)*Tabla15[[#This Row],[9]])</f>
        <v>0</v>
      </c>
      <c r="Q1206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206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206" s="52">
        <f>IF(Tabla15[[#This Row],[11]]="",0,VLOOKUP(TRAMOS!$Q$2,Tabla5[#All],3,FALSE)*Tabla15[[#This Row],[12]])</f>
        <v>0</v>
      </c>
      <c r="T1206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>2"</v>
      </c>
      <c r="U1206" s="52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>1</v>
      </c>
      <c r="V1206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0.21500000000000002</v>
      </c>
      <c r="W1206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206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206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206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206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206" s="52">
        <f>IF(Tabla15[[#This Row],[20]]="",0,VLOOKUP("VRP",Tabla5[#All],3,FALSE)*Tabla15[[#This Row],[21]])</f>
        <v>0</v>
      </c>
      <c r="AC1206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206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206" s="52">
        <f>IF(Tabla15[[#This Row],[23]]="",0,VLOOKUP("VC",Tabla5[#All],3,FALSE)*Tabla15[[#This Row],[24]])</f>
        <v>0</v>
      </c>
      <c r="AF1206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206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206" s="52">
        <f>IF(Tabla15[[#This Row],[26]]="",0,VLOOKUP(TRAMOS!$K$2,Tabla5[#All],3,FALSE)*Tabla15[[#This Row],[27]])</f>
        <v>0</v>
      </c>
      <c r="AI1206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206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206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206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206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/>
      </c>
      <c r="AN1206" s="52" t="str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/>
      </c>
      <c r="AO1206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1.115</v>
      </c>
    </row>
    <row r="1207" spans="2:41" x14ac:dyDescent="0.25">
      <c r="B1207" s="58" t="str">
        <f>Tabla1[[#This Row],[nudo inicial]]</f>
        <v>N644</v>
      </c>
      <c r="C1207" s="58" t="str">
        <f>Tabla1[[#This Row],[nudo final]]</f>
        <v>TP436</v>
      </c>
      <c r="D1207" s="51">
        <f>Tabla1[[#This Row],[longitud]]</f>
        <v>31</v>
      </c>
      <c r="E1207" s="51" t="str">
        <f>Tabla1[[#This Row],[diametro]]</f>
        <v>2"</v>
      </c>
      <c r="F1207" s="51" t="str">
        <f>Tabla1[[#This Row],[material]]</f>
        <v>PVC</v>
      </c>
      <c r="G1207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207" s="52" t="str">
        <f>IF(Tabla1[[#This Row],[5]]="TPD",Tabla1[[#This Row],[6]],"")</f>
        <v/>
      </c>
      <c r="I1207" s="52" t="str">
        <f>IF(OR(Tabla1[[#This Row],[5]]="TPD"),Tabla1[[#This Row],[7]],"")</f>
        <v/>
      </c>
      <c r="J1207" s="52">
        <f>IF(Tabla15[[#This Row],[2]]="",0,VLOOKUP(TRAMOS!$H$2,Tabla5[#All],3,FALSE)*Tabla15[[#This Row],[3]])</f>
        <v>0</v>
      </c>
      <c r="K1207" s="52" t="str">
        <f>IF(Tabla1[[#This Row],[5]]="TPL",Tabla1[[#This Row],[6]],"")</f>
        <v>2"</v>
      </c>
      <c r="L1207" s="52">
        <f>IF(OR(Tabla1[[#This Row],[5]]="TPL"),Tabla1[[#This Row],[7]],"")</f>
        <v>1</v>
      </c>
      <c r="M1207" s="52">
        <f>IF(Tabla15[[#This Row],[5]]="",0,VLOOKUP(TRAMOS!$K$2,Tabla5[#All],3,FALSE)*Tabla15[[#This Row],[6]])</f>
        <v>0.9</v>
      </c>
      <c r="N1207" s="52"/>
      <c r="O1207" s="52"/>
      <c r="P1207" s="52">
        <f>IF(Tabla15[[#This Row],[8]]="",0,VLOOKUP(TRAMOS!$H$2,Tabla5[#All],3,FALSE)*Tabla15[[#This Row],[9]])</f>
        <v>0</v>
      </c>
      <c r="Q1207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/>
      </c>
      <c r="R1207" s="52" t="str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/>
      </c>
      <c r="S1207" s="52">
        <f>IF(Tabla15[[#This Row],[11]]="",0,VLOOKUP(TRAMOS!$Q$2,Tabla5[#All],3,FALSE)*Tabla15[[#This Row],[12]])</f>
        <v>0</v>
      </c>
      <c r="T1207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207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207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207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207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207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207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207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207" s="52">
        <f>IF(Tabla15[[#This Row],[20]]="",0,VLOOKUP("VRP",Tabla5[#All],3,FALSE)*Tabla15[[#This Row],[21]])</f>
        <v>0</v>
      </c>
      <c r="AC1207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207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207" s="52">
        <f>IF(Tabla15[[#This Row],[23]]="",0,VLOOKUP("VC",Tabla5[#All],3,FALSE)*Tabla15[[#This Row],[24]])</f>
        <v>0</v>
      </c>
      <c r="AF1207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207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207" s="52">
        <f>IF(Tabla15[[#This Row],[26]]="",0,VLOOKUP(TRAMOS!$K$2,Tabla5[#All],3,FALSE)*Tabla15[[#This Row],[27]])</f>
        <v>0</v>
      </c>
      <c r="AI1207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207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207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207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207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207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207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0.9</v>
      </c>
    </row>
    <row r="1208" spans="2:41" x14ac:dyDescent="0.25">
      <c r="B1208" s="58" t="str">
        <f>Tabla1[[#This Row],[nudo inicial]]</f>
        <v>N644</v>
      </c>
      <c r="C1208" s="58" t="str">
        <f>Tabla1[[#This Row],[nudo final]]</f>
        <v>TP437</v>
      </c>
      <c r="D1208" s="51">
        <f>Tabla1[[#This Row],[longitud]]</f>
        <v>204.93</v>
      </c>
      <c r="E1208" s="51" t="str">
        <f>Tabla1[[#This Row],[diametro]]</f>
        <v>2"</v>
      </c>
      <c r="F1208" s="51" t="str">
        <f>Tabla1[[#This Row],[material]]</f>
        <v>PVC</v>
      </c>
      <c r="G1208" s="51" t="str">
        <f>_xlfn.IFNA(_xlfn.IFS(Tabla15[[#This Row],[2]]&lt;&gt;"",Tabla15[[#This Row],[2]],Tabla15[[#This Row],[5]]&lt;&gt;"",Tabla15[[#This Row],[5]],Tabla15[[#This Row],[8]]&lt;&gt;"",Tabla15[[#This Row],[8]],Tabla15[[#This Row],[26]]&lt;&gt;"",Tabla15[[#This Row],[26]],Tabla15[[#This Row],[NI]]="PTAP2",Tabla15[[#This Row],[Diametro]]),VLOOKUP(Tabla15[[#This Row],[NI]],Tabla15[[#All],[NF]:[Diametro]],3,FALSE))</f>
        <v>2"</v>
      </c>
      <c r="H1208" s="52" t="str">
        <f>IF(Tabla1[[#This Row],[5]]="TPD",Tabla1[[#This Row],[6]],"")</f>
        <v>2"</v>
      </c>
      <c r="I1208" s="52">
        <f>IF(OR(Tabla1[[#This Row],[5]]="TPD"),Tabla1[[#This Row],[7]],"")</f>
        <v>1</v>
      </c>
      <c r="J1208" s="52">
        <f>IF(Tabla15[[#This Row],[2]]="",0,VLOOKUP(TRAMOS!$H$2,Tabla5[#All],3,FALSE)*Tabla15[[#This Row],[3]])</f>
        <v>0.15</v>
      </c>
      <c r="K1208" s="52" t="str">
        <f>IF(Tabla1[[#This Row],[5]]="TPL",Tabla1[[#This Row],[6]],"")</f>
        <v/>
      </c>
      <c r="L1208" s="52" t="str">
        <f>IF(OR(Tabla1[[#This Row],[5]]="TPL"),Tabla1[[#This Row],[7]],"")</f>
        <v/>
      </c>
      <c r="M1208" s="52">
        <f>IF(Tabla15[[#This Row],[5]]="",0,VLOOKUP(TRAMOS!$K$2,Tabla5[#All],3,FALSE)*Tabla15[[#This Row],[6]])</f>
        <v>0</v>
      </c>
      <c r="N1208" s="52"/>
      <c r="O1208" s="52"/>
      <c r="P1208" s="52">
        <f>IF(Tabla15[[#This Row],[8]]="",0,VLOOKUP(TRAMOS!$H$2,Tabla5[#All],3,FALSE)*Tabla15[[#This Row],[9]])</f>
        <v>0</v>
      </c>
      <c r="Q1208" s="52" t="str">
        <f>_xlfn.IFNA(_xlfn.IFS(Tabla1[[#This Row],[5]]="Codo",Tabla1[[#This Row],[6]],Tabla1[[#This Row],[8]]="Codo",Tabla1[[#This Row],[9]],Tabla1[[#This Row],[11]]="Codo",Tabla1[[#This Row],[12]],Tabla1[[#This Row],[14]]="Codo",Tabla1[[#This Row],[15]],Tabla1[[#This Row],[17]]="Codo",Tabla1[[#This Row],[18]]),"")</f>
        <v>2"</v>
      </c>
      <c r="R1208" s="52">
        <f>_xlfn.IFNA(_xlfn.IFS(Tabla1[[#This Row],[5]]="Codo",Tabla1[[#This Row],[7]],Tabla1[[#This Row],[8]]="Codo",Tabla1[[#This Row],[10]],Tabla1[[#This Row],[11]]="Codo",Tabla1[[#This Row],[13]],Tabla1[[#This Row],[14]]="Codo",Tabla1[[#This Row],[16]],Tabla1[[#This Row],[17]]="Codo",Tabla1[[#This Row],[19]]),"")</f>
        <v>1</v>
      </c>
      <c r="S1208" s="52">
        <f>IF(Tabla15[[#This Row],[11]]="",0,VLOOKUP(TRAMOS!$Q$2,Tabla5[#All],3,FALSE)*Tabla15[[#This Row],[12]])</f>
        <v>0.9</v>
      </c>
      <c r="T1208" s="52" t="str">
        <f>_xlfn.IFNA(_xlfn.IFS(Tabla1[[#This Row],[5]]="Reducción",Tabla1[[#This Row],[6]],Tabla1[[#This Row],[8]]="Reducción",Tabla1[[#This Row],[9]],Tabla1[[#This Row],[11]]="Reducción",Tabla1[[#This Row],[12]],Tabla1[[#This Row],[14]]="Reducción",Tabla1[[#This Row],[15]],Tabla1[[#This Row],[17]]="Reducción",Tabla1[[#This Row],[18]]),"")</f>
        <v/>
      </c>
      <c r="U1208" s="52" t="str">
        <f>_xlfn.IFNA(_xlfn.IFS(Tabla1[[#This Row],[5]]="Reducción",Tabla1[[#This Row],[7]],Tabla1[[#This Row],[8]]="Reducción",Tabla1[[#This Row],[10]],Tabla1[[#This Row],[11]]="Reducción",Tabla1[[#This Row],[13]],Tabla1[[#This Row],[14]]="Reducción",Tabla1[[#This Row],[16]],Tabla1[[#This Row],[17]]="Reducción",Tabla1[[#This Row],[19]]),"")</f>
        <v/>
      </c>
      <c r="V1208" s="52">
        <f>IF(Tabla15[[#This Row],[14]]="",0,IF(ROUND(VLOOKUP(Tabla15[[#This Row],[1]],Tabla10[#All],2,FALSE)/VLOOKUP(Tabla15[[#This Row],[14]],Tabla10[#All],2,FALSE),2)&gt;5,VLOOKUP(5,Tabla9[#All],3,FALSE)*Tabla15[[#This Row],[15]],VLOOKUP(ROUND(VLOOKUP(Tabla15[[#This Row],[1]],Tabla10[#All],2,FALSE)/VLOOKUP(Tabla15[[#This Row],[14]],Tabla10[#All],2,FALSE),2),Tabla9[#All],3,FALSE)*Tabla15[[#This Row],[15]]))</f>
        <v>0</v>
      </c>
      <c r="W1208" s="52" t="str">
        <f>_xlfn.IFNA(_xlfn.IFS(Tabla1[[#This Row],[5]]="Ampliación",Tabla1[[#This Row],[6]],Tabla1[[#This Row],[8]]="Ampliación",Tabla1[[#This Row],[9]],Tabla1[[#This Row],[11]]="Ampliación",Tabla1[[#This Row],[12]],Tabla1[[#This Row],[14]]="Ampliación",Tabla1[[#This Row],[15]],Tabla1[[#This Row],[17]]="Ampliación",Tabla1[[#This Row],[18]]),"")</f>
        <v/>
      </c>
      <c r="X1208" s="52" t="str">
        <f>_xlfn.IFNA(_xlfn.IFS(Tabla1[[#This Row],[5]]="Ampliación",Tabla1[[#This Row],[7]],Tabla1[[#This Row],[8]]="Ampliación",Tabla1[[#This Row],[10]],Tabla1[[#This Row],[11]]="Ampliación",Tabla1[[#This Row],[13]],Tabla1[[#This Row],[14]]="Ampliación",Tabla1[[#This Row],[16]],Tabla1[[#This Row],[17]]="Ampliación",Tabla1[[#This Row],[19]]),"")</f>
        <v/>
      </c>
      <c r="Y1208" s="52">
        <f>IF(Tabla15[[#This Row],[17]]="",0,IF(ROUND(VLOOKUP(Tabla15[[#This Row],[17]],Tabla10[#All],2,FALSE)/VLOOKUP(Tabla15[[#This Row],[1]],Tabla10[#All],2,FALSE),2)&gt;5,VLOOKUP(5,Tabla9[#All],2,FALSE)*Tabla15[[#This Row],[18]],VLOOKUP(ROUND(VLOOKUP(Tabla15[[#This Row],[17]],Tabla10[#All],2,FALSE)/VLOOKUP(Tabla15[[#This Row],[1]],Tabla10[#All],2,FALSE),2),Tabla9[#All],2,FALSE)*Tabla15[[#This Row],[18]]))</f>
        <v>0</v>
      </c>
      <c r="Z1208" s="52" t="str">
        <f>_xlfn.IFNA(_xlfn.IFS(Tabla1[[#This Row],[5]]="Válvula Reguladora de Presión",Tabla1[[#This Row],[6]],Tabla1[[#This Row],[8]]="Válvula Reguladora de Presión",Tabla1[[#This Row],[9]],Tabla1[[#This Row],[11]]="Válvula Reguladora de Presión",Tabla1[[#This Row],[12]],Tabla1[[#This Row],[14]]="Válvula Reguladora de Presión",Tabla1[[#This Row],[15]],Tabla1[[#This Row],[17]]="Válvula Reguladora de Presión",Tabla1[[#This Row],[18]]),"")</f>
        <v/>
      </c>
      <c r="AA1208" s="52" t="str">
        <f>_xlfn.IFNA(_xlfn.IFS(Tabla1[[#This Row],[5]]="Válvula Reguladora de Presión",Tabla1[[#This Row],[7]],Tabla1[[#This Row],[8]]="Válvula Reguladora de Presión",Tabla1[[#This Row],[10]],Tabla1[[#This Row],[11]]="Válvula Reguladora de Presión",Tabla1[[#This Row],[13]],Tabla1[[#This Row],[14]]="Válvula Reguladora de Presión",Tabla1[[#This Row],[16]],Tabla1[[#This Row],[17]]="Válvula Reguladora de Presión",Tabla1[[#This Row],[19]]),"")</f>
        <v/>
      </c>
      <c r="AB1208" s="52">
        <f>IF(Tabla15[[#This Row],[20]]="",0,VLOOKUP("VRP",Tabla5[#All],3,FALSE)*Tabla15[[#This Row],[21]])</f>
        <v>0</v>
      </c>
      <c r="AC1208" s="52" t="str">
        <f>_xlfn.IFNA(_xlfn.IFS(Tabla1[[#This Row],[5]]="Válvula de Corte ",Tabla1[[#This Row],[6]],Tabla1[[#This Row],[8]]="Válvula de Corte ",Tabla1[[#This Row],[9]],Tabla1[[#This Row],[11]]="Válvula de Corte ",Tabla1[[#This Row],[12]],Tabla1[[#This Row],[14]]="Válvula de Corte ",Tabla1[[#This Row],[15]],Tabla1[[#This Row],[17]]="Válvula de Corte ",Tabla1[[#This Row],[18]]),"")</f>
        <v/>
      </c>
      <c r="AD1208" s="52" t="str">
        <f>_xlfn.IFNA(_xlfn.IFS(Tabla1[[#This Row],[5]]="Válvula de Corte ",Tabla1[[#This Row],[7]],Tabla1[[#This Row],[8]]="Válvula de Corte ",Tabla1[[#This Row],[10]],Tabla1[[#This Row],[11]]="Válvula de Corte ",Tabla1[[#This Row],[13]],Tabla1[[#This Row],[14]]="Válvula de Corte ",Tabla1[[#This Row],[16]],Tabla1[[#This Row],[17]]="Válvula de Corte ",Tabla1[[#This Row],[19]]),"")</f>
        <v/>
      </c>
      <c r="AE1208" s="52">
        <f>IF(Tabla15[[#This Row],[23]]="",0,VLOOKUP("VC",Tabla5[#All],3,FALSE)*Tabla15[[#This Row],[24]])</f>
        <v>0</v>
      </c>
      <c r="AF1208" s="52" t="str">
        <f>_xlfn.IFNA(_xlfn.IFS(Tabla1[[#This Row],[5]]="Galápago",Tabla1[[#This Row],[6]],Tabla1[[#This Row],[8]]="Galápago ",Tabla1[[#This Row],[9]],Tabla1[[#This Row],[11]]="Galápago",Tabla1[[#This Row],[12]],Tabla1[[#This Row],[14]]="Galápago",Tabla1[[#This Row],[15]],Tabla1[[#This Row],[17]]="Galápago",Tabla1[[#This Row],[18]]),"")</f>
        <v/>
      </c>
      <c r="AG1208" s="52" t="str">
        <f>_xlfn.IFNA(_xlfn.IFS(Tabla1[[#This Row],[5]]="Galápago",Tabla1[[#This Row],[7]],Tabla1[[#This Row],[8]]="Galápago",Tabla1[[#This Row],[10]],Tabla1[[#This Row],[11]]="Galápago",Tabla1[[#This Row],[13]],Tabla1[[#This Row],[14]]="Galápago",Tabla1[[#This Row],[16]],Tabla1[[#This Row],[17]]="Galápago ",Tabla1[[#This Row],[19]]),"")</f>
        <v/>
      </c>
      <c r="AH1208" s="52">
        <f>IF(Tabla15[[#This Row],[26]]="",0,VLOOKUP(TRAMOS!$K$2,Tabla5[#All],3,FALSE)*Tabla15[[#This Row],[27]])</f>
        <v>0</v>
      </c>
      <c r="AI1208" s="52" t="str">
        <f>_xlfn.IFNA(_xlfn.IFS(Tabla1[[#This Row],[5]]="Hidrantes de Piso",Tabla1[[#This Row],[6]],Tabla1[[#This Row],[8]]="Hidrantes de Piso",Tabla1[[#This Row],[9]],Tabla1[[#This Row],[11]]="Hidrantes de Piso",Tabla1[[#This Row],[12]],Tabla1[[#This Row],[14]]="Hidrantes de Piso",Tabla1[[#This Row],[15]],Tabla1[[#This Row],[17]]="Hidrantes de Piso",Tabla1[[#This Row],[18]]),"")</f>
        <v/>
      </c>
      <c r="AJ1208" s="52" t="str">
        <f>_xlfn.IFNA(_xlfn.IFS(Tabla1[[#This Row],[5]]="Hidrantes de Piso",Tabla1[[#This Row],[7]],Tabla1[[#This Row],[8]]="Hidrantes de Piso",Tabla1[[#This Row],[10]],Tabla1[[#This Row],[11]]="Hidrantes de Piso",Tabla1[[#This Row],[13]],Tabla1[[#This Row],[14]]="Hidrantes de Piso",Tabla1[[#This Row],[16]],Tabla1[[#This Row],[17]]="Hidrantes de Piso",Tabla1[[#This Row],[19]]),"")</f>
        <v/>
      </c>
      <c r="AK1208" s="52" t="str">
        <f>_xlfn.IFNA(_xlfn.IFS(Tabla1[[#This Row],[5]]="Hidrantes de Columna ",Tabla1[[#This Row],[6]],Tabla1[[#This Row],[8]]="Hidrantes de Columna ",Tabla1[[#This Row],[9]],Tabla1[[#This Row],[11]]="Hidrantes de Columna ",Tabla1[[#This Row],[12]],Tabla1[[#This Row],[14]]="Hidrantes de Columna ",Tabla1[[#This Row],[15]],Tabla1[[#This Row],[17]]="Hidrantes de Columna ",Tabla1[[#This Row],[18]]),"")</f>
        <v/>
      </c>
      <c r="AL1208" s="52" t="str">
        <f>_xlfn.IFNA(_xlfn.IFS(Tabla1[[#This Row],[5]]="Hidrantes de Columna ",Tabla1[[#This Row],[7]],Tabla1[[#This Row],[8]]="Hidrantes de Columna ",Tabla1[[#This Row],[10]],Tabla1[[#This Row],[11]]="Hidrantes de Columna ",Tabla1[[#This Row],[13]],Tabla1[[#This Row],[14]]="Hidrantes de Columna ",Tabla1[[#This Row],[16]],Tabla1[[#This Row],[17]]="Hidrantes de Columna ",Tabla1[[#This Row],[19]]),"")</f>
        <v/>
      </c>
      <c r="AM1208" s="52" t="str">
        <f>_xlfn.IFNA(_xlfn.IFS(Tabla1[[#This Row],[5]]="Tapón",Tabla1[[#This Row],[6]],Tabla1[[#This Row],[8]]="Tapón",Tabla1[[#This Row],[9]],Tabla1[[#This Row],[11]]="Tapón",Tabla1[[#This Row],[12]],Tabla1[[#This Row],[14]]="Tapón",Tabla1[[#This Row],[15]],Tabla1[[#This Row],[17]]="Tapón",Tabla1[[#This Row],[18]]),"")</f>
        <v>2"</v>
      </c>
      <c r="AN1208" s="52">
        <f>_xlfn.IFNA(_xlfn.IFS(Tabla1[[#This Row],[5]]="Tapón",Tabla1[[#This Row],[7]],Tabla1[[#This Row],[8]]="Tapón",Tabla1[[#This Row],[10]],Tabla1[[#This Row],[11]]="Tapón",Tabla1[[#This Row],[13]],Tabla1[[#This Row],[14]]="Tapón",Tabla1[[#This Row],[16]],Tabla1[[#This Row],[17]]="Tapón",Tabla1[[#This Row],[19]]),"")</f>
        <v>1</v>
      </c>
      <c r="AO1208" s="62">
        <f>SUBTOTAL(9,Tabla15[[#This Row],[4]],Tabla15[[#This Row],[7]],Tabla15[[#This Row],[10]],Tabla15[[#This Row],[13]],Tabla15[[#This Row],[16]],Tabla15[[#This Row],[19]],Tabla15[[#This Row],[22]],Tabla15[[#This Row],[25]],Tabla15[[#This Row],[28]])</f>
        <v>1.05</v>
      </c>
    </row>
    <row r="1209" spans="2:41" x14ac:dyDescent="0.25">
      <c r="H1209" s="52"/>
      <c r="I1209" s="62"/>
      <c r="J1209" s="62"/>
      <c r="K1209" s="62"/>
      <c r="L1209" s="62"/>
      <c r="M1209" s="62"/>
      <c r="N1209" s="52"/>
      <c r="O1209" s="52"/>
      <c r="P1209" s="52"/>
      <c r="Q1209" s="52"/>
      <c r="R1209" s="62"/>
      <c r="S1209" s="62"/>
      <c r="T1209" s="52"/>
      <c r="U1209" s="62"/>
      <c r="V1209" s="62"/>
      <c r="W1209" s="62"/>
      <c r="X1209" s="62"/>
      <c r="Y1209" s="62"/>
      <c r="Z1209" s="52"/>
      <c r="AA1209" s="62"/>
      <c r="AB1209" s="62"/>
    </row>
    <row r="1210" spans="2:41" x14ac:dyDescent="0.25">
      <c r="H1210" s="52"/>
      <c r="I1210" s="62"/>
      <c r="J1210" s="62"/>
      <c r="K1210" s="62"/>
      <c r="L1210" s="62"/>
      <c r="M1210" s="62"/>
      <c r="N1210" s="52"/>
      <c r="O1210" s="52"/>
      <c r="P1210" s="52"/>
      <c r="Q1210" s="52"/>
      <c r="R1210" s="62"/>
      <c r="S1210" s="62"/>
      <c r="T1210" s="52"/>
      <c r="U1210" s="62"/>
      <c r="V1210" s="62"/>
      <c r="W1210" s="62"/>
      <c r="X1210" s="62"/>
      <c r="Y1210" s="62"/>
      <c r="Z1210" s="52"/>
      <c r="AA1210" s="62"/>
      <c r="AB1210" s="62"/>
      <c r="AG1210" s="88" t="s">
        <v>1274</v>
      </c>
      <c r="AH1210" s="88"/>
      <c r="AO1210" s="83">
        <f>SUM(Tabla15[35])</f>
        <v>1057.9931789999914</v>
      </c>
    </row>
    <row r="1211" spans="2:41" x14ac:dyDescent="0.25">
      <c r="AG1211" s="88" t="s">
        <v>1273</v>
      </c>
      <c r="AH1211" s="88"/>
      <c r="AO1211" s="84">
        <v>97472.8</v>
      </c>
    </row>
    <row r="1212" spans="2:41" x14ac:dyDescent="0.25">
      <c r="AG1212" s="88" t="s">
        <v>1275</v>
      </c>
      <c r="AH1212" s="88"/>
      <c r="AO1212" s="84">
        <f>AO1210/AO1211</f>
        <v>1.0854240146994765E-2</v>
      </c>
    </row>
  </sheetData>
  <mergeCells count="32">
    <mergeCell ref="AO3:AO4"/>
    <mergeCell ref="AM2:AN2"/>
    <mergeCell ref="AK2:AL2"/>
    <mergeCell ref="F2:F4"/>
    <mergeCell ref="AC2:AD2"/>
    <mergeCell ref="AI2:AJ2"/>
    <mergeCell ref="AF2:AG2"/>
    <mergeCell ref="V3:V4"/>
    <mergeCell ref="Y3:Y4"/>
    <mergeCell ref="AB3:AB4"/>
    <mergeCell ref="AE3:AE4"/>
    <mergeCell ref="AH3:AH4"/>
    <mergeCell ref="G2:G4"/>
    <mergeCell ref="T2:U2"/>
    <mergeCell ref="W2:X2"/>
    <mergeCell ref="Z2:AA2"/>
    <mergeCell ref="B2:C2"/>
    <mergeCell ref="D2:D3"/>
    <mergeCell ref="E2:E3"/>
    <mergeCell ref="H2:I2"/>
    <mergeCell ref="Q2:R2"/>
    <mergeCell ref="N2:O2"/>
    <mergeCell ref="K2:L2"/>
    <mergeCell ref="J3:J4"/>
    <mergeCell ref="M3:M4"/>
    <mergeCell ref="P3:P4"/>
    <mergeCell ref="S3:S4"/>
    <mergeCell ref="AG1211:AH1211"/>
    <mergeCell ref="AG1210:AH1210"/>
    <mergeCell ref="AG1212:AH1212"/>
    <mergeCell ref="C3:C4"/>
    <mergeCell ref="B3:B4"/>
  </mergeCells>
  <phoneticPr fontId="5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943AA2C-9714-4BE8-8A7F-FA9D3600AEF9}">
          <x14:formula1>
            <xm:f>Hoja2!$E$3:$E$7</xm:f>
          </x14:formula1>
          <xm:sqref>F6:F1208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F5111-3A38-408F-B226-620F98B0B1D2}">
  <dimension ref="B2:K384"/>
  <sheetViews>
    <sheetView workbookViewId="0">
      <selection activeCell="E3" sqref="E3"/>
    </sheetView>
  </sheetViews>
  <sheetFormatPr baseColWidth="10" defaultRowHeight="15" x14ac:dyDescent="0.25"/>
  <cols>
    <col min="2" max="2" width="8.42578125" bestFit="1" customWidth="1"/>
    <col min="3" max="3" width="18.140625" bestFit="1" customWidth="1"/>
    <col min="4" max="4" width="17.140625" bestFit="1" customWidth="1"/>
    <col min="6" max="6" width="12.42578125" hidden="1" customWidth="1"/>
    <col min="7" max="7" width="29.5703125" bestFit="1" customWidth="1"/>
    <col min="10" max="11" width="12" customWidth="1"/>
  </cols>
  <sheetData>
    <row r="2" spans="2:11" ht="15.75" thickBot="1" x14ac:dyDescent="0.3"/>
    <row r="3" spans="2:11" x14ac:dyDescent="0.25">
      <c r="B3" t="s">
        <v>1244</v>
      </c>
      <c r="C3" t="s">
        <v>1246</v>
      </c>
      <c r="D3" t="s">
        <v>1245</v>
      </c>
      <c r="E3" s="111"/>
      <c r="F3" s="101" t="s">
        <v>1231</v>
      </c>
      <c r="G3" s="102"/>
      <c r="H3" s="103"/>
    </row>
    <row r="4" spans="2:11" ht="15.75" thickBot="1" x14ac:dyDescent="0.3">
      <c r="B4">
        <v>1.2</v>
      </c>
      <c r="C4">
        <v>0.37</v>
      </c>
      <c r="D4">
        <v>0.08</v>
      </c>
      <c r="E4" s="111"/>
      <c r="F4" s="110" t="s">
        <v>1247</v>
      </c>
      <c r="G4" s="110" t="s">
        <v>1232</v>
      </c>
      <c r="H4" s="66" t="s">
        <v>1228</v>
      </c>
      <c r="J4" t="s">
        <v>1170</v>
      </c>
      <c r="K4" t="s">
        <v>1265</v>
      </c>
    </row>
    <row r="5" spans="2:11" x14ac:dyDescent="0.25">
      <c r="B5">
        <v>1.21</v>
      </c>
      <c r="C5">
        <v>0.37800000000000011</v>
      </c>
      <c r="D5">
        <v>8.450000000000002E-2</v>
      </c>
      <c r="F5" s="64"/>
      <c r="G5" s="64" t="s">
        <v>1233</v>
      </c>
      <c r="H5" s="63">
        <v>0.5</v>
      </c>
      <c r="J5" s="3" t="s">
        <v>375</v>
      </c>
      <c r="K5" s="21">
        <v>0.5</v>
      </c>
    </row>
    <row r="6" spans="2:11" x14ac:dyDescent="0.25">
      <c r="B6">
        <v>1.22</v>
      </c>
      <c r="C6">
        <v>0.38600000000000012</v>
      </c>
      <c r="D6">
        <v>8.9000000000000079E-2</v>
      </c>
      <c r="F6" s="64"/>
      <c r="G6" s="64" t="s">
        <v>1234</v>
      </c>
      <c r="H6" s="63">
        <v>1</v>
      </c>
      <c r="J6" s="3" t="s">
        <v>795</v>
      </c>
      <c r="K6" s="21">
        <v>0.75</v>
      </c>
    </row>
    <row r="7" spans="2:11" x14ac:dyDescent="0.25">
      <c r="B7">
        <v>1.23</v>
      </c>
      <c r="C7">
        <v>0.39400000000000013</v>
      </c>
      <c r="D7">
        <v>9.3500000000000028E-2</v>
      </c>
      <c r="F7" s="64"/>
      <c r="G7" s="64" t="s">
        <v>1235</v>
      </c>
      <c r="H7" s="63">
        <v>1</v>
      </c>
      <c r="J7" s="3" t="s">
        <v>56</v>
      </c>
      <c r="K7" s="21">
        <v>1</v>
      </c>
    </row>
    <row r="8" spans="2:11" x14ac:dyDescent="0.25">
      <c r="B8">
        <v>1.24</v>
      </c>
      <c r="C8">
        <v>0.40200000000000014</v>
      </c>
      <c r="D8">
        <v>9.8000000000000087E-2</v>
      </c>
      <c r="F8" s="64" t="s">
        <v>1181</v>
      </c>
      <c r="G8" s="64" t="s">
        <v>1236</v>
      </c>
      <c r="H8" s="63">
        <v>0.9</v>
      </c>
      <c r="J8" s="3" t="s">
        <v>219</v>
      </c>
      <c r="K8" s="21">
        <v>1.5</v>
      </c>
    </row>
    <row r="9" spans="2:11" x14ac:dyDescent="0.25">
      <c r="B9">
        <v>1.25</v>
      </c>
      <c r="C9">
        <v>0.41000000000000014</v>
      </c>
      <c r="D9">
        <v>0.10250000000000004</v>
      </c>
      <c r="F9" s="64" t="s">
        <v>58</v>
      </c>
      <c r="G9" s="64" t="s">
        <v>1237</v>
      </c>
      <c r="H9" s="63">
        <v>0.9</v>
      </c>
      <c r="J9" s="3" t="s">
        <v>53</v>
      </c>
      <c r="K9" s="21">
        <v>2</v>
      </c>
    </row>
    <row r="10" spans="2:11" x14ac:dyDescent="0.25">
      <c r="B10">
        <v>1.26</v>
      </c>
      <c r="C10">
        <v>0.41800000000000015</v>
      </c>
      <c r="D10">
        <v>0.1070000000000001</v>
      </c>
      <c r="F10" s="64" t="s">
        <v>1248</v>
      </c>
      <c r="G10" s="64" t="s">
        <v>1238</v>
      </c>
      <c r="H10" s="63">
        <v>2</v>
      </c>
      <c r="J10" s="3" t="s">
        <v>376</v>
      </c>
      <c r="K10" s="21">
        <v>2.5</v>
      </c>
    </row>
    <row r="11" spans="2:11" x14ac:dyDescent="0.25">
      <c r="B11">
        <v>1.27</v>
      </c>
      <c r="C11">
        <v>0.42600000000000016</v>
      </c>
      <c r="D11">
        <v>0.11150000000000004</v>
      </c>
      <c r="F11" s="64" t="s">
        <v>57</v>
      </c>
      <c r="G11" s="64" t="s">
        <v>1239</v>
      </c>
      <c r="H11" s="63">
        <v>0.15</v>
      </c>
      <c r="J11" s="3" t="s">
        <v>23</v>
      </c>
      <c r="K11" s="21">
        <v>3</v>
      </c>
    </row>
    <row r="12" spans="2:11" x14ac:dyDescent="0.25">
      <c r="B12">
        <v>1.28</v>
      </c>
      <c r="C12">
        <v>0.43400000000000016</v>
      </c>
      <c r="D12">
        <v>0.1160000000000001</v>
      </c>
      <c r="F12" s="64" t="s">
        <v>1250</v>
      </c>
      <c r="G12" s="64" t="s">
        <v>1249</v>
      </c>
      <c r="H12" s="63">
        <v>10</v>
      </c>
      <c r="J12" s="3" t="s">
        <v>126</v>
      </c>
      <c r="K12" s="21">
        <v>4</v>
      </c>
    </row>
    <row r="13" spans="2:11" x14ac:dyDescent="0.25">
      <c r="B13">
        <v>1.29</v>
      </c>
      <c r="C13">
        <v>0.44200000000000017</v>
      </c>
      <c r="D13">
        <v>0.12050000000000005</v>
      </c>
      <c r="F13" s="64" t="s">
        <v>1251</v>
      </c>
      <c r="G13" s="64" t="s">
        <v>1240</v>
      </c>
      <c r="H13" s="63">
        <v>0.25</v>
      </c>
      <c r="J13" s="3" t="s">
        <v>55</v>
      </c>
      <c r="K13" s="21">
        <v>6</v>
      </c>
    </row>
    <row r="14" spans="2:11" x14ac:dyDescent="0.25">
      <c r="B14">
        <v>1.3</v>
      </c>
      <c r="C14">
        <v>0.45000000000000018</v>
      </c>
      <c r="D14">
        <v>0.12500000000000011</v>
      </c>
      <c r="F14" s="64"/>
      <c r="G14" s="64" t="s">
        <v>1241</v>
      </c>
      <c r="H14" s="63">
        <v>7.7</v>
      </c>
      <c r="J14" s="3" t="s">
        <v>30</v>
      </c>
      <c r="K14" s="21">
        <v>8</v>
      </c>
    </row>
    <row r="15" spans="2:11" x14ac:dyDescent="0.25">
      <c r="B15">
        <v>1.31</v>
      </c>
      <c r="C15">
        <v>0.45800000000000018</v>
      </c>
      <c r="D15">
        <v>0.12950000000000006</v>
      </c>
      <c r="F15" s="64"/>
      <c r="G15" s="64" t="s">
        <v>1242</v>
      </c>
      <c r="H15" s="63">
        <v>2.5</v>
      </c>
      <c r="J15" s="3" t="s">
        <v>41</v>
      </c>
      <c r="K15" s="21">
        <v>10</v>
      </c>
    </row>
    <row r="16" spans="2:11" x14ac:dyDescent="0.25">
      <c r="B16">
        <v>1.32</v>
      </c>
      <c r="C16">
        <v>0.46600000000000019</v>
      </c>
      <c r="D16">
        <v>0.13400000000000012</v>
      </c>
      <c r="F16" s="64" t="s">
        <v>1209</v>
      </c>
      <c r="G16" s="64" t="s">
        <v>6</v>
      </c>
      <c r="H16" s="63"/>
      <c r="J16" s="3" t="s">
        <v>43</v>
      </c>
      <c r="K16" s="21">
        <v>12</v>
      </c>
    </row>
    <row r="17" spans="2:11" x14ac:dyDescent="0.25">
      <c r="B17">
        <v>1.33</v>
      </c>
      <c r="C17">
        <v>0.4740000000000002</v>
      </c>
      <c r="D17">
        <v>0.13850000000000007</v>
      </c>
      <c r="F17" s="64" t="s">
        <v>1252</v>
      </c>
      <c r="G17" s="64" t="s">
        <v>15</v>
      </c>
      <c r="H17" s="63"/>
      <c r="J17" s="3" t="s">
        <v>47</v>
      </c>
      <c r="K17" s="21">
        <v>16</v>
      </c>
    </row>
    <row r="18" spans="2:11" ht="15.75" thickBot="1" x14ac:dyDescent="0.3">
      <c r="B18">
        <v>1.34</v>
      </c>
      <c r="C18">
        <v>0.48200000000000021</v>
      </c>
      <c r="D18">
        <v>0.14300000000000013</v>
      </c>
      <c r="F18" s="65"/>
      <c r="G18" s="65" t="s">
        <v>1243</v>
      </c>
      <c r="H18" s="66">
        <v>3</v>
      </c>
    </row>
    <row r="19" spans="2:11" x14ac:dyDescent="0.25">
      <c r="B19">
        <v>1.35</v>
      </c>
      <c r="C19">
        <v>0.49000000000000021</v>
      </c>
      <c r="D19">
        <v>0.14750000000000008</v>
      </c>
    </row>
    <row r="20" spans="2:11" x14ac:dyDescent="0.25">
      <c r="B20">
        <v>1.36</v>
      </c>
      <c r="C20">
        <v>0.49800000000000022</v>
      </c>
      <c r="D20">
        <v>0.15200000000000014</v>
      </c>
    </row>
    <row r="21" spans="2:11" x14ac:dyDescent="0.25">
      <c r="B21">
        <v>1.37</v>
      </c>
      <c r="C21">
        <v>0.50600000000000023</v>
      </c>
      <c r="D21">
        <v>0.15650000000000019</v>
      </c>
    </row>
    <row r="22" spans="2:11" x14ac:dyDescent="0.25">
      <c r="B22">
        <v>1.38</v>
      </c>
      <c r="C22">
        <v>0.51400000000000023</v>
      </c>
      <c r="D22">
        <v>0.16100000000000003</v>
      </c>
    </row>
    <row r="23" spans="2:11" x14ac:dyDescent="0.25">
      <c r="B23">
        <v>1.39</v>
      </c>
      <c r="C23">
        <v>0.52200000000000024</v>
      </c>
      <c r="D23">
        <v>0.16550000000000009</v>
      </c>
    </row>
    <row r="24" spans="2:11" x14ac:dyDescent="0.25">
      <c r="B24">
        <v>1.4</v>
      </c>
      <c r="C24">
        <v>0.53</v>
      </c>
      <c r="D24">
        <v>0.17</v>
      </c>
    </row>
    <row r="25" spans="2:11" x14ac:dyDescent="0.25">
      <c r="B25">
        <v>1.41</v>
      </c>
      <c r="C25">
        <v>0.53400000000000003</v>
      </c>
      <c r="D25">
        <v>0.17450000000000004</v>
      </c>
    </row>
    <row r="26" spans="2:11" x14ac:dyDescent="0.25">
      <c r="B26">
        <v>1.42</v>
      </c>
      <c r="C26">
        <v>0.53800000000000003</v>
      </c>
      <c r="D26">
        <v>0.1790000000000001</v>
      </c>
    </row>
    <row r="27" spans="2:11" x14ac:dyDescent="0.25">
      <c r="B27">
        <v>1.43</v>
      </c>
      <c r="C27">
        <v>0.54200000000000004</v>
      </c>
      <c r="D27">
        <v>0.18350000000000005</v>
      </c>
    </row>
    <row r="28" spans="2:11" x14ac:dyDescent="0.25">
      <c r="B28">
        <v>1.44</v>
      </c>
      <c r="C28">
        <v>0.54600000000000004</v>
      </c>
      <c r="D28">
        <v>0.18800000000000011</v>
      </c>
    </row>
    <row r="29" spans="2:11" x14ac:dyDescent="0.25">
      <c r="B29">
        <v>1.45</v>
      </c>
      <c r="C29">
        <v>0.55000000000000004</v>
      </c>
      <c r="D29">
        <v>0.19250000000000006</v>
      </c>
    </row>
    <row r="30" spans="2:11" x14ac:dyDescent="0.25">
      <c r="B30">
        <v>1.46</v>
      </c>
      <c r="C30">
        <v>0.55400000000000005</v>
      </c>
      <c r="D30">
        <v>0.19700000000000012</v>
      </c>
    </row>
    <row r="31" spans="2:11" x14ac:dyDescent="0.25">
      <c r="B31">
        <v>1.47</v>
      </c>
      <c r="C31">
        <v>0.55800000000000005</v>
      </c>
      <c r="D31">
        <v>0.20150000000000007</v>
      </c>
    </row>
    <row r="32" spans="2:11" x14ac:dyDescent="0.25">
      <c r="B32">
        <v>1.48</v>
      </c>
      <c r="C32">
        <v>0.56200000000000006</v>
      </c>
      <c r="D32">
        <v>0.20600000000000013</v>
      </c>
    </row>
    <row r="33" spans="2:4" x14ac:dyDescent="0.25">
      <c r="B33">
        <v>1.49</v>
      </c>
      <c r="C33">
        <v>0.56600000000000006</v>
      </c>
      <c r="D33">
        <v>0.21050000000000008</v>
      </c>
    </row>
    <row r="34" spans="2:4" x14ac:dyDescent="0.25">
      <c r="B34">
        <v>1.5</v>
      </c>
      <c r="C34">
        <v>0.57000000000000006</v>
      </c>
      <c r="D34">
        <v>0.21500000000000002</v>
      </c>
    </row>
    <row r="35" spans="2:4" x14ac:dyDescent="0.25">
      <c r="B35">
        <v>1.51</v>
      </c>
      <c r="C35">
        <v>0.57400000000000007</v>
      </c>
      <c r="D35">
        <v>0.21950000000000008</v>
      </c>
    </row>
    <row r="36" spans="2:4" x14ac:dyDescent="0.25">
      <c r="B36">
        <v>1.52</v>
      </c>
      <c r="C36">
        <v>0.57800000000000007</v>
      </c>
      <c r="D36">
        <v>0.22400000000000003</v>
      </c>
    </row>
    <row r="37" spans="2:4" x14ac:dyDescent="0.25">
      <c r="B37">
        <v>1.53</v>
      </c>
      <c r="C37">
        <v>0.58200000000000007</v>
      </c>
      <c r="D37">
        <v>0.22850000000000009</v>
      </c>
    </row>
    <row r="38" spans="2:4" x14ac:dyDescent="0.25">
      <c r="B38">
        <v>1.54</v>
      </c>
      <c r="C38">
        <v>0.58600000000000008</v>
      </c>
      <c r="D38">
        <v>0.23300000000000004</v>
      </c>
    </row>
    <row r="39" spans="2:4" x14ac:dyDescent="0.25">
      <c r="B39">
        <v>1.55</v>
      </c>
      <c r="C39">
        <v>0.59000000000000008</v>
      </c>
      <c r="D39">
        <v>0.2375000000000001</v>
      </c>
    </row>
    <row r="40" spans="2:4" x14ac:dyDescent="0.25">
      <c r="B40">
        <v>1.56</v>
      </c>
      <c r="C40">
        <v>0.59400000000000008</v>
      </c>
      <c r="D40">
        <v>0.24200000000000005</v>
      </c>
    </row>
    <row r="41" spans="2:4" x14ac:dyDescent="0.25">
      <c r="B41">
        <v>1.57</v>
      </c>
      <c r="C41">
        <v>0.59800000000000009</v>
      </c>
      <c r="D41">
        <v>0.24650000000000011</v>
      </c>
    </row>
    <row r="42" spans="2:4" x14ac:dyDescent="0.25">
      <c r="B42">
        <v>1.58</v>
      </c>
      <c r="C42">
        <v>0.60200000000000009</v>
      </c>
      <c r="D42">
        <v>0.25100000000000006</v>
      </c>
    </row>
    <row r="43" spans="2:4" x14ac:dyDescent="0.25">
      <c r="B43">
        <v>1.59</v>
      </c>
      <c r="C43">
        <v>0.60600000000000009</v>
      </c>
      <c r="D43">
        <v>0.25550000000000012</v>
      </c>
    </row>
    <row r="44" spans="2:4" x14ac:dyDescent="0.25">
      <c r="B44">
        <v>1.6</v>
      </c>
      <c r="C44">
        <v>0.61</v>
      </c>
      <c r="D44">
        <v>0.26</v>
      </c>
    </row>
    <row r="45" spans="2:4" x14ac:dyDescent="0.25">
      <c r="B45">
        <v>1.61</v>
      </c>
      <c r="C45">
        <v>0.61199999999999999</v>
      </c>
      <c r="D45">
        <v>0.26400000000000001</v>
      </c>
    </row>
    <row r="46" spans="2:4" x14ac:dyDescent="0.25">
      <c r="B46">
        <v>1.62</v>
      </c>
      <c r="C46">
        <v>0.61399999999999999</v>
      </c>
      <c r="D46">
        <v>0.26800000000000002</v>
      </c>
    </row>
    <row r="47" spans="2:4" x14ac:dyDescent="0.25">
      <c r="B47">
        <v>1.63</v>
      </c>
      <c r="C47">
        <v>0.61599999999999988</v>
      </c>
      <c r="D47">
        <v>0.27199999999999991</v>
      </c>
    </row>
    <row r="48" spans="2:4" x14ac:dyDescent="0.25">
      <c r="B48">
        <v>1.64</v>
      </c>
      <c r="C48">
        <v>0.61799999999999988</v>
      </c>
      <c r="D48">
        <v>0.27599999999999991</v>
      </c>
    </row>
    <row r="49" spans="2:4" x14ac:dyDescent="0.25">
      <c r="B49">
        <v>1.65</v>
      </c>
      <c r="C49">
        <v>0.61999999999999988</v>
      </c>
      <c r="D49">
        <v>0.27999999999999992</v>
      </c>
    </row>
    <row r="50" spans="2:4" x14ac:dyDescent="0.25">
      <c r="B50">
        <v>1.66</v>
      </c>
      <c r="C50">
        <v>0.62199999999999989</v>
      </c>
      <c r="D50">
        <v>0.28399999999999992</v>
      </c>
    </row>
    <row r="51" spans="2:4" x14ac:dyDescent="0.25">
      <c r="B51">
        <v>1.67</v>
      </c>
      <c r="C51">
        <v>0.62399999999999989</v>
      </c>
      <c r="D51">
        <v>0.28799999999999992</v>
      </c>
    </row>
    <row r="52" spans="2:4" x14ac:dyDescent="0.25">
      <c r="B52">
        <v>1.68</v>
      </c>
      <c r="C52">
        <v>0.62599999999999989</v>
      </c>
      <c r="D52">
        <v>0.29199999999999993</v>
      </c>
    </row>
    <row r="53" spans="2:4" x14ac:dyDescent="0.25">
      <c r="B53">
        <v>1.69</v>
      </c>
      <c r="C53">
        <v>0.62799999999999989</v>
      </c>
      <c r="D53">
        <v>0.29599999999999993</v>
      </c>
    </row>
    <row r="54" spans="2:4" x14ac:dyDescent="0.25">
      <c r="B54">
        <v>1.7</v>
      </c>
      <c r="C54">
        <v>0.63</v>
      </c>
      <c r="D54">
        <v>0.29999999999999993</v>
      </c>
    </row>
    <row r="55" spans="2:4" x14ac:dyDescent="0.25">
      <c r="B55">
        <v>1.71</v>
      </c>
      <c r="C55">
        <v>0.63200000000000001</v>
      </c>
      <c r="D55">
        <v>0.30399999999999994</v>
      </c>
    </row>
    <row r="56" spans="2:4" x14ac:dyDescent="0.25">
      <c r="B56">
        <v>1.72</v>
      </c>
      <c r="C56">
        <v>0.63400000000000001</v>
      </c>
      <c r="D56">
        <v>0.30799999999999994</v>
      </c>
    </row>
    <row r="57" spans="2:4" x14ac:dyDescent="0.25">
      <c r="B57">
        <v>1.73</v>
      </c>
      <c r="C57">
        <v>0.63600000000000001</v>
      </c>
      <c r="D57">
        <v>0.31199999999999994</v>
      </c>
    </row>
    <row r="58" spans="2:4" x14ac:dyDescent="0.25">
      <c r="B58">
        <v>1.74</v>
      </c>
      <c r="C58">
        <v>0.63800000000000001</v>
      </c>
      <c r="D58">
        <v>0.31599999999999995</v>
      </c>
    </row>
    <row r="59" spans="2:4" x14ac:dyDescent="0.25">
      <c r="B59">
        <v>1.75</v>
      </c>
      <c r="C59">
        <v>0.64</v>
      </c>
      <c r="D59">
        <v>0.31999999999999995</v>
      </c>
    </row>
    <row r="60" spans="2:4" x14ac:dyDescent="0.25">
      <c r="B60">
        <v>1.76</v>
      </c>
      <c r="C60">
        <v>0.64200000000000002</v>
      </c>
      <c r="D60">
        <v>0.32399999999999995</v>
      </c>
    </row>
    <row r="61" spans="2:4" x14ac:dyDescent="0.25">
      <c r="B61">
        <v>1.77</v>
      </c>
      <c r="C61">
        <v>0.64400000000000002</v>
      </c>
      <c r="D61">
        <v>0.32799999999999996</v>
      </c>
    </row>
    <row r="62" spans="2:4" x14ac:dyDescent="0.25">
      <c r="B62">
        <v>1.78</v>
      </c>
      <c r="C62">
        <v>0.64600000000000002</v>
      </c>
      <c r="D62">
        <v>0.33199999999999996</v>
      </c>
    </row>
    <row r="63" spans="2:4" x14ac:dyDescent="0.25">
      <c r="B63">
        <v>1.79</v>
      </c>
      <c r="C63">
        <v>0.64800000000000002</v>
      </c>
      <c r="D63">
        <v>0.33599999999999997</v>
      </c>
    </row>
    <row r="64" spans="2:4" x14ac:dyDescent="0.25">
      <c r="B64">
        <v>1.8</v>
      </c>
      <c r="C64">
        <v>0.65</v>
      </c>
      <c r="D64">
        <v>0.34</v>
      </c>
    </row>
    <row r="65" spans="2:4" x14ac:dyDescent="0.25">
      <c r="B65">
        <v>1.81</v>
      </c>
      <c r="C65">
        <v>0.65149999999999997</v>
      </c>
      <c r="D65">
        <v>0.34150000000000003</v>
      </c>
    </row>
    <row r="66" spans="2:4" x14ac:dyDescent="0.25">
      <c r="B66">
        <v>1.82</v>
      </c>
      <c r="C66">
        <v>0.65300000000000002</v>
      </c>
      <c r="D66">
        <v>0.34300000000000003</v>
      </c>
    </row>
    <row r="67" spans="2:4" x14ac:dyDescent="0.25">
      <c r="B67">
        <v>1.83</v>
      </c>
      <c r="C67">
        <v>0.65450000000000008</v>
      </c>
      <c r="D67">
        <v>0.34450000000000003</v>
      </c>
    </row>
    <row r="68" spans="2:4" x14ac:dyDescent="0.25">
      <c r="B68">
        <v>1.84</v>
      </c>
      <c r="C68">
        <v>0.65600000000000003</v>
      </c>
      <c r="D68">
        <v>0.34600000000000003</v>
      </c>
    </row>
    <row r="69" spans="2:4" x14ac:dyDescent="0.25">
      <c r="B69">
        <v>1.85</v>
      </c>
      <c r="C69">
        <v>0.65749999999999997</v>
      </c>
      <c r="D69">
        <v>0.34750000000000003</v>
      </c>
    </row>
    <row r="70" spans="2:4" x14ac:dyDescent="0.25">
      <c r="B70">
        <v>1.86</v>
      </c>
      <c r="C70">
        <v>0.65900000000000003</v>
      </c>
      <c r="D70">
        <v>0.34900000000000003</v>
      </c>
    </row>
    <row r="71" spans="2:4" x14ac:dyDescent="0.25">
      <c r="B71">
        <v>1.87</v>
      </c>
      <c r="C71">
        <v>0.66050000000000009</v>
      </c>
      <c r="D71">
        <v>0.35050000000000003</v>
      </c>
    </row>
    <row r="72" spans="2:4" x14ac:dyDescent="0.25">
      <c r="B72">
        <v>1.88</v>
      </c>
      <c r="C72">
        <v>0.66200000000000003</v>
      </c>
      <c r="D72">
        <v>0.35199999999999998</v>
      </c>
    </row>
    <row r="73" spans="2:4" x14ac:dyDescent="0.25">
      <c r="B73">
        <v>1.89</v>
      </c>
      <c r="C73">
        <v>0.66349999999999998</v>
      </c>
      <c r="D73">
        <v>0.35349999999999998</v>
      </c>
    </row>
    <row r="74" spans="2:4" x14ac:dyDescent="0.25">
      <c r="B74">
        <v>1.9</v>
      </c>
      <c r="C74">
        <v>0.66500000000000004</v>
      </c>
      <c r="D74">
        <v>0.35499999999999998</v>
      </c>
    </row>
    <row r="75" spans="2:4" x14ac:dyDescent="0.25">
      <c r="B75">
        <v>1.91</v>
      </c>
      <c r="C75">
        <v>0.66650000000000009</v>
      </c>
      <c r="D75">
        <v>0.35649999999999998</v>
      </c>
    </row>
    <row r="76" spans="2:4" x14ac:dyDescent="0.25">
      <c r="B76">
        <v>1.92</v>
      </c>
      <c r="C76">
        <v>0.66800000000000004</v>
      </c>
      <c r="D76">
        <v>0.35799999999999998</v>
      </c>
    </row>
    <row r="77" spans="2:4" x14ac:dyDescent="0.25">
      <c r="B77">
        <v>1.93</v>
      </c>
      <c r="C77">
        <v>0.66949999999999998</v>
      </c>
      <c r="D77">
        <v>0.35949999999999999</v>
      </c>
    </row>
    <row r="78" spans="2:4" x14ac:dyDescent="0.25">
      <c r="B78">
        <v>1.94</v>
      </c>
      <c r="C78">
        <v>0.67100000000000004</v>
      </c>
      <c r="D78">
        <v>0.36099999999999999</v>
      </c>
    </row>
    <row r="79" spans="2:4" x14ac:dyDescent="0.25">
      <c r="B79">
        <v>1.95</v>
      </c>
      <c r="C79">
        <v>0.6725000000000001</v>
      </c>
      <c r="D79">
        <v>0.36249999999999999</v>
      </c>
    </row>
    <row r="80" spans="2:4" x14ac:dyDescent="0.25">
      <c r="B80">
        <v>1.96</v>
      </c>
      <c r="C80">
        <v>0.67400000000000004</v>
      </c>
      <c r="D80">
        <v>0.36399999999999999</v>
      </c>
    </row>
    <row r="81" spans="2:4" x14ac:dyDescent="0.25">
      <c r="B81">
        <v>1.97</v>
      </c>
      <c r="C81">
        <v>0.67549999999999999</v>
      </c>
      <c r="D81">
        <v>0.36549999999999999</v>
      </c>
    </row>
    <row r="82" spans="2:4" x14ac:dyDescent="0.25">
      <c r="B82">
        <v>1.98</v>
      </c>
      <c r="C82">
        <v>0.67700000000000005</v>
      </c>
      <c r="D82">
        <v>0.36699999999999999</v>
      </c>
    </row>
    <row r="83" spans="2:4" x14ac:dyDescent="0.25">
      <c r="B83">
        <v>1.99</v>
      </c>
      <c r="C83">
        <v>0.6785000000000001</v>
      </c>
      <c r="D83">
        <v>0.36849999999999999</v>
      </c>
    </row>
    <row r="84" spans="2:4" x14ac:dyDescent="0.25">
      <c r="B84">
        <v>2</v>
      </c>
      <c r="C84">
        <v>0.68</v>
      </c>
      <c r="D84">
        <v>0.37</v>
      </c>
    </row>
    <row r="85" spans="2:4" x14ac:dyDescent="0.25">
      <c r="B85">
        <v>2.0099999999999998</v>
      </c>
      <c r="C85">
        <v>0.68039999999999989</v>
      </c>
      <c r="D85">
        <v>0.37080000000000002</v>
      </c>
    </row>
    <row r="86" spans="2:4" x14ac:dyDescent="0.25">
      <c r="B86">
        <v>2.02</v>
      </c>
      <c r="C86">
        <v>0.68079999999999996</v>
      </c>
      <c r="D86">
        <v>0.37160000000000004</v>
      </c>
    </row>
    <row r="87" spans="2:4" x14ac:dyDescent="0.25">
      <c r="B87">
        <v>2.0299999999999998</v>
      </c>
      <c r="C87">
        <v>0.68119999999999992</v>
      </c>
      <c r="D87">
        <v>0.37240000000000001</v>
      </c>
    </row>
    <row r="88" spans="2:4" x14ac:dyDescent="0.25">
      <c r="B88">
        <v>2.04</v>
      </c>
      <c r="C88">
        <v>0.68159999999999998</v>
      </c>
      <c r="D88">
        <v>0.37320000000000003</v>
      </c>
    </row>
    <row r="89" spans="2:4" x14ac:dyDescent="0.25">
      <c r="B89">
        <v>2.0499999999999998</v>
      </c>
      <c r="C89">
        <v>0.68199999999999994</v>
      </c>
      <c r="D89">
        <v>0.374</v>
      </c>
    </row>
    <row r="90" spans="2:4" x14ac:dyDescent="0.25">
      <c r="B90">
        <v>2.06</v>
      </c>
      <c r="C90">
        <v>0.6823999999999999</v>
      </c>
      <c r="D90">
        <v>0.37480000000000002</v>
      </c>
    </row>
    <row r="91" spans="2:4" x14ac:dyDescent="0.25">
      <c r="B91">
        <v>2.0699999999999998</v>
      </c>
      <c r="C91">
        <v>0.68279999999999996</v>
      </c>
      <c r="D91">
        <v>0.37560000000000004</v>
      </c>
    </row>
    <row r="92" spans="2:4" x14ac:dyDescent="0.25">
      <c r="B92">
        <v>2.08</v>
      </c>
      <c r="C92">
        <v>0.68319999999999992</v>
      </c>
      <c r="D92">
        <v>0.37640000000000001</v>
      </c>
    </row>
    <row r="93" spans="2:4" x14ac:dyDescent="0.25">
      <c r="B93">
        <v>2.09</v>
      </c>
      <c r="C93">
        <v>0.68359999999999987</v>
      </c>
      <c r="D93">
        <v>0.37719999999999998</v>
      </c>
    </row>
    <row r="94" spans="2:4" x14ac:dyDescent="0.25">
      <c r="B94">
        <v>2.1</v>
      </c>
      <c r="C94">
        <v>0.68399999999999994</v>
      </c>
      <c r="D94">
        <v>0.378</v>
      </c>
    </row>
    <row r="95" spans="2:4" x14ac:dyDescent="0.25">
      <c r="B95">
        <v>2.11</v>
      </c>
      <c r="C95">
        <v>0.6843999999999999</v>
      </c>
      <c r="D95">
        <v>0.37880000000000003</v>
      </c>
    </row>
    <row r="96" spans="2:4" x14ac:dyDescent="0.25">
      <c r="B96">
        <v>2.12</v>
      </c>
      <c r="C96">
        <v>0.68479999999999996</v>
      </c>
      <c r="D96">
        <v>0.37960000000000005</v>
      </c>
    </row>
    <row r="97" spans="2:4" x14ac:dyDescent="0.25">
      <c r="B97">
        <v>2.13</v>
      </c>
      <c r="C97">
        <v>0.68519999999999992</v>
      </c>
      <c r="D97">
        <v>0.38040000000000002</v>
      </c>
    </row>
    <row r="98" spans="2:4" x14ac:dyDescent="0.25">
      <c r="B98">
        <v>2.14</v>
      </c>
      <c r="C98">
        <v>0.68559999999999988</v>
      </c>
      <c r="D98">
        <v>0.38120000000000004</v>
      </c>
    </row>
    <row r="99" spans="2:4" x14ac:dyDescent="0.25">
      <c r="B99">
        <v>2.15</v>
      </c>
      <c r="C99">
        <v>0.68599999999999994</v>
      </c>
      <c r="D99">
        <v>0.38200000000000001</v>
      </c>
    </row>
    <row r="100" spans="2:4" x14ac:dyDescent="0.25">
      <c r="B100">
        <v>2.16</v>
      </c>
      <c r="C100">
        <v>0.6863999999999999</v>
      </c>
      <c r="D100">
        <v>0.38280000000000003</v>
      </c>
    </row>
    <row r="101" spans="2:4" x14ac:dyDescent="0.25">
      <c r="B101">
        <v>2.17</v>
      </c>
      <c r="C101">
        <v>0.68679999999999986</v>
      </c>
      <c r="D101">
        <v>0.38360000000000005</v>
      </c>
    </row>
    <row r="102" spans="2:4" x14ac:dyDescent="0.25">
      <c r="B102">
        <v>2.1800000000000002</v>
      </c>
      <c r="C102">
        <v>0.68719999999999992</v>
      </c>
      <c r="D102">
        <v>0.38440000000000002</v>
      </c>
    </row>
    <row r="103" spans="2:4" x14ac:dyDescent="0.25">
      <c r="B103">
        <v>2.19</v>
      </c>
      <c r="C103">
        <v>0.68759999999999988</v>
      </c>
      <c r="D103">
        <v>0.38519999999999999</v>
      </c>
    </row>
    <row r="104" spans="2:4" x14ac:dyDescent="0.25">
      <c r="B104">
        <v>2.2000000000000002</v>
      </c>
      <c r="C104">
        <v>0.68799999999999994</v>
      </c>
      <c r="D104">
        <v>0.38600000000000001</v>
      </c>
    </row>
    <row r="105" spans="2:4" x14ac:dyDescent="0.25">
      <c r="B105">
        <v>2.21</v>
      </c>
      <c r="C105">
        <v>0.6883999999999999</v>
      </c>
      <c r="D105">
        <v>0.38680000000000003</v>
      </c>
    </row>
    <row r="106" spans="2:4" x14ac:dyDescent="0.25">
      <c r="B106">
        <v>2.2200000000000002</v>
      </c>
      <c r="C106">
        <v>0.68879999999999986</v>
      </c>
      <c r="D106">
        <v>0.38760000000000006</v>
      </c>
    </row>
    <row r="107" spans="2:4" x14ac:dyDescent="0.25">
      <c r="B107">
        <v>2.23</v>
      </c>
      <c r="C107">
        <v>0.68919999999999992</v>
      </c>
      <c r="D107">
        <v>0.38840000000000002</v>
      </c>
    </row>
    <row r="108" spans="2:4" x14ac:dyDescent="0.25">
      <c r="B108">
        <v>2.2400000000000002</v>
      </c>
      <c r="C108">
        <v>0.68959999999999988</v>
      </c>
      <c r="D108">
        <v>0.38919999999999999</v>
      </c>
    </row>
    <row r="109" spans="2:4" x14ac:dyDescent="0.25">
      <c r="B109">
        <v>2.25</v>
      </c>
      <c r="C109">
        <v>0.69</v>
      </c>
      <c r="D109">
        <v>0.39</v>
      </c>
    </row>
    <row r="110" spans="2:4" x14ac:dyDescent="0.25">
      <c r="B110">
        <v>2.2599999999999998</v>
      </c>
      <c r="C110">
        <v>0.6903999999999999</v>
      </c>
      <c r="D110">
        <v>0.39080000000000004</v>
      </c>
    </row>
    <row r="111" spans="2:4" x14ac:dyDescent="0.25">
      <c r="B111">
        <v>2.27</v>
      </c>
      <c r="C111">
        <v>0.69079999999999986</v>
      </c>
      <c r="D111">
        <v>0.3916</v>
      </c>
    </row>
    <row r="112" spans="2:4" x14ac:dyDescent="0.25">
      <c r="B112">
        <v>2.2799999999999998</v>
      </c>
      <c r="C112">
        <v>0.69119999999999993</v>
      </c>
      <c r="D112">
        <v>0.39239999999999997</v>
      </c>
    </row>
    <row r="113" spans="2:4" x14ac:dyDescent="0.25">
      <c r="B113">
        <v>2.29</v>
      </c>
      <c r="C113">
        <v>0.69159999999999988</v>
      </c>
      <c r="D113">
        <v>0.39319999999999999</v>
      </c>
    </row>
    <row r="114" spans="2:4" x14ac:dyDescent="0.25">
      <c r="B114">
        <v>2.2999999999999998</v>
      </c>
      <c r="C114">
        <v>0.69199999999999984</v>
      </c>
      <c r="D114">
        <v>0.39400000000000002</v>
      </c>
    </row>
    <row r="115" spans="2:4" x14ac:dyDescent="0.25">
      <c r="B115">
        <v>2.31</v>
      </c>
      <c r="C115">
        <v>0.6923999999999999</v>
      </c>
      <c r="D115">
        <v>0.39480000000000004</v>
      </c>
    </row>
    <row r="116" spans="2:4" x14ac:dyDescent="0.25">
      <c r="B116">
        <v>2.3199999999999998</v>
      </c>
      <c r="C116">
        <v>0.69279999999999986</v>
      </c>
      <c r="D116">
        <v>0.39560000000000001</v>
      </c>
    </row>
    <row r="117" spans="2:4" x14ac:dyDescent="0.25">
      <c r="B117">
        <v>2.33</v>
      </c>
      <c r="C117">
        <v>0.69319999999999993</v>
      </c>
      <c r="D117">
        <v>0.39639999999999997</v>
      </c>
    </row>
    <row r="118" spans="2:4" x14ac:dyDescent="0.25">
      <c r="B118">
        <v>2.34</v>
      </c>
      <c r="C118">
        <v>0.69359999999999988</v>
      </c>
      <c r="D118">
        <v>0.3972</v>
      </c>
    </row>
    <row r="119" spans="2:4" x14ac:dyDescent="0.25">
      <c r="B119">
        <v>2.35</v>
      </c>
      <c r="C119">
        <v>0.69399999999999984</v>
      </c>
      <c r="D119">
        <v>0.39800000000000002</v>
      </c>
    </row>
    <row r="120" spans="2:4" x14ac:dyDescent="0.25">
      <c r="B120">
        <v>2.36</v>
      </c>
      <c r="C120">
        <v>0.69439999999999991</v>
      </c>
      <c r="D120">
        <v>0.39879999999999999</v>
      </c>
    </row>
    <row r="121" spans="2:4" x14ac:dyDescent="0.25">
      <c r="B121">
        <v>2.37</v>
      </c>
      <c r="C121">
        <v>0.69479999999999986</v>
      </c>
      <c r="D121">
        <v>0.39960000000000001</v>
      </c>
    </row>
    <row r="122" spans="2:4" x14ac:dyDescent="0.25">
      <c r="B122">
        <v>2.38</v>
      </c>
      <c r="C122">
        <v>0.69519999999999982</v>
      </c>
      <c r="D122">
        <v>0.40039999999999998</v>
      </c>
    </row>
    <row r="123" spans="2:4" x14ac:dyDescent="0.25">
      <c r="B123">
        <v>2.39</v>
      </c>
      <c r="C123">
        <v>0.69559999999999989</v>
      </c>
      <c r="D123">
        <v>0.4012</v>
      </c>
    </row>
    <row r="124" spans="2:4" x14ac:dyDescent="0.25">
      <c r="B124">
        <v>2.4</v>
      </c>
      <c r="C124">
        <v>0.69599999999999984</v>
      </c>
      <c r="D124">
        <v>0.40200000000000002</v>
      </c>
    </row>
    <row r="125" spans="2:4" x14ac:dyDescent="0.25">
      <c r="B125">
        <v>2.41</v>
      </c>
      <c r="C125">
        <v>0.69639999999999991</v>
      </c>
      <c r="D125">
        <v>0.40280000000000005</v>
      </c>
    </row>
    <row r="126" spans="2:4" x14ac:dyDescent="0.25">
      <c r="B126">
        <v>2.42</v>
      </c>
      <c r="C126">
        <v>0.69679999999999986</v>
      </c>
      <c r="D126">
        <v>0.40360000000000001</v>
      </c>
    </row>
    <row r="127" spans="2:4" x14ac:dyDescent="0.25">
      <c r="B127">
        <v>2.4300000000000002</v>
      </c>
      <c r="C127">
        <v>0.69719999999999982</v>
      </c>
      <c r="D127">
        <v>0.40439999999999998</v>
      </c>
    </row>
    <row r="128" spans="2:4" x14ac:dyDescent="0.25">
      <c r="B128">
        <v>2.44</v>
      </c>
      <c r="C128">
        <v>0.69759999999999989</v>
      </c>
      <c r="D128">
        <v>0.4052</v>
      </c>
    </row>
    <row r="129" spans="2:4" x14ac:dyDescent="0.25">
      <c r="B129">
        <v>2.4500000000000002</v>
      </c>
      <c r="C129">
        <v>0.69799999999999984</v>
      </c>
      <c r="D129">
        <v>0.40600000000000003</v>
      </c>
    </row>
    <row r="130" spans="2:4" x14ac:dyDescent="0.25">
      <c r="B130">
        <v>2.46</v>
      </c>
      <c r="C130">
        <v>0.69839999999999991</v>
      </c>
      <c r="D130">
        <v>0.40679999999999999</v>
      </c>
    </row>
    <row r="131" spans="2:4" x14ac:dyDescent="0.25">
      <c r="B131">
        <v>2.4700000000000002</v>
      </c>
      <c r="C131">
        <v>0.69879999999999987</v>
      </c>
      <c r="D131">
        <v>0.40760000000000002</v>
      </c>
    </row>
    <row r="132" spans="2:4" x14ac:dyDescent="0.25">
      <c r="B132">
        <v>2.48</v>
      </c>
      <c r="C132">
        <v>0.69919999999999982</v>
      </c>
      <c r="D132">
        <v>0.40839999999999999</v>
      </c>
    </row>
    <row r="133" spans="2:4" x14ac:dyDescent="0.25">
      <c r="B133">
        <v>2.4900000000000002</v>
      </c>
      <c r="C133">
        <v>0.69959999999999989</v>
      </c>
      <c r="D133">
        <v>0.40920000000000001</v>
      </c>
    </row>
    <row r="134" spans="2:4" x14ac:dyDescent="0.25">
      <c r="B134">
        <v>2.5</v>
      </c>
      <c r="C134">
        <v>0.7</v>
      </c>
      <c r="D134">
        <v>0.41</v>
      </c>
    </row>
    <row r="135" spans="2:4" x14ac:dyDescent="0.25">
      <c r="B135">
        <v>2.5099999999999998</v>
      </c>
      <c r="C135">
        <v>0.70019999999999993</v>
      </c>
      <c r="D135">
        <v>0.41039999999999999</v>
      </c>
    </row>
    <row r="136" spans="2:4" x14ac:dyDescent="0.25">
      <c r="B136">
        <v>2.52</v>
      </c>
      <c r="C136">
        <v>0.70039999999999991</v>
      </c>
      <c r="D136">
        <v>0.41079999999999994</v>
      </c>
    </row>
    <row r="137" spans="2:4" x14ac:dyDescent="0.25">
      <c r="B137">
        <v>2.5299999999999998</v>
      </c>
      <c r="C137">
        <v>0.7006</v>
      </c>
      <c r="D137">
        <v>0.41119999999999995</v>
      </c>
    </row>
    <row r="138" spans="2:4" x14ac:dyDescent="0.25">
      <c r="B138">
        <v>2.54</v>
      </c>
      <c r="C138">
        <v>0.70079999999999998</v>
      </c>
      <c r="D138">
        <v>0.41159999999999997</v>
      </c>
    </row>
    <row r="139" spans="2:4" x14ac:dyDescent="0.25">
      <c r="B139">
        <v>2.5499999999999998</v>
      </c>
      <c r="C139">
        <v>0.70099999999999996</v>
      </c>
      <c r="D139">
        <v>0.41199999999999998</v>
      </c>
    </row>
    <row r="140" spans="2:4" x14ac:dyDescent="0.25">
      <c r="B140">
        <v>2.56</v>
      </c>
      <c r="C140">
        <v>0.70119999999999993</v>
      </c>
      <c r="D140">
        <v>0.41239999999999999</v>
      </c>
    </row>
    <row r="141" spans="2:4" x14ac:dyDescent="0.25">
      <c r="B141">
        <v>2.57</v>
      </c>
      <c r="C141">
        <v>0.70139999999999991</v>
      </c>
      <c r="D141">
        <v>0.41279999999999994</v>
      </c>
    </row>
    <row r="142" spans="2:4" x14ac:dyDescent="0.25">
      <c r="B142">
        <v>2.58</v>
      </c>
      <c r="C142">
        <v>0.7016</v>
      </c>
      <c r="D142">
        <v>0.41320000000000001</v>
      </c>
    </row>
    <row r="143" spans="2:4" x14ac:dyDescent="0.25">
      <c r="B143">
        <v>2.59</v>
      </c>
      <c r="C143">
        <v>0.70179999999999998</v>
      </c>
      <c r="D143">
        <v>0.41359999999999997</v>
      </c>
    </row>
    <row r="144" spans="2:4" x14ac:dyDescent="0.25">
      <c r="B144">
        <v>2.6</v>
      </c>
      <c r="C144">
        <v>0.70199999999999996</v>
      </c>
      <c r="D144">
        <v>0.41399999999999998</v>
      </c>
    </row>
    <row r="145" spans="2:4" x14ac:dyDescent="0.25">
      <c r="B145">
        <v>2.61</v>
      </c>
      <c r="C145">
        <v>0.70219999999999994</v>
      </c>
      <c r="D145">
        <v>0.41439999999999999</v>
      </c>
    </row>
    <row r="146" spans="2:4" x14ac:dyDescent="0.25">
      <c r="B146">
        <v>2.62</v>
      </c>
      <c r="C146">
        <v>0.70239999999999991</v>
      </c>
      <c r="D146">
        <v>0.4148</v>
      </c>
    </row>
    <row r="147" spans="2:4" x14ac:dyDescent="0.25">
      <c r="B147">
        <v>2.63</v>
      </c>
      <c r="C147">
        <v>0.7026</v>
      </c>
      <c r="D147">
        <v>0.41519999999999996</v>
      </c>
    </row>
    <row r="148" spans="2:4" x14ac:dyDescent="0.25">
      <c r="B148">
        <v>2.64</v>
      </c>
      <c r="C148">
        <v>0.70279999999999998</v>
      </c>
      <c r="D148">
        <v>0.41559999999999997</v>
      </c>
    </row>
    <row r="149" spans="2:4" x14ac:dyDescent="0.25">
      <c r="B149">
        <v>2.65</v>
      </c>
      <c r="C149">
        <v>0.70299999999999996</v>
      </c>
      <c r="D149">
        <v>0.41599999999999998</v>
      </c>
    </row>
    <row r="150" spans="2:4" x14ac:dyDescent="0.25">
      <c r="B150">
        <v>2.66</v>
      </c>
      <c r="C150">
        <v>0.70319999999999994</v>
      </c>
      <c r="D150">
        <v>0.41639999999999999</v>
      </c>
    </row>
    <row r="151" spans="2:4" x14ac:dyDescent="0.25">
      <c r="B151">
        <v>2.67</v>
      </c>
      <c r="C151">
        <v>0.70339999999999991</v>
      </c>
      <c r="D151">
        <v>0.41679999999999995</v>
      </c>
    </row>
    <row r="152" spans="2:4" x14ac:dyDescent="0.25">
      <c r="B152">
        <v>2.68</v>
      </c>
      <c r="C152">
        <v>0.7036</v>
      </c>
      <c r="D152">
        <v>0.41720000000000002</v>
      </c>
    </row>
    <row r="153" spans="2:4" x14ac:dyDescent="0.25">
      <c r="B153">
        <v>2.69</v>
      </c>
      <c r="C153">
        <v>0.70379999999999998</v>
      </c>
      <c r="D153">
        <v>0.41759999999999997</v>
      </c>
    </row>
    <row r="154" spans="2:4" x14ac:dyDescent="0.25">
      <c r="B154">
        <v>2.7</v>
      </c>
      <c r="C154">
        <v>0.70399999999999996</v>
      </c>
      <c r="D154">
        <v>0.41799999999999998</v>
      </c>
    </row>
    <row r="155" spans="2:4" x14ac:dyDescent="0.25">
      <c r="B155">
        <v>2.71</v>
      </c>
      <c r="C155">
        <v>0.70419999999999994</v>
      </c>
      <c r="D155">
        <v>0.41839999999999999</v>
      </c>
    </row>
    <row r="156" spans="2:4" x14ac:dyDescent="0.25">
      <c r="B156">
        <v>2.72</v>
      </c>
      <c r="C156">
        <v>0.70439999999999992</v>
      </c>
      <c r="D156">
        <v>0.41880000000000001</v>
      </c>
    </row>
    <row r="157" spans="2:4" x14ac:dyDescent="0.25">
      <c r="B157">
        <v>2.73</v>
      </c>
      <c r="C157">
        <v>0.7046</v>
      </c>
      <c r="D157">
        <v>0.41920000000000002</v>
      </c>
    </row>
    <row r="158" spans="2:4" x14ac:dyDescent="0.25">
      <c r="B158">
        <v>2.74</v>
      </c>
      <c r="C158">
        <v>0.70479999999999998</v>
      </c>
      <c r="D158">
        <v>0.41959999999999997</v>
      </c>
    </row>
    <row r="159" spans="2:4" x14ac:dyDescent="0.25">
      <c r="B159">
        <v>2.75</v>
      </c>
      <c r="C159">
        <v>0.70499999999999996</v>
      </c>
      <c r="D159">
        <v>0.42</v>
      </c>
    </row>
    <row r="160" spans="2:4" x14ac:dyDescent="0.25">
      <c r="B160">
        <v>2.76</v>
      </c>
      <c r="C160">
        <v>0.70519999999999994</v>
      </c>
      <c r="D160">
        <v>0.4204</v>
      </c>
    </row>
    <row r="161" spans="2:4" x14ac:dyDescent="0.25">
      <c r="B161">
        <v>2.77</v>
      </c>
      <c r="C161">
        <v>0.70539999999999992</v>
      </c>
      <c r="D161">
        <v>0.42079999999999995</v>
      </c>
    </row>
    <row r="162" spans="2:4" x14ac:dyDescent="0.25">
      <c r="B162">
        <v>2.78</v>
      </c>
      <c r="C162">
        <v>0.7056</v>
      </c>
      <c r="D162">
        <v>0.42119999999999996</v>
      </c>
    </row>
    <row r="163" spans="2:4" x14ac:dyDescent="0.25">
      <c r="B163">
        <v>2.79</v>
      </c>
      <c r="C163">
        <v>0.70579999999999998</v>
      </c>
      <c r="D163">
        <v>0.42159999999999997</v>
      </c>
    </row>
    <row r="164" spans="2:4" x14ac:dyDescent="0.25">
      <c r="B164">
        <v>2.8</v>
      </c>
      <c r="C164">
        <v>0.70599999999999996</v>
      </c>
      <c r="D164">
        <v>0.42199999999999999</v>
      </c>
    </row>
    <row r="165" spans="2:4" x14ac:dyDescent="0.25">
      <c r="B165">
        <v>2.81</v>
      </c>
      <c r="C165">
        <v>0.70619999999999994</v>
      </c>
      <c r="D165">
        <v>0.4224</v>
      </c>
    </row>
    <row r="166" spans="2:4" x14ac:dyDescent="0.25">
      <c r="B166">
        <v>2.82</v>
      </c>
      <c r="C166">
        <v>0.70639999999999992</v>
      </c>
      <c r="D166">
        <v>0.42279999999999995</v>
      </c>
    </row>
    <row r="167" spans="2:4" x14ac:dyDescent="0.25">
      <c r="B167">
        <v>2.83</v>
      </c>
      <c r="C167">
        <v>0.70660000000000001</v>
      </c>
      <c r="D167">
        <v>0.42320000000000002</v>
      </c>
    </row>
    <row r="168" spans="2:4" x14ac:dyDescent="0.25">
      <c r="B168">
        <v>2.84</v>
      </c>
      <c r="C168">
        <v>0.70679999999999998</v>
      </c>
      <c r="D168">
        <v>0.42359999999999998</v>
      </c>
    </row>
    <row r="169" spans="2:4" x14ac:dyDescent="0.25">
      <c r="B169">
        <v>2.85</v>
      </c>
      <c r="C169">
        <v>0.70699999999999996</v>
      </c>
      <c r="D169">
        <v>0.42399999999999999</v>
      </c>
    </row>
    <row r="170" spans="2:4" x14ac:dyDescent="0.25">
      <c r="B170">
        <v>2.86</v>
      </c>
      <c r="C170">
        <v>0.70719999999999994</v>
      </c>
      <c r="D170">
        <v>0.4244</v>
      </c>
    </row>
    <row r="171" spans="2:4" x14ac:dyDescent="0.25">
      <c r="B171">
        <v>2.87</v>
      </c>
      <c r="C171">
        <v>0.70739999999999992</v>
      </c>
      <c r="D171">
        <v>0.42480000000000001</v>
      </c>
    </row>
    <row r="172" spans="2:4" x14ac:dyDescent="0.25">
      <c r="B172">
        <v>2.88</v>
      </c>
      <c r="C172">
        <v>0.70760000000000001</v>
      </c>
      <c r="D172">
        <v>0.42519999999999997</v>
      </c>
    </row>
    <row r="173" spans="2:4" x14ac:dyDescent="0.25">
      <c r="B173">
        <v>2.89</v>
      </c>
      <c r="C173">
        <v>0.70779999999999998</v>
      </c>
      <c r="D173">
        <v>0.42559999999999998</v>
      </c>
    </row>
    <row r="174" spans="2:4" x14ac:dyDescent="0.25">
      <c r="B174">
        <v>2.9</v>
      </c>
      <c r="C174">
        <v>0.70799999999999996</v>
      </c>
      <c r="D174">
        <v>0.42599999999999999</v>
      </c>
    </row>
    <row r="175" spans="2:4" x14ac:dyDescent="0.25">
      <c r="B175">
        <v>2.91</v>
      </c>
      <c r="C175">
        <v>0.70819999999999994</v>
      </c>
      <c r="D175">
        <v>0.4264</v>
      </c>
    </row>
    <row r="176" spans="2:4" x14ac:dyDescent="0.25">
      <c r="B176">
        <v>2.92</v>
      </c>
      <c r="C176">
        <v>0.70839999999999992</v>
      </c>
      <c r="D176">
        <v>0.42679999999999996</v>
      </c>
    </row>
    <row r="177" spans="2:4" x14ac:dyDescent="0.25">
      <c r="B177">
        <v>2.93</v>
      </c>
      <c r="C177">
        <v>0.70860000000000001</v>
      </c>
      <c r="D177">
        <v>0.42720000000000002</v>
      </c>
    </row>
    <row r="178" spans="2:4" x14ac:dyDescent="0.25">
      <c r="B178">
        <v>2.94</v>
      </c>
      <c r="C178">
        <v>0.70879999999999999</v>
      </c>
      <c r="D178">
        <v>0.42759999999999998</v>
      </c>
    </row>
    <row r="179" spans="2:4" x14ac:dyDescent="0.25">
      <c r="B179">
        <v>2.95</v>
      </c>
      <c r="C179">
        <v>0.70899999999999996</v>
      </c>
      <c r="D179">
        <v>0.42799999999999999</v>
      </c>
    </row>
    <row r="180" spans="2:4" x14ac:dyDescent="0.25">
      <c r="B180">
        <v>2.96</v>
      </c>
      <c r="C180">
        <v>0.70919999999999994</v>
      </c>
      <c r="D180">
        <v>0.4284</v>
      </c>
    </row>
    <row r="181" spans="2:4" x14ac:dyDescent="0.25">
      <c r="B181">
        <v>2.97</v>
      </c>
      <c r="C181">
        <v>0.70939999999999992</v>
      </c>
      <c r="D181">
        <v>0.42880000000000001</v>
      </c>
    </row>
    <row r="182" spans="2:4" x14ac:dyDescent="0.25">
      <c r="B182">
        <v>2.98</v>
      </c>
      <c r="C182">
        <v>0.70960000000000001</v>
      </c>
      <c r="D182">
        <v>0.42920000000000003</v>
      </c>
    </row>
    <row r="183" spans="2:4" x14ac:dyDescent="0.25">
      <c r="B183">
        <v>2.99</v>
      </c>
      <c r="C183">
        <v>0.70979999999999999</v>
      </c>
      <c r="D183">
        <v>0.42959999999999998</v>
      </c>
    </row>
    <row r="184" spans="2:4" x14ac:dyDescent="0.25">
      <c r="B184">
        <v>3</v>
      </c>
      <c r="C184">
        <v>0.71</v>
      </c>
      <c r="D184">
        <v>0.43</v>
      </c>
    </row>
    <row r="185" spans="2:4" x14ac:dyDescent="0.25">
      <c r="B185">
        <v>3.01</v>
      </c>
      <c r="C185">
        <v>0.71009999999999995</v>
      </c>
      <c r="D185">
        <v>0.43019999999999997</v>
      </c>
    </row>
    <row r="186" spans="2:4" x14ac:dyDescent="0.25">
      <c r="B186">
        <v>3.02</v>
      </c>
      <c r="C186">
        <v>0.71019999999999994</v>
      </c>
      <c r="D186">
        <v>0.4304</v>
      </c>
    </row>
    <row r="187" spans="2:4" x14ac:dyDescent="0.25">
      <c r="B187">
        <v>3.03</v>
      </c>
      <c r="C187">
        <v>0.71029999999999993</v>
      </c>
      <c r="D187">
        <v>0.43059999999999998</v>
      </c>
    </row>
    <row r="188" spans="2:4" x14ac:dyDescent="0.25">
      <c r="B188">
        <v>3.04</v>
      </c>
      <c r="C188">
        <v>0.71039999999999992</v>
      </c>
      <c r="D188">
        <v>0.43080000000000002</v>
      </c>
    </row>
    <row r="189" spans="2:4" x14ac:dyDescent="0.25">
      <c r="B189">
        <v>3.05</v>
      </c>
      <c r="C189">
        <v>0.71049999999999991</v>
      </c>
      <c r="D189">
        <v>0.43099999999999999</v>
      </c>
    </row>
    <row r="190" spans="2:4" x14ac:dyDescent="0.25">
      <c r="B190">
        <v>3.06</v>
      </c>
      <c r="C190">
        <v>0.71060000000000001</v>
      </c>
      <c r="D190">
        <v>0.43119999999999997</v>
      </c>
    </row>
    <row r="191" spans="2:4" x14ac:dyDescent="0.25">
      <c r="B191">
        <v>3.07</v>
      </c>
      <c r="C191">
        <v>0.7107</v>
      </c>
      <c r="D191">
        <v>0.43140000000000001</v>
      </c>
    </row>
    <row r="192" spans="2:4" x14ac:dyDescent="0.25">
      <c r="B192">
        <v>3.08</v>
      </c>
      <c r="C192">
        <v>0.71079999999999999</v>
      </c>
      <c r="D192">
        <v>0.43159999999999998</v>
      </c>
    </row>
    <row r="193" spans="2:4" x14ac:dyDescent="0.25">
      <c r="B193">
        <v>3.09</v>
      </c>
      <c r="C193">
        <v>0.71089999999999998</v>
      </c>
      <c r="D193">
        <v>0.43179999999999996</v>
      </c>
    </row>
    <row r="194" spans="2:4" x14ac:dyDescent="0.25">
      <c r="B194">
        <v>3.1</v>
      </c>
      <c r="C194">
        <v>0.71099999999999997</v>
      </c>
      <c r="D194">
        <v>0.432</v>
      </c>
    </row>
    <row r="195" spans="2:4" x14ac:dyDescent="0.25">
      <c r="B195">
        <v>3.11</v>
      </c>
      <c r="C195">
        <v>0.71109999999999995</v>
      </c>
      <c r="D195">
        <v>0.43219999999999997</v>
      </c>
    </row>
    <row r="196" spans="2:4" x14ac:dyDescent="0.25">
      <c r="B196">
        <v>3.12</v>
      </c>
      <c r="C196">
        <v>0.71119999999999994</v>
      </c>
      <c r="D196">
        <v>0.43240000000000001</v>
      </c>
    </row>
    <row r="197" spans="2:4" x14ac:dyDescent="0.25">
      <c r="B197">
        <v>3.13</v>
      </c>
      <c r="C197">
        <v>0.71129999999999993</v>
      </c>
      <c r="D197">
        <v>0.43259999999999998</v>
      </c>
    </row>
    <row r="198" spans="2:4" x14ac:dyDescent="0.25">
      <c r="B198">
        <v>3.14</v>
      </c>
      <c r="C198">
        <v>0.71139999999999992</v>
      </c>
      <c r="D198">
        <v>0.43280000000000002</v>
      </c>
    </row>
    <row r="199" spans="2:4" x14ac:dyDescent="0.25">
      <c r="B199">
        <v>3.15</v>
      </c>
      <c r="C199">
        <v>0.71150000000000002</v>
      </c>
      <c r="D199">
        <v>0.433</v>
      </c>
    </row>
    <row r="200" spans="2:4" x14ac:dyDescent="0.25">
      <c r="B200">
        <v>3.16</v>
      </c>
      <c r="C200">
        <v>0.71160000000000001</v>
      </c>
      <c r="D200">
        <v>0.43320000000000003</v>
      </c>
    </row>
    <row r="201" spans="2:4" x14ac:dyDescent="0.25">
      <c r="B201">
        <v>3.17</v>
      </c>
      <c r="C201">
        <v>0.7117</v>
      </c>
      <c r="D201">
        <v>0.43340000000000001</v>
      </c>
    </row>
    <row r="202" spans="2:4" x14ac:dyDescent="0.25">
      <c r="B202">
        <v>3.18</v>
      </c>
      <c r="C202">
        <v>0.71179999999999999</v>
      </c>
      <c r="D202">
        <v>0.43359999999999999</v>
      </c>
    </row>
    <row r="203" spans="2:4" x14ac:dyDescent="0.25">
      <c r="B203">
        <v>3.19</v>
      </c>
      <c r="C203">
        <v>0.71189999999999998</v>
      </c>
      <c r="D203">
        <v>0.43379999999999996</v>
      </c>
    </row>
    <row r="204" spans="2:4" x14ac:dyDescent="0.25">
      <c r="B204">
        <v>3.2</v>
      </c>
      <c r="C204">
        <v>0.71199999999999997</v>
      </c>
      <c r="D204">
        <v>0.434</v>
      </c>
    </row>
    <row r="205" spans="2:4" x14ac:dyDescent="0.25">
      <c r="B205">
        <v>3.21</v>
      </c>
      <c r="C205">
        <v>0.71209999999999996</v>
      </c>
      <c r="D205">
        <v>0.43420000000000003</v>
      </c>
    </row>
    <row r="206" spans="2:4" x14ac:dyDescent="0.25">
      <c r="B206">
        <v>3.22</v>
      </c>
      <c r="C206">
        <v>0.71219999999999994</v>
      </c>
      <c r="D206">
        <v>0.43440000000000001</v>
      </c>
    </row>
    <row r="207" spans="2:4" x14ac:dyDescent="0.25">
      <c r="B207">
        <v>3.23</v>
      </c>
      <c r="C207">
        <v>0.71229999999999993</v>
      </c>
      <c r="D207">
        <v>0.43459999999999999</v>
      </c>
    </row>
    <row r="208" spans="2:4" x14ac:dyDescent="0.25">
      <c r="B208">
        <v>3.24</v>
      </c>
      <c r="C208">
        <v>0.71239999999999992</v>
      </c>
      <c r="D208">
        <v>0.43480000000000002</v>
      </c>
    </row>
    <row r="209" spans="2:4" x14ac:dyDescent="0.25">
      <c r="B209">
        <v>3.25</v>
      </c>
      <c r="C209">
        <v>0.71249999999999991</v>
      </c>
      <c r="D209">
        <v>0.435</v>
      </c>
    </row>
    <row r="210" spans="2:4" x14ac:dyDescent="0.25">
      <c r="B210">
        <v>3.26</v>
      </c>
      <c r="C210">
        <v>0.71260000000000001</v>
      </c>
      <c r="D210">
        <v>0.43519999999999998</v>
      </c>
    </row>
    <row r="211" spans="2:4" x14ac:dyDescent="0.25">
      <c r="B211">
        <v>3.27</v>
      </c>
      <c r="C211">
        <v>0.7127</v>
      </c>
      <c r="D211">
        <v>0.43540000000000001</v>
      </c>
    </row>
    <row r="212" spans="2:4" x14ac:dyDescent="0.25">
      <c r="B212">
        <v>3.28</v>
      </c>
      <c r="C212">
        <v>0.71279999999999999</v>
      </c>
      <c r="D212">
        <v>0.43559999999999999</v>
      </c>
    </row>
    <row r="213" spans="2:4" x14ac:dyDescent="0.25">
      <c r="B213">
        <v>3.29</v>
      </c>
      <c r="C213">
        <v>0.71289999999999998</v>
      </c>
      <c r="D213">
        <v>0.43579999999999997</v>
      </c>
    </row>
    <row r="214" spans="2:4" x14ac:dyDescent="0.25">
      <c r="B214">
        <v>3.3</v>
      </c>
      <c r="C214">
        <v>0.71299999999999997</v>
      </c>
      <c r="D214">
        <v>0.436</v>
      </c>
    </row>
    <row r="215" spans="2:4" x14ac:dyDescent="0.25">
      <c r="B215">
        <v>3.31</v>
      </c>
      <c r="C215">
        <v>0.71309999999999996</v>
      </c>
      <c r="D215">
        <v>0.43620000000000003</v>
      </c>
    </row>
    <row r="216" spans="2:4" x14ac:dyDescent="0.25">
      <c r="B216">
        <v>3.32</v>
      </c>
      <c r="C216">
        <v>0.71319999999999995</v>
      </c>
      <c r="D216">
        <v>0.43640000000000001</v>
      </c>
    </row>
    <row r="217" spans="2:4" x14ac:dyDescent="0.25">
      <c r="B217">
        <v>3.33</v>
      </c>
      <c r="C217">
        <v>0.71329999999999993</v>
      </c>
      <c r="D217">
        <v>0.43659999999999999</v>
      </c>
    </row>
    <row r="218" spans="2:4" x14ac:dyDescent="0.25">
      <c r="B218">
        <v>3.34</v>
      </c>
      <c r="C218">
        <v>0.71339999999999992</v>
      </c>
      <c r="D218">
        <v>0.43679999999999997</v>
      </c>
    </row>
    <row r="219" spans="2:4" x14ac:dyDescent="0.25">
      <c r="B219">
        <v>3.35</v>
      </c>
      <c r="C219">
        <v>0.71350000000000002</v>
      </c>
      <c r="D219">
        <v>0.437</v>
      </c>
    </row>
    <row r="220" spans="2:4" x14ac:dyDescent="0.25">
      <c r="B220">
        <v>3.36</v>
      </c>
      <c r="C220">
        <v>0.71360000000000001</v>
      </c>
      <c r="D220">
        <v>0.43719999999999998</v>
      </c>
    </row>
    <row r="221" spans="2:4" x14ac:dyDescent="0.25">
      <c r="B221">
        <v>3.37</v>
      </c>
      <c r="C221">
        <v>0.7137</v>
      </c>
      <c r="D221">
        <v>0.43740000000000001</v>
      </c>
    </row>
    <row r="222" spans="2:4" x14ac:dyDescent="0.25">
      <c r="B222">
        <v>3.38</v>
      </c>
      <c r="C222">
        <v>0.71379999999999999</v>
      </c>
      <c r="D222">
        <v>0.43759999999999999</v>
      </c>
    </row>
    <row r="223" spans="2:4" x14ac:dyDescent="0.25">
      <c r="B223">
        <v>3.39</v>
      </c>
      <c r="C223">
        <v>0.71389999999999998</v>
      </c>
      <c r="D223">
        <v>0.43780000000000002</v>
      </c>
    </row>
    <row r="224" spans="2:4" x14ac:dyDescent="0.25">
      <c r="B224">
        <v>3.4</v>
      </c>
      <c r="C224">
        <v>0.71399999999999997</v>
      </c>
      <c r="D224">
        <v>0.438</v>
      </c>
    </row>
    <row r="225" spans="2:4" x14ac:dyDescent="0.25">
      <c r="B225">
        <v>3.41</v>
      </c>
      <c r="C225">
        <v>0.71409999999999996</v>
      </c>
      <c r="D225">
        <v>0.43820000000000003</v>
      </c>
    </row>
    <row r="226" spans="2:4" x14ac:dyDescent="0.25">
      <c r="B226">
        <v>3.42</v>
      </c>
      <c r="C226">
        <v>0.71419999999999995</v>
      </c>
      <c r="D226">
        <v>0.43840000000000001</v>
      </c>
    </row>
    <row r="227" spans="2:4" x14ac:dyDescent="0.25">
      <c r="B227">
        <v>3.43</v>
      </c>
      <c r="C227">
        <v>0.71429999999999993</v>
      </c>
      <c r="D227">
        <v>0.43859999999999999</v>
      </c>
    </row>
    <row r="228" spans="2:4" x14ac:dyDescent="0.25">
      <c r="B228">
        <v>3.44</v>
      </c>
      <c r="C228">
        <v>0.71439999999999992</v>
      </c>
      <c r="D228">
        <v>0.43879999999999997</v>
      </c>
    </row>
    <row r="229" spans="2:4" x14ac:dyDescent="0.25">
      <c r="B229">
        <v>3.45</v>
      </c>
      <c r="C229">
        <v>0.71449999999999991</v>
      </c>
      <c r="D229">
        <v>0.439</v>
      </c>
    </row>
    <row r="230" spans="2:4" x14ac:dyDescent="0.25">
      <c r="B230">
        <v>3.46</v>
      </c>
      <c r="C230">
        <v>0.71460000000000001</v>
      </c>
      <c r="D230">
        <v>0.43920000000000003</v>
      </c>
    </row>
    <row r="231" spans="2:4" x14ac:dyDescent="0.25">
      <c r="B231">
        <v>3.47</v>
      </c>
      <c r="C231">
        <v>0.7147</v>
      </c>
      <c r="D231">
        <v>0.43940000000000001</v>
      </c>
    </row>
    <row r="232" spans="2:4" x14ac:dyDescent="0.25">
      <c r="B232">
        <v>3.48</v>
      </c>
      <c r="C232">
        <v>0.71479999999999999</v>
      </c>
      <c r="D232">
        <v>0.43959999999999999</v>
      </c>
    </row>
    <row r="233" spans="2:4" x14ac:dyDescent="0.25">
      <c r="B233">
        <v>3.49</v>
      </c>
      <c r="C233">
        <v>0.71489999999999998</v>
      </c>
      <c r="D233">
        <v>0.43980000000000002</v>
      </c>
    </row>
    <row r="234" spans="2:4" x14ac:dyDescent="0.25">
      <c r="B234">
        <v>3.5</v>
      </c>
      <c r="C234">
        <v>0.71499999999999997</v>
      </c>
      <c r="D234">
        <v>0.44</v>
      </c>
    </row>
    <row r="235" spans="2:4" x14ac:dyDescent="0.25">
      <c r="B235">
        <v>3.51</v>
      </c>
      <c r="C235">
        <v>0.71509999999999996</v>
      </c>
      <c r="D235">
        <v>0.44019999999999998</v>
      </c>
    </row>
    <row r="236" spans="2:4" x14ac:dyDescent="0.25">
      <c r="B236">
        <v>3.52</v>
      </c>
      <c r="C236">
        <v>0.71519999999999995</v>
      </c>
      <c r="D236">
        <v>0.44040000000000001</v>
      </c>
    </row>
    <row r="237" spans="2:4" x14ac:dyDescent="0.25">
      <c r="B237">
        <v>3.53</v>
      </c>
      <c r="C237">
        <v>0.71529999999999994</v>
      </c>
      <c r="D237">
        <v>0.44059999999999999</v>
      </c>
    </row>
    <row r="238" spans="2:4" x14ac:dyDescent="0.25">
      <c r="B238">
        <v>3.54</v>
      </c>
      <c r="C238">
        <v>0.71539999999999992</v>
      </c>
      <c r="D238">
        <v>0.44079999999999997</v>
      </c>
    </row>
    <row r="239" spans="2:4" x14ac:dyDescent="0.25">
      <c r="B239">
        <v>3.55</v>
      </c>
      <c r="C239">
        <v>0.71550000000000002</v>
      </c>
      <c r="D239">
        <v>0.441</v>
      </c>
    </row>
    <row r="240" spans="2:4" x14ac:dyDescent="0.25">
      <c r="B240">
        <v>3.56</v>
      </c>
      <c r="C240">
        <v>0.71560000000000001</v>
      </c>
      <c r="D240">
        <v>0.44120000000000004</v>
      </c>
    </row>
    <row r="241" spans="2:4" x14ac:dyDescent="0.25">
      <c r="B241">
        <v>3.57</v>
      </c>
      <c r="C241">
        <v>0.7157</v>
      </c>
      <c r="D241">
        <v>0.44140000000000001</v>
      </c>
    </row>
    <row r="242" spans="2:4" x14ac:dyDescent="0.25">
      <c r="B242">
        <v>3.58</v>
      </c>
      <c r="C242">
        <v>0.71579999999999999</v>
      </c>
      <c r="D242">
        <v>0.44159999999999999</v>
      </c>
    </row>
    <row r="243" spans="2:4" x14ac:dyDescent="0.25">
      <c r="B243">
        <v>3.59</v>
      </c>
      <c r="C243">
        <v>0.71589999999999998</v>
      </c>
      <c r="D243">
        <v>0.44179999999999997</v>
      </c>
    </row>
    <row r="244" spans="2:4" x14ac:dyDescent="0.25">
      <c r="B244">
        <v>3.6</v>
      </c>
      <c r="C244">
        <v>0.71599999999999997</v>
      </c>
      <c r="D244">
        <v>0.442</v>
      </c>
    </row>
    <row r="245" spans="2:4" x14ac:dyDescent="0.25">
      <c r="B245">
        <v>3.61</v>
      </c>
      <c r="C245">
        <v>0.71609999999999996</v>
      </c>
      <c r="D245">
        <v>0.44219999999999998</v>
      </c>
    </row>
    <row r="246" spans="2:4" x14ac:dyDescent="0.25">
      <c r="B246">
        <v>3.62</v>
      </c>
      <c r="C246">
        <v>0.71619999999999995</v>
      </c>
      <c r="D246">
        <v>0.44240000000000002</v>
      </c>
    </row>
    <row r="247" spans="2:4" x14ac:dyDescent="0.25">
      <c r="B247">
        <v>3.63</v>
      </c>
      <c r="C247">
        <v>0.71629999999999994</v>
      </c>
      <c r="D247">
        <v>0.44259999999999999</v>
      </c>
    </row>
    <row r="248" spans="2:4" x14ac:dyDescent="0.25">
      <c r="B248">
        <v>3.64</v>
      </c>
      <c r="C248">
        <v>0.71639999999999993</v>
      </c>
      <c r="D248">
        <v>0.44280000000000003</v>
      </c>
    </row>
    <row r="249" spans="2:4" x14ac:dyDescent="0.25">
      <c r="B249">
        <v>3.65</v>
      </c>
      <c r="C249">
        <v>0.71649999999999991</v>
      </c>
      <c r="D249">
        <v>0.443</v>
      </c>
    </row>
    <row r="250" spans="2:4" x14ac:dyDescent="0.25">
      <c r="B250">
        <v>3.66</v>
      </c>
      <c r="C250">
        <v>0.71660000000000001</v>
      </c>
      <c r="D250">
        <v>0.44320000000000004</v>
      </c>
    </row>
    <row r="251" spans="2:4" x14ac:dyDescent="0.25">
      <c r="B251">
        <v>3.67</v>
      </c>
      <c r="C251">
        <v>0.7167</v>
      </c>
      <c r="D251">
        <v>0.44340000000000002</v>
      </c>
    </row>
    <row r="252" spans="2:4" x14ac:dyDescent="0.25">
      <c r="B252">
        <v>3.68</v>
      </c>
      <c r="C252">
        <v>0.71679999999999999</v>
      </c>
      <c r="D252">
        <v>0.44359999999999999</v>
      </c>
    </row>
    <row r="253" spans="2:4" x14ac:dyDescent="0.25">
      <c r="B253">
        <v>3.69</v>
      </c>
      <c r="C253">
        <v>0.71689999999999998</v>
      </c>
      <c r="D253">
        <v>0.44379999999999997</v>
      </c>
    </row>
    <row r="254" spans="2:4" x14ac:dyDescent="0.25">
      <c r="B254">
        <v>3.7</v>
      </c>
      <c r="C254">
        <v>0.71699999999999997</v>
      </c>
      <c r="D254">
        <v>0.44400000000000001</v>
      </c>
    </row>
    <row r="255" spans="2:4" x14ac:dyDescent="0.25">
      <c r="B255">
        <v>3.71</v>
      </c>
      <c r="C255">
        <v>0.71709999999999996</v>
      </c>
      <c r="D255">
        <v>0.44420000000000004</v>
      </c>
    </row>
    <row r="256" spans="2:4" x14ac:dyDescent="0.25">
      <c r="B256">
        <v>3.72</v>
      </c>
      <c r="C256">
        <v>0.71719999999999995</v>
      </c>
      <c r="D256">
        <v>0.44440000000000002</v>
      </c>
    </row>
    <row r="257" spans="2:4" x14ac:dyDescent="0.25">
      <c r="B257">
        <v>3.73</v>
      </c>
      <c r="C257">
        <v>0.71729999999999994</v>
      </c>
      <c r="D257">
        <v>0.4446</v>
      </c>
    </row>
    <row r="258" spans="2:4" x14ac:dyDescent="0.25">
      <c r="B258">
        <v>3.74</v>
      </c>
      <c r="C258">
        <v>0.71739999999999993</v>
      </c>
      <c r="D258">
        <v>0.44480000000000003</v>
      </c>
    </row>
    <row r="259" spans="2:4" x14ac:dyDescent="0.25">
      <c r="B259">
        <v>3.75</v>
      </c>
      <c r="C259">
        <v>0.71750000000000003</v>
      </c>
      <c r="D259">
        <v>0.44500000000000001</v>
      </c>
    </row>
    <row r="260" spans="2:4" x14ac:dyDescent="0.25">
      <c r="B260">
        <v>3.76</v>
      </c>
      <c r="C260">
        <v>0.71760000000000002</v>
      </c>
      <c r="D260">
        <v>0.44519999999999998</v>
      </c>
    </row>
    <row r="261" spans="2:4" x14ac:dyDescent="0.25">
      <c r="B261">
        <v>3.77</v>
      </c>
      <c r="C261">
        <v>0.7177</v>
      </c>
      <c r="D261">
        <v>0.44540000000000002</v>
      </c>
    </row>
    <row r="262" spans="2:4" x14ac:dyDescent="0.25">
      <c r="B262">
        <v>3.78</v>
      </c>
      <c r="C262">
        <v>0.71779999999999999</v>
      </c>
      <c r="D262">
        <v>0.4456</v>
      </c>
    </row>
    <row r="263" spans="2:4" x14ac:dyDescent="0.25">
      <c r="B263">
        <v>3.79</v>
      </c>
      <c r="C263">
        <v>0.71789999999999998</v>
      </c>
      <c r="D263">
        <v>0.44579999999999997</v>
      </c>
    </row>
    <row r="264" spans="2:4" x14ac:dyDescent="0.25">
      <c r="B264">
        <v>3.8</v>
      </c>
      <c r="C264">
        <v>0.71799999999999997</v>
      </c>
      <c r="D264">
        <v>0.44600000000000001</v>
      </c>
    </row>
    <row r="265" spans="2:4" x14ac:dyDescent="0.25">
      <c r="B265">
        <v>3.81</v>
      </c>
      <c r="C265">
        <v>0.71809999999999996</v>
      </c>
      <c r="D265">
        <v>0.44620000000000004</v>
      </c>
    </row>
    <row r="266" spans="2:4" x14ac:dyDescent="0.25">
      <c r="B266">
        <v>3.82</v>
      </c>
      <c r="C266">
        <v>0.71819999999999995</v>
      </c>
      <c r="D266">
        <v>0.44640000000000002</v>
      </c>
    </row>
    <row r="267" spans="2:4" x14ac:dyDescent="0.25">
      <c r="B267">
        <v>3.83</v>
      </c>
      <c r="C267">
        <v>0.71829999999999994</v>
      </c>
      <c r="D267">
        <v>0.4466</v>
      </c>
    </row>
    <row r="268" spans="2:4" x14ac:dyDescent="0.25">
      <c r="B268">
        <v>3.84</v>
      </c>
      <c r="C268">
        <v>0.71839999999999993</v>
      </c>
      <c r="D268">
        <v>0.44679999999999997</v>
      </c>
    </row>
    <row r="269" spans="2:4" x14ac:dyDescent="0.25">
      <c r="B269">
        <v>3.85</v>
      </c>
      <c r="C269">
        <v>0.71849999999999992</v>
      </c>
      <c r="D269">
        <v>0.44700000000000001</v>
      </c>
    </row>
    <row r="270" spans="2:4" x14ac:dyDescent="0.25">
      <c r="B270">
        <v>3.86</v>
      </c>
      <c r="C270">
        <v>0.71860000000000002</v>
      </c>
      <c r="D270">
        <v>0.44719999999999999</v>
      </c>
    </row>
    <row r="271" spans="2:4" x14ac:dyDescent="0.25">
      <c r="B271">
        <v>3.87</v>
      </c>
      <c r="C271">
        <v>0.71870000000000001</v>
      </c>
      <c r="D271">
        <v>0.44740000000000002</v>
      </c>
    </row>
    <row r="272" spans="2:4" x14ac:dyDescent="0.25">
      <c r="B272">
        <v>3.88</v>
      </c>
      <c r="C272">
        <v>0.71879999999999999</v>
      </c>
      <c r="D272">
        <v>0.4476</v>
      </c>
    </row>
    <row r="273" spans="2:4" x14ac:dyDescent="0.25">
      <c r="B273">
        <v>3.89</v>
      </c>
      <c r="C273">
        <v>0.71889999999999998</v>
      </c>
      <c r="D273">
        <v>0.44780000000000003</v>
      </c>
    </row>
    <row r="274" spans="2:4" x14ac:dyDescent="0.25">
      <c r="B274">
        <v>3.9</v>
      </c>
      <c r="C274">
        <v>0.71899999999999997</v>
      </c>
      <c r="D274">
        <v>0.44800000000000001</v>
      </c>
    </row>
    <row r="275" spans="2:4" x14ac:dyDescent="0.25">
      <c r="B275">
        <v>3.91</v>
      </c>
      <c r="C275">
        <v>0.71909999999999996</v>
      </c>
      <c r="D275">
        <v>0.44820000000000004</v>
      </c>
    </row>
    <row r="276" spans="2:4" x14ac:dyDescent="0.25">
      <c r="B276">
        <v>3.92</v>
      </c>
      <c r="C276">
        <v>0.71919999999999995</v>
      </c>
      <c r="D276">
        <v>0.44840000000000002</v>
      </c>
    </row>
    <row r="277" spans="2:4" x14ac:dyDescent="0.25">
      <c r="B277">
        <v>3.93</v>
      </c>
      <c r="C277">
        <v>0.71929999999999994</v>
      </c>
      <c r="D277">
        <v>0.4486</v>
      </c>
    </row>
    <row r="278" spans="2:4" x14ac:dyDescent="0.25">
      <c r="B278">
        <v>3.94</v>
      </c>
      <c r="C278">
        <v>0.71939999999999993</v>
      </c>
      <c r="D278">
        <v>0.44879999999999998</v>
      </c>
    </row>
    <row r="279" spans="2:4" x14ac:dyDescent="0.25">
      <c r="B279">
        <v>3.95</v>
      </c>
      <c r="C279">
        <v>0.71950000000000003</v>
      </c>
      <c r="D279">
        <v>0.44900000000000001</v>
      </c>
    </row>
    <row r="280" spans="2:4" x14ac:dyDescent="0.25">
      <c r="B280">
        <v>3.96</v>
      </c>
      <c r="C280">
        <v>0.71960000000000002</v>
      </c>
      <c r="D280">
        <v>0.44920000000000004</v>
      </c>
    </row>
    <row r="281" spans="2:4" x14ac:dyDescent="0.25">
      <c r="B281">
        <v>3.97</v>
      </c>
      <c r="C281">
        <v>0.71970000000000001</v>
      </c>
      <c r="D281">
        <v>0.44940000000000002</v>
      </c>
    </row>
    <row r="282" spans="2:4" x14ac:dyDescent="0.25">
      <c r="B282">
        <v>3.98</v>
      </c>
      <c r="C282">
        <v>0.7198</v>
      </c>
      <c r="D282">
        <v>0.4496</v>
      </c>
    </row>
    <row r="283" spans="2:4" x14ac:dyDescent="0.25">
      <c r="B283">
        <v>3.99</v>
      </c>
      <c r="C283">
        <v>0.71989999999999998</v>
      </c>
      <c r="D283">
        <v>0.44980000000000003</v>
      </c>
    </row>
    <row r="284" spans="2:4" x14ac:dyDescent="0.25">
      <c r="B284">
        <v>4</v>
      </c>
      <c r="C284">
        <v>0.72</v>
      </c>
      <c r="D284">
        <v>0.45</v>
      </c>
    </row>
    <row r="285" spans="2:4" x14ac:dyDescent="0.25">
      <c r="B285">
        <v>4.01</v>
      </c>
      <c r="C285">
        <v>0.72</v>
      </c>
      <c r="D285">
        <v>0.4501</v>
      </c>
    </row>
    <row r="286" spans="2:4" x14ac:dyDescent="0.25">
      <c r="B286">
        <v>4.0199999999999996</v>
      </c>
      <c r="C286">
        <v>0.72</v>
      </c>
      <c r="D286">
        <v>0.45019999999999999</v>
      </c>
    </row>
    <row r="287" spans="2:4" x14ac:dyDescent="0.25">
      <c r="B287">
        <v>4.03</v>
      </c>
      <c r="C287">
        <v>0.72</v>
      </c>
      <c r="D287">
        <v>0.45030000000000003</v>
      </c>
    </row>
    <row r="288" spans="2:4" x14ac:dyDescent="0.25">
      <c r="B288">
        <v>4.04</v>
      </c>
      <c r="C288">
        <v>0.72</v>
      </c>
      <c r="D288">
        <v>0.45040000000000002</v>
      </c>
    </row>
    <row r="289" spans="2:4" x14ac:dyDescent="0.25">
      <c r="B289">
        <v>4.05</v>
      </c>
      <c r="C289">
        <v>0.72</v>
      </c>
      <c r="D289">
        <v>0.45050000000000001</v>
      </c>
    </row>
    <row r="290" spans="2:4" x14ac:dyDescent="0.25">
      <c r="B290">
        <v>4.0599999999999996</v>
      </c>
      <c r="C290">
        <v>0.72</v>
      </c>
      <c r="D290">
        <v>0.4506</v>
      </c>
    </row>
    <row r="291" spans="2:4" x14ac:dyDescent="0.25">
      <c r="B291">
        <v>4.07</v>
      </c>
      <c r="C291">
        <v>0.72</v>
      </c>
      <c r="D291">
        <v>0.45069999999999999</v>
      </c>
    </row>
    <row r="292" spans="2:4" x14ac:dyDescent="0.25">
      <c r="B292">
        <v>4.08</v>
      </c>
      <c r="C292">
        <v>0.72</v>
      </c>
      <c r="D292">
        <v>0.45080000000000003</v>
      </c>
    </row>
    <row r="293" spans="2:4" x14ac:dyDescent="0.25">
      <c r="B293">
        <v>4.09</v>
      </c>
      <c r="C293">
        <v>0.72</v>
      </c>
      <c r="D293">
        <v>0.45090000000000002</v>
      </c>
    </row>
    <row r="294" spans="2:4" x14ac:dyDescent="0.25">
      <c r="B294">
        <v>4.0999999999999996</v>
      </c>
      <c r="C294">
        <v>0.72</v>
      </c>
      <c r="D294">
        <v>0.45100000000000001</v>
      </c>
    </row>
    <row r="295" spans="2:4" x14ac:dyDescent="0.25">
      <c r="B295">
        <v>4.1100000000000003</v>
      </c>
      <c r="C295">
        <v>0.72</v>
      </c>
      <c r="D295">
        <v>0.4511</v>
      </c>
    </row>
    <row r="296" spans="2:4" x14ac:dyDescent="0.25">
      <c r="B296">
        <v>4.12</v>
      </c>
      <c r="C296">
        <v>0.72</v>
      </c>
      <c r="D296">
        <v>0.45119999999999999</v>
      </c>
    </row>
    <row r="297" spans="2:4" x14ac:dyDescent="0.25">
      <c r="B297">
        <v>4.13</v>
      </c>
      <c r="C297">
        <v>0.72</v>
      </c>
      <c r="D297">
        <v>0.45130000000000003</v>
      </c>
    </row>
    <row r="298" spans="2:4" x14ac:dyDescent="0.25">
      <c r="B298">
        <v>4.1399999999999997</v>
      </c>
      <c r="C298">
        <v>0.72</v>
      </c>
      <c r="D298">
        <v>0.45140000000000002</v>
      </c>
    </row>
    <row r="299" spans="2:4" x14ac:dyDescent="0.25">
      <c r="B299">
        <v>4.1500000000000004</v>
      </c>
      <c r="C299">
        <v>0.72</v>
      </c>
      <c r="D299">
        <v>0.45150000000000001</v>
      </c>
    </row>
    <row r="300" spans="2:4" x14ac:dyDescent="0.25">
      <c r="B300">
        <v>4.16</v>
      </c>
      <c r="C300">
        <v>0.72</v>
      </c>
      <c r="D300">
        <v>0.4516</v>
      </c>
    </row>
    <row r="301" spans="2:4" x14ac:dyDescent="0.25">
      <c r="B301">
        <v>4.17</v>
      </c>
      <c r="C301">
        <v>0.72</v>
      </c>
      <c r="D301">
        <v>0.45169999999999999</v>
      </c>
    </row>
    <row r="302" spans="2:4" x14ac:dyDescent="0.25">
      <c r="B302">
        <v>4.18</v>
      </c>
      <c r="C302">
        <v>0.72</v>
      </c>
      <c r="D302">
        <v>0.45179999999999998</v>
      </c>
    </row>
    <row r="303" spans="2:4" x14ac:dyDescent="0.25">
      <c r="B303">
        <v>4.1900000000000004</v>
      </c>
      <c r="C303">
        <v>0.72</v>
      </c>
      <c r="D303">
        <v>0.45190000000000002</v>
      </c>
    </row>
    <row r="304" spans="2:4" x14ac:dyDescent="0.25">
      <c r="B304">
        <v>4.2</v>
      </c>
      <c r="C304">
        <v>0.72</v>
      </c>
      <c r="D304">
        <v>0.45200000000000001</v>
      </c>
    </row>
    <row r="305" spans="2:4" x14ac:dyDescent="0.25">
      <c r="B305">
        <v>4.21</v>
      </c>
      <c r="C305">
        <v>0.72</v>
      </c>
      <c r="D305">
        <v>0.4521</v>
      </c>
    </row>
    <row r="306" spans="2:4" x14ac:dyDescent="0.25">
      <c r="B306">
        <v>4.22</v>
      </c>
      <c r="C306">
        <v>0.72</v>
      </c>
      <c r="D306">
        <v>0.45219999999999999</v>
      </c>
    </row>
    <row r="307" spans="2:4" x14ac:dyDescent="0.25">
      <c r="B307">
        <v>4.2300000000000004</v>
      </c>
      <c r="C307">
        <v>0.72</v>
      </c>
      <c r="D307">
        <v>0.45230000000000004</v>
      </c>
    </row>
    <row r="308" spans="2:4" x14ac:dyDescent="0.25">
      <c r="B308">
        <v>4.24</v>
      </c>
      <c r="C308">
        <v>0.72</v>
      </c>
      <c r="D308">
        <v>0.45240000000000002</v>
      </c>
    </row>
    <row r="309" spans="2:4" x14ac:dyDescent="0.25">
      <c r="B309">
        <v>4.25</v>
      </c>
      <c r="C309">
        <v>0.72</v>
      </c>
      <c r="D309">
        <v>0.45250000000000001</v>
      </c>
    </row>
    <row r="310" spans="2:4" x14ac:dyDescent="0.25">
      <c r="B310">
        <v>4.26</v>
      </c>
      <c r="C310">
        <v>0.72</v>
      </c>
      <c r="D310">
        <v>0.4526</v>
      </c>
    </row>
    <row r="311" spans="2:4" x14ac:dyDescent="0.25">
      <c r="B311">
        <v>4.2699999999999996</v>
      </c>
      <c r="C311">
        <v>0.72</v>
      </c>
      <c r="D311">
        <v>0.45269999999999999</v>
      </c>
    </row>
    <row r="312" spans="2:4" x14ac:dyDescent="0.25">
      <c r="B312">
        <v>4.28</v>
      </c>
      <c r="C312">
        <v>0.72</v>
      </c>
      <c r="D312">
        <v>0.45280000000000004</v>
      </c>
    </row>
    <row r="313" spans="2:4" x14ac:dyDescent="0.25">
      <c r="B313">
        <v>4.29</v>
      </c>
      <c r="C313">
        <v>0.72</v>
      </c>
      <c r="D313">
        <v>0.45290000000000002</v>
      </c>
    </row>
    <row r="314" spans="2:4" x14ac:dyDescent="0.25">
      <c r="B314">
        <v>4.3</v>
      </c>
      <c r="C314">
        <v>0.72</v>
      </c>
      <c r="D314">
        <v>0.45300000000000001</v>
      </c>
    </row>
    <row r="315" spans="2:4" x14ac:dyDescent="0.25">
      <c r="B315">
        <v>4.3099999999999996</v>
      </c>
      <c r="C315">
        <v>0.72</v>
      </c>
      <c r="D315">
        <v>0.4531</v>
      </c>
    </row>
    <row r="316" spans="2:4" x14ac:dyDescent="0.25">
      <c r="B316">
        <v>4.32</v>
      </c>
      <c r="C316">
        <v>0.72</v>
      </c>
      <c r="D316">
        <v>0.45320000000000005</v>
      </c>
    </row>
    <row r="317" spans="2:4" x14ac:dyDescent="0.25">
      <c r="B317">
        <v>4.33</v>
      </c>
      <c r="C317">
        <v>0.72</v>
      </c>
      <c r="D317">
        <v>0.45330000000000004</v>
      </c>
    </row>
    <row r="318" spans="2:4" x14ac:dyDescent="0.25">
      <c r="B318">
        <v>4.34</v>
      </c>
      <c r="C318">
        <v>0.72</v>
      </c>
      <c r="D318">
        <v>0.45340000000000003</v>
      </c>
    </row>
    <row r="319" spans="2:4" x14ac:dyDescent="0.25">
      <c r="B319">
        <v>4.3499999999999996</v>
      </c>
      <c r="C319">
        <v>0.72</v>
      </c>
      <c r="D319">
        <v>0.45350000000000001</v>
      </c>
    </row>
    <row r="320" spans="2:4" x14ac:dyDescent="0.25">
      <c r="B320">
        <v>4.3600000000000003</v>
      </c>
      <c r="C320">
        <v>0.72</v>
      </c>
      <c r="D320">
        <v>0.4536</v>
      </c>
    </row>
    <row r="321" spans="2:4" x14ac:dyDescent="0.25">
      <c r="B321">
        <v>4.37</v>
      </c>
      <c r="C321">
        <v>0.72</v>
      </c>
      <c r="D321">
        <v>0.45369999999999999</v>
      </c>
    </row>
    <row r="322" spans="2:4" x14ac:dyDescent="0.25">
      <c r="B322">
        <v>4.38</v>
      </c>
      <c r="C322">
        <v>0.72</v>
      </c>
      <c r="D322">
        <v>0.45380000000000004</v>
      </c>
    </row>
    <row r="323" spans="2:4" x14ac:dyDescent="0.25">
      <c r="B323">
        <v>4.3899999999999997</v>
      </c>
      <c r="C323">
        <v>0.72</v>
      </c>
      <c r="D323">
        <v>0.45390000000000003</v>
      </c>
    </row>
    <row r="324" spans="2:4" x14ac:dyDescent="0.25">
      <c r="B324">
        <v>4.4000000000000004</v>
      </c>
      <c r="C324">
        <v>0.72</v>
      </c>
      <c r="D324">
        <v>0.45400000000000001</v>
      </c>
    </row>
    <row r="325" spans="2:4" x14ac:dyDescent="0.25">
      <c r="B325">
        <v>4.41</v>
      </c>
      <c r="C325">
        <v>0.72</v>
      </c>
      <c r="D325">
        <v>0.4541</v>
      </c>
    </row>
    <row r="326" spans="2:4" x14ac:dyDescent="0.25">
      <c r="B326">
        <v>4.42</v>
      </c>
      <c r="C326">
        <v>0.72</v>
      </c>
      <c r="D326">
        <v>0.45419999999999999</v>
      </c>
    </row>
    <row r="327" spans="2:4" x14ac:dyDescent="0.25">
      <c r="B327">
        <v>4.43</v>
      </c>
      <c r="C327">
        <v>0.72</v>
      </c>
      <c r="D327">
        <v>0.45430000000000004</v>
      </c>
    </row>
    <row r="328" spans="2:4" x14ac:dyDescent="0.25">
      <c r="B328">
        <v>4.4400000000000004</v>
      </c>
      <c r="C328">
        <v>0.72</v>
      </c>
      <c r="D328">
        <v>0.45440000000000003</v>
      </c>
    </row>
    <row r="329" spans="2:4" x14ac:dyDescent="0.25">
      <c r="B329">
        <v>4.45</v>
      </c>
      <c r="C329">
        <v>0.72</v>
      </c>
      <c r="D329">
        <v>0.45450000000000002</v>
      </c>
    </row>
    <row r="330" spans="2:4" x14ac:dyDescent="0.25">
      <c r="B330">
        <v>4.46</v>
      </c>
      <c r="C330">
        <v>0.72</v>
      </c>
      <c r="D330">
        <v>0.4546</v>
      </c>
    </row>
    <row r="331" spans="2:4" x14ac:dyDescent="0.25">
      <c r="B331">
        <v>4.47</v>
      </c>
      <c r="C331">
        <v>0.72</v>
      </c>
      <c r="D331">
        <v>0.45469999999999999</v>
      </c>
    </row>
    <row r="332" spans="2:4" x14ac:dyDescent="0.25">
      <c r="B332">
        <v>4.4800000000000004</v>
      </c>
      <c r="C332">
        <v>0.72</v>
      </c>
      <c r="D332">
        <v>0.45480000000000004</v>
      </c>
    </row>
    <row r="333" spans="2:4" x14ac:dyDescent="0.25">
      <c r="B333">
        <v>4.49</v>
      </c>
      <c r="C333">
        <v>0.72</v>
      </c>
      <c r="D333">
        <v>0.45490000000000003</v>
      </c>
    </row>
    <row r="334" spans="2:4" x14ac:dyDescent="0.25">
      <c r="B334">
        <v>4.5</v>
      </c>
      <c r="C334">
        <v>0.72</v>
      </c>
      <c r="D334">
        <v>0.45500000000000002</v>
      </c>
    </row>
    <row r="335" spans="2:4" x14ac:dyDescent="0.25">
      <c r="B335">
        <v>4.51</v>
      </c>
      <c r="C335">
        <v>0.72</v>
      </c>
      <c r="D335">
        <v>0.4551</v>
      </c>
    </row>
    <row r="336" spans="2:4" x14ac:dyDescent="0.25">
      <c r="B336">
        <v>4.5199999999999996</v>
      </c>
      <c r="C336">
        <v>0.72</v>
      </c>
      <c r="D336">
        <v>0.45519999999999999</v>
      </c>
    </row>
    <row r="337" spans="2:4" x14ac:dyDescent="0.25">
      <c r="B337">
        <v>4.53</v>
      </c>
      <c r="C337">
        <v>0.72</v>
      </c>
      <c r="D337">
        <v>0.45530000000000004</v>
      </c>
    </row>
    <row r="338" spans="2:4" x14ac:dyDescent="0.25">
      <c r="B338">
        <v>4.54</v>
      </c>
      <c r="C338">
        <v>0.72</v>
      </c>
      <c r="D338">
        <v>0.45540000000000003</v>
      </c>
    </row>
    <row r="339" spans="2:4" x14ac:dyDescent="0.25">
      <c r="B339">
        <v>4.55</v>
      </c>
      <c r="C339">
        <v>0.72</v>
      </c>
      <c r="D339">
        <v>0.45550000000000002</v>
      </c>
    </row>
    <row r="340" spans="2:4" x14ac:dyDescent="0.25">
      <c r="B340">
        <v>4.5599999999999996</v>
      </c>
      <c r="C340">
        <v>0.72</v>
      </c>
      <c r="D340">
        <v>0.4556</v>
      </c>
    </row>
    <row r="341" spans="2:4" x14ac:dyDescent="0.25">
      <c r="B341">
        <v>4.57</v>
      </c>
      <c r="C341">
        <v>0.72</v>
      </c>
      <c r="D341">
        <v>0.45569999999999999</v>
      </c>
    </row>
    <row r="342" spans="2:4" x14ac:dyDescent="0.25">
      <c r="B342">
        <v>4.58</v>
      </c>
      <c r="C342">
        <v>0.72</v>
      </c>
      <c r="D342">
        <v>0.45580000000000004</v>
      </c>
    </row>
    <row r="343" spans="2:4" x14ac:dyDescent="0.25">
      <c r="B343">
        <v>4.59</v>
      </c>
      <c r="C343">
        <v>0.72</v>
      </c>
      <c r="D343">
        <v>0.45590000000000003</v>
      </c>
    </row>
    <row r="344" spans="2:4" x14ac:dyDescent="0.25">
      <c r="B344">
        <v>4.5999999999999996</v>
      </c>
      <c r="C344">
        <v>0.72</v>
      </c>
      <c r="D344">
        <v>0.45600000000000002</v>
      </c>
    </row>
    <row r="345" spans="2:4" x14ac:dyDescent="0.25">
      <c r="B345">
        <v>4.6100000000000003</v>
      </c>
      <c r="C345">
        <v>0.72</v>
      </c>
      <c r="D345">
        <v>0.45610000000000001</v>
      </c>
    </row>
    <row r="346" spans="2:4" x14ac:dyDescent="0.25">
      <c r="B346">
        <v>4.62</v>
      </c>
      <c r="C346">
        <v>0.72</v>
      </c>
      <c r="D346">
        <v>0.45619999999999999</v>
      </c>
    </row>
    <row r="347" spans="2:4" x14ac:dyDescent="0.25">
      <c r="B347">
        <v>4.63</v>
      </c>
      <c r="C347">
        <v>0.72</v>
      </c>
      <c r="D347">
        <v>0.45630000000000004</v>
      </c>
    </row>
    <row r="348" spans="2:4" x14ac:dyDescent="0.25">
      <c r="B348">
        <v>4.6399999999999997</v>
      </c>
      <c r="C348">
        <v>0.72</v>
      </c>
      <c r="D348">
        <v>0.45640000000000003</v>
      </c>
    </row>
    <row r="349" spans="2:4" x14ac:dyDescent="0.25">
      <c r="B349">
        <v>4.6500000000000004</v>
      </c>
      <c r="C349">
        <v>0.72</v>
      </c>
      <c r="D349">
        <v>0.45650000000000002</v>
      </c>
    </row>
    <row r="350" spans="2:4" x14ac:dyDescent="0.25">
      <c r="B350">
        <v>4.66</v>
      </c>
      <c r="C350">
        <v>0.72</v>
      </c>
      <c r="D350">
        <v>0.45660000000000001</v>
      </c>
    </row>
    <row r="351" spans="2:4" x14ac:dyDescent="0.25">
      <c r="B351">
        <v>4.67</v>
      </c>
      <c r="C351">
        <v>0.72</v>
      </c>
      <c r="D351">
        <v>0.45669999999999999</v>
      </c>
    </row>
    <row r="352" spans="2:4" x14ac:dyDescent="0.25">
      <c r="B352">
        <v>4.68</v>
      </c>
      <c r="C352">
        <v>0.72</v>
      </c>
      <c r="D352">
        <v>0.45679999999999998</v>
      </c>
    </row>
    <row r="353" spans="2:4" x14ac:dyDescent="0.25">
      <c r="B353">
        <v>4.6900000000000004</v>
      </c>
      <c r="C353">
        <v>0.72</v>
      </c>
      <c r="D353">
        <v>0.45690000000000003</v>
      </c>
    </row>
    <row r="354" spans="2:4" x14ac:dyDescent="0.25">
      <c r="B354">
        <v>4.7</v>
      </c>
      <c r="C354">
        <v>0.72</v>
      </c>
      <c r="D354">
        <v>0.45700000000000002</v>
      </c>
    </row>
    <row r="355" spans="2:4" x14ac:dyDescent="0.25">
      <c r="B355">
        <v>4.71</v>
      </c>
      <c r="C355">
        <v>0.72</v>
      </c>
      <c r="D355">
        <v>0.45710000000000001</v>
      </c>
    </row>
    <row r="356" spans="2:4" x14ac:dyDescent="0.25">
      <c r="B356">
        <v>4.72</v>
      </c>
      <c r="C356">
        <v>0.72</v>
      </c>
      <c r="D356">
        <v>0.4572</v>
      </c>
    </row>
    <row r="357" spans="2:4" x14ac:dyDescent="0.25">
      <c r="B357">
        <v>4.7300000000000004</v>
      </c>
      <c r="C357">
        <v>0.72</v>
      </c>
      <c r="D357">
        <v>0.45730000000000004</v>
      </c>
    </row>
    <row r="358" spans="2:4" x14ac:dyDescent="0.25">
      <c r="B358">
        <v>4.74</v>
      </c>
      <c r="C358">
        <v>0.72</v>
      </c>
      <c r="D358">
        <v>0.45740000000000003</v>
      </c>
    </row>
    <row r="359" spans="2:4" x14ac:dyDescent="0.25">
      <c r="B359">
        <v>4.75</v>
      </c>
      <c r="C359">
        <v>0.72</v>
      </c>
      <c r="D359">
        <v>0.45750000000000002</v>
      </c>
    </row>
    <row r="360" spans="2:4" x14ac:dyDescent="0.25">
      <c r="B360">
        <v>4.76</v>
      </c>
      <c r="C360">
        <v>0.72</v>
      </c>
      <c r="D360">
        <v>0.45760000000000001</v>
      </c>
    </row>
    <row r="361" spans="2:4" x14ac:dyDescent="0.25">
      <c r="B361">
        <v>4.7699999999999996</v>
      </c>
      <c r="C361">
        <v>0.72</v>
      </c>
      <c r="D361">
        <v>0.4577</v>
      </c>
    </row>
    <row r="362" spans="2:4" x14ac:dyDescent="0.25">
      <c r="B362">
        <v>4.78</v>
      </c>
      <c r="C362">
        <v>0.72</v>
      </c>
      <c r="D362">
        <v>0.45780000000000004</v>
      </c>
    </row>
    <row r="363" spans="2:4" x14ac:dyDescent="0.25">
      <c r="B363">
        <v>4.79</v>
      </c>
      <c r="C363">
        <v>0.72</v>
      </c>
      <c r="D363">
        <v>0.45790000000000003</v>
      </c>
    </row>
    <row r="364" spans="2:4" x14ac:dyDescent="0.25">
      <c r="B364">
        <v>4.8</v>
      </c>
      <c r="C364">
        <v>0.72</v>
      </c>
      <c r="D364">
        <v>0.45800000000000002</v>
      </c>
    </row>
    <row r="365" spans="2:4" x14ac:dyDescent="0.25">
      <c r="B365">
        <v>4.8099999999999996</v>
      </c>
      <c r="C365">
        <v>0.72</v>
      </c>
      <c r="D365">
        <v>0.45810000000000001</v>
      </c>
    </row>
    <row r="366" spans="2:4" x14ac:dyDescent="0.25">
      <c r="B366">
        <v>4.82</v>
      </c>
      <c r="C366">
        <v>0.72</v>
      </c>
      <c r="D366">
        <v>0.45820000000000005</v>
      </c>
    </row>
    <row r="367" spans="2:4" x14ac:dyDescent="0.25">
      <c r="B367">
        <v>4.83</v>
      </c>
      <c r="C367">
        <v>0.72</v>
      </c>
      <c r="D367">
        <v>0.45830000000000004</v>
      </c>
    </row>
    <row r="368" spans="2:4" x14ac:dyDescent="0.25">
      <c r="B368">
        <v>4.84</v>
      </c>
      <c r="C368">
        <v>0.72</v>
      </c>
      <c r="D368">
        <v>0.45840000000000003</v>
      </c>
    </row>
    <row r="369" spans="2:4" x14ac:dyDescent="0.25">
      <c r="B369">
        <v>4.8499999999999996</v>
      </c>
      <c r="C369">
        <v>0.72</v>
      </c>
      <c r="D369">
        <v>0.45850000000000002</v>
      </c>
    </row>
    <row r="370" spans="2:4" x14ac:dyDescent="0.25">
      <c r="B370">
        <v>4.8600000000000003</v>
      </c>
      <c r="C370">
        <v>0.72</v>
      </c>
      <c r="D370">
        <v>0.45860000000000001</v>
      </c>
    </row>
    <row r="371" spans="2:4" x14ac:dyDescent="0.25">
      <c r="B371">
        <v>4.87</v>
      </c>
      <c r="C371">
        <v>0.72</v>
      </c>
      <c r="D371">
        <v>0.4587</v>
      </c>
    </row>
    <row r="372" spans="2:4" x14ac:dyDescent="0.25">
      <c r="B372">
        <v>4.88</v>
      </c>
      <c r="C372">
        <v>0.72</v>
      </c>
      <c r="D372">
        <v>0.45880000000000004</v>
      </c>
    </row>
    <row r="373" spans="2:4" x14ac:dyDescent="0.25">
      <c r="B373">
        <v>4.8899999999999997</v>
      </c>
      <c r="C373">
        <v>0.72</v>
      </c>
      <c r="D373">
        <v>0.45890000000000003</v>
      </c>
    </row>
    <row r="374" spans="2:4" x14ac:dyDescent="0.25">
      <c r="B374">
        <v>4.9000000000000004</v>
      </c>
      <c r="C374">
        <v>0.72</v>
      </c>
      <c r="D374">
        <v>0.45900000000000002</v>
      </c>
    </row>
    <row r="375" spans="2:4" x14ac:dyDescent="0.25">
      <c r="B375">
        <v>4.91</v>
      </c>
      <c r="C375">
        <v>0.72</v>
      </c>
      <c r="D375">
        <v>0.45910000000000001</v>
      </c>
    </row>
    <row r="376" spans="2:4" x14ac:dyDescent="0.25">
      <c r="B376">
        <v>4.92</v>
      </c>
      <c r="C376">
        <v>0.72</v>
      </c>
      <c r="D376">
        <v>0.4592</v>
      </c>
    </row>
    <row r="377" spans="2:4" x14ac:dyDescent="0.25">
      <c r="B377">
        <v>4.93</v>
      </c>
      <c r="C377">
        <v>0.72</v>
      </c>
      <c r="D377">
        <v>0.45930000000000004</v>
      </c>
    </row>
    <row r="378" spans="2:4" x14ac:dyDescent="0.25">
      <c r="B378">
        <v>4.9400000000000004</v>
      </c>
      <c r="C378">
        <v>0.72</v>
      </c>
      <c r="D378">
        <v>0.45940000000000003</v>
      </c>
    </row>
    <row r="379" spans="2:4" x14ac:dyDescent="0.25">
      <c r="B379">
        <v>4.95</v>
      </c>
      <c r="C379">
        <v>0.72</v>
      </c>
      <c r="D379">
        <v>0.45950000000000002</v>
      </c>
    </row>
    <row r="380" spans="2:4" x14ac:dyDescent="0.25">
      <c r="B380">
        <v>4.96</v>
      </c>
      <c r="C380">
        <v>0.72</v>
      </c>
      <c r="D380">
        <v>0.45960000000000001</v>
      </c>
    </row>
    <row r="381" spans="2:4" x14ac:dyDescent="0.25">
      <c r="B381">
        <v>4.97</v>
      </c>
      <c r="C381">
        <v>0.72</v>
      </c>
      <c r="D381">
        <v>0.4597</v>
      </c>
    </row>
    <row r="382" spans="2:4" x14ac:dyDescent="0.25">
      <c r="B382">
        <v>4.9800000000000004</v>
      </c>
      <c r="C382">
        <v>0.72</v>
      </c>
      <c r="D382">
        <v>0.45980000000000004</v>
      </c>
    </row>
    <row r="383" spans="2:4" x14ac:dyDescent="0.25">
      <c r="B383">
        <v>4.99</v>
      </c>
      <c r="C383">
        <v>0.72</v>
      </c>
      <c r="D383">
        <v>0.45990000000000003</v>
      </c>
    </row>
    <row r="384" spans="2:4" x14ac:dyDescent="0.25">
      <c r="B384">
        <v>5</v>
      </c>
      <c r="C384">
        <v>0.72</v>
      </c>
      <c r="D384">
        <v>0.46</v>
      </c>
    </row>
  </sheetData>
  <mergeCells count="1">
    <mergeCell ref="F3:H3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B8BFC-8FE0-4044-979B-7B0725AA3B09}">
  <dimension ref="B2:X17"/>
  <sheetViews>
    <sheetView topLeftCell="K1" zoomScale="123" workbookViewId="0">
      <selection activeCell="X8" sqref="X8"/>
    </sheetView>
  </sheetViews>
  <sheetFormatPr baseColWidth="10" defaultRowHeight="15" x14ac:dyDescent="0.25"/>
  <cols>
    <col min="2" max="2" width="16.140625" bestFit="1" customWidth="1"/>
    <col min="3" max="3" width="12.28515625" bestFit="1" customWidth="1"/>
    <col min="4" max="4" width="8" bestFit="1" customWidth="1"/>
    <col min="5" max="5" width="9" bestFit="1" customWidth="1"/>
    <col min="6" max="6" width="8" bestFit="1" customWidth="1"/>
    <col min="7" max="7" width="9" bestFit="1" customWidth="1"/>
    <col min="8" max="8" width="12.5703125" bestFit="1" customWidth="1"/>
    <col min="9" max="9" width="1.28515625" customWidth="1"/>
    <col min="10" max="10" width="16.28515625" bestFit="1" customWidth="1"/>
    <col min="11" max="11" width="12.28515625" bestFit="1" customWidth="1"/>
    <col min="12" max="16" width="6.28515625" bestFit="1" customWidth="1"/>
    <col min="17" max="17" width="6.5703125" bestFit="1" customWidth="1"/>
    <col min="18" max="19" width="7.28515625" bestFit="1" customWidth="1"/>
    <col min="20" max="22" width="6.28515625" bestFit="1" customWidth="1"/>
    <col min="23" max="23" width="7.28515625" bestFit="1" customWidth="1"/>
    <col min="24" max="24" width="12.5703125" bestFit="1" customWidth="1"/>
  </cols>
  <sheetData>
    <row r="2" spans="2:24" x14ac:dyDescent="0.25">
      <c r="B2" t="s">
        <v>1271</v>
      </c>
      <c r="C2" t="s">
        <v>1169</v>
      </c>
      <c r="J2" t="s">
        <v>1271</v>
      </c>
      <c r="K2" t="s">
        <v>1169</v>
      </c>
    </row>
    <row r="3" spans="2:24" x14ac:dyDescent="0.25">
      <c r="B3" t="s">
        <v>1170</v>
      </c>
      <c r="C3" t="s">
        <v>28</v>
      </c>
      <c r="D3" t="s">
        <v>29</v>
      </c>
      <c r="E3" t="s">
        <v>26</v>
      </c>
      <c r="F3" t="s">
        <v>27</v>
      </c>
      <c r="G3" t="s">
        <v>25</v>
      </c>
      <c r="H3" t="s">
        <v>1167</v>
      </c>
      <c r="J3" t="s">
        <v>1170</v>
      </c>
      <c r="K3" t="s">
        <v>219</v>
      </c>
      <c r="L3" t="s">
        <v>56</v>
      </c>
      <c r="M3" t="s">
        <v>375</v>
      </c>
      <c r="N3" t="s">
        <v>41</v>
      </c>
      <c r="O3" t="s">
        <v>43</v>
      </c>
      <c r="P3" t="s">
        <v>47</v>
      </c>
      <c r="Q3" t="s">
        <v>376</v>
      </c>
      <c r="R3" t="s">
        <v>53</v>
      </c>
      <c r="S3" t="s">
        <v>23</v>
      </c>
      <c r="T3" t="s">
        <v>795</v>
      </c>
      <c r="U3" t="s">
        <v>126</v>
      </c>
      <c r="V3" t="s">
        <v>55</v>
      </c>
      <c r="W3" t="s">
        <v>30</v>
      </c>
      <c r="X3" t="s">
        <v>1167</v>
      </c>
    </row>
    <row r="4" spans="2:24" x14ac:dyDescent="0.25">
      <c r="B4" s="35" t="s">
        <v>219</v>
      </c>
      <c r="G4">
        <v>2404.0299999999997</v>
      </c>
      <c r="H4">
        <v>2404.0299999999997</v>
      </c>
      <c r="J4" s="35" t="s">
        <v>28</v>
      </c>
      <c r="K4" s="40">
        <v>0</v>
      </c>
      <c r="L4" s="40">
        <v>0</v>
      </c>
      <c r="M4" s="40">
        <v>0</v>
      </c>
      <c r="N4" s="40">
        <v>0</v>
      </c>
      <c r="O4" s="40">
        <v>0</v>
      </c>
      <c r="P4" s="40">
        <v>0</v>
      </c>
      <c r="Q4" s="40">
        <v>0</v>
      </c>
      <c r="R4" s="40">
        <v>3.9981334138155313E-4</v>
      </c>
      <c r="S4" s="40">
        <v>1.6606060780606741E-2</v>
      </c>
      <c r="T4" s="40">
        <v>0</v>
      </c>
      <c r="U4" s="40">
        <v>4.7909835992670868E-4</v>
      </c>
      <c r="V4" s="40">
        <v>6.7422760001284113E-3</v>
      </c>
      <c r="W4" s="40">
        <v>2.4221403753112204E-2</v>
      </c>
      <c r="X4" s="40">
        <v>4.8448652235155626E-2</v>
      </c>
    </row>
    <row r="5" spans="2:24" x14ac:dyDescent="0.25">
      <c r="B5" s="35" t="s">
        <v>56</v>
      </c>
      <c r="F5">
        <v>157.87</v>
      </c>
      <c r="G5">
        <v>2263.88</v>
      </c>
      <c r="H5">
        <v>2421.75</v>
      </c>
      <c r="J5" s="35" t="s">
        <v>29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  <c r="P5" s="40">
        <v>1.5238478916919204E-2</v>
      </c>
      <c r="Q5" s="40">
        <v>0</v>
      </c>
      <c r="R5" s="40">
        <v>0</v>
      </c>
      <c r="S5" s="40">
        <v>0</v>
      </c>
      <c r="T5" s="40">
        <v>0</v>
      </c>
      <c r="U5" s="40">
        <v>0</v>
      </c>
      <c r="V5" s="40">
        <v>0</v>
      </c>
      <c r="W5" s="40">
        <v>0</v>
      </c>
      <c r="X5" s="40">
        <v>1.5238478916919204E-2</v>
      </c>
    </row>
    <row r="6" spans="2:24" x14ac:dyDescent="0.25">
      <c r="B6" s="35" t="s">
        <v>375</v>
      </c>
      <c r="F6">
        <v>56.7</v>
      </c>
      <c r="G6">
        <v>217.32</v>
      </c>
      <c r="H6">
        <v>274.02</v>
      </c>
      <c r="J6" s="35" t="s">
        <v>26</v>
      </c>
      <c r="K6" s="40">
        <v>0</v>
      </c>
      <c r="L6" s="40">
        <v>0</v>
      </c>
      <c r="M6" s="40">
        <v>0</v>
      </c>
      <c r="N6" s="40">
        <v>7.2295908630453775E-3</v>
      </c>
      <c r="O6" s="40">
        <v>2.0720580535748174E-2</v>
      </c>
      <c r="P6" s="40">
        <v>0</v>
      </c>
      <c r="Q6" s="40">
        <v>0</v>
      </c>
      <c r="R6" s="40">
        <v>4.4131938741480767E-4</v>
      </c>
      <c r="S6" s="40">
        <v>4.4566481631584005E-2</v>
      </c>
      <c r="T6" s="40">
        <v>0</v>
      </c>
      <c r="U6" s="40">
        <v>1.2575569592128553E-2</v>
      </c>
      <c r="V6" s="40">
        <v>8.7736157754824406E-3</v>
      </c>
      <c r="W6" s="40">
        <v>4.6234347032389697E-3</v>
      </c>
      <c r="X6" s="40">
        <v>9.8930592488642333E-2</v>
      </c>
    </row>
    <row r="7" spans="2:24" x14ac:dyDescent="0.25">
      <c r="B7" s="35" t="s">
        <v>41</v>
      </c>
      <c r="E7">
        <v>853.49</v>
      </c>
      <c r="G7">
        <v>1629.95</v>
      </c>
      <c r="H7">
        <v>2483.44</v>
      </c>
      <c r="J7" s="35" t="s">
        <v>27</v>
      </c>
      <c r="K7" s="40">
        <v>0</v>
      </c>
      <c r="L7" s="40">
        <v>1.3372570382183433E-3</v>
      </c>
      <c r="M7" s="40">
        <v>4.8028424695623019E-4</v>
      </c>
      <c r="N7" s="40">
        <v>0</v>
      </c>
      <c r="O7" s="40">
        <v>0</v>
      </c>
      <c r="P7" s="40">
        <v>0</v>
      </c>
      <c r="Q7" s="40">
        <v>0</v>
      </c>
      <c r="R7" s="40">
        <v>4.4347939593286471E-3</v>
      </c>
      <c r="S7" s="40">
        <v>3.7948384944689792E-4</v>
      </c>
      <c r="T7" s="40">
        <v>0</v>
      </c>
      <c r="U7" s="40">
        <v>2.559144209707518E-3</v>
      </c>
      <c r="V7" s="40">
        <v>8.7968252787745081E-3</v>
      </c>
      <c r="W7" s="40">
        <v>0</v>
      </c>
      <c r="X7" s="40">
        <v>1.7987788582432145E-2</v>
      </c>
    </row>
    <row r="8" spans="2:24" x14ac:dyDescent="0.25">
      <c r="B8" s="35" t="s">
        <v>43</v>
      </c>
      <c r="E8">
        <v>2446.1699999999996</v>
      </c>
      <c r="H8">
        <v>2446.1699999999996</v>
      </c>
      <c r="J8" s="35" t="s">
        <v>25</v>
      </c>
      <c r="K8" s="40">
        <v>2.0363628539862184E-2</v>
      </c>
      <c r="L8" s="40">
        <v>1.9176470917094717E-2</v>
      </c>
      <c r="M8" s="40">
        <v>1.8408354946830325E-3</v>
      </c>
      <c r="N8" s="40">
        <v>1.3806689741204716E-2</v>
      </c>
      <c r="O8" s="40">
        <v>0</v>
      </c>
      <c r="P8" s="40">
        <v>0</v>
      </c>
      <c r="Q8" s="40">
        <v>1.0389895090503929E-2</v>
      </c>
      <c r="R8" s="40">
        <v>0.30695194929756947</v>
      </c>
      <c r="S8" s="40">
        <v>0.24594382165140036</v>
      </c>
      <c r="T8" s="40">
        <v>3.9044483384833286E-3</v>
      </c>
      <c r="U8" s="40">
        <v>3.9121057804453803E-2</v>
      </c>
      <c r="V8" s="40">
        <v>6.9510598822973196E-2</v>
      </c>
      <c r="W8" s="40">
        <v>8.8385092078621885E-2</v>
      </c>
      <c r="X8" s="40">
        <v>0.81939448777685076</v>
      </c>
    </row>
    <row r="9" spans="2:24" x14ac:dyDescent="0.25">
      <c r="B9" s="35" t="s">
        <v>47</v>
      </c>
      <c r="D9">
        <v>1798.9799999999998</v>
      </c>
      <c r="H9">
        <v>1798.9799999999998</v>
      </c>
      <c r="J9" s="35" t="s">
        <v>1167</v>
      </c>
      <c r="K9" s="40">
        <v>2.0363628539862184E-2</v>
      </c>
      <c r="L9" s="40">
        <v>2.051372795531306E-2</v>
      </c>
      <c r="M9" s="40">
        <v>2.3211197416392625E-3</v>
      </c>
      <c r="N9" s="40">
        <v>2.1036280604250095E-2</v>
      </c>
      <c r="O9" s="40">
        <v>2.0720580535748174E-2</v>
      </c>
      <c r="P9" s="40">
        <v>1.5238478916919204E-2</v>
      </c>
      <c r="Q9" s="40">
        <v>1.0389895090503929E-2</v>
      </c>
      <c r="R9" s="40">
        <v>0.31222787598569446</v>
      </c>
      <c r="S9" s="40">
        <v>0.30749584791303802</v>
      </c>
      <c r="T9" s="40">
        <v>3.9044483384833286E-3</v>
      </c>
      <c r="U9" s="40">
        <v>5.4734869966216584E-2</v>
      </c>
      <c r="V9" s="40">
        <v>9.3823315877358565E-2</v>
      </c>
      <c r="W9" s="40">
        <v>0.11722993053497306</v>
      </c>
      <c r="X9" s="40">
        <v>1</v>
      </c>
    </row>
    <row r="10" spans="2:24" x14ac:dyDescent="0.25">
      <c r="B10" s="35" t="s">
        <v>376</v>
      </c>
      <c r="G10">
        <v>1226.58</v>
      </c>
      <c r="H10">
        <v>1226.58</v>
      </c>
    </row>
    <row r="11" spans="2:24" x14ac:dyDescent="0.25">
      <c r="B11" s="35" t="s">
        <v>53</v>
      </c>
      <c r="C11">
        <v>47.199999999999996</v>
      </c>
      <c r="E11">
        <v>52.1</v>
      </c>
      <c r="F11">
        <v>523.54999999999995</v>
      </c>
      <c r="G11">
        <v>36237.240000000013</v>
      </c>
      <c r="H11">
        <v>36860.090000000011</v>
      </c>
    </row>
    <row r="12" spans="2:24" x14ac:dyDescent="0.25">
      <c r="B12" s="35" t="s">
        <v>23</v>
      </c>
      <c r="C12">
        <v>1960.4299999999998</v>
      </c>
      <c r="E12">
        <v>5261.2999999999984</v>
      </c>
      <c r="F12">
        <v>44.8</v>
      </c>
      <c r="G12">
        <v>29034.920000000027</v>
      </c>
      <c r="H12">
        <v>36301.450000000026</v>
      </c>
    </row>
    <row r="13" spans="2:24" x14ac:dyDescent="0.25">
      <c r="B13" s="35" t="s">
        <v>795</v>
      </c>
      <c r="G13">
        <v>460.94</v>
      </c>
      <c r="H13">
        <v>460.94</v>
      </c>
    </row>
    <row r="14" spans="2:24" x14ac:dyDescent="0.25">
      <c r="B14" s="35" t="s">
        <v>126</v>
      </c>
      <c r="C14">
        <v>56.56</v>
      </c>
      <c r="E14">
        <v>1484.6100000000001</v>
      </c>
      <c r="F14">
        <v>302.12</v>
      </c>
      <c r="G14">
        <v>4618.4399999999978</v>
      </c>
      <c r="H14">
        <v>6461.7299999999977</v>
      </c>
    </row>
    <row r="15" spans="2:24" x14ac:dyDescent="0.25">
      <c r="B15" s="35" t="s">
        <v>55</v>
      </c>
      <c r="C15">
        <v>795.95999999999992</v>
      </c>
      <c r="E15">
        <v>1035.7699999999998</v>
      </c>
      <c r="F15">
        <v>1038.51</v>
      </c>
      <c r="G15">
        <v>8206.0799999999981</v>
      </c>
      <c r="H15">
        <v>11076.319999999998</v>
      </c>
    </row>
    <row r="16" spans="2:24" x14ac:dyDescent="0.25">
      <c r="B16" s="35" t="s">
        <v>30</v>
      </c>
      <c r="C16">
        <v>2859.46</v>
      </c>
      <c r="E16">
        <v>545.82000000000005</v>
      </c>
      <c r="G16">
        <v>10434.309999999998</v>
      </c>
      <c r="H16">
        <v>13839.589999999998</v>
      </c>
    </row>
    <row r="17" spans="2:8" x14ac:dyDescent="0.25">
      <c r="B17" s="35" t="s">
        <v>1167</v>
      </c>
      <c r="C17">
        <v>5719.6100000000006</v>
      </c>
      <c r="D17">
        <v>1798.9799999999998</v>
      </c>
      <c r="E17">
        <v>11679.259999999998</v>
      </c>
      <c r="F17">
        <v>2123.5500000000002</v>
      </c>
      <c r="G17">
        <v>96733.690000000046</v>
      </c>
      <c r="H17">
        <v>118055.09000000003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3686F-8A06-410F-8E15-7FB51C8E304D}">
  <dimension ref="B1:Q17"/>
  <sheetViews>
    <sheetView showGridLines="0" zoomScale="106" zoomScaleNormal="106" workbookViewId="0">
      <selection activeCell="C4" sqref="C4"/>
    </sheetView>
  </sheetViews>
  <sheetFormatPr baseColWidth="10" defaultRowHeight="15" x14ac:dyDescent="0.25"/>
  <cols>
    <col min="2" max="2" width="13.7109375" bestFit="1" customWidth="1"/>
    <col min="3" max="4" width="10.140625" bestFit="1" customWidth="1"/>
    <col min="5" max="6" width="9" bestFit="1" customWidth="1"/>
    <col min="7" max="7" width="9.140625" bestFit="1" customWidth="1"/>
    <col min="8" max="8" width="13" bestFit="1" customWidth="1"/>
    <col min="9" max="9" width="8.42578125" bestFit="1" customWidth="1"/>
    <col min="10" max="12" width="7.28515625" bestFit="1" customWidth="1"/>
    <col min="13" max="13" width="8.85546875" bestFit="1" customWidth="1"/>
    <col min="14" max="14" width="17.42578125" bestFit="1" customWidth="1"/>
    <col min="16" max="16" width="13.7109375" customWidth="1"/>
    <col min="17" max="17" width="13" customWidth="1"/>
  </cols>
  <sheetData>
    <row r="1" spans="2:17" ht="15.75" thickBot="1" x14ac:dyDescent="0.3"/>
    <row r="2" spans="2:17" ht="16.5" thickBot="1" x14ac:dyDescent="0.3">
      <c r="B2" s="71"/>
      <c r="C2" s="104" t="s">
        <v>1169</v>
      </c>
      <c r="D2" s="105"/>
      <c r="E2" s="105"/>
      <c r="F2" s="105"/>
      <c r="G2" s="106"/>
      <c r="H2" s="72"/>
      <c r="I2" s="104" t="s">
        <v>1169</v>
      </c>
      <c r="J2" s="105"/>
      <c r="K2" s="105"/>
      <c r="L2" s="105"/>
      <c r="M2" s="106"/>
      <c r="N2" s="72"/>
      <c r="O2" s="72"/>
      <c r="P2" s="72"/>
      <c r="Q2" s="72"/>
    </row>
    <row r="3" spans="2:17" ht="15.75" x14ac:dyDescent="0.25">
      <c r="B3" s="71" t="s">
        <v>1170</v>
      </c>
      <c r="C3" s="71" t="s">
        <v>1174</v>
      </c>
      <c r="D3" s="71" t="s">
        <v>1272</v>
      </c>
      <c r="E3" s="71" t="s">
        <v>1172</v>
      </c>
      <c r="F3" s="71" t="s">
        <v>1173</v>
      </c>
      <c r="G3" s="71" t="s">
        <v>1171</v>
      </c>
      <c r="H3" s="71" t="s">
        <v>1176</v>
      </c>
      <c r="I3" s="71" t="s">
        <v>28</v>
      </c>
      <c r="J3" s="71" t="s">
        <v>29</v>
      </c>
      <c r="K3" s="71" t="s">
        <v>26</v>
      </c>
      <c r="L3" s="71" t="s">
        <v>27</v>
      </c>
      <c r="M3" s="71" t="s">
        <v>25</v>
      </c>
      <c r="N3" s="71" t="s">
        <v>1177</v>
      </c>
      <c r="O3" s="71"/>
      <c r="P3" s="71" t="s">
        <v>1170</v>
      </c>
      <c r="Q3" s="71" t="s">
        <v>1176</v>
      </c>
    </row>
    <row r="4" spans="2:17" ht="15.75" x14ac:dyDescent="0.25">
      <c r="B4" s="73" t="s">
        <v>375</v>
      </c>
      <c r="C4" s="74" t="str">
        <f>_xlfn.IFNA(IF((VLOOKUP(Tabla156[[#This Row],[DIAMETRO]],'[1]tabla dinamica para analisis'!$B$4:$H$16,2,FALSE))=0,"",VLOOKUP(Tabla156[[#This Row],[DIAMETRO]],'[1]tabla dinamica para analisis'!$B$4:$H$16,2,FALSE)),"")</f>
        <v/>
      </c>
      <c r="D4" s="74" t="str">
        <f>_xlfn.IFNA(IF((VLOOKUP(Tabla156[[#This Row],[DIAMETRO]],'[1]tabla dinamica para analisis'!$B$4:$H$16,3,FALSE))=0,"",VLOOKUP(Tabla156[[#This Row],[DIAMETRO]],'[1]tabla dinamica para analisis'!$B$4:$H$16,3,FALSE)),"")</f>
        <v/>
      </c>
      <c r="E4" s="74" t="str">
        <f>_xlfn.IFNA(IF((VLOOKUP(Tabla156[[#This Row],[DIAMETRO]],'[1]tabla dinamica para analisis'!$B$4:$H$16,4,FALSE))=0,"",VLOOKUP(Tabla156[[#This Row],[DIAMETRO]],'[1]tabla dinamica para analisis'!$B$4:$H$16,4,FALSE)),"")</f>
        <v/>
      </c>
      <c r="F4" s="74">
        <f>_xlfn.IFNA(IF((VLOOKUP(Tabla156[[#This Row],[DIAMETRO]],'[1]tabla dinamica para analisis'!$B$4:$H$16,5,FALSE))=0,"",VLOOKUP(Tabla156[[#This Row],[DIAMETRO]],'[1]tabla dinamica para analisis'!$B$4:$H$16,5,FALSE)),"")</f>
        <v>56.7</v>
      </c>
      <c r="G4" s="74">
        <f>_xlfn.IFNA(IF((VLOOKUP(Tabla156[[#This Row],[DIAMETRO]],'[1]tabla dinamica para analisis'!$B$4:$H$16,6,FALSE))=0,"",VLOOKUP(Tabla156[[#This Row],[DIAMETRO]],'[1]tabla dinamica para analisis'!$B$4:$H$16,6,FALSE)),"")</f>
        <v>217.32</v>
      </c>
      <c r="H4" s="75">
        <f>SUM(Tabla156[[#This Row],[AC '[m']]:[PVC '[m']]])</f>
        <v>274.02</v>
      </c>
      <c r="I4" s="76" t="str">
        <f>IF(Tabla156[[#This Row],[AC '[m']]]="","",Tabla156[[#This Row],[AC '[m']]]/Tabla156[[#Totals],[SUBTOTAL]])</f>
        <v/>
      </c>
      <c r="J4" s="76" t="str">
        <f>IF(Tabla156[[#This Row],[AP'[m']]]="","",Tabla156[[#This Row],[AP'[m']]]/Tabla156[[#Totals],[SUBTOTAL]])</f>
        <v/>
      </c>
      <c r="K4" s="76" t="str">
        <f>IF(Tabla156[[#This Row],[HF '[m']]]="","",Tabla156[[#This Row],[HF '[m']]]/Tabla156[[#Totals],[SUBTOTAL]])</f>
        <v/>
      </c>
      <c r="L4" s="76">
        <f>IF(Tabla156[[#This Row],[HG '[m']]]="","",Tabla156[[#This Row],[HG '[m']]]/Tabla156[[#Totals],[SUBTOTAL]])</f>
        <v>4.8028424695623024E-4</v>
      </c>
      <c r="M4" s="76">
        <f>IF(Tabla156[[#This Row],[PVC '[m']]]="","",Tabla156[[#This Row],[PVC '[m']]]/Tabla156[[#Totals],[SUBTOTAL]])</f>
        <v>1.8408354946830327E-3</v>
      </c>
      <c r="N4" s="77">
        <f>SUM(Tabla156[[#This Row],[AC]:[PVC]])</f>
        <v>2.321119741639263E-3</v>
      </c>
      <c r="O4" s="72"/>
      <c r="P4" s="78" t="s">
        <v>47</v>
      </c>
      <c r="Q4" s="79">
        <f>VLOOKUP(Tabla312[[#This Row],[DIAMETRO]],Tabla156[[#Headers],[#Data]],13,FALSE)</f>
        <v>1.5238478916919207E-2</v>
      </c>
    </row>
    <row r="5" spans="2:17" ht="15.75" x14ac:dyDescent="0.25">
      <c r="B5" s="73" t="s">
        <v>795</v>
      </c>
      <c r="C5" s="74" t="str">
        <f>_xlfn.IFNA(IF((VLOOKUP(Tabla156[[#This Row],[DIAMETRO]],'[1]tabla dinamica para analisis'!$B$4:$H$16,2,FALSE))=0,"",VLOOKUP(Tabla156[[#This Row],[DIAMETRO]],'[1]tabla dinamica para analisis'!$B$4:$H$16,2,FALSE)),"")</f>
        <v/>
      </c>
      <c r="D5" s="74" t="str">
        <f>_xlfn.IFNA(IF((VLOOKUP(Tabla156[[#This Row],[DIAMETRO]],'[1]tabla dinamica para analisis'!$B$4:$H$16,3,FALSE))=0,"",VLOOKUP(Tabla156[[#This Row],[DIAMETRO]],'[1]tabla dinamica para analisis'!$B$4:$H$16,3,FALSE)),"")</f>
        <v/>
      </c>
      <c r="E5" s="74" t="str">
        <f>_xlfn.IFNA(IF((VLOOKUP(Tabla156[[#This Row],[DIAMETRO]],'[1]tabla dinamica para analisis'!$B$4:$H$16,4,FALSE))=0,"",VLOOKUP(Tabla156[[#This Row],[DIAMETRO]],'[1]tabla dinamica para analisis'!$B$4:$H$16,4,FALSE)),"")</f>
        <v/>
      </c>
      <c r="F5" s="74" t="str">
        <f>_xlfn.IFNA(IF((VLOOKUP(Tabla156[[#This Row],[DIAMETRO]],'[1]tabla dinamica para analisis'!$B$4:$H$16,5,FALSE))=0,"",VLOOKUP(Tabla156[[#This Row],[DIAMETRO]],'[1]tabla dinamica para analisis'!$B$4:$H$16,5,FALSE)),"")</f>
        <v/>
      </c>
      <c r="G5" s="74">
        <f>_xlfn.IFNA(IF((VLOOKUP(Tabla156[[#This Row],[DIAMETRO]],'[1]tabla dinamica para analisis'!$B$4:$H$16,6,FALSE))=0,"",VLOOKUP(Tabla156[[#This Row],[DIAMETRO]],'[1]tabla dinamica para analisis'!$B$4:$H$16,6,FALSE)),"")</f>
        <v>460.94</v>
      </c>
      <c r="H5" s="75">
        <f>SUM(Tabla156[[#This Row],[AC '[m']]:[PVC '[m']]])</f>
        <v>460.94</v>
      </c>
      <c r="I5" s="76" t="str">
        <f>IF(Tabla156[[#This Row],[AC '[m']]]="","",Tabla156[[#This Row],[AC '[m']]]/Tabla156[[#Totals],[SUBTOTAL]])</f>
        <v/>
      </c>
      <c r="J5" s="76" t="str">
        <f>IF(Tabla156[[#This Row],[AP'[m']]]="","",Tabla156[[#This Row],[AP'[m']]]/Tabla156[[#Totals],[SUBTOTAL]])</f>
        <v/>
      </c>
      <c r="K5" s="76" t="str">
        <f>IF(Tabla156[[#This Row],[HF '[m']]]="","",Tabla156[[#This Row],[HF '[m']]]/Tabla156[[#Totals],[SUBTOTAL]])</f>
        <v/>
      </c>
      <c r="L5" s="76" t="str">
        <f>IF(Tabla156[[#This Row],[HG '[m']]]="","",Tabla156[[#This Row],[HG '[m']]]/Tabla156[[#Totals],[SUBTOTAL]])</f>
        <v/>
      </c>
      <c r="M5" s="76">
        <f>IF(Tabla156[[#This Row],[PVC '[m']]]="","",Tabla156[[#This Row],[PVC '[m']]]/Tabla156[[#Totals],[SUBTOTAL]])</f>
        <v>3.9044483384833291E-3</v>
      </c>
      <c r="N5" s="77">
        <f>SUM(Tabla156[[#This Row],[AC]:[PVC]])</f>
        <v>3.9044483384833291E-3</v>
      </c>
      <c r="O5" s="72"/>
      <c r="P5" s="78" t="s">
        <v>43</v>
      </c>
      <c r="Q5" s="79">
        <f>VLOOKUP(Tabla312[[#This Row],[DIAMETRO]],Tabla156[[#Headers],[#Data]],13,FALSE)</f>
        <v>2.0720580535748177E-2</v>
      </c>
    </row>
    <row r="6" spans="2:17" ht="15.75" x14ac:dyDescent="0.25">
      <c r="B6" s="73" t="s">
        <v>56</v>
      </c>
      <c r="C6" s="74" t="str">
        <f>_xlfn.IFNA(IF((VLOOKUP(Tabla156[[#This Row],[DIAMETRO]],'[1]tabla dinamica para analisis'!$B$4:$H$16,2,FALSE))=0,"",VLOOKUP(Tabla156[[#This Row],[DIAMETRO]],'[1]tabla dinamica para analisis'!$B$4:$H$16,2,FALSE)),"")</f>
        <v/>
      </c>
      <c r="D6" s="74" t="str">
        <f>_xlfn.IFNA(IF((VLOOKUP(Tabla156[[#This Row],[DIAMETRO]],'[1]tabla dinamica para analisis'!$B$4:$H$16,3,FALSE))=0,"",VLOOKUP(Tabla156[[#This Row],[DIAMETRO]],'[1]tabla dinamica para analisis'!$B$4:$H$16,3,FALSE)),"")</f>
        <v/>
      </c>
      <c r="E6" s="74" t="str">
        <f>_xlfn.IFNA(IF((VLOOKUP(Tabla156[[#This Row],[DIAMETRO]],'[1]tabla dinamica para analisis'!$B$4:$H$16,4,FALSE))=0,"",VLOOKUP(Tabla156[[#This Row],[DIAMETRO]],'[1]tabla dinamica para analisis'!$B$4:$H$16,4,FALSE)),"")</f>
        <v/>
      </c>
      <c r="F6" s="74">
        <f>_xlfn.IFNA(IF((VLOOKUP(Tabla156[[#This Row],[DIAMETRO]],'[1]tabla dinamica para analisis'!$B$4:$H$16,5,FALSE))=0,"",VLOOKUP(Tabla156[[#This Row],[DIAMETRO]],'[1]tabla dinamica para analisis'!$B$4:$H$16,5,FALSE)),"")</f>
        <v>157.87</v>
      </c>
      <c r="G6" s="74">
        <f>_xlfn.IFNA(IF((VLOOKUP(Tabla156[[#This Row],[DIAMETRO]],'[1]tabla dinamica para analisis'!$B$4:$H$16,6,FALSE))=0,"",VLOOKUP(Tabla156[[#This Row],[DIAMETRO]],'[1]tabla dinamica para analisis'!$B$4:$H$16,6,FALSE)),"")</f>
        <v>2263.88</v>
      </c>
      <c r="H6" s="75">
        <f>SUM(Tabla156[[#This Row],[AC '[m']]:[PVC '[m']]])</f>
        <v>2421.75</v>
      </c>
      <c r="I6" s="76" t="str">
        <f>IF(Tabla156[[#This Row],[AC '[m']]]="","",Tabla156[[#This Row],[AC '[m']]]/Tabla156[[#Totals],[SUBTOTAL]])</f>
        <v/>
      </c>
      <c r="J6" s="76" t="str">
        <f>IF(Tabla156[[#This Row],[AP'[m']]]="","",Tabla156[[#This Row],[AP'[m']]]/Tabla156[[#Totals],[SUBTOTAL]])</f>
        <v/>
      </c>
      <c r="K6" s="76" t="str">
        <f>IF(Tabla156[[#This Row],[HF '[m']]]="","",Tabla156[[#This Row],[HF '[m']]]/Tabla156[[#Totals],[SUBTOTAL]])</f>
        <v/>
      </c>
      <c r="L6" s="76">
        <f>IF(Tabla156[[#This Row],[HG '[m']]]="","",Tabla156[[#This Row],[HG '[m']]]/Tabla156[[#Totals],[SUBTOTAL]])</f>
        <v>1.3372570382183433E-3</v>
      </c>
      <c r="M6" s="76">
        <f>IF(Tabla156[[#This Row],[PVC '[m']]]="","",Tabla156[[#This Row],[PVC '[m']]]/Tabla156[[#Totals],[SUBTOTAL]])</f>
        <v>1.9176470917094721E-2</v>
      </c>
      <c r="N6" s="77">
        <f>SUM(Tabla156[[#This Row],[AC]:[PVC]])</f>
        <v>2.0513727955313064E-2</v>
      </c>
      <c r="O6" s="72"/>
      <c r="P6" s="78" t="s">
        <v>41</v>
      </c>
      <c r="Q6" s="79">
        <f>VLOOKUP(Tabla312[[#This Row],[DIAMETRO]],Tabla156[[#Headers],[#Data]],13,FALSE)</f>
        <v>2.1036280604250095E-2</v>
      </c>
    </row>
    <row r="7" spans="2:17" ht="15.75" x14ac:dyDescent="0.25">
      <c r="B7" s="73" t="s">
        <v>219</v>
      </c>
      <c r="C7" s="74" t="str">
        <f>_xlfn.IFNA(IF((VLOOKUP(Tabla156[[#This Row],[DIAMETRO]],'[1]tabla dinamica para analisis'!$B$4:$H$16,2,FALSE))=0,"",VLOOKUP(Tabla156[[#This Row],[DIAMETRO]],'[1]tabla dinamica para analisis'!$B$4:$H$16,2,FALSE)),"")</f>
        <v/>
      </c>
      <c r="D7" s="74" t="str">
        <f>_xlfn.IFNA(IF((VLOOKUP(Tabla156[[#This Row],[DIAMETRO]],'[1]tabla dinamica para analisis'!$B$4:$H$16,3,FALSE))=0,"",VLOOKUP(Tabla156[[#This Row],[DIAMETRO]],'[1]tabla dinamica para analisis'!$B$4:$H$16,3,FALSE)),"")</f>
        <v/>
      </c>
      <c r="E7" s="74" t="str">
        <f>_xlfn.IFNA(IF((VLOOKUP(Tabla156[[#This Row],[DIAMETRO]],'[1]tabla dinamica para analisis'!$B$4:$H$16,4,FALSE))=0,"",VLOOKUP(Tabla156[[#This Row],[DIAMETRO]],'[1]tabla dinamica para analisis'!$B$4:$H$16,4,FALSE)),"")</f>
        <v/>
      </c>
      <c r="F7" s="74" t="str">
        <f>_xlfn.IFNA(IF((VLOOKUP(Tabla156[[#This Row],[DIAMETRO]],'[1]tabla dinamica para analisis'!$B$4:$H$16,5,FALSE))=0,"",VLOOKUP(Tabla156[[#This Row],[DIAMETRO]],'[1]tabla dinamica para analisis'!$B$4:$H$16,5,FALSE)),"")</f>
        <v/>
      </c>
      <c r="G7" s="74">
        <f>_xlfn.IFNA(IF((VLOOKUP(Tabla156[[#This Row],[DIAMETRO]],'[1]tabla dinamica para analisis'!$B$4:$H$16,6,FALSE))=0,"",VLOOKUP(Tabla156[[#This Row],[DIAMETRO]],'[1]tabla dinamica para analisis'!$B$4:$H$16,6,FALSE)),"")</f>
        <v>2404.0299999999997</v>
      </c>
      <c r="H7" s="75">
        <f>SUM(Tabla156[[#This Row],[AC '[m']]:[PVC '[m']]])</f>
        <v>2404.0299999999997</v>
      </c>
      <c r="I7" s="76" t="str">
        <f>IF(Tabla156[[#This Row],[AC '[m']]]="","",Tabla156[[#This Row],[AC '[m']]]/Tabla156[[#Totals],[SUBTOTAL]])</f>
        <v/>
      </c>
      <c r="J7" s="76" t="str">
        <f>IF(Tabla156[[#This Row],[AP'[m']]]="","",Tabla156[[#This Row],[AP'[m']]]/Tabla156[[#Totals],[SUBTOTAL]])</f>
        <v/>
      </c>
      <c r="K7" s="76" t="str">
        <f>IF(Tabla156[[#This Row],[HF '[m']]]="","",Tabla156[[#This Row],[HF '[m']]]/Tabla156[[#Totals],[SUBTOTAL]])</f>
        <v/>
      </c>
      <c r="L7" s="76" t="str">
        <f>IF(Tabla156[[#This Row],[HG '[m']]]="","",Tabla156[[#This Row],[HG '[m']]]/Tabla156[[#Totals],[SUBTOTAL]])</f>
        <v/>
      </c>
      <c r="M7" s="76">
        <f>IF(Tabla156[[#This Row],[PVC '[m']]]="","",Tabla156[[#This Row],[PVC '[m']]]/Tabla156[[#Totals],[SUBTOTAL]])</f>
        <v>2.0363628539862188E-2</v>
      </c>
      <c r="N7" s="77">
        <f>SUM(Tabla156[[#This Row],[AC]:[PVC]])</f>
        <v>2.0363628539862188E-2</v>
      </c>
      <c r="O7" s="72"/>
      <c r="P7" s="78" t="s">
        <v>30</v>
      </c>
      <c r="Q7" s="79">
        <f>VLOOKUP(Tabla312[[#This Row],[DIAMETRO]],Tabla156[[#Headers],[#Data]],13,FALSE)</f>
        <v>0.11722993053497308</v>
      </c>
    </row>
    <row r="8" spans="2:17" ht="15.75" x14ac:dyDescent="0.25">
      <c r="B8" s="73" t="s">
        <v>53</v>
      </c>
      <c r="C8" s="74">
        <f>_xlfn.IFNA(IF((VLOOKUP(Tabla156[[#This Row],[DIAMETRO]],'[1]tabla dinamica para analisis'!$B$4:$H$16,2,FALSE))=0,"",VLOOKUP(Tabla156[[#This Row],[DIAMETRO]],'[1]tabla dinamica para analisis'!$B$4:$H$16,2,FALSE)),"")</f>
        <v>47.199999999999996</v>
      </c>
      <c r="D8" s="74" t="str">
        <f>_xlfn.IFNA(IF((VLOOKUP(Tabla156[[#This Row],[DIAMETRO]],'[1]tabla dinamica para analisis'!$B$4:$H$16,3,FALSE))=0,"",VLOOKUP(Tabla156[[#This Row],[DIAMETRO]],'[1]tabla dinamica para analisis'!$B$4:$H$16,3,FALSE)),"")</f>
        <v/>
      </c>
      <c r="E8" s="74">
        <f>_xlfn.IFNA(IF((VLOOKUP(Tabla156[[#This Row],[DIAMETRO]],'[1]tabla dinamica para analisis'!$B$4:$H$16,4,FALSE))=0,"",VLOOKUP(Tabla156[[#This Row],[DIAMETRO]],'[1]tabla dinamica para analisis'!$B$4:$H$16,4,FALSE)),"")</f>
        <v>52.1</v>
      </c>
      <c r="F8" s="74">
        <f>_xlfn.IFNA(IF((VLOOKUP(Tabla156[[#This Row],[DIAMETRO]],'[1]tabla dinamica para analisis'!$B$4:$H$16,5,FALSE))=0,"",VLOOKUP(Tabla156[[#This Row],[DIAMETRO]],'[1]tabla dinamica para analisis'!$B$4:$H$16,5,FALSE)),"")</f>
        <v>523.54999999999995</v>
      </c>
      <c r="G8" s="74">
        <f>_xlfn.IFNA(IF((VLOOKUP(Tabla156[[#This Row],[DIAMETRO]],'[1]tabla dinamica para analisis'!$B$4:$H$16,6,FALSE))=0,"",VLOOKUP(Tabla156[[#This Row],[DIAMETRO]],'[1]tabla dinamica para analisis'!$B$4:$H$16,6,FALSE)),"")</f>
        <v>36237.240000000013</v>
      </c>
      <c r="H8" s="75">
        <f>SUM(Tabla156[[#This Row],[AC '[m']]:[PVC '[m']]])</f>
        <v>36860.090000000011</v>
      </c>
      <c r="I8" s="76">
        <f>IF(Tabla156[[#This Row],[AC '[m']]]="","",Tabla156[[#This Row],[AC '[m']]]/Tabla156[[#Totals],[SUBTOTAL]])</f>
        <v>3.9981334138155318E-4</v>
      </c>
      <c r="J8" s="76" t="str">
        <f>IF(Tabla156[[#This Row],[AP'[m']]]="","",Tabla156[[#This Row],[AP'[m']]]/Tabla156[[#Totals],[SUBTOTAL]])</f>
        <v/>
      </c>
      <c r="K8" s="76">
        <f>IF(Tabla156[[#This Row],[HF '[m']]]="","",Tabla156[[#This Row],[HF '[m']]]/Tabla156[[#Totals],[SUBTOTAL]])</f>
        <v>4.4131938741480772E-4</v>
      </c>
      <c r="L8" s="76">
        <f>IF(Tabla156[[#This Row],[HG '[m']]]="","",Tabla156[[#This Row],[HG '[m']]]/Tabla156[[#Totals],[SUBTOTAL]])</f>
        <v>4.434793959328648E-3</v>
      </c>
      <c r="M8" s="76">
        <f>IF(Tabla156[[#This Row],[PVC '[m']]]="","",Tabla156[[#This Row],[PVC '[m']]]/Tabla156[[#Totals],[SUBTOTAL]])</f>
        <v>0.30695194929756953</v>
      </c>
      <c r="N8" s="77">
        <f>SUM(Tabla156[[#This Row],[AC]:[PVC]])</f>
        <v>0.31222787598569451</v>
      </c>
      <c r="O8" s="72"/>
      <c r="P8" s="78" t="s">
        <v>55</v>
      </c>
      <c r="Q8" s="79">
        <f>VLOOKUP(Tabla312[[#This Row],[DIAMETRO]],Tabla156[[#Headers],[#Data]],13,FALSE)</f>
        <v>9.3823315877358565E-2</v>
      </c>
    </row>
    <row r="9" spans="2:17" ht="15.75" x14ac:dyDescent="0.25">
      <c r="B9" s="73" t="s">
        <v>376</v>
      </c>
      <c r="C9" s="74" t="str">
        <f>_xlfn.IFNA(IF((VLOOKUP(Tabla156[[#This Row],[DIAMETRO]],'[1]tabla dinamica para analisis'!$B$4:$H$16,2,FALSE))=0,"",VLOOKUP(Tabla156[[#This Row],[DIAMETRO]],'[1]tabla dinamica para analisis'!$B$4:$H$16,2,FALSE)),"")</f>
        <v/>
      </c>
      <c r="D9" s="74" t="str">
        <f>_xlfn.IFNA(IF((VLOOKUP(Tabla156[[#This Row],[DIAMETRO]],'[1]tabla dinamica para analisis'!$B$4:$H$16,3,FALSE))=0,"",VLOOKUP(Tabla156[[#This Row],[DIAMETRO]],'[1]tabla dinamica para analisis'!$B$4:$H$16,3,FALSE)),"")</f>
        <v/>
      </c>
      <c r="E9" s="74" t="str">
        <f>_xlfn.IFNA(IF((VLOOKUP(Tabla156[[#This Row],[DIAMETRO]],'[1]tabla dinamica para analisis'!$B$4:$H$16,4,FALSE))=0,"",VLOOKUP(Tabla156[[#This Row],[DIAMETRO]],'[1]tabla dinamica para analisis'!$B$4:$H$16,4,FALSE)),"")</f>
        <v/>
      </c>
      <c r="F9" s="74" t="str">
        <f>_xlfn.IFNA(IF((VLOOKUP(Tabla156[[#This Row],[DIAMETRO]],'[1]tabla dinamica para analisis'!$B$4:$H$16,5,FALSE))=0,"",VLOOKUP(Tabla156[[#This Row],[DIAMETRO]],'[1]tabla dinamica para analisis'!$B$4:$H$16,5,FALSE)),"")</f>
        <v/>
      </c>
      <c r="G9" s="74">
        <f>_xlfn.IFNA(IF((VLOOKUP(Tabla156[[#This Row],[DIAMETRO]],'[1]tabla dinamica para analisis'!$B$4:$H$16,6,FALSE))=0,"",VLOOKUP(Tabla156[[#This Row],[DIAMETRO]],'[1]tabla dinamica para analisis'!$B$4:$H$16,6,FALSE)),"")</f>
        <v>1226.58</v>
      </c>
      <c r="H9" s="75">
        <f>SUM(Tabla156[[#This Row],[AC '[m']]:[PVC '[m']]])</f>
        <v>1226.58</v>
      </c>
      <c r="I9" s="76" t="str">
        <f>IF(Tabla156[[#This Row],[AC '[m']]]="","",Tabla156[[#This Row],[AC '[m']]]/Tabla156[[#Totals],[SUBTOTAL]])</f>
        <v/>
      </c>
      <c r="J9" s="76" t="str">
        <f>IF(Tabla156[[#This Row],[AP'[m']]]="","",Tabla156[[#This Row],[AP'[m']]]/Tabla156[[#Totals],[SUBTOTAL]])</f>
        <v/>
      </c>
      <c r="K9" s="76" t="str">
        <f>IF(Tabla156[[#This Row],[HF '[m']]]="","",Tabla156[[#This Row],[HF '[m']]]/Tabla156[[#Totals],[SUBTOTAL]])</f>
        <v/>
      </c>
      <c r="L9" s="76" t="str">
        <f>IF(Tabla156[[#This Row],[HG '[m']]]="","",Tabla156[[#This Row],[HG '[m']]]/Tabla156[[#Totals],[SUBTOTAL]])</f>
        <v/>
      </c>
      <c r="M9" s="76">
        <f>IF(Tabla156[[#This Row],[PVC '[m']]]="","",Tabla156[[#This Row],[PVC '[m']]]/Tabla156[[#Totals],[SUBTOTAL]])</f>
        <v>1.038989509050393E-2</v>
      </c>
      <c r="N9" s="77">
        <f>SUM(Tabla156[[#This Row],[AC]:[PVC]])</f>
        <v>1.038989509050393E-2</v>
      </c>
      <c r="O9" s="72"/>
      <c r="P9" s="78" t="s">
        <v>126</v>
      </c>
      <c r="Q9" s="79">
        <f>VLOOKUP(Tabla312[[#This Row],[DIAMETRO]],Tabla156[[#Headers],[#Data]],13,FALSE)</f>
        <v>5.4734869966216591E-2</v>
      </c>
    </row>
    <row r="10" spans="2:17" ht="15.75" x14ac:dyDescent="0.25">
      <c r="B10" s="73" t="s">
        <v>23</v>
      </c>
      <c r="C10" s="74">
        <f>_xlfn.IFNA(IF((VLOOKUP(Tabla156[[#This Row],[DIAMETRO]],'[1]tabla dinamica para analisis'!$B$4:$H$16,2,FALSE))=0,"",VLOOKUP(Tabla156[[#This Row],[DIAMETRO]],'[1]tabla dinamica para analisis'!$B$4:$H$16,2,FALSE)),"")</f>
        <v>1960.4299999999998</v>
      </c>
      <c r="D10" s="74" t="str">
        <f>_xlfn.IFNA(IF((VLOOKUP(Tabla156[[#This Row],[DIAMETRO]],'[1]tabla dinamica para analisis'!$B$4:$H$16,3,FALSE))=0,"",VLOOKUP(Tabla156[[#This Row],[DIAMETRO]],'[1]tabla dinamica para analisis'!$B$4:$H$16,3,FALSE)),"")</f>
        <v/>
      </c>
      <c r="E10" s="74">
        <f>_xlfn.IFNA(IF((VLOOKUP(Tabla156[[#This Row],[DIAMETRO]],'[1]tabla dinamica para analisis'!$B$4:$H$16,4,FALSE))=0,"",VLOOKUP(Tabla156[[#This Row],[DIAMETRO]],'[1]tabla dinamica para analisis'!$B$4:$H$16,4,FALSE)),"")</f>
        <v>5261.2999999999984</v>
      </c>
      <c r="F10" s="74">
        <f>_xlfn.IFNA(IF((VLOOKUP(Tabla156[[#This Row],[DIAMETRO]],'[1]tabla dinamica para analisis'!$B$4:$H$16,5,FALSE))=0,"",VLOOKUP(Tabla156[[#This Row],[DIAMETRO]],'[1]tabla dinamica para analisis'!$B$4:$H$16,5,FALSE)),"")</f>
        <v>44.8</v>
      </c>
      <c r="G10" s="74">
        <f>_xlfn.IFNA(IF((VLOOKUP(Tabla156[[#This Row],[DIAMETRO]],'[1]tabla dinamica para analisis'!$B$4:$H$16,6,FALSE))=0,"",VLOOKUP(Tabla156[[#This Row],[DIAMETRO]],'[1]tabla dinamica para analisis'!$B$4:$H$16,6,FALSE)),"")</f>
        <v>29034.920000000027</v>
      </c>
      <c r="H10" s="75">
        <f>SUM(Tabla156[[#This Row],[AC '[m']]:[PVC '[m']]])</f>
        <v>36301.450000000026</v>
      </c>
      <c r="I10" s="76">
        <f>IF(Tabla156[[#This Row],[AC '[m']]]="","",Tabla156[[#This Row],[AC '[m']]]/Tabla156[[#Totals],[SUBTOTAL]])</f>
        <v>1.6606060780606745E-2</v>
      </c>
      <c r="J10" s="76" t="str">
        <f>IF(Tabla156[[#This Row],[AP'[m']]]="","",Tabla156[[#This Row],[AP'[m']]]/Tabla156[[#Totals],[SUBTOTAL]])</f>
        <v/>
      </c>
      <c r="K10" s="76">
        <f>IF(Tabla156[[#This Row],[HF '[m']]]="","",Tabla156[[#This Row],[HF '[m']]]/Tabla156[[#Totals],[SUBTOTAL]])</f>
        <v>4.4566481631584012E-2</v>
      </c>
      <c r="L10" s="76">
        <f>IF(Tabla156[[#This Row],[HG '[m']]]="","",Tabla156[[#This Row],[HG '[m']]]/Tabla156[[#Totals],[SUBTOTAL]])</f>
        <v>3.7948384944689792E-4</v>
      </c>
      <c r="M10" s="76">
        <f>IF(Tabla156[[#This Row],[PVC '[m']]]="","",Tabla156[[#This Row],[PVC '[m']]]/Tabla156[[#Totals],[SUBTOTAL]])</f>
        <v>0.24594382165140038</v>
      </c>
      <c r="N10" s="80">
        <f>SUM(Tabla156[[#This Row],[AC]:[PVC]])</f>
        <v>0.30749584791303802</v>
      </c>
      <c r="O10" s="72"/>
      <c r="P10" s="78" t="s">
        <v>23</v>
      </c>
      <c r="Q10" s="79">
        <f>VLOOKUP(Tabla312[[#This Row],[DIAMETRO]],Tabla156[[#Headers],[#Data]],13,FALSE)</f>
        <v>0.30749584791303802</v>
      </c>
    </row>
    <row r="11" spans="2:17" ht="15.75" x14ac:dyDescent="0.25">
      <c r="B11" s="73" t="s">
        <v>126</v>
      </c>
      <c r="C11" s="74">
        <f>_xlfn.IFNA(IF((VLOOKUP(Tabla156[[#This Row],[DIAMETRO]],'[1]tabla dinamica para analisis'!$B$4:$H$16,2,FALSE))=0,"",VLOOKUP(Tabla156[[#This Row],[DIAMETRO]],'[1]tabla dinamica para analisis'!$B$4:$H$16,2,FALSE)),"")</f>
        <v>56.56</v>
      </c>
      <c r="D11" s="74" t="str">
        <f>_xlfn.IFNA(IF((VLOOKUP(Tabla156[[#This Row],[DIAMETRO]],'[1]tabla dinamica para analisis'!$B$4:$H$16,3,FALSE))=0,"",VLOOKUP(Tabla156[[#This Row],[DIAMETRO]],'[1]tabla dinamica para analisis'!$B$4:$H$16,3,FALSE)),"")</f>
        <v/>
      </c>
      <c r="E11" s="74">
        <f>_xlfn.IFNA(IF((VLOOKUP(Tabla156[[#This Row],[DIAMETRO]],'[1]tabla dinamica para analisis'!$B$4:$H$16,4,FALSE))=0,"",VLOOKUP(Tabla156[[#This Row],[DIAMETRO]],'[1]tabla dinamica para analisis'!$B$4:$H$16,4,FALSE)),"")</f>
        <v>1484.6100000000001</v>
      </c>
      <c r="F11" s="74">
        <f>_xlfn.IFNA(IF((VLOOKUP(Tabla156[[#This Row],[DIAMETRO]],'[1]tabla dinamica para analisis'!$B$4:$H$16,5,FALSE))=0,"",VLOOKUP(Tabla156[[#This Row],[DIAMETRO]],'[1]tabla dinamica para analisis'!$B$4:$H$16,5,FALSE)),"")</f>
        <v>302.12</v>
      </c>
      <c r="G11" s="74">
        <f>_xlfn.IFNA(IF((VLOOKUP(Tabla156[[#This Row],[DIAMETRO]],'[1]tabla dinamica para analisis'!$B$4:$H$16,6,FALSE))=0,"",VLOOKUP(Tabla156[[#This Row],[DIAMETRO]],'[1]tabla dinamica para analisis'!$B$4:$H$16,6,FALSE)),"")</f>
        <v>4618.4399999999978</v>
      </c>
      <c r="H11" s="75">
        <f>SUM(Tabla156[[#This Row],[AC '[m']]:[PVC '[m']]])</f>
        <v>6461.7299999999977</v>
      </c>
      <c r="I11" s="76">
        <f>IF(Tabla156[[#This Row],[AC '[m']]]="","",Tabla156[[#This Row],[AC '[m']]]/Tabla156[[#Totals],[SUBTOTAL]])</f>
        <v>4.7909835992670873E-4</v>
      </c>
      <c r="J11" s="76" t="str">
        <f>IF(Tabla156[[#This Row],[AP'[m']]]="","",Tabla156[[#This Row],[AP'[m']]]/Tabla156[[#Totals],[SUBTOTAL]])</f>
        <v/>
      </c>
      <c r="K11" s="76">
        <f>IF(Tabla156[[#This Row],[HF '[m']]]="","",Tabla156[[#This Row],[HF '[m']]]/Tabla156[[#Totals],[SUBTOTAL]])</f>
        <v>1.2575569592128555E-2</v>
      </c>
      <c r="L11" s="76">
        <f>IF(Tabla156[[#This Row],[HG '[m']]]="","",Tabla156[[#This Row],[HG '[m']]]/Tabla156[[#Totals],[SUBTOTAL]])</f>
        <v>2.559144209707518E-3</v>
      </c>
      <c r="M11" s="76">
        <f>IF(Tabla156[[#This Row],[PVC '[m']]]="","",Tabla156[[#This Row],[PVC '[m']]]/Tabla156[[#Totals],[SUBTOTAL]])</f>
        <v>3.912105780445381E-2</v>
      </c>
      <c r="N11" s="80">
        <f>SUM(Tabla156[[#This Row],[AC]:[PVC]])</f>
        <v>5.4734869966216591E-2</v>
      </c>
      <c r="O11" s="72"/>
      <c r="P11" s="78" t="s">
        <v>376</v>
      </c>
      <c r="Q11" s="79">
        <f>VLOOKUP(Tabla312[[#This Row],[DIAMETRO]],Tabla156[[#Headers],[#Data]],13,FALSE)</f>
        <v>1.038989509050393E-2</v>
      </c>
    </row>
    <row r="12" spans="2:17" ht="15.75" x14ac:dyDescent="0.25">
      <c r="B12" s="73" t="s">
        <v>55</v>
      </c>
      <c r="C12" s="74">
        <f>_xlfn.IFNA(IF((VLOOKUP(Tabla156[[#This Row],[DIAMETRO]],'[1]tabla dinamica para analisis'!$B$4:$H$16,2,FALSE))=0,"",VLOOKUP(Tabla156[[#This Row],[DIAMETRO]],'[1]tabla dinamica para analisis'!$B$4:$H$16,2,FALSE)),"")</f>
        <v>795.95999999999992</v>
      </c>
      <c r="D12" s="74" t="str">
        <f>_xlfn.IFNA(IF((VLOOKUP(Tabla156[[#This Row],[DIAMETRO]],'[1]tabla dinamica para analisis'!$B$4:$H$16,3,FALSE))=0,"",VLOOKUP(Tabla156[[#This Row],[DIAMETRO]],'[1]tabla dinamica para analisis'!$B$4:$H$16,3,FALSE)),"")</f>
        <v/>
      </c>
      <c r="E12" s="74">
        <f>_xlfn.IFNA(IF((VLOOKUP(Tabla156[[#This Row],[DIAMETRO]],'[1]tabla dinamica para analisis'!$B$4:$H$16,4,FALSE))=0,"",VLOOKUP(Tabla156[[#This Row],[DIAMETRO]],'[1]tabla dinamica para analisis'!$B$4:$H$16,4,FALSE)),"")</f>
        <v>1035.7699999999998</v>
      </c>
      <c r="F12" s="74">
        <f>_xlfn.IFNA(IF((VLOOKUP(Tabla156[[#This Row],[DIAMETRO]],'[1]tabla dinamica para analisis'!$B$4:$H$16,5,FALSE))=0,"",VLOOKUP(Tabla156[[#This Row],[DIAMETRO]],'[1]tabla dinamica para analisis'!$B$4:$H$16,5,FALSE)),"")</f>
        <v>1038.51</v>
      </c>
      <c r="G12" s="74">
        <f>_xlfn.IFNA(IF((VLOOKUP(Tabla156[[#This Row],[DIAMETRO]],'[1]tabla dinamica para analisis'!$B$4:$H$16,6,FALSE))=0,"",VLOOKUP(Tabla156[[#This Row],[DIAMETRO]],'[1]tabla dinamica para analisis'!$B$4:$H$16,6,FALSE)),"")</f>
        <v>8206.0799999999981</v>
      </c>
      <c r="H12" s="75">
        <f>SUM(Tabla156[[#This Row],[AC '[m']]:[PVC '[m']]])</f>
        <v>11076.319999999998</v>
      </c>
      <c r="I12" s="76">
        <f>IF(Tabla156[[#This Row],[AC '[m']]]="","",Tabla156[[#This Row],[AC '[m']]]/Tabla156[[#Totals],[SUBTOTAL]])</f>
        <v>6.7422760001284122E-3</v>
      </c>
      <c r="J12" s="76" t="str">
        <f>IF(Tabla156[[#This Row],[AP'[m']]]="","",Tabla156[[#This Row],[AP'[m']]]/Tabla156[[#Totals],[SUBTOTAL]])</f>
        <v/>
      </c>
      <c r="K12" s="76">
        <f>IF(Tabla156[[#This Row],[HF '[m']]]="","",Tabla156[[#This Row],[HF '[m']]]/Tabla156[[#Totals],[SUBTOTAL]])</f>
        <v>8.7736157754824424E-3</v>
      </c>
      <c r="L12" s="76">
        <f>IF(Tabla156[[#This Row],[HG '[m']]]="","",Tabla156[[#This Row],[HG '[m']]]/Tabla156[[#Totals],[SUBTOTAL]])</f>
        <v>8.7968252787745099E-3</v>
      </c>
      <c r="M12" s="76">
        <f>IF(Tabla156[[#This Row],[PVC '[m']]]="","",Tabla156[[#This Row],[PVC '[m']]]/Tabla156[[#Totals],[SUBTOTAL]])</f>
        <v>6.951059882297321E-2</v>
      </c>
      <c r="N12" s="80">
        <f>SUM(Tabla156[[#This Row],[AC]:[PVC]])</f>
        <v>9.3823315877358565E-2</v>
      </c>
      <c r="O12" s="72"/>
      <c r="P12" s="78" t="s">
        <v>53</v>
      </c>
      <c r="Q12" s="79">
        <f>VLOOKUP(Tabla312[[#This Row],[DIAMETRO]],Tabla156[[#Headers],[#Data]],13,FALSE)</f>
        <v>0.31222787598569451</v>
      </c>
    </row>
    <row r="13" spans="2:17" ht="15.75" x14ac:dyDescent="0.25">
      <c r="B13" s="73" t="s">
        <v>30</v>
      </c>
      <c r="C13" s="74">
        <f>_xlfn.IFNA(IF((VLOOKUP(Tabla156[[#This Row],[DIAMETRO]],'[1]tabla dinamica para analisis'!$B$4:$H$16,2,FALSE))=0,"",VLOOKUP(Tabla156[[#This Row],[DIAMETRO]],'[1]tabla dinamica para analisis'!$B$4:$H$16,2,FALSE)),"")</f>
        <v>2859.46</v>
      </c>
      <c r="D13" s="74" t="str">
        <f>_xlfn.IFNA(IF((VLOOKUP(Tabla156[[#This Row],[DIAMETRO]],'[1]tabla dinamica para analisis'!$B$4:$H$16,3,FALSE))=0,"",VLOOKUP(Tabla156[[#This Row],[DIAMETRO]],'[1]tabla dinamica para analisis'!$B$4:$H$16,3,FALSE)),"")</f>
        <v/>
      </c>
      <c r="E13" s="74">
        <f>_xlfn.IFNA(IF((VLOOKUP(Tabla156[[#This Row],[DIAMETRO]],'[1]tabla dinamica para analisis'!$B$4:$H$16,4,FALSE))=0,"",VLOOKUP(Tabla156[[#This Row],[DIAMETRO]],'[1]tabla dinamica para analisis'!$B$4:$H$16,4,FALSE)),"")</f>
        <v>545.82000000000005</v>
      </c>
      <c r="F13" s="74" t="str">
        <f>_xlfn.IFNA(IF((VLOOKUP(Tabla156[[#This Row],[DIAMETRO]],'[1]tabla dinamica para analisis'!$B$4:$H$16,5,FALSE))=0,"",VLOOKUP(Tabla156[[#This Row],[DIAMETRO]],'[1]tabla dinamica para analisis'!$B$4:$H$16,5,FALSE)),"")</f>
        <v/>
      </c>
      <c r="G13" s="74">
        <f>_xlfn.IFNA(IF((VLOOKUP(Tabla156[[#This Row],[DIAMETRO]],'[1]tabla dinamica para analisis'!$B$4:$H$16,6,FALSE))=0,"",VLOOKUP(Tabla156[[#This Row],[DIAMETRO]],'[1]tabla dinamica para analisis'!$B$4:$H$16,6,FALSE)),"")</f>
        <v>10434.309999999998</v>
      </c>
      <c r="H13" s="75">
        <f>SUM(Tabla156[[#This Row],[AC '[m']]:[PVC '[m']]])</f>
        <v>13839.589999999998</v>
      </c>
      <c r="I13" s="76">
        <f>IF(Tabla156[[#This Row],[AC '[m']]]="","",Tabla156[[#This Row],[AC '[m']]]/Tabla156[[#Totals],[SUBTOTAL]])</f>
        <v>2.4221403753112207E-2</v>
      </c>
      <c r="J13" s="76" t="str">
        <f>IF(Tabla156[[#This Row],[AP'[m']]]="","",Tabla156[[#This Row],[AP'[m']]]/Tabla156[[#Totals],[SUBTOTAL]])</f>
        <v/>
      </c>
      <c r="K13" s="76">
        <f>IF(Tabla156[[#This Row],[HF '[m']]]="","",Tabla156[[#This Row],[HF '[m']]]/Tabla156[[#Totals],[SUBTOTAL]])</f>
        <v>4.6234347032389706E-3</v>
      </c>
      <c r="L13" s="76" t="str">
        <f>IF(Tabla156[[#This Row],[HG '[m']]]="","",Tabla156[[#This Row],[HG '[m']]]/Tabla156[[#Totals],[SUBTOTAL]])</f>
        <v/>
      </c>
      <c r="M13" s="76">
        <f>IF(Tabla156[[#This Row],[PVC '[m']]]="","",Tabla156[[#This Row],[PVC '[m']]]/Tabla156[[#Totals],[SUBTOTAL]])</f>
        <v>8.8385092078621899E-2</v>
      </c>
      <c r="N13" s="80">
        <f>SUM(Tabla156[[#This Row],[AC]:[PVC]])</f>
        <v>0.11722993053497308</v>
      </c>
      <c r="O13" s="72"/>
      <c r="P13" s="78" t="s">
        <v>219</v>
      </c>
      <c r="Q13" s="79">
        <f>VLOOKUP(Tabla312[[#This Row],[DIAMETRO]],Tabla156[[#Headers],[#Data]],13,FALSE)</f>
        <v>2.0363628539862188E-2</v>
      </c>
    </row>
    <row r="14" spans="2:17" ht="15.75" x14ac:dyDescent="0.25">
      <c r="B14" s="73" t="s">
        <v>41</v>
      </c>
      <c r="C14" s="74" t="str">
        <f>_xlfn.IFNA(IF((VLOOKUP(Tabla156[[#This Row],[DIAMETRO]],'[1]tabla dinamica para analisis'!$B$4:$H$16,2,FALSE))=0,"",VLOOKUP(Tabla156[[#This Row],[DIAMETRO]],'[1]tabla dinamica para analisis'!$B$4:$H$16,2,FALSE)),"")</f>
        <v/>
      </c>
      <c r="D14" s="74" t="str">
        <f>_xlfn.IFNA(IF((VLOOKUP(Tabla156[[#This Row],[DIAMETRO]],'[1]tabla dinamica para analisis'!$B$4:$H$16,3,FALSE))=0,"",VLOOKUP(Tabla156[[#This Row],[DIAMETRO]],'[1]tabla dinamica para analisis'!$B$4:$H$16,3,FALSE)),"")</f>
        <v/>
      </c>
      <c r="E14" s="74">
        <f>_xlfn.IFNA(IF((VLOOKUP(Tabla156[[#This Row],[DIAMETRO]],'[1]tabla dinamica para analisis'!$B$4:$H$16,4,FALSE))=0,"",VLOOKUP(Tabla156[[#This Row],[DIAMETRO]],'[1]tabla dinamica para analisis'!$B$4:$H$16,4,FALSE)),"")</f>
        <v>853.49</v>
      </c>
      <c r="F14" s="74" t="str">
        <f>_xlfn.IFNA(IF((VLOOKUP(Tabla156[[#This Row],[DIAMETRO]],'[1]tabla dinamica para analisis'!$B$4:$H$16,5,FALSE))=0,"",VLOOKUP(Tabla156[[#This Row],[DIAMETRO]],'[1]tabla dinamica para analisis'!$B$4:$H$16,5,FALSE)),"")</f>
        <v/>
      </c>
      <c r="G14" s="74">
        <f>_xlfn.IFNA(IF((VLOOKUP(Tabla156[[#This Row],[DIAMETRO]],'[1]tabla dinamica para analisis'!$B$4:$H$16,6,FALSE))=0,"",VLOOKUP(Tabla156[[#This Row],[DIAMETRO]],'[1]tabla dinamica para analisis'!$B$4:$H$16,6,FALSE)),"")</f>
        <v>1629.95</v>
      </c>
      <c r="H14" s="75">
        <f>SUM(Tabla156[[#This Row],[AC '[m']]:[PVC '[m']]])</f>
        <v>2483.44</v>
      </c>
      <c r="I14" s="76" t="str">
        <f>IF(Tabla156[[#This Row],[AC '[m']]]="","",Tabla156[[#This Row],[AC '[m']]]/Tabla156[[#Totals],[SUBTOTAL]])</f>
        <v/>
      </c>
      <c r="J14" s="76" t="str">
        <f>IF(Tabla156[[#This Row],[AP'[m']]]="","",Tabla156[[#This Row],[AP'[m']]]/Tabla156[[#Totals],[SUBTOTAL]])</f>
        <v/>
      </c>
      <c r="K14" s="76">
        <f>IF(Tabla156[[#This Row],[HF '[m']]]="","",Tabla156[[#This Row],[HF '[m']]]/Tabla156[[#Totals],[SUBTOTAL]])</f>
        <v>7.2295908630453784E-3</v>
      </c>
      <c r="L14" s="76" t="str">
        <f>IF(Tabla156[[#This Row],[HG '[m']]]="","",Tabla156[[#This Row],[HG '[m']]]/Tabla156[[#Totals],[SUBTOTAL]])</f>
        <v/>
      </c>
      <c r="M14" s="76">
        <f>IF(Tabla156[[#This Row],[PVC '[m']]]="","",Tabla156[[#This Row],[PVC '[m']]]/Tabla156[[#Totals],[SUBTOTAL]])</f>
        <v>1.3806689741204718E-2</v>
      </c>
      <c r="N14" s="80">
        <f>SUM(Tabla156[[#This Row],[AC]:[PVC]])</f>
        <v>2.1036280604250095E-2</v>
      </c>
      <c r="O14" s="72"/>
      <c r="P14" s="78" t="s">
        <v>56</v>
      </c>
      <c r="Q14" s="79">
        <f>VLOOKUP(Tabla312[[#This Row],[DIAMETRO]],Tabla156[[#Headers],[#Data]],13,FALSE)</f>
        <v>2.0513727955313064E-2</v>
      </c>
    </row>
    <row r="15" spans="2:17" ht="15.75" x14ac:dyDescent="0.25">
      <c r="B15" s="73" t="s">
        <v>43</v>
      </c>
      <c r="C15" s="74" t="str">
        <f>_xlfn.IFNA(IF((VLOOKUP(Tabla156[[#This Row],[DIAMETRO]],'[1]tabla dinamica para analisis'!$B$4:$H$16,2,FALSE))=0,"",VLOOKUP(Tabla156[[#This Row],[DIAMETRO]],'[1]tabla dinamica para analisis'!$B$4:$H$16,2,FALSE)),"")</f>
        <v/>
      </c>
      <c r="D15" s="74" t="str">
        <f>_xlfn.IFNA(IF((VLOOKUP(Tabla156[[#This Row],[DIAMETRO]],'[1]tabla dinamica para analisis'!$B$4:$H$16,3,FALSE))=0,"",VLOOKUP(Tabla156[[#This Row],[DIAMETRO]],'[1]tabla dinamica para analisis'!$B$4:$H$16,3,FALSE)),"")</f>
        <v/>
      </c>
      <c r="E15" s="74">
        <f>_xlfn.IFNA(IF((VLOOKUP(Tabla156[[#This Row],[DIAMETRO]],'[1]tabla dinamica para analisis'!$B$4:$H$16,4,FALSE))=0,"",VLOOKUP(Tabla156[[#This Row],[DIAMETRO]],'[1]tabla dinamica para analisis'!$B$4:$H$16,4,FALSE)),"")</f>
        <v>2446.1699999999996</v>
      </c>
      <c r="F15" s="74" t="str">
        <f>_xlfn.IFNA(IF((VLOOKUP(Tabla156[[#This Row],[DIAMETRO]],'[1]tabla dinamica para analisis'!$B$4:$H$16,5,FALSE))=0,"",VLOOKUP(Tabla156[[#This Row],[DIAMETRO]],'[1]tabla dinamica para analisis'!$B$4:$H$16,5,FALSE)),"")</f>
        <v/>
      </c>
      <c r="G15" s="74" t="str">
        <f>_xlfn.IFNA(IF((VLOOKUP(Tabla156[[#This Row],[DIAMETRO]],'[1]tabla dinamica para analisis'!$B$4:$H$16,6,FALSE))=0,"",VLOOKUP(Tabla156[[#This Row],[DIAMETRO]],'[1]tabla dinamica para analisis'!$B$4:$H$16,6,FALSE)),"")</f>
        <v/>
      </c>
      <c r="H15" s="75">
        <f>SUM(Tabla156[[#This Row],[AC '[m']]:[PVC '[m']]])</f>
        <v>2446.1699999999996</v>
      </c>
      <c r="I15" s="76" t="str">
        <f>IF(Tabla156[[#This Row],[AC '[m']]]="","",Tabla156[[#This Row],[AC '[m']]]/Tabla156[[#Totals],[SUBTOTAL]])</f>
        <v/>
      </c>
      <c r="J15" s="76" t="str">
        <f>IF(Tabla156[[#This Row],[AP'[m']]]="","",Tabla156[[#This Row],[AP'[m']]]/Tabla156[[#Totals],[SUBTOTAL]])</f>
        <v/>
      </c>
      <c r="K15" s="76">
        <f>IF(Tabla156[[#This Row],[HF '[m']]]="","",Tabla156[[#This Row],[HF '[m']]]/Tabla156[[#Totals],[SUBTOTAL]])</f>
        <v>2.0720580535748177E-2</v>
      </c>
      <c r="L15" s="76" t="str">
        <f>IF(Tabla156[[#This Row],[HG '[m']]]="","",Tabla156[[#This Row],[HG '[m']]]/Tabla156[[#Totals],[SUBTOTAL]])</f>
        <v/>
      </c>
      <c r="M15" s="76" t="str">
        <f>IF(Tabla156[[#This Row],[PVC '[m']]]="","",Tabla156[[#This Row],[PVC '[m']]]/Tabla156[[#Totals],[SUBTOTAL]])</f>
        <v/>
      </c>
      <c r="N15" s="80">
        <f>SUM(Tabla156[[#This Row],[AC]:[PVC]])</f>
        <v>2.0720580535748177E-2</v>
      </c>
      <c r="O15" s="72"/>
      <c r="P15" s="78" t="s">
        <v>795</v>
      </c>
      <c r="Q15" s="79">
        <f>VLOOKUP(Tabla312[[#This Row],[DIAMETRO]],Tabla156[[#Headers],[#Data]],13,FALSE)</f>
        <v>3.9044483384833291E-3</v>
      </c>
    </row>
    <row r="16" spans="2:17" ht="15.75" x14ac:dyDescent="0.25">
      <c r="B16" s="73" t="s">
        <v>47</v>
      </c>
      <c r="C16" s="74" t="str">
        <f>_xlfn.IFNA(IF((VLOOKUP(Tabla156[[#This Row],[DIAMETRO]],'[1]tabla dinamica para analisis'!$B$4:$H$16,2,FALSE))=0,"",VLOOKUP(Tabla156[[#This Row],[DIAMETRO]],'[1]tabla dinamica para analisis'!$B$4:$H$16,2,FALSE)),"")</f>
        <v/>
      </c>
      <c r="D16" s="74">
        <f>_xlfn.IFNA(IF((VLOOKUP(Tabla156[[#This Row],[DIAMETRO]],'[1]tabla dinamica para analisis'!$B$4:$H$16,3,FALSE))=0,"",VLOOKUP(Tabla156[[#This Row],[DIAMETRO]],'[1]tabla dinamica para analisis'!$B$4:$H$16,3,FALSE)),"")</f>
        <v>1798.9799999999998</v>
      </c>
      <c r="E16" s="74" t="str">
        <f>_xlfn.IFNA(IF((VLOOKUP(Tabla156[[#This Row],[DIAMETRO]],'[1]tabla dinamica para analisis'!$B$4:$H$16,4,FALSE))=0,"",VLOOKUP(Tabla156[[#This Row],[DIAMETRO]],'[1]tabla dinamica para analisis'!$B$4:$H$16,4,FALSE)),"")</f>
        <v/>
      </c>
      <c r="F16" s="74" t="str">
        <f>_xlfn.IFNA(IF((VLOOKUP(Tabla156[[#This Row],[DIAMETRO]],'[1]tabla dinamica para analisis'!$B$4:$H$16,5,FALSE))=0,"",VLOOKUP(Tabla156[[#This Row],[DIAMETRO]],'[1]tabla dinamica para analisis'!$B$4:$H$16,5,FALSE)),"")</f>
        <v/>
      </c>
      <c r="G16" s="74" t="str">
        <f>_xlfn.IFNA(IF((VLOOKUP(Tabla156[[#This Row],[DIAMETRO]],'[1]tabla dinamica para analisis'!$B$4:$H$16,6,FALSE))=0,"",VLOOKUP(Tabla156[[#This Row],[DIAMETRO]],'[1]tabla dinamica para analisis'!$B$4:$H$16,6,FALSE)),"")</f>
        <v/>
      </c>
      <c r="H16" s="75">
        <f>SUM(Tabla156[[#This Row],[AC '[m']]:[PVC '[m']]])</f>
        <v>1798.9799999999998</v>
      </c>
      <c r="I16" s="76" t="str">
        <f>IF(Tabla156[[#This Row],[AC '[m']]]="","",Tabla156[[#This Row],[AC '[m']]]/Tabla156[[#Totals],[SUBTOTAL]])</f>
        <v/>
      </c>
      <c r="J16" s="76">
        <f>IF(Tabla156[[#This Row],[AP'[m']]]="","",Tabla156[[#This Row],[AP'[m']]]/Tabla156[[#Totals],[SUBTOTAL]])</f>
        <v>1.5238478916919207E-2</v>
      </c>
      <c r="K16" s="76" t="str">
        <f>IF(Tabla156[[#This Row],[HF '[m']]]="","",Tabla156[[#This Row],[HF '[m']]]/Tabla156[[#Totals],[SUBTOTAL]])</f>
        <v/>
      </c>
      <c r="L16" s="76" t="str">
        <f>IF(Tabla156[[#This Row],[HG '[m']]]="","",Tabla156[[#This Row],[HG '[m']]]/Tabla156[[#Totals],[SUBTOTAL]])</f>
        <v/>
      </c>
      <c r="M16" s="76" t="str">
        <f>IF(Tabla156[[#This Row],[PVC '[m']]]="","",Tabla156[[#This Row],[PVC '[m']]]/Tabla156[[#Totals],[SUBTOTAL]])</f>
        <v/>
      </c>
      <c r="N16" s="80">
        <f>SUM(Tabla156[[#This Row],[AC]:[PVC]])</f>
        <v>1.5238478916919207E-2</v>
      </c>
      <c r="O16" s="72"/>
      <c r="P16" s="78" t="s">
        <v>375</v>
      </c>
      <c r="Q16" s="81">
        <f>VLOOKUP(Tabla312[[#This Row],[DIAMETRO]],Tabla156[[#Headers],[#Data]],13,FALSE)</f>
        <v>2.321119741639263E-3</v>
      </c>
    </row>
    <row r="17" spans="2:17" ht="15.75" x14ac:dyDescent="0.25">
      <c r="B17" s="73" t="s">
        <v>1178</v>
      </c>
      <c r="C17" s="75">
        <f>SUBTOTAL(109,Tabla156[AC '[m']])</f>
        <v>5719.6100000000006</v>
      </c>
      <c r="D17" s="75">
        <f>SUBTOTAL(109,Tabla156[AP'[m']])</f>
        <v>1798.9799999999998</v>
      </c>
      <c r="E17" s="75">
        <f>SUBTOTAL(109,Tabla156[HF '[m']])</f>
        <v>11679.259999999998</v>
      </c>
      <c r="F17" s="75">
        <f>SUBTOTAL(109,Tabla156[HG '[m']])</f>
        <v>2123.5500000000002</v>
      </c>
      <c r="G17" s="75">
        <f>SUBTOTAL(109,Tabla156[PVC '[m']])</f>
        <v>96733.690000000031</v>
      </c>
      <c r="H17" s="75">
        <f>SUBTOTAL(109,Tabla156[SUBTOTAL])</f>
        <v>118055.09000000003</v>
      </c>
      <c r="I17" s="82">
        <f>SUBTOTAL(109,Tabla156[AC])</f>
        <v>4.8448652235155626E-2</v>
      </c>
      <c r="J17" s="82">
        <f>SUBTOTAL(109,Tabla156[AP])</f>
        <v>1.5238478916919207E-2</v>
      </c>
      <c r="K17" s="82">
        <f>SUBTOTAL(109,Tabla156[HF])</f>
        <v>9.893059248864236E-2</v>
      </c>
      <c r="L17" s="82">
        <f>SUBTOTAL(109,Tabla156[HG])</f>
        <v>1.7987788582432149E-2</v>
      </c>
      <c r="M17" s="82">
        <f>SUBTOTAL(109,Tabla156[PVC])</f>
        <v>0.81939448777685064</v>
      </c>
      <c r="N17" s="82">
        <f>SUBTOTAL(109,Tabla156[SUBTOTAL '[%']])</f>
        <v>1</v>
      </c>
      <c r="O17" s="72"/>
      <c r="P17" s="72"/>
      <c r="Q17" s="72"/>
    </row>
  </sheetData>
  <mergeCells count="2">
    <mergeCell ref="C2:G2"/>
    <mergeCell ref="I2:M2"/>
  </mergeCells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D3512-36B6-4805-8F74-76561132BB73}">
  <dimension ref="A3:V18"/>
  <sheetViews>
    <sheetView workbookViewId="0">
      <selection activeCell="H3" sqref="H3"/>
    </sheetView>
  </sheetViews>
  <sheetFormatPr baseColWidth="10" defaultRowHeight="15" x14ac:dyDescent="0.25"/>
  <cols>
    <col min="1" max="1" width="16.5703125" bestFit="1" customWidth="1"/>
    <col min="2" max="2" width="12.28515625" bestFit="1" customWidth="1"/>
    <col min="3" max="3" width="8" bestFit="1" customWidth="1"/>
    <col min="4" max="4" width="9" bestFit="1" customWidth="1"/>
    <col min="5" max="5" width="8" bestFit="1" customWidth="1"/>
    <col min="6" max="6" width="9" bestFit="1" customWidth="1"/>
    <col min="7" max="7" width="12.5703125" bestFit="1" customWidth="1"/>
    <col min="8" max="8" width="46.28515625" bestFit="1" customWidth="1"/>
    <col min="9" max="9" width="12.28515625" bestFit="1" customWidth="1"/>
    <col min="10" max="14" width="6.140625" bestFit="1" customWidth="1"/>
    <col min="15" max="15" width="6.28515625" bestFit="1" customWidth="1"/>
    <col min="16" max="17" width="7.140625" bestFit="1" customWidth="1"/>
    <col min="18" max="20" width="6.140625" bestFit="1" customWidth="1"/>
    <col min="21" max="21" width="7.140625" bestFit="1" customWidth="1"/>
    <col min="22" max="22" width="12.5703125" bestFit="1" customWidth="1"/>
  </cols>
  <sheetData>
    <row r="3" spans="1:22" x14ac:dyDescent="0.25">
      <c r="A3" s="39" t="s">
        <v>1168</v>
      </c>
      <c r="B3" s="39" t="s">
        <v>1169</v>
      </c>
      <c r="H3" s="50" t="s">
        <v>1180</v>
      </c>
      <c r="I3" s="39" t="s">
        <v>1169</v>
      </c>
    </row>
    <row r="4" spans="1:22" x14ac:dyDescent="0.25">
      <c r="A4" s="39" t="s">
        <v>1179</v>
      </c>
      <c r="B4" t="s">
        <v>28</v>
      </c>
      <c r="C4" t="s">
        <v>29</v>
      </c>
      <c r="D4" t="s">
        <v>26</v>
      </c>
      <c r="E4" t="s">
        <v>27</v>
      </c>
      <c r="F4" t="s">
        <v>25</v>
      </c>
      <c r="G4" t="s">
        <v>1167</v>
      </c>
      <c r="H4" s="39" t="s">
        <v>1179</v>
      </c>
      <c r="I4" t="s">
        <v>219</v>
      </c>
      <c r="J4" t="s">
        <v>56</v>
      </c>
      <c r="K4" t="s">
        <v>375</v>
      </c>
      <c r="L4" t="s">
        <v>41</v>
      </c>
      <c r="M4" t="s">
        <v>43</v>
      </c>
      <c r="N4" t="s">
        <v>47</v>
      </c>
      <c r="O4" t="s">
        <v>376</v>
      </c>
      <c r="P4" t="s">
        <v>53</v>
      </c>
      <c r="Q4" t="s">
        <v>23</v>
      </c>
      <c r="R4" t="s">
        <v>795</v>
      </c>
      <c r="S4" t="s">
        <v>126</v>
      </c>
      <c r="T4" t="s">
        <v>55</v>
      </c>
      <c r="U4" t="s">
        <v>30</v>
      </c>
      <c r="V4" t="s">
        <v>1167</v>
      </c>
    </row>
    <row r="5" spans="1:22" x14ac:dyDescent="0.25">
      <c r="A5" s="35" t="s">
        <v>219</v>
      </c>
      <c r="F5">
        <v>2404.0299999999997</v>
      </c>
      <c r="G5">
        <v>2404.0299999999997</v>
      </c>
      <c r="H5" s="35" t="s">
        <v>28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  <c r="P5" s="40">
        <v>3.9986787416598519E-4</v>
      </c>
      <c r="Q5" s="40">
        <v>1.6608325774390302E-2</v>
      </c>
      <c r="R5" s="40">
        <v>0</v>
      </c>
      <c r="S5" s="40">
        <v>4.791637068395789E-4</v>
      </c>
      <c r="T5" s="40">
        <v>6.7431956169736766E-3</v>
      </c>
      <c r="U5" s="40">
        <v>2.4224707446242968E-2</v>
      </c>
      <c r="V5" s="40">
        <v>4.845526041861252E-2</v>
      </c>
    </row>
    <row r="6" spans="1:22" x14ac:dyDescent="0.25">
      <c r="A6" s="35" t="s">
        <v>56</v>
      </c>
      <c r="E6">
        <v>157.87</v>
      </c>
      <c r="F6">
        <v>2263.88</v>
      </c>
      <c r="G6">
        <v>2421.75</v>
      </c>
      <c r="H6" s="35" t="s">
        <v>29</v>
      </c>
      <c r="I6" s="40">
        <v>0</v>
      </c>
      <c r="J6" s="40">
        <v>0</v>
      </c>
      <c r="K6" s="40">
        <v>0</v>
      </c>
      <c r="L6" s="40">
        <v>0</v>
      </c>
      <c r="M6" s="40">
        <v>0</v>
      </c>
      <c r="N6" s="40">
        <v>1.5240557378540763E-2</v>
      </c>
      <c r="O6" s="40">
        <v>0</v>
      </c>
      <c r="P6" s="40">
        <v>0</v>
      </c>
      <c r="Q6" s="40">
        <v>0</v>
      </c>
      <c r="R6" s="40">
        <v>0</v>
      </c>
      <c r="S6" s="40">
        <v>0</v>
      </c>
      <c r="T6" s="40">
        <v>0</v>
      </c>
      <c r="U6" s="40">
        <v>0</v>
      </c>
      <c r="V6" s="40">
        <v>1.5240557378540763E-2</v>
      </c>
    </row>
    <row r="7" spans="1:22" x14ac:dyDescent="0.25">
      <c r="A7" s="35" t="s">
        <v>375</v>
      </c>
      <c r="E7">
        <v>56.7</v>
      </c>
      <c r="F7">
        <v>217.32</v>
      </c>
      <c r="G7">
        <v>274.02</v>
      </c>
      <c r="H7" s="35" t="s">
        <v>26</v>
      </c>
      <c r="I7" s="40">
        <v>0</v>
      </c>
      <c r="J7" s="40">
        <v>0</v>
      </c>
      <c r="K7" s="40">
        <v>0</v>
      </c>
      <c r="L7" s="40">
        <v>7.2305769474984476E-3</v>
      </c>
      <c r="M7" s="40">
        <v>2.0723406731962032E-2</v>
      </c>
      <c r="N7" s="40">
        <v>0</v>
      </c>
      <c r="O7" s="40">
        <v>0</v>
      </c>
      <c r="P7" s="40">
        <v>4.4137958144169133E-4</v>
      </c>
      <c r="Q7" s="40">
        <v>4.4572560304014776E-2</v>
      </c>
      <c r="R7" s="40">
        <v>0</v>
      </c>
      <c r="S7" s="40">
        <v>1.2577284844609392E-2</v>
      </c>
      <c r="T7" s="40">
        <v>8.774812458154712E-3</v>
      </c>
      <c r="U7" s="40">
        <v>4.6240653194338571E-3</v>
      </c>
      <c r="V7" s="40">
        <v>9.8944086187114907E-2</v>
      </c>
    </row>
    <row r="8" spans="1:22" x14ac:dyDescent="0.25">
      <c r="A8" s="35" t="s">
        <v>41</v>
      </c>
      <c r="D8">
        <v>853.49</v>
      </c>
      <c r="F8">
        <v>1629.95</v>
      </c>
      <c r="G8">
        <v>2483.44</v>
      </c>
      <c r="H8" s="35" t="s">
        <v>27</v>
      </c>
      <c r="I8" s="40">
        <v>0</v>
      </c>
      <c r="J8" s="40">
        <v>1.3374394342072901E-3</v>
      </c>
      <c r="K8" s="40">
        <v>4.8034975561888482E-4</v>
      </c>
      <c r="L8" s="40">
        <v>0</v>
      </c>
      <c r="M8" s="40">
        <v>0</v>
      </c>
      <c r="N8" s="40">
        <v>0</v>
      </c>
      <c r="O8" s="40">
        <v>0</v>
      </c>
      <c r="P8" s="40">
        <v>4.4353988457542697E-3</v>
      </c>
      <c r="Q8" s="40">
        <v>3.7953560937788422E-4</v>
      </c>
      <c r="R8" s="40">
        <v>0</v>
      </c>
      <c r="S8" s="40">
        <v>2.5594932657421071E-3</v>
      </c>
      <c r="T8" s="40">
        <v>8.7980251271211288E-3</v>
      </c>
      <c r="U8" s="40">
        <v>0</v>
      </c>
      <c r="V8" s="40">
        <v>1.7990242037821565E-2</v>
      </c>
    </row>
    <row r="9" spans="1:22" x14ac:dyDescent="0.25">
      <c r="A9" s="35" t="s">
        <v>43</v>
      </c>
      <c r="D9">
        <v>2446.1699999999996</v>
      </c>
      <c r="G9">
        <v>2446.1699999999996</v>
      </c>
      <c r="H9" s="35" t="s">
        <v>25</v>
      </c>
      <c r="I9" s="40">
        <v>2.036640604939096E-2</v>
      </c>
      <c r="J9" s="40">
        <v>1.9179086503535819E-2</v>
      </c>
      <c r="K9" s="40">
        <v>1.8410865765625404E-3</v>
      </c>
      <c r="L9" s="40">
        <v>1.3808572913068804E-2</v>
      </c>
      <c r="M9" s="40">
        <v>0</v>
      </c>
      <c r="N9" s="40">
        <v>0</v>
      </c>
      <c r="O9" s="40">
        <v>1.0391312226578688E-2</v>
      </c>
      <c r="P9" s="40">
        <v>0.306993816195818</v>
      </c>
      <c r="Q9" s="40">
        <v>0.24597736730888684</v>
      </c>
      <c r="R9" s="40">
        <v>3.9049808880946869E-3</v>
      </c>
      <c r="S9" s="40">
        <v>3.8989998135361859E-2</v>
      </c>
      <c r="T9" s="40">
        <v>6.9520079763474726E-2</v>
      </c>
      <c r="U9" s="40">
        <v>8.8397147417137292E-2</v>
      </c>
      <c r="V9" s="40">
        <v>0.81936985397791029</v>
      </c>
    </row>
    <row r="10" spans="1:22" x14ac:dyDescent="0.25">
      <c r="A10" s="35" t="s">
        <v>47</v>
      </c>
      <c r="C10">
        <v>1798.9799999999998</v>
      </c>
      <c r="G10">
        <v>1798.9799999999998</v>
      </c>
      <c r="H10" s="35" t="s">
        <v>1167</v>
      </c>
      <c r="I10" s="40">
        <v>2.036640604939096E-2</v>
      </c>
      <c r="J10" s="40">
        <v>2.0516525937743106E-2</v>
      </c>
      <c r="K10" s="40">
        <v>2.3214363321814248E-3</v>
      </c>
      <c r="L10" s="40">
        <v>2.1039149860567253E-2</v>
      </c>
      <c r="M10" s="40">
        <v>2.0723406731962032E-2</v>
      </c>
      <c r="N10" s="40">
        <v>1.5240557378540763E-2</v>
      </c>
      <c r="O10" s="40">
        <v>1.0391312226578688E-2</v>
      </c>
      <c r="P10" s="40">
        <v>0.31227046249717993</v>
      </c>
      <c r="Q10" s="40">
        <v>0.30753778899666978</v>
      </c>
      <c r="R10" s="40">
        <v>3.9049808880946869E-3</v>
      </c>
      <c r="S10" s="40">
        <v>5.4605939952552938E-2</v>
      </c>
      <c r="T10" s="40">
        <v>9.383611296572425E-2</v>
      </c>
      <c r="U10" s="40">
        <v>0.11724592018281413</v>
      </c>
      <c r="V10" s="40">
        <v>1</v>
      </c>
    </row>
    <row r="11" spans="1:22" x14ac:dyDescent="0.25">
      <c r="A11" s="35" t="s">
        <v>376</v>
      </c>
      <c r="F11">
        <v>1226.58</v>
      </c>
      <c r="G11">
        <v>1226.58</v>
      </c>
    </row>
    <row r="12" spans="1:22" x14ac:dyDescent="0.25">
      <c r="A12" s="35" t="s">
        <v>53</v>
      </c>
      <c r="B12">
        <v>47.199999999999996</v>
      </c>
      <c r="D12">
        <v>52.1</v>
      </c>
      <c r="E12">
        <v>523.54999999999995</v>
      </c>
      <c r="F12">
        <v>36237.240000000013</v>
      </c>
      <c r="G12">
        <v>36860.090000000011</v>
      </c>
    </row>
    <row r="13" spans="1:22" x14ac:dyDescent="0.25">
      <c r="A13" s="35" t="s">
        <v>23</v>
      </c>
      <c r="B13">
        <v>1960.4299999999998</v>
      </c>
      <c r="D13">
        <v>5261.2999999999984</v>
      </c>
      <c r="E13">
        <v>44.8</v>
      </c>
      <c r="F13">
        <v>29034.920000000027</v>
      </c>
      <c r="G13">
        <v>36301.450000000026</v>
      </c>
    </row>
    <row r="14" spans="1:22" x14ac:dyDescent="0.25">
      <c r="A14" s="35" t="s">
        <v>795</v>
      </c>
      <c r="F14">
        <v>460.94</v>
      </c>
      <c r="G14">
        <v>460.94</v>
      </c>
    </row>
    <row r="15" spans="1:22" x14ac:dyDescent="0.25">
      <c r="A15" s="35" t="s">
        <v>126</v>
      </c>
      <c r="B15">
        <v>56.56</v>
      </c>
      <c r="D15">
        <v>1484.6100000000001</v>
      </c>
      <c r="E15">
        <v>302.12</v>
      </c>
      <c r="F15">
        <v>4602.3399999999983</v>
      </c>
      <c r="G15">
        <v>6445.6299999999983</v>
      </c>
    </row>
    <row r="16" spans="1:22" x14ac:dyDescent="0.25">
      <c r="A16" s="35" t="s">
        <v>55</v>
      </c>
      <c r="B16">
        <v>795.95999999999992</v>
      </c>
      <c r="D16">
        <v>1035.7699999999998</v>
      </c>
      <c r="E16">
        <v>1038.51</v>
      </c>
      <c r="F16">
        <v>8206.0799999999981</v>
      </c>
      <c r="G16">
        <v>11076.319999999998</v>
      </c>
    </row>
    <row r="17" spans="1:7" x14ac:dyDescent="0.25">
      <c r="A17" s="35" t="s">
        <v>30</v>
      </c>
      <c r="B17">
        <v>2859.46</v>
      </c>
      <c r="D17">
        <v>545.82000000000005</v>
      </c>
      <c r="F17">
        <v>10434.309999999998</v>
      </c>
      <c r="G17">
        <v>13839.589999999998</v>
      </c>
    </row>
    <row r="18" spans="1:7" x14ac:dyDescent="0.25">
      <c r="A18" s="35" t="s">
        <v>1167</v>
      </c>
      <c r="B18">
        <v>5719.6100000000006</v>
      </c>
      <c r="C18">
        <v>1798.9799999999998</v>
      </c>
      <c r="D18">
        <v>11679.259999999998</v>
      </c>
      <c r="E18">
        <v>2123.5500000000002</v>
      </c>
      <c r="F18">
        <v>96717.59000000004</v>
      </c>
      <c r="G18">
        <v>118038.99000000003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DE10A-AFAB-4F2B-80FA-7DD75110A997}">
  <dimension ref="B1:Q17"/>
  <sheetViews>
    <sheetView zoomScale="59" workbookViewId="0">
      <selection activeCell="T24" sqref="T24"/>
    </sheetView>
  </sheetViews>
  <sheetFormatPr baseColWidth="10" defaultRowHeight="15" x14ac:dyDescent="0.25"/>
  <cols>
    <col min="2" max="2" width="22.28515625" bestFit="1" customWidth="1"/>
    <col min="3" max="3" width="14" customWidth="1"/>
    <col min="4" max="4" width="12.5703125" customWidth="1"/>
    <col min="5" max="6" width="12.28515625" bestFit="1" customWidth="1"/>
    <col min="7" max="7" width="11.42578125" customWidth="1"/>
    <col min="8" max="8" width="18" bestFit="1" customWidth="1"/>
    <col min="9" max="9" width="12.42578125" customWidth="1"/>
    <col min="10" max="10" width="9.28515625" customWidth="1"/>
    <col min="11" max="12" width="9.28515625" bestFit="1" customWidth="1"/>
    <col min="13" max="13" width="10.85546875" bestFit="1" customWidth="1"/>
    <col min="14" max="14" width="24.5703125" bestFit="1" customWidth="1"/>
    <col min="16" max="16" width="24.140625" bestFit="1" customWidth="1"/>
    <col min="17" max="17" width="25.85546875" bestFit="1" customWidth="1"/>
  </cols>
  <sheetData>
    <row r="1" spans="2:17" ht="15.75" thickBot="1" x14ac:dyDescent="0.3"/>
    <row r="2" spans="2:17" ht="21" thickBot="1" x14ac:dyDescent="0.35">
      <c r="B2" s="41"/>
      <c r="C2" s="107" t="s">
        <v>1169</v>
      </c>
      <c r="D2" s="108"/>
      <c r="E2" s="108"/>
      <c r="F2" s="108"/>
      <c r="G2" s="109"/>
      <c r="H2" s="42"/>
      <c r="I2" s="107" t="s">
        <v>1169</v>
      </c>
      <c r="J2" s="108"/>
      <c r="K2" s="108"/>
      <c r="L2" s="108"/>
      <c r="M2" s="109"/>
      <c r="N2" s="42"/>
    </row>
    <row r="3" spans="2:17" s="7" customFormat="1" ht="40.5" x14ac:dyDescent="0.3">
      <c r="B3" s="48" t="s">
        <v>1170</v>
      </c>
      <c r="C3" s="48" t="s">
        <v>1174</v>
      </c>
      <c r="D3" s="48" t="s">
        <v>1175</v>
      </c>
      <c r="E3" s="48" t="s">
        <v>1172</v>
      </c>
      <c r="F3" s="48" t="s">
        <v>1173</v>
      </c>
      <c r="G3" s="48" t="s">
        <v>1171</v>
      </c>
      <c r="H3" s="48" t="s">
        <v>1176</v>
      </c>
      <c r="I3" s="48" t="s">
        <v>28</v>
      </c>
      <c r="J3" s="48" t="s">
        <v>29</v>
      </c>
      <c r="K3" s="48" t="s">
        <v>26</v>
      </c>
      <c r="L3" s="48" t="s">
        <v>27</v>
      </c>
      <c r="M3" s="48" t="s">
        <v>25</v>
      </c>
      <c r="N3" s="48" t="s">
        <v>1177</v>
      </c>
      <c r="O3" s="49"/>
      <c r="P3" s="49" t="s">
        <v>1170</v>
      </c>
      <c r="Q3" s="48" t="s">
        <v>1176</v>
      </c>
    </row>
    <row r="4" spans="2:17" ht="20.25" x14ac:dyDescent="0.3">
      <c r="B4" s="41" t="s">
        <v>375</v>
      </c>
      <c r="C4" s="42">
        <f>Hoja7!B7</f>
        <v>0</v>
      </c>
      <c r="D4" s="42">
        <f>Hoja7!C7</f>
        <v>0</v>
      </c>
      <c r="E4" s="42">
        <f>Hoja7!D7</f>
        <v>0</v>
      </c>
      <c r="F4" s="42">
        <f>Hoja7!E7</f>
        <v>56.7</v>
      </c>
      <c r="G4" s="42">
        <f>Hoja7!F7</f>
        <v>217.32</v>
      </c>
      <c r="H4" s="42">
        <f>SUM(Tabla17[[#This Row],[AC '[m']]:[PVC '[m']]])</f>
        <v>274.02</v>
      </c>
      <c r="I4" s="43">
        <f>IF(Tabla17[[#This Row],[AC '[m']]]="","",Tabla17[[#This Row],[AC '[m']]]/Tabla17[[#Totals],[SUBTOTAL]])</f>
        <v>0</v>
      </c>
      <c r="J4" s="43">
        <f>IF(Tabla17[[#This Row],[AP '[m']]]="","",Tabla17[[#This Row],[AP '[m']]]/Tabla17[[#Totals],[SUBTOTAL]])</f>
        <v>0</v>
      </c>
      <c r="K4" s="43">
        <f>IF(Tabla17[[#This Row],[HF '[m']]]="","",Tabla17[[#This Row],[HF '[m']]]/Tabla17[[#Totals],[SUBTOTAL]])</f>
        <v>0</v>
      </c>
      <c r="L4" s="43">
        <f>IF(Tabla17[[#This Row],[HG '[m']]]="","",Tabla17[[#This Row],[HG '[m']]]/Tabla17[[#Totals],[SUBTOTAL]])</f>
        <v>4.8034975561888482E-4</v>
      </c>
      <c r="M4" s="43">
        <f>IF(Tabla17[[#This Row],[PVC '[m']]]="","",Tabla17[[#This Row],[PVC '[m']]]/Tabla17[[#Totals],[SUBTOTAL]])</f>
        <v>1.8410865765625404E-3</v>
      </c>
      <c r="N4" s="43">
        <f>SUM(Tabla17[[#This Row],[AC]:[PVC]])</f>
        <v>2.3214363321814252E-3</v>
      </c>
      <c r="P4" s="44" t="s">
        <v>47</v>
      </c>
      <c r="Q4" s="45">
        <f>VLOOKUP(Tabla38[[#This Row],[DIAMETRO]],Tabla17[[#Headers],[#Data]],13,FALSE)</f>
        <v>1.5240557378540763E-2</v>
      </c>
    </row>
    <row r="5" spans="2:17" ht="20.25" x14ac:dyDescent="0.3">
      <c r="B5" s="41" t="s">
        <v>795</v>
      </c>
      <c r="C5" s="42">
        <f>Hoja7!B14</f>
        <v>0</v>
      </c>
      <c r="D5" s="42">
        <f>Hoja7!C14</f>
        <v>0</v>
      </c>
      <c r="E5" s="42">
        <f>Hoja7!D14</f>
        <v>0</v>
      </c>
      <c r="F5" s="42">
        <f>Hoja7!E14</f>
        <v>0</v>
      </c>
      <c r="G5" s="42">
        <f>Hoja7!F14</f>
        <v>460.94</v>
      </c>
      <c r="H5" s="42">
        <f>SUM(Tabla17[[#This Row],[AC '[m']]:[PVC '[m']]])</f>
        <v>460.94</v>
      </c>
      <c r="I5" s="43">
        <f>IF(Tabla17[[#This Row],[AC '[m']]]="","",Tabla17[[#This Row],[AC '[m']]]/Tabla17[[#Totals],[SUBTOTAL]])</f>
        <v>0</v>
      </c>
      <c r="J5" s="43">
        <f>IF(Tabla17[[#This Row],[AP '[m']]]="","",Tabla17[[#This Row],[AP '[m']]]/Tabla17[[#Totals],[SUBTOTAL]])</f>
        <v>0</v>
      </c>
      <c r="K5" s="43">
        <f>IF(Tabla17[[#This Row],[HF '[m']]]="","",Tabla17[[#This Row],[HF '[m']]]/Tabla17[[#Totals],[SUBTOTAL]])</f>
        <v>0</v>
      </c>
      <c r="L5" s="43">
        <f>IF(Tabla17[[#This Row],[HG '[m']]]="","",Tabla17[[#This Row],[HG '[m']]]/Tabla17[[#Totals],[SUBTOTAL]])</f>
        <v>0</v>
      </c>
      <c r="M5" s="43">
        <f>IF(Tabla17[[#This Row],[PVC '[m']]]="","",Tabla17[[#This Row],[PVC '[m']]]/Tabla17[[#Totals],[SUBTOTAL]])</f>
        <v>3.9049808880946869E-3</v>
      </c>
      <c r="N5" s="43">
        <f>SUM(Tabla17[[#This Row],[AC]:[PVC]])</f>
        <v>3.9049808880946869E-3</v>
      </c>
      <c r="P5" s="44" t="s">
        <v>43</v>
      </c>
      <c r="Q5" s="45">
        <f>VLOOKUP(Tabla38[[#This Row],[DIAMETRO]],Tabla17[[#Headers],[#Data]],13,FALSE)</f>
        <v>2.0723406731962032E-2</v>
      </c>
    </row>
    <row r="6" spans="2:17" ht="20.25" x14ac:dyDescent="0.3">
      <c r="B6" s="41" t="s">
        <v>56</v>
      </c>
      <c r="C6" s="42">
        <f>Hoja7!B6</f>
        <v>0</v>
      </c>
      <c r="D6" s="42">
        <f>Hoja7!C6</f>
        <v>0</v>
      </c>
      <c r="E6" s="42">
        <f>Hoja7!D6</f>
        <v>0</v>
      </c>
      <c r="F6" s="42">
        <f>Hoja7!E6</f>
        <v>157.87</v>
      </c>
      <c r="G6" s="42">
        <f>Hoja7!F6</f>
        <v>2263.88</v>
      </c>
      <c r="H6" s="42">
        <f>SUM(Tabla17[[#This Row],[AC '[m']]:[PVC '[m']]])</f>
        <v>2421.75</v>
      </c>
      <c r="I6" s="43">
        <f>IF(Tabla17[[#This Row],[AC '[m']]]="","",Tabla17[[#This Row],[AC '[m']]]/Tabla17[[#Totals],[SUBTOTAL]])</f>
        <v>0</v>
      </c>
      <c r="J6" s="43">
        <f>IF(Tabla17[[#This Row],[AP '[m']]]="","",Tabla17[[#This Row],[AP '[m']]]/Tabla17[[#Totals],[SUBTOTAL]])</f>
        <v>0</v>
      </c>
      <c r="K6" s="43">
        <f>IF(Tabla17[[#This Row],[HF '[m']]]="","",Tabla17[[#This Row],[HF '[m']]]/Tabla17[[#Totals],[SUBTOTAL]])</f>
        <v>0</v>
      </c>
      <c r="L6" s="43">
        <f>IF(Tabla17[[#This Row],[HG '[m']]]="","",Tabla17[[#This Row],[HG '[m']]]/Tabla17[[#Totals],[SUBTOTAL]])</f>
        <v>1.3374394342072901E-3</v>
      </c>
      <c r="M6" s="43">
        <f>IF(Tabla17[[#This Row],[PVC '[m']]]="","",Tabla17[[#This Row],[PVC '[m']]]/Tabla17[[#Totals],[SUBTOTAL]])</f>
        <v>1.9179086503535819E-2</v>
      </c>
      <c r="N6" s="43">
        <f>SUM(Tabla17[[#This Row],[AC]:[PVC]])</f>
        <v>2.051652593774311E-2</v>
      </c>
      <c r="P6" s="44" t="s">
        <v>41</v>
      </c>
      <c r="Q6" s="45">
        <f>VLOOKUP(Tabla38[[#This Row],[DIAMETRO]],Tabla17[[#Headers],[#Data]],13,FALSE)</f>
        <v>2.1039149860567253E-2</v>
      </c>
    </row>
    <row r="7" spans="2:17" ht="20.25" x14ac:dyDescent="0.3">
      <c r="B7" s="41" t="s">
        <v>219</v>
      </c>
      <c r="C7" s="42">
        <f>Hoja7!B5</f>
        <v>0</v>
      </c>
      <c r="D7" s="42">
        <f>Hoja7!C5</f>
        <v>0</v>
      </c>
      <c r="E7" s="42">
        <f>Hoja7!D5</f>
        <v>0</v>
      </c>
      <c r="F7" s="42">
        <f>Hoja7!E5</f>
        <v>0</v>
      </c>
      <c r="G7" s="42">
        <f>Hoja7!F5</f>
        <v>2404.0299999999997</v>
      </c>
      <c r="H7" s="42">
        <f>SUM(Tabla17[[#This Row],[AC '[m']]:[PVC '[m']]])</f>
        <v>2404.0299999999997</v>
      </c>
      <c r="I7" s="43">
        <f>IF(Tabla17[[#This Row],[AC '[m']]]="","",Tabla17[[#This Row],[AC '[m']]]/Tabla17[[#Totals],[SUBTOTAL]])</f>
        <v>0</v>
      </c>
      <c r="J7" s="43">
        <f>IF(Tabla17[[#This Row],[AP '[m']]]="","",Tabla17[[#This Row],[AP '[m']]]/Tabla17[[#Totals],[SUBTOTAL]])</f>
        <v>0</v>
      </c>
      <c r="K7" s="43">
        <f>IF(Tabla17[[#This Row],[HF '[m']]]="","",Tabla17[[#This Row],[HF '[m']]]/Tabla17[[#Totals],[SUBTOTAL]])</f>
        <v>0</v>
      </c>
      <c r="L7" s="43">
        <f>IF(Tabla17[[#This Row],[HG '[m']]]="","",Tabla17[[#This Row],[HG '[m']]]/Tabla17[[#Totals],[SUBTOTAL]])</f>
        <v>0</v>
      </c>
      <c r="M7" s="43">
        <f>IF(Tabla17[[#This Row],[PVC '[m']]]="","",Tabla17[[#This Row],[PVC '[m']]]/Tabla17[[#Totals],[SUBTOTAL]])</f>
        <v>2.036640604939096E-2</v>
      </c>
      <c r="N7" s="43">
        <f>SUM(Tabla17[[#This Row],[AC]:[PVC]])</f>
        <v>2.036640604939096E-2</v>
      </c>
      <c r="P7" s="44" t="s">
        <v>30</v>
      </c>
      <c r="Q7" s="45">
        <f>VLOOKUP(Tabla38[[#This Row],[DIAMETRO]],Tabla17[[#Headers],[#Data]],13,FALSE)</f>
        <v>0.11724592018281411</v>
      </c>
    </row>
    <row r="8" spans="2:17" ht="20.25" x14ac:dyDescent="0.3">
      <c r="B8" s="41" t="s">
        <v>53</v>
      </c>
      <c r="C8" s="42">
        <f>Hoja7!B12</f>
        <v>47.199999999999996</v>
      </c>
      <c r="D8" s="42">
        <f>Hoja7!C12</f>
        <v>0</v>
      </c>
      <c r="E8" s="42">
        <f>Hoja7!D12</f>
        <v>52.1</v>
      </c>
      <c r="F8" s="42">
        <f>Hoja7!E12</f>
        <v>523.54999999999995</v>
      </c>
      <c r="G8" s="42">
        <f>Hoja7!F12</f>
        <v>36237.240000000013</v>
      </c>
      <c r="H8" s="42">
        <f>SUM(Tabla17[[#This Row],[AC '[m']]:[PVC '[m']]])</f>
        <v>36860.090000000011</v>
      </c>
      <c r="I8" s="43">
        <f>IF(Tabla17[[#This Row],[AC '[m']]]="","",Tabla17[[#This Row],[AC '[m']]]/Tabla17[[#Totals],[SUBTOTAL]])</f>
        <v>3.9986787416598519E-4</v>
      </c>
      <c r="J8" s="43">
        <f>IF(Tabla17[[#This Row],[AP '[m']]]="","",Tabla17[[#This Row],[AP '[m']]]/Tabla17[[#Totals],[SUBTOTAL]])</f>
        <v>0</v>
      </c>
      <c r="K8" s="43">
        <f>IF(Tabla17[[#This Row],[HF '[m']]]="","",Tabla17[[#This Row],[HF '[m']]]/Tabla17[[#Totals],[SUBTOTAL]])</f>
        <v>4.4137958144169133E-4</v>
      </c>
      <c r="L8" s="43">
        <f>IF(Tabla17[[#This Row],[HG '[m']]]="","",Tabla17[[#This Row],[HG '[m']]]/Tabla17[[#Totals],[SUBTOTAL]])</f>
        <v>4.4353988457542697E-3</v>
      </c>
      <c r="M8" s="43">
        <f>IF(Tabla17[[#This Row],[PVC '[m']]]="","",Tabla17[[#This Row],[PVC '[m']]]/Tabla17[[#Totals],[SUBTOTAL]])</f>
        <v>0.306993816195818</v>
      </c>
      <c r="N8" s="43">
        <f>SUM(Tabla17[[#This Row],[AC]:[PVC]])</f>
        <v>0.31227046249717993</v>
      </c>
      <c r="P8" s="44" t="s">
        <v>55</v>
      </c>
      <c r="Q8" s="45">
        <f>VLOOKUP(Tabla38[[#This Row],[DIAMETRO]],Tabla17[[#Headers],[#Data]],13,FALSE)</f>
        <v>9.383611296572425E-2</v>
      </c>
    </row>
    <row r="9" spans="2:17" ht="20.25" x14ac:dyDescent="0.3">
      <c r="B9" s="41" t="s">
        <v>376</v>
      </c>
      <c r="C9" s="42">
        <f>Hoja7!B11</f>
        <v>0</v>
      </c>
      <c r="D9" s="42">
        <f>Hoja7!C11</f>
        <v>0</v>
      </c>
      <c r="E9" s="42">
        <f>Hoja7!D11</f>
        <v>0</v>
      </c>
      <c r="F9" s="42">
        <f>Hoja7!E11</f>
        <v>0</v>
      </c>
      <c r="G9" s="42">
        <f>Hoja7!F11</f>
        <v>1226.58</v>
      </c>
      <c r="H9" s="42">
        <f>SUM(Tabla17[[#This Row],[AC '[m']]:[PVC '[m']]])</f>
        <v>1226.58</v>
      </c>
      <c r="I9" s="43">
        <f>IF(Tabla17[[#This Row],[AC '[m']]]="","",Tabla17[[#This Row],[AC '[m']]]/Tabla17[[#Totals],[SUBTOTAL]])</f>
        <v>0</v>
      </c>
      <c r="J9" s="43">
        <f>IF(Tabla17[[#This Row],[AP '[m']]]="","",Tabla17[[#This Row],[AP '[m']]]/Tabla17[[#Totals],[SUBTOTAL]])</f>
        <v>0</v>
      </c>
      <c r="K9" s="43">
        <f>IF(Tabla17[[#This Row],[HF '[m']]]="","",Tabla17[[#This Row],[HF '[m']]]/Tabla17[[#Totals],[SUBTOTAL]])</f>
        <v>0</v>
      </c>
      <c r="L9" s="43">
        <f>IF(Tabla17[[#This Row],[HG '[m']]]="","",Tabla17[[#This Row],[HG '[m']]]/Tabla17[[#Totals],[SUBTOTAL]])</f>
        <v>0</v>
      </c>
      <c r="M9" s="43">
        <f>IF(Tabla17[[#This Row],[PVC '[m']]]="","",Tabla17[[#This Row],[PVC '[m']]]/Tabla17[[#Totals],[SUBTOTAL]])</f>
        <v>1.0391312226578688E-2</v>
      </c>
      <c r="N9" s="43">
        <f>SUM(Tabla17[[#This Row],[AC]:[PVC]])</f>
        <v>1.0391312226578688E-2</v>
      </c>
      <c r="P9" s="44" t="s">
        <v>126</v>
      </c>
      <c r="Q9" s="45">
        <f>VLOOKUP(Tabla38[[#This Row],[DIAMETRO]],Tabla17[[#Headers],[#Data]],13,FALSE)</f>
        <v>5.4605939952552938E-2</v>
      </c>
    </row>
    <row r="10" spans="2:17" ht="20.25" x14ac:dyDescent="0.3">
      <c r="B10" s="41" t="s">
        <v>23</v>
      </c>
      <c r="C10" s="42">
        <f>Hoja7!B13</f>
        <v>1960.4299999999998</v>
      </c>
      <c r="D10" s="42">
        <f>Hoja7!C13</f>
        <v>0</v>
      </c>
      <c r="E10" s="42">
        <f>Hoja7!D13</f>
        <v>5261.2999999999984</v>
      </c>
      <c r="F10" s="42">
        <f>Hoja7!E13</f>
        <v>44.8</v>
      </c>
      <c r="G10" s="42">
        <f>Hoja7!F13</f>
        <v>29034.920000000027</v>
      </c>
      <c r="H10" s="42">
        <f>SUM(Tabla17[[#This Row],[AC '[m']]:[PVC '[m']]])</f>
        <v>36301.450000000026</v>
      </c>
      <c r="I10" s="43">
        <f>IF(Tabla17[[#This Row],[AC '[m']]]="","",Tabla17[[#This Row],[AC '[m']]]/Tabla17[[#Totals],[SUBTOTAL]])</f>
        <v>1.6608325774390302E-2</v>
      </c>
      <c r="J10" s="43">
        <f>IF(Tabla17[[#This Row],[AP '[m']]]="","",Tabla17[[#This Row],[AP '[m']]]/Tabla17[[#Totals],[SUBTOTAL]])</f>
        <v>0</v>
      </c>
      <c r="K10" s="43">
        <f>IF(Tabla17[[#This Row],[HF '[m']]]="","",Tabla17[[#This Row],[HF '[m']]]/Tabla17[[#Totals],[SUBTOTAL]])</f>
        <v>4.4572560304014776E-2</v>
      </c>
      <c r="L10" s="43">
        <f>IF(Tabla17[[#This Row],[HG '[m']]]="","",Tabla17[[#This Row],[HG '[m']]]/Tabla17[[#Totals],[SUBTOTAL]])</f>
        <v>3.7953560937788422E-4</v>
      </c>
      <c r="M10" s="43">
        <f>IF(Tabla17[[#This Row],[PVC '[m']]]="","",Tabla17[[#This Row],[PVC '[m']]]/Tabla17[[#Totals],[SUBTOTAL]])</f>
        <v>0.24597736730888684</v>
      </c>
      <c r="N10" s="43">
        <f>SUM(Tabla17[[#This Row],[AC]:[PVC]])</f>
        <v>0.30753778899666978</v>
      </c>
      <c r="P10" s="44" t="s">
        <v>23</v>
      </c>
      <c r="Q10" s="45">
        <f>VLOOKUP(Tabla38[[#This Row],[DIAMETRO]],Tabla17[[#Headers],[#Data]],13,FALSE)</f>
        <v>0.30753778899666978</v>
      </c>
    </row>
    <row r="11" spans="2:17" ht="20.25" x14ac:dyDescent="0.3">
      <c r="B11" s="41" t="s">
        <v>126</v>
      </c>
      <c r="C11" s="42">
        <f>Hoja7!B15</f>
        <v>56.56</v>
      </c>
      <c r="D11" s="42">
        <f>Hoja7!C15</f>
        <v>0</v>
      </c>
      <c r="E11" s="42">
        <f>Hoja7!D15</f>
        <v>1484.6100000000001</v>
      </c>
      <c r="F11" s="42">
        <f>Hoja7!E15</f>
        <v>302.12</v>
      </c>
      <c r="G11" s="42">
        <f>Hoja7!F15</f>
        <v>4602.3399999999983</v>
      </c>
      <c r="H11" s="42">
        <f>SUM(Tabla17[[#This Row],[AC '[m']]:[PVC '[m']]])</f>
        <v>6445.6299999999983</v>
      </c>
      <c r="I11" s="43">
        <f>IF(Tabla17[[#This Row],[AC '[m']]]="","",Tabla17[[#This Row],[AC '[m']]]/Tabla17[[#Totals],[SUBTOTAL]])</f>
        <v>4.791637068395789E-4</v>
      </c>
      <c r="J11" s="43">
        <f>IF(Tabla17[[#This Row],[AP '[m']]]="","",Tabla17[[#This Row],[AP '[m']]]/Tabla17[[#Totals],[SUBTOTAL]])</f>
        <v>0</v>
      </c>
      <c r="K11" s="43">
        <f>IF(Tabla17[[#This Row],[HF '[m']]]="","",Tabla17[[#This Row],[HF '[m']]]/Tabla17[[#Totals],[SUBTOTAL]])</f>
        <v>1.2577284844609392E-2</v>
      </c>
      <c r="L11" s="43">
        <f>IF(Tabla17[[#This Row],[HG '[m']]]="","",Tabla17[[#This Row],[HG '[m']]]/Tabla17[[#Totals],[SUBTOTAL]])</f>
        <v>2.5594932657421071E-3</v>
      </c>
      <c r="M11" s="43">
        <f>IF(Tabla17[[#This Row],[PVC '[m']]]="","",Tabla17[[#This Row],[PVC '[m']]]/Tabla17[[#Totals],[SUBTOTAL]])</f>
        <v>3.8989998135361859E-2</v>
      </c>
      <c r="N11" s="43">
        <f>SUM(Tabla17[[#This Row],[AC]:[PVC]])</f>
        <v>5.4605939952552938E-2</v>
      </c>
      <c r="P11" s="44" t="s">
        <v>376</v>
      </c>
      <c r="Q11" s="45">
        <f>VLOOKUP(Tabla38[[#This Row],[DIAMETRO]],Tabla17[[#Headers],[#Data]],13,FALSE)</f>
        <v>1.0391312226578688E-2</v>
      </c>
    </row>
    <row r="12" spans="2:17" ht="20.25" x14ac:dyDescent="0.3">
      <c r="B12" s="41" t="s">
        <v>55</v>
      </c>
      <c r="C12" s="42">
        <f>Hoja7!B16</f>
        <v>795.95999999999992</v>
      </c>
      <c r="D12" s="42">
        <f>Hoja7!C16</f>
        <v>0</v>
      </c>
      <c r="E12" s="42">
        <f>Hoja7!D16</f>
        <v>1035.7699999999998</v>
      </c>
      <c r="F12" s="42">
        <f>Hoja7!E16</f>
        <v>1038.51</v>
      </c>
      <c r="G12" s="42">
        <f>Hoja7!F16</f>
        <v>8206.0799999999981</v>
      </c>
      <c r="H12" s="42">
        <f>SUM(Tabla17[[#This Row],[AC '[m']]:[PVC '[m']]])</f>
        <v>11076.319999999998</v>
      </c>
      <c r="I12" s="43">
        <f>IF(Tabla17[[#This Row],[AC '[m']]]="","",Tabla17[[#This Row],[AC '[m']]]/Tabla17[[#Totals],[SUBTOTAL]])</f>
        <v>6.7431956169736766E-3</v>
      </c>
      <c r="J12" s="43">
        <f>IF(Tabla17[[#This Row],[AP '[m']]]="","",Tabla17[[#This Row],[AP '[m']]]/Tabla17[[#Totals],[SUBTOTAL]])</f>
        <v>0</v>
      </c>
      <c r="K12" s="43">
        <f>IF(Tabla17[[#This Row],[HF '[m']]]="","",Tabla17[[#This Row],[HF '[m']]]/Tabla17[[#Totals],[SUBTOTAL]])</f>
        <v>8.774812458154712E-3</v>
      </c>
      <c r="L12" s="43">
        <f>IF(Tabla17[[#This Row],[HG '[m']]]="","",Tabla17[[#This Row],[HG '[m']]]/Tabla17[[#Totals],[SUBTOTAL]])</f>
        <v>8.7980251271211288E-3</v>
      </c>
      <c r="M12" s="43">
        <f>IF(Tabla17[[#This Row],[PVC '[m']]]="","",Tabla17[[#This Row],[PVC '[m']]]/Tabla17[[#Totals],[SUBTOTAL]])</f>
        <v>6.9520079763474726E-2</v>
      </c>
      <c r="N12" s="43">
        <f>SUM(Tabla17[[#This Row],[AC]:[PVC]])</f>
        <v>9.383611296572425E-2</v>
      </c>
      <c r="P12" s="44" t="s">
        <v>53</v>
      </c>
      <c r="Q12" s="45">
        <f>VLOOKUP(Tabla38[[#This Row],[DIAMETRO]],Tabla17[[#Headers],[#Data]],13,FALSE)</f>
        <v>0.31227046249717993</v>
      </c>
    </row>
    <row r="13" spans="2:17" ht="20.25" x14ac:dyDescent="0.3">
      <c r="B13" s="41" t="s">
        <v>30</v>
      </c>
      <c r="C13" s="42">
        <f>Hoja7!B17</f>
        <v>2859.46</v>
      </c>
      <c r="D13" s="42">
        <f>Hoja7!C17</f>
        <v>0</v>
      </c>
      <c r="E13" s="42">
        <f>Hoja7!D17</f>
        <v>545.82000000000005</v>
      </c>
      <c r="F13" s="42">
        <f>Hoja7!E17</f>
        <v>0</v>
      </c>
      <c r="G13" s="42">
        <f>Hoja7!F17</f>
        <v>10434.309999999998</v>
      </c>
      <c r="H13" s="42">
        <f>SUM(Tabla17[[#This Row],[AC '[m']]:[PVC '[m']]])</f>
        <v>13839.589999999998</v>
      </c>
      <c r="I13" s="43">
        <f>IF(Tabla17[[#This Row],[AC '[m']]]="","",Tabla17[[#This Row],[AC '[m']]]/Tabla17[[#Totals],[SUBTOTAL]])</f>
        <v>2.4224707446242968E-2</v>
      </c>
      <c r="J13" s="43">
        <f>IF(Tabla17[[#This Row],[AP '[m']]]="","",Tabla17[[#This Row],[AP '[m']]]/Tabla17[[#Totals],[SUBTOTAL]])</f>
        <v>0</v>
      </c>
      <c r="K13" s="43">
        <f>IF(Tabla17[[#This Row],[HF '[m']]]="","",Tabla17[[#This Row],[HF '[m']]]/Tabla17[[#Totals],[SUBTOTAL]])</f>
        <v>4.6240653194338571E-3</v>
      </c>
      <c r="L13" s="43">
        <f>IF(Tabla17[[#This Row],[HG '[m']]]="","",Tabla17[[#This Row],[HG '[m']]]/Tabla17[[#Totals],[SUBTOTAL]])</f>
        <v>0</v>
      </c>
      <c r="M13" s="43">
        <f>IF(Tabla17[[#This Row],[PVC '[m']]]="","",Tabla17[[#This Row],[PVC '[m']]]/Tabla17[[#Totals],[SUBTOTAL]])</f>
        <v>8.8397147417137292E-2</v>
      </c>
      <c r="N13" s="43">
        <f>SUM(Tabla17[[#This Row],[AC]:[PVC]])</f>
        <v>0.11724592018281411</v>
      </c>
      <c r="P13" s="44" t="s">
        <v>219</v>
      </c>
      <c r="Q13" s="45">
        <f>VLOOKUP(Tabla38[[#This Row],[DIAMETRO]],Tabla17[[#Headers],[#Data]],13,FALSE)</f>
        <v>2.036640604939096E-2</v>
      </c>
    </row>
    <row r="14" spans="2:17" ht="20.25" x14ac:dyDescent="0.3">
      <c r="B14" s="41" t="s">
        <v>41</v>
      </c>
      <c r="C14" s="42">
        <f>Hoja7!B8</f>
        <v>0</v>
      </c>
      <c r="D14" s="42">
        <f>Hoja7!C8</f>
        <v>0</v>
      </c>
      <c r="E14" s="42">
        <f>Hoja7!D8</f>
        <v>853.49</v>
      </c>
      <c r="F14" s="42">
        <f>Hoja7!E8</f>
        <v>0</v>
      </c>
      <c r="G14" s="42">
        <f>Hoja7!F8</f>
        <v>1629.95</v>
      </c>
      <c r="H14" s="42">
        <f>SUM(Tabla17[[#This Row],[AC '[m']]:[PVC '[m']]])</f>
        <v>2483.44</v>
      </c>
      <c r="I14" s="43">
        <f>IF(Tabla17[[#This Row],[AC '[m']]]="","",Tabla17[[#This Row],[AC '[m']]]/Tabla17[[#Totals],[SUBTOTAL]])</f>
        <v>0</v>
      </c>
      <c r="J14" s="43">
        <f>IF(Tabla17[[#This Row],[AP '[m']]]="","",Tabla17[[#This Row],[AP '[m']]]/Tabla17[[#Totals],[SUBTOTAL]])</f>
        <v>0</v>
      </c>
      <c r="K14" s="43">
        <f>IF(Tabla17[[#This Row],[HF '[m']]]="","",Tabla17[[#This Row],[HF '[m']]]/Tabla17[[#Totals],[SUBTOTAL]])</f>
        <v>7.2305769474984476E-3</v>
      </c>
      <c r="L14" s="43">
        <f>IF(Tabla17[[#This Row],[HG '[m']]]="","",Tabla17[[#This Row],[HG '[m']]]/Tabla17[[#Totals],[SUBTOTAL]])</f>
        <v>0</v>
      </c>
      <c r="M14" s="43">
        <f>IF(Tabla17[[#This Row],[PVC '[m']]]="","",Tabla17[[#This Row],[PVC '[m']]]/Tabla17[[#Totals],[SUBTOTAL]])</f>
        <v>1.3808572913068804E-2</v>
      </c>
      <c r="N14" s="43">
        <f>SUM(Tabla17[[#This Row],[AC]:[PVC]])</f>
        <v>2.1039149860567253E-2</v>
      </c>
      <c r="P14" s="44" t="s">
        <v>56</v>
      </c>
      <c r="Q14" s="45">
        <f>VLOOKUP(Tabla38[[#This Row],[DIAMETRO]],Tabla17[[#Headers],[#Data]],13,FALSE)</f>
        <v>2.051652593774311E-2</v>
      </c>
    </row>
    <row r="15" spans="2:17" ht="20.25" x14ac:dyDescent="0.3">
      <c r="B15" s="41" t="s">
        <v>43</v>
      </c>
      <c r="C15" s="42">
        <f>Hoja7!B9</f>
        <v>0</v>
      </c>
      <c r="D15" s="42">
        <f>Hoja7!C9</f>
        <v>0</v>
      </c>
      <c r="E15" s="42">
        <f>Hoja7!D9</f>
        <v>2446.1699999999996</v>
      </c>
      <c r="F15" s="42">
        <f>Hoja7!E9</f>
        <v>0</v>
      </c>
      <c r="G15" s="42">
        <f>Hoja7!F9</f>
        <v>0</v>
      </c>
      <c r="H15" s="42">
        <f>SUM(Tabla17[[#This Row],[AC '[m']]:[PVC '[m']]])</f>
        <v>2446.1699999999996</v>
      </c>
      <c r="I15" s="43">
        <f>IF(Tabla17[[#This Row],[AC '[m']]]="","",Tabla17[[#This Row],[AC '[m']]]/Tabla17[[#Totals],[SUBTOTAL]])</f>
        <v>0</v>
      </c>
      <c r="J15" s="43">
        <f>IF(Tabla17[[#This Row],[AP '[m']]]="","",Tabla17[[#This Row],[AP '[m']]]/Tabla17[[#Totals],[SUBTOTAL]])</f>
        <v>0</v>
      </c>
      <c r="K15" s="43">
        <f>IF(Tabla17[[#This Row],[HF '[m']]]="","",Tabla17[[#This Row],[HF '[m']]]/Tabla17[[#Totals],[SUBTOTAL]])</f>
        <v>2.0723406731962032E-2</v>
      </c>
      <c r="L15" s="43">
        <f>IF(Tabla17[[#This Row],[HG '[m']]]="","",Tabla17[[#This Row],[HG '[m']]]/Tabla17[[#Totals],[SUBTOTAL]])</f>
        <v>0</v>
      </c>
      <c r="M15" s="43">
        <f>IF(Tabla17[[#This Row],[PVC '[m']]]="","",Tabla17[[#This Row],[PVC '[m']]]/Tabla17[[#Totals],[SUBTOTAL]])</f>
        <v>0</v>
      </c>
      <c r="N15" s="43">
        <f>SUM(Tabla17[[#This Row],[AC]:[PVC]])</f>
        <v>2.0723406731962032E-2</v>
      </c>
      <c r="P15" s="44" t="s">
        <v>795</v>
      </c>
      <c r="Q15" s="45">
        <f>VLOOKUP(Tabla38[[#This Row],[DIAMETRO]],Tabla17[[#Headers],[#Data]],13,FALSE)</f>
        <v>3.9049808880946869E-3</v>
      </c>
    </row>
    <row r="16" spans="2:17" ht="20.25" x14ac:dyDescent="0.3">
      <c r="B16" s="41" t="s">
        <v>47</v>
      </c>
      <c r="C16" s="42">
        <f>Hoja7!B10</f>
        <v>0</v>
      </c>
      <c r="D16" s="42">
        <f>Hoja7!C10</f>
        <v>1798.9799999999998</v>
      </c>
      <c r="E16" s="42">
        <f>Hoja7!D10</f>
        <v>0</v>
      </c>
      <c r="F16" s="42">
        <f>Hoja7!E10</f>
        <v>0</v>
      </c>
      <c r="G16" s="42">
        <f>Hoja7!F10</f>
        <v>0</v>
      </c>
      <c r="H16" s="42">
        <f>SUM(Tabla17[[#This Row],[AC '[m']]:[PVC '[m']]])</f>
        <v>1798.9799999999998</v>
      </c>
      <c r="I16" s="43">
        <f>IF(Tabla17[[#This Row],[AC '[m']]]="","",Tabla17[[#This Row],[AC '[m']]]/Tabla17[[#Totals],[SUBTOTAL]])</f>
        <v>0</v>
      </c>
      <c r="J16" s="43">
        <f>IF(Tabla17[[#This Row],[AP '[m']]]="","",Tabla17[[#This Row],[AP '[m']]]/Tabla17[[#Totals],[SUBTOTAL]])</f>
        <v>1.5240557378540763E-2</v>
      </c>
      <c r="K16" s="43">
        <f>IF(Tabla17[[#This Row],[HF '[m']]]="","",Tabla17[[#This Row],[HF '[m']]]/Tabla17[[#Totals],[SUBTOTAL]])</f>
        <v>0</v>
      </c>
      <c r="L16" s="43">
        <f>IF(Tabla17[[#This Row],[HG '[m']]]="","",Tabla17[[#This Row],[HG '[m']]]/Tabla17[[#Totals],[SUBTOTAL]])</f>
        <v>0</v>
      </c>
      <c r="M16" s="43">
        <f>IF(Tabla17[[#This Row],[PVC '[m']]]="","",Tabla17[[#This Row],[PVC '[m']]]/Tabla17[[#Totals],[SUBTOTAL]])</f>
        <v>0</v>
      </c>
      <c r="N16" s="43">
        <f>SUM(Tabla17[[#This Row],[AC]:[PVC]])</f>
        <v>1.5240557378540763E-2</v>
      </c>
      <c r="P16" s="44" t="s">
        <v>375</v>
      </c>
      <c r="Q16" s="46">
        <f>VLOOKUP(Tabla38[[#This Row],[DIAMETRO]],Tabla17[[#Headers],[#Data]],13,FALSE)</f>
        <v>2.3214363321814252E-3</v>
      </c>
    </row>
    <row r="17" spans="2:14" ht="20.25" x14ac:dyDescent="0.3">
      <c r="B17" s="41" t="s">
        <v>1178</v>
      </c>
      <c r="C17" s="42">
        <f>SUBTOTAL(109,Tabla17[AC '[m']])</f>
        <v>5719.6100000000006</v>
      </c>
      <c r="D17" s="42">
        <f>SUBTOTAL(109,Tabla17[AP '[m']])</f>
        <v>1798.9799999999998</v>
      </c>
      <c r="E17" s="42">
        <f>SUBTOTAL(109,Tabla17[HF '[m']])</f>
        <v>11679.259999999998</v>
      </c>
      <c r="F17" s="42">
        <f>SUBTOTAL(109,Tabla17[HG '[m']])</f>
        <v>2123.5500000000002</v>
      </c>
      <c r="G17" s="42">
        <f>SUBTOTAL(109,Tabla17[PVC '[m']])</f>
        <v>96717.590000000026</v>
      </c>
      <c r="H17" s="42">
        <f>SUBTOTAL(109,Tabla17[SUBTOTAL])</f>
        <v>118038.99000000003</v>
      </c>
      <c r="I17" s="47">
        <f>SUBTOTAL(109,Tabla17[AC])</f>
        <v>4.8455260418612506E-2</v>
      </c>
      <c r="J17" s="47">
        <f>SUBTOTAL(109,Tabla17[AP])</f>
        <v>1.5240557378540763E-2</v>
      </c>
      <c r="K17" s="47">
        <f>SUBTOTAL(109,Tabla17[HF])</f>
        <v>9.8944086187114894E-2</v>
      </c>
      <c r="L17" s="47">
        <f>SUBTOTAL(109,Tabla17[HG])</f>
        <v>1.7990242037821565E-2</v>
      </c>
      <c r="M17" s="47">
        <f>SUBTOTAL(109,Tabla17[PVC])</f>
        <v>0.81936985397791029</v>
      </c>
      <c r="N17" s="47">
        <f>SUBTOTAL(109,Tabla17[SUBTOTAL '[%']])</f>
        <v>0.99999999999999989</v>
      </c>
    </row>
  </sheetData>
  <mergeCells count="2">
    <mergeCell ref="C2:G2"/>
    <mergeCell ref="I2:M2"/>
  </mergeCells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Gráficos</vt:lpstr>
      </vt:variant>
      <vt:variant>
        <vt:i4>2</vt:i4>
      </vt:variant>
    </vt:vector>
  </HeadingPairs>
  <TitlesOfParts>
    <vt:vector size="10" baseType="lpstr">
      <vt:lpstr>Hoja2</vt:lpstr>
      <vt:lpstr>BASE</vt:lpstr>
      <vt:lpstr>TRAMOS</vt:lpstr>
      <vt:lpstr>Datos</vt:lpstr>
      <vt:lpstr>tabla dinamica para analisis</vt:lpstr>
      <vt:lpstr>Analisis de dist. de tub.</vt:lpstr>
      <vt:lpstr>Hoja7</vt:lpstr>
      <vt:lpstr>ANALISIS DE TUBERÍA DE RED</vt:lpstr>
      <vt:lpstr>Grafico x dis. y clasificación</vt:lpstr>
      <vt:lpstr>Gráfico dis por material y diam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sindy yojana becerra parada</dc:creator>
  <cp:lastModifiedBy>sindy yojana becerra parada</cp:lastModifiedBy>
  <dcterms:created xsi:type="dcterms:W3CDTF">2024-05-29T19:27:33Z</dcterms:created>
  <dcterms:modified xsi:type="dcterms:W3CDTF">2024-09-16T16:42:30Z</dcterms:modified>
</cp:coreProperties>
</file>