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12"/>
  <workbookPr/>
  <mc:AlternateContent xmlns:mc="http://schemas.openxmlformats.org/markup-compatibility/2006">
    <mc:Choice Requires="x15">
      <x15ac:absPath xmlns:x15ac="http://schemas.microsoft.com/office/spreadsheetml/2010/11/ac" url="D:\Trabajos U\TESIS\Docs Tesis\Objetivo 2\"/>
    </mc:Choice>
  </mc:AlternateContent>
  <xr:revisionPtr revIDLastSave="0" documentId="13_ncr:1_{3497D57A-D200-48E3-93F6-B4EFA1945105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METODOS" sheetId="1" state="hidden" r:id="rId1"/>
    <sheet name="GRAFICA" sheetId="3" state="hidden" r:id="rId2"/>
    <sheet name="PROY1" sheetId="5" r:id="rId3"/>
    <sheet name="PROY2" sheetId="4" r:id="rId4"/>
    <sheet name="PROY3" sheetId="6" r:id="rId5"/>
  </sheets>
  <definedNames>
    <definedName name="_xlnm.Print_Area" localSheetId="1">GRAFICA!$A$1:$L$32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" i="4" l="1"/>
  <c r="K13" i="5"/>
  <c r="C13" i="6" l="1"/>
  <c r="G7" i="6"/>
  <c r="F7" i="6"/>
  <c r="E7" i="6"/>
  <c r="D7" i="6"/>
  <c r="G6" i="6"/>
  <c r="F6" i="6"/>
  <c r="E6" i="6"/>
  <c r="D6" i="6"/>
  <c r="G5" i="6"/>
  <c r="F5" i="6"/>
  <c r="E5" i="6"/>
  <c r="D5" i="6"/>
  <c r="G4" i="6"/>
  <c r="F4" i="6"/>
  <c r="E4" i="6"/>
  <c r="D4" i="6"/>
  <c r="G7" i="5"/>
  <c r="F7" i="5"/>
  <c r="E7" i="5"/>
  <c r="D7" i="5"/>
  <c r="G6" i="5"/>
  <c r="F6" i="5"/>
  <c r="E6" i="5"/>
  <c r="D6" i="5"/>
  <c r="G5" i="5"/>
  <c r="F5" i="5"/>
  <c r="E5" i="5"/>
  <c r="D5" i="5"/>
  <c r="G4" i="5"/>
  <c r="F4" i="5"/>
  <c r="E4" i="5"/>
  <c r="D4" i="5"/>
  <c r="F4" i="4"/>
  <c r="F5" i="4"/>
  <c r="F6" i="4"/>
  <c r="F7" i="4"/>
  <c r="G4" i="4"/>
  <c r="G5" i="4"/>
  <c r="G6" i="4"/>
  <c r="G7" i="4"/>
  <c r="E4" i="4"/>
  <c r="E5" i="4"/>
  <c r="E6" i="4"/>
  <c r="E7" i="4"/>
  <c r="D4" i="4"/>
  <c r="D5" i="4"/>
  <c r="D6" i="4"/>
  <c r="D7" i="4"/>
  <c r="C10" i="1"/>
  <c r="C24" i="1"/>
  <c r="J24" i="1"/>
  <c r="K24" i="1"/>
  <c r="S24" i="1"/>
  <c r="T24" i="1"/>
  <c r="AB24" i="1"/>
  <c r="AC24" i="1"/>
  <c r="C25" i="1"/>
  <c r="E25" i="1" s="1"/>
  <c r="J25" i="1"/>
  <c r="K25" i="1"/>
  <c r="S25" i="1"/>
  <c r="T25" i="1"/>
  <c r="U24" i="1" s="1"/>
  <c r="AB25" i="1"/>
  <c r="AC25" i="1"/>
  <c r="C26" i="1"/>
  <c r="D26" i="1" s="1"/>
  <c r="J26" i="1"/>
  <c r="K26" i="1"/>
  <c r="S26" i="1"/>
  <c r="T26" i="1"/>
  <c r="AB26" i="1"/>
  <c r="AD26" i="1" s="1"/>
  <c r="AC26" i="1"/>
  <c r="C18" i="1"/>
  <c r="J18" i="1"/>
  <c r="K18" i="1"/>
  <c r="S18" i="1"/>
  <c r="T18" i="1"/>
  <c r="AB18" i="1"/>
  <c r="AC18" i="1"/>
  <c r="C19" i="1"/>
  <c r="J19" i="1"/>
  <c r="K19" i="1"/>
  <c r="S19" i="1"/>
  <c r="T19" i="1"/>
  <c r="AB19" i="1"/>
  <c r="AD19" i="1" s="1"/>
  <c r="AC19" i="1"/>
  <c r="C20" i="1"/>
  <c r="J20" i="1"/>
  <c r="K20" i="1"/>
  <c r="S20" i="1"/>
  <c r="T20" i="1"/>
  <c r="AB20" i="1"/>
  <c r="AC20" i="1"/>
  <c r="C21" i="1"/>
  <c r="J21" i="1"/>
  <c r="K21" i="1"/>
  <c r="S21" i="1"/>
  <c r="T21" i="1"/>
  <c r="U20" i="1" s="1"/>
  <c r="AB21" i="1"/>
  <c r="AC21" i="1"/>
  <c r="C22" i="1"/>
  <c r="J22" i="1"/>
  <c r="K22" i="1"/>
  <c r="S22" i="1"/>
  <c r="T22" i="1"/>
  <c r="AB22" i="1"/>
  <c r="AC22" i="1"/>
  <c r="C23" i="1"/>
  <c r="J23" i="1"/>
  <c r="K23" i="1"/>
  <c r="S23" i="1"/>
  <c r="U22" i="1" s="1"/>
  <c r="T23" i="1"/>
  <c r="AB23" i="1"/>
  <c r="AC23" i="1"/>
  <c r="D8" i="1"/>
  <c r="U23" i="1" l="1"/>
  <c r="U26" i="1"/>
  <c r="AD21" i="1"/>
  <c r="U19" i="1"/>
  <c r="U18" i="1"/>
  <c r="U21" i="1"/>
  <c r="AD23" i="1"/>
  <c r="AD24" i="1"/>
  <c r="U25" i="1"/>
  <c r="D23" i="1"/>
  <c r="AD20" i="1"/>
  <c r="D10" i="1"/>
  <c r="D8" i="5"/>
  <c r="D29" i="5" s="1"/>
  <c r="E8" i="6"/>
  <c r="E23" i="6" s="1"/>
  <c r="F8" i="6"/>
  <c r="F26" i="6" s="1"/>
  <c r="D8" i="6"/>
  <c r="D19" i="6" s="1"/>
  <c r="G8" i="6"/>
  <c r="G15" i="6" s="1"/>
  <c r="E13" i="6"/>
  <c r="E14" i="6"/>
  <c r="G19" i="6"/>
  <c r="G17" i="6"/>
  <c r="G18" i="6"/>
  <c r="E8" i="5"/>
  <c r="E16" i="5" s="1"/>
  <c r="D18" i="5"/>
  <c r="D15" i="5"/>
  <c r="F8" i="5"/>
  <c r="G8" i="5"/>
  <c r="G8" i="4"/>
  <c r="D8" i="4"/>
  <c r="D13" i="4" s="1"/>
  <c r="F8" i="4"/>
  <c r="E8" i="4"/>
  <c r="AD22" i="1"/>
  <c r="AD25" i="1"/>
  <c r="AI25" i="1" s="1"/>
  <c r="AD18" i="1"/>
  <c r="D19" i="1"/>
  <c r="D20" i="1"/>
  <c r="D21" i="1"/>
  <c r="D24" i="1"/>
  <c r="D25" i="1"/>
  <c r="Z26" i="1"/>
  <c r="I25" i="1"/>
  <c r="H25" i="1"/>
  <c r="I26" i="1"/>
  <c r="G25" i="1"/>
  <c r="H26" i="1"/>
  <c r="F25" i="1"/>
  <c r="AI26" i="1"/>
  <c r="AJ26" i="1"/>
  <c r="AF26" i="1"/>
  <c r="AE26" i="1"/>
  <c r="AH26" i="1"/>
  <c r="AG26" i="1"/>
  <c r="AA26" i="1"/>
  <c r="W26" i="1"/>
  <c r="G26" i="1"/>
  <c r="F26" i="1"/>
  <c r="E26" i="1"/>
  <c r="D18" i="1"/>
  <c r="D22" i="1"/>
  <c r="D5" i="3"/>
  <c r="D6" i="3" s="1"/>
  <c r="D7" i="3" s="1"/>
  <c r="D8" i="3" s="1"/>
  <c r="D9" i="3" s="1"/>
  <c r="D10" i="3" s="1"/>
  <c r="C11" i="1"/>
  <c r="C12" i="1"/>
  <c r="C13" i="1"/>
  <c r="C14" i="1"/>
  <c r="C15" i="1"/>
  <c r="C16" i="1"/>
  <c r="C17" i="1"/>
  <c r="AC17" i="1"/>
  <c r="AB17" i="1"/>
  <c r="AC16" i="1"/>
  <c r="AB16" i="1"/>
  <c r="AC15" i="1"/>
  <c r="AB15" i="1"/>
  <c r="AC14" i="1"/>
  <c r="AB14" i="1"/>
  <c r="AC13" i="1"/>
  <c r="AB13" i="1"/>
  <c r="AC12" i="1"/>
  <c r="AB12" i="1"/>
  <c r="AC11" i="1"/>
  <c r="AB11" i="1"/>
  <c r="AC10" i="1"/>
  <c r="AB10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K16" i="1"/>
  <c r="K17" i="1"/>
  <c r="K11" i="1"/>
  <c r="K12" i="1"/>
  <c r="K13" i="1"/>
  <c r="K14" i="1"/>
  <c r="K15" i="1"/>
  <c r="K10" i="1"/>
  <c r="J16" i="1"/>
  <c r="J17" i="1"/>
  <c r="J11" i="1"/>
  <c r="J12" i="1"/>
  <c r="J13" i="1"/>
  <c r="J14" i="1"/>
  <c r="J15" i="1"/>
  <c r="J10" i="1"/>
  <c r="D24" i="5" l="1"/>
  <c r="D14" i="5"/>
  <c r="D23" i="5"/>
  <c r="D22" i="5"/>
  <c r="D27" i="5"/>
  <c r="E26" i="5"/>
  <c r="D20" i="5"/>
  <c r="D26" i="5"/>
  <c r="D19" i="5"/>
  <c r="D17" i="5"/>
  <c r="D28" i="5"/>
  <c r="D13" i="5"/>
  <c r="D16" i="5"/>
  <c r="D25" i="5"/>
  <c r="D21" i="5"/>
  <c r="D22" i="6"/>
  <c r="E16" i="6"/>
  <c r="E15" i="6"/>
  <c r="AD13" i="1"/>
  <c r="AD17" i="1"/>
  <c r="D23" i="6"/>
  <c r="E20" i="6"/>
  <c r="E19" i="6"/>
  <c r="D21" i="6"/>
  <c r="E22" i="6"/>
  <c r="E21" i="6"/>
  <c r="U11" i="1"/>
  <c r="U15" i="1"/>
  <c r="E18" i="6"/>
  <c r="E24" i="6"/>
  <c r="E27" i="6"/>
  <c r="U13" i="1"/>
  <c r="E26" i="6"/>
  <c r="E29" i="6"/>
  <c r="E17" i="6"/>
  <c r="AD15" i="1"/>
  <c r="F23" i="6"/>
  <c r="E28" i="6"/>
  <c r="AD12" i="1"/>
  <c r="AD16" i="1"/>
  <c r="F21" i="6"/>
  <c r="E25" i="6"/>
  <c r="U12" i="1"/>
  <c r="U16" i="1"/>
  <c r="L10" i="1"/>
  <c r="AD10" i="1"/>
  <c r="AD14" i="1"/>
  <c r="F14" i="6"/>
  <c r="U10" i="1"/>
  <c r="U14" i="1"/>
  <c r="F16" i="6"/>
  <c r="U17" i="1"/>
  <c r="G20" i="6"/>
  <c r="G22" i="6"/>
  <c r="D24" i="6"/>
  <c r="G21" i="6"/>
  <c r="F19" i="6"/>
  <c r="F28" i="6"/>
  <c r="D27" i="6"/>
  <c r="G23" i="6"/>
  <c r="D13" i="6"/>
  <c r="G25" i="6"/>
  <c r="D16" i="6"/>
  <c r="D15" i="6"/>
  <c r="D14" i="6"/>
  <c r="G28" i="6"/>
  <c r="G27" i="6"/>
  <c r="F13" i="6"/>
  <c r="F29" i="6"/>
  <c r="D26" i="6"/>
  <c r="D25" i="6"/>
  <c r="D28" i="6"/>
  <c r="F24" i="6"/>
  <c r="G26" i="6"/>
  <c r="D18" i="6"/>
  <c r="D17" i="6"/>
  <c r="G14" i="6"/>
  <c r="G13" i="6"/>
  <c r="G29" i="6"/>
  <c r="F15" i="6"/>
  <c r="F18" i="6"/>
  <c r="G24" i="6"/>
  <c r="F25" i="6"/>
  <c r="D29" i="6"/>
  <c r="F22" i="6"/>
  <c r="F27" i="6"/>
  <c r="D20" i="6"/>
  <c r="G16" i="6"/>
  <c r="F20" i="6"/>
  <c r="F17" i="6"/>
  <c r="E25" i="5"/>
  <c r="E19" i="5"/>
  <c r="E22" i="5"/>
  <c r="E27" i="5"/>
  <c r="M27" i="5" s="1"/>
  <c r="N27" i="5" s="1"/>
  <c r="O27" i="5" s="1"/>
  <c r="P27" i="5" s="1"/>
  <c r="E21" i="5"/>
  <c r="E13" i="5"/>
  <c r="E17" i="5"/>
  <c r="E15" i="5"/>
  <c r="E24" i="5"/>
  <c r="E29" i="5"/>
  <c r="E20" i="5"/>
  <c r="E14" i="5"/>
  <c r="E18" i="5"/>
  <c r="E28" i="5"/>
  <c r="E23" i="5"/>
  <c r="G18" i="5"/>
  <c r="G26" i="5"/>
  <c r="G19" i="5"/>
  <c r="G27" i="5"/>
  <c r="G20" i="5"/>
  <c r="G28" i="5"/>
  <c r="G13" i="5"/>
  <c r="G21" i="5"/>
  <c r="G29" i="5"/>
  <c r="G14" i="5"/>
  <c r="G22" i="5"/>
  <c r="G25" i="5"/>
  <c r="G15" i="5"/>
  <c r="G23" i="5"/>
  <c r="G17" i="5"/>
  <c r="G16" i="5"/>
  <c r="G24" i="5"/>
  <c r="F17" i="5"/>
  <c r="F25" i="5"/>
  <c r="F16" i="5"/>
  <c r="H16" i="5" s="1"/>
  <c r="F18" i="5"/>
  <c r="F26" i="5"/>
  <c r="F13" i="5"/>
  <c r="F19" i="5"/>
  <c r="F27" i="5"/>
  <c r="F20" i="5"/>
  <c r="F28" i="5"/>
  <c r="F21" i="5"/>
  <c r="F29" i="5"/>
  <c r="F14" i="5"/>
  <c r="F22" i="5"/>
  <c r="F24" i="5"/>
  <c r="F15" i="5"/>
  <c r="F23" i="5"/>
  <c r="F13" i="4"/>
  <c r="F21" i="4"/>
  <c r="F29" i="4"/>
  <c r="F14" i="4"/>
  <c r="F22" i="4"/>
  <c r="F15" i="4"/>
  <c r="F23" i="4"/>
  <c r="F16" i="4"/>
  <c r="F24" i="4"/>
  <c r="F25" i="4"/>
  <c r="F17" i="4"/>
  <c r="F18" i="4"/>
  <c r="F26" i="4"/>
  <c r="F19" i="4"/>
  <c r="F27" i="4"/>
  <c r="F20" i="4"/>
  <c r="F28" i="4"/>
  <c r="E19" i="4"/>
  <c r="E13" i="4"/>
  <c r="D16" i="4"/>
  <c r="G18" i="4"/>
  <c r="G26" i="4"/>
  <c r="G19" i="4"/>
  <c r="G27" i="4"/>
  <c r="G20" i="4"/>
  <c r="G28" i="4"/>
  <c r="G13" i="4"/>
  <c r="G21" i="4"/>
  <c r="G29" i="4"/>
  <c r="G14" i="4"/>
  <c r="G22" i="4"/>
  <c r="G15" i="4"/>
  <c r="G23" i="4"/>
  <c r="G16" i="4"/>
  <c r="G24" i="4"/>
  <c r="G17" i="4"/>
  <c r="G25" i="4"/>
  <c r="E25" i="4"/>
  <c r="E23" i="4"/>
  <c r="E17" i="4"/>
  <c r="E18" i="4"/>
  <c r="E28" i="4"/>
  <c r="E16" i="4"/>
  <c r="E24" i="4"/>
  <c r="E15" i="4"/>
  <c r="E21" i="4"/>
  <c r="E22" i="4"/>
  <c r="E20" i="4"/>
  <c r="E14" i="4"/>
  <c r="E26" i="4"/>
  <c r="E29" i="4"/>
  <c r="E27" i="4"/>
  <c r="D15" i="4"/>
  <c r="D18" i="4"/>
  <c r="D27" i="4"/>
  <c r="D19" i="4"/>
  <c r="D14" i="4"/>
  <c r="D25" i="4"/>
  <c r="H25" i="4" s="1"/>
  <c r="O25" i="4" s="1"/>
  <c r="P25" i="4" s="1"/>
  <c r="Q25" i="4" s="1"/>
  <c r="R25" i="4" s="1"/>
  <c r="D22" i="4"/>
  <c r="H22" i="4" s="1"/>
  <c r="O22" i="4" s="1"/>
  <c r="P22" i="4" s="1"/>
  <c r="Q22" i="4" s="1"/>
  <c r="R22" i="4" s="1"/>
  <c r="D29" i="4"/>
  <c r="D24" i="4"/>
  <c r="D23" i="4"/>
  <c r="D28" i="4"/>
  <c r="D17" i="4"/>
  <c r="D20" i="4"/>
  <c r="H20" i="4" s="1"/>
  <c r="O20" i="4" s="1"/>
  <c r="P20" i="4" s="1"/>
  <c r="Q20" i="4" s="1"/>
  <c r="R20" i="4" s="1"/>
  <c r="D21" i="4"/>
  <c r="D26" i="4"/>
  <c r="AH25" i="1"/>
  <c r="AJ25" i="1"/>
  <c r="AG25" i="1"/>
  <c r="AF25" i="1"/>
  <c r="AE25" i="1"/>
  <c r="L24" i="1"/>
  <c r="V26" i="1"/>
  <c r="Y26" i="1"/>
  <c r="L25" i="1"/>
  <c r="X26" i="1"/>
  <c r="L26" i="1"/>
  <c r="L18" i="1"/>
  <c r="L19" i="1"/>
  <c r="L21" i="1"/>
  <c r="L20" i="1"/>
  <c r="L23" i="1"/>
  <c r="L22" i="1"/>
  <c r="AD11" i="1"/>
  <c r="M8" i="1"/>
  <c r="V8" i="1"/>
  <c r="AE8" i="1"/>
  <c r="L16" i="1"/>
  <c r="L13" i="1"/>
  <c r="L17" i="1"/>
  <c r="L11" i="1"/>
  <c r="L15" i="1"/>
  <c r="L14" i="1"/>
  <c r="L12" i="1"/>
  <c r="H26" i="5" l="1"/>
  <c r="M14" i="5"/>
  <c r="N14" i="5" s="1"/>
  <c r="O14" i="5" s="1"/>
  <c r="P14" i="5" s="1"/>
  <c r="H15" i="4"/>
  <c r="O15" i="4" s="1"/>
  <c r="P15" i="4" s="1"/>
  <c r="Q15" i="4" s="1"/>
  <c r="R15" i="4" s="1"/>
  <c r="M20" i="5"/>
  <c r="N20" i="5" s="1"/>
  <c r="O20" i="5" s="1"/>
  <c r="P20" i="5" s="1"/>
  <c r="M29" i="5"/>
  <c r="N29" i="5" s="1"/>
  <c r="O29" i="5" s="1"/>
  <c r="P29" i="5" s="1"/>
  <c r="M24" i="5"/>
  <c r="N24" i="5" s="1"/>
  <c r="O24" i="5" s="1"/>
  <c r="P24" i="5" s="1"/>
  <c r="M25" i="5"/>
  <c r="N25" i="5" s="1"/>
  <c r="O25" i="5" s="1"/>
  <c r="P25" i="5" s="1"/>
  <c r="H23" i="4"/>
  <c r="O23" i="4" s="1"/>
  <c r="P23" i="4" s="1"/>
  <c r="Q23" i="4" s="1"/>
  <c r="R23" i="4" s="1"/>
  <c r="M19" i="5"/>
  <c r="N19" i="5" s="1"/>
  <c r="O19" i="5" s="1"/>
  <c r="P19" i="5" s="1"/>
  <c r="M23" i="5"/>
  <c r="N23" i="5" s="1"/>
  <c r="O23" i="5" s="1"/>
  <c r="P23" i="5" s="1"/>
  <c r="M17" i="5"/>
  <c r="N17" i="5" s="1"/>
  <c r="O17" i="5" s="1"/>
  <c r="P17" i="5" s="1"/>
  <c r="H22" i="5"/>
  <c r="M28" i="5"/>
  <c r="N28" i="5" s="1"/>
  <c r="O28" i="5" s="1"/>
  <c r="P28" i="5" s="1"/>
  <c r="H29" i="4"/>
  <c r="O29" i="4" s="1"/>
  <c r="P29" i="4" s="1"/>
  <c r="Q29" i="4" s="1"/>
  <c r="R29" i="4" s="1"/>
  <c r="H16" i="4"/>
  <c r="O16" i="4" s="1"/>
  <c r="P16" i="4" s="1"/>
  <c r="Q16" i="4" s="1"/>
  <c r="R16" i="4" s="1"/>
  <c r="M18" i="5"/>
  <c r="N18" i="5" s="1"/>
  <c r="M21" i="5"/>
  <c r="N21" i="5" s="1"/>
  <c r="O21" i="5" s="1"/>
  <c r="P21" i="5" s="1"/>
  <c r="H13" i="4"/>
  <c r="O13" i="4" s="1"/>
  <c r="P13" i="4" s="1"/>
  <c r="Q13" i="4" s="1"/>
  <c r="R13" i="4" s="1"/>
  <c r="AE10" i="1"/>
  <c r="H15" i="5"/>
  <c r="M22" i="5"/>
  <c r="N22" i="5" s="1"/>
  <c r="O22" i="5" s="1"/>
  <c r="P22" i="5" s="1"/>
  <c r="H13" i="5"/>
  <c r="M26" i="5"/>
  <c r="N26" i="5" s="1"/>
  <c r="O26" i="5" s="1"/>
  <c r="P26" i="5" s="1"/>
  <c r="M15" i="5"/>
  <c r="N15" i="5" s="1"/>
  <c r="O15" i="5" s="1"/>
  <c r="P15" i="5" s="1"/>
  <c r="M16" i="5"/>
  <c r="N16" i="5" s="1"/>
  <c r="O16" i="5" s="1"/>
  <c r="P16" i="5" s="1"/>
  <c r="M13" i="5"/>
  <c r="N13" i="5" s="1"/>
  <c r="O13" i="5" s="1"/>
  <c r="P13" i="5" s="1"/>
  <c r="H28" i="5"/>
  <c r="H18" i="5"/>
  <c r="H21" i="5"/>
  <c r="H14" i="5"/>
  <c r="H27" i="5"/>
  <c r="H20" i="5"/>
  <c r="H29" i="5"/>
  <c r="H19" i="5"/>
  <c r="H23" i="5"/>
  <c r="H17" i="5"/>
  <c r="H24" i="5"/>
  <c r="H25" i="5"/>
  <c r="H17" i="4"/>
  <c r="O17" i="4" s="1"/>
  <c r="P17" i="4" s="1"/>
  <c r="Q17" i="4" s="1"/>
  <c r="R17" i="4" s="1"/>
  <c r="H19" i="4"/>
  <c r="O19" i="4" s="1"/>
  <c r="P19" i="4" s="1"/>
  <c r="Q19" i="4" s="1"/>
  <c r="R19" i="4" s="1"/>
  <c r="H28" i="4"/>
  <c r="O28" i="4" s="1"/>
  <c r="P28" i="4" s="1"/>
  <c r="Q28" i="4" s="1"/>
  <c r="R28" i="4" s="1"/>
  <c r="H27" i="4"/>
  <c r="O27" i="4" s="1"/>
  <c r="P27" i="4" s="1"/>
  <c r="Q27" i="4" s="1"/>
  <c r="R27" i="4" s="1"/>
  <c r="H21" i="4"/>
  <c r="O21" i="4" s="1"/>
  <c r="P21" i="4" s="1"/>
  <c r="Q21" i="4" s="1"/>
  <c r="R21" i="4" s="1"/>
  <c r="H18" i="4"/>
  <c r="O18" i="4" s="1"/>
  <c r="P18" i="4" s="1"/>
  <c r="H24" i="4"/>
  <c r="O24" i="4" s="1"/>
  <c r="P24" i="4" s="1"/>
  <c r="Q24" i="4" s="1"/>
  <c r="R24" i="4" s="1"/>
  <c r="H26" i="4"/>
  <c r="O26" i="4" s="1"/>
  <c r="P26" i="4" s="1"/>
  <c r="Q26" i="4" s="1"/>
  <c r="R26" i="4" s="1"/>
  <c r="H14" i="4"/>
  <c r="O14" i="4" s="1"/>
  <c r="P14" i="4" s="1"/>
  <c r="Q14" i="4" s="1"/>
  <c r="R14" i="4" s="1"/>
  <c r="AE20" i="1"/>
  <c r="AE21" i="1"/>
  <c r="AE24" i="1"/>
  <c r="AE22" i="1"/>
  <c r="AE23" i="1"/>
  <c r="AE18" i="1"/>
  <c r="AE19" i="1"/>
  <c r="M24" i="1"/>
  <c r="M25" i="1"/>
  <c r="N25" i="1"/>
  <c r="O25" i="1"/>
  <c r="P25" i="1"/>
  <c r="Q25" i="1"/>
  <c r="R25" i="1"/>
  <c r="R26" i="1"/>
  <c r="M26" i="1"/>
  <c r="P26" i="1"/>
  <c r="N26" i="1"/>
  <c r="O26" i="1"/>
  <c r="Q26" i="1"/>
  <c r="M18" i="1"/>
  <c r="M19" i="1"/>
  <c r="M21" i="1"/>
  <c r="M20" i="1"/>
  <c r="M23" i="1"/>
  <c r="M22" i="1"/>
  <c r="U27" i="1"/>
  <c r="AE17" i="1"/>
  <c r="AE15" i="1"/>
  <c r="AE16" i="1"/>
  <c r="AE14" i="1"/>
  <c r="AF8" i="1"/>
  <c r="AE12" i="1"/>
  <c r="AE13" i="1"/>
  <c r="AE11" i="1"/>
  <c r="M16" i="1"/>
  <c r="M10" i="1"/>
  <c r="M12" i="1"/>
  <c r="M15" i="1"/>
  <c r="M14" i="1"/>
  <c r="M11" i="1"/>
  <c r="M17" i="1"/>
  <c r="M13" i="1"/>
  <c r="V16" i="1" l="1"/>
  <c r="V10" i="1"/>
  <c r="U26" i="4"/>
  <c r="Q18" i="4"/>
  <c r="R18" i="4" s="1"/>
  <c r="O18" i="5"/>
  <c r="P18" i="5" s="1"/>
  <c r="V13" i="1"/>
  <c r="V15" i="1"/>
  <c r="V12" i="1"/>
  <c r="V11" i="1"/>
  <c r="V18" i="1"/>
  <c r="V19" i="1"/>
  <c r="V24" i="1"/>
  <c r="V21" i="1"/>
  <c r="V22" i="1"/>
  <c r="V20" i="1"/>
  <c r="V25" i="1"/>
  <c r="V17" i="1"/>
  <c r="V23" i="1"/>
  <c r="V14" i="1"/>
  <c r="AF16" i="1"/>
  <c r="AF21" i="1"/>
  <c r="AF20" i="1"/>
  <c r="AF23" i="1"/>
  <c r="AF22" i="1"/>
  <c r="AF18" i="1"/>
  <c r="AF24" i="1"/>
  <c r="AF19" i="1"/>
  <c r="AE27" i="1"/>
  <c r="AF15" i="1"/>
  <c r="AF13" i="1"/>
  <c r="AF14" i="1"/>
  <c r="AF12" i="1"/>
  <c r="AF10" i="1"/>
  <c r="AF11" i="1"/>
  <c r="AF17" i="1"/>
  <c r="AG8" i="1"/>
  <c r="M27" i="1"/>
  <c r="V27" i="1" l="1"/>
  <c r="G5" i="3" s="1"/>
  <c r="AG18" i="1"/>
  <c r="AG21" i="1"/>
  <c r="AG22" i="1"/>
  <c r="AG20" i="1"/>
  <c r="AG23" i="1"/>
  <c r="AG24" i="1"/>
  <c r="AG19" i="1"/>
  <c r="AF27" i="1"/>
  <c r="AG14" i="1"/>
  <c r="AG16" i="1"/>
  <c r="AG17" i="1"/>
  <c r="AG10" i="1"/>
  <c r="AG11" i="1"/>
  <c r="AG12" i="1"/>
  <c r="AG15" i="1"/>
  <c r="AG13" i="1"/>
  <c r="F5" i="3"/>
  <c r="AH8" i="1"/>
  <c r="H5" i="3"/>
  <c r="AH18" i="1" l="1"/>
  <c r="AH19" i="1"/>
  <c r="AH23" i="1"/>
  <c r="AH21" i="1"/>
  <c r="AH24" i="1"/>
  <c r="AH22" i="1"/>
  <c r="AH20" i="1"/>
  <c r="AG27" i="1"/>
  <c r="AH13" i="1"/>
  <c r="AH10" i="1"/>
  <c r="AH11" i="1"/>
  <c r="AH12" i="1"/>
  <c r="AH15" i="1"/>
  <c r="AH17" i="1"/>
  <c r="AH14" i="1"/>
  <c r="AH16" i="1"/>
  <c r="AI8" i="1"/>
  <c r="AI23" i="1" l="1"/>
  <c r="AI21" i="1"/>
  <c r="AI24" i="1"/>
  <c r="AI20" i="1"/>
  <c r="AI19" i="1"/>
  <c r="AI18" i="1"/>
  <c r="AI22" i="1"/>
  <c r="AH27" i="1"/>
  <c r="AJ8" i="1"/>
  <c r="AI17" i="1"/>
  <c r="AI13" i="1"/>
  <c r="AI14" i="1"/>
  <c r="AI12" i="1"/>
  <c r="AI16" i="1"/>
  <c r="AI15" i="1"/>
  <c r="AI11" i="1"/>
  <c r="AI10" i="1"/>
  <c r="W8" i="1"/>
  <c r="W16" i="1" l="1"/>
  <c r="W23" i="1"/>
  <c r="W13" i="1"/>
  <c r="W20" i="1"/>
  <c r="W14" i="1"/>
  <c r="W24" i="1"/>
  <c r="W12" i="1"/>
  <c r="W15" i="1"/>
  <c r="W17" i="1"/>
  <c r="W19" i="1"/>
  <c r="W22" i="1"/>
  <c r="W21" i="1"/>
  <c r="W25" i="1"/>
  <c r="W18" i="1"/>
  <c r="AJ10" i="1"/>
  <c r="AJ18" i="1"/>
  <c r="AJ24" i="1"/>
  <c r="AJ19" i="1"/>
  <c r="AJ23" i="1"/>
  <c r="AJ22" i="1"/>
  <c r="AJ20" i="1"/>
  <c r="AJ21" i="1"/>
  <c r="W10" i="1"/>
  <c r="W11" i="1"/>
  <c r="AI27" i="1"/>
  <c r="AJ17" i="1"/>
  <c r="AJ12" i="1"/>
  <c r="AJ16" i="1"/>
  <c r="AJ13" i="1"/>
  <c r="AJ15" i="1"/>
  <c r="AJ11" i="1"/>
  <c r="AJ14" i="1"/>
  <c r="X8" i="1"/>
  <c r="D17" i="1"/>
  <c r="D16" i="1"/>
  <c r="D14" i="1"/>
  <c r="N8" i="1"/>
  <c r="N24" i="1" s="1"/>
  <c r="D11" i="1"/>
  <c r="D15" i="1"/>
  <c r="D12" i="1"/>
  <c r="D13" i="1"/>
  <c r="E8" i="1"/>
  <c r="E20" i="1" l="1"/>
  <c r="E18" i="1"/>
  <c r="E21" i="1"/>
  <c r="E24" i="1"/>
  <c r="E23" i="1"/>
  <c r="E19" i="1"/>
  <c r="E22" i="1"/>
  <c r="X17" i="1"/>
  <c r="X19" i="1"/>
  <c r="X23" i="1"/>
  <c r="X15" i="1"/>
  <c r="X24" i="1"/>
  <c r="X25" i="1"/>
  <c r="X21" i="1"/>
  <c r="X16" i="1"/>
  <c r="X20" i="1"/>
  <c r="X22" i="1"/>
  <c r="X18" i="1"/>
  <c r="X14" i="1"/>
  <c r="X13" i="1"/>
  <c r="X12" i="1"/>
  <c r="N18" i="1"/>
  <c r="N23" i="1"/>
  <c r="N20" i="1"/>
  <c r="N19" i="1"/>
  <c r="N21" i="1"/>
  <c r="N22" i="1"/>
  <c r="X10" i="1"/>
  <c r="X11" i="1"/>
  <c r="AJ27" i="1"/>
  <c r="H10" i="3" s="1"/>
  <c r="E13" i="1"/>
  <c r="Y8" i="1"/>
  <c r="H6" i="3"/>
  <c r="W27" i="1"/>
  <c r="O8" i="1"/>
  <c r="O24" i="1" s="1"/>
  <c r="N16" i="1"/>
  <c r="N10" i="1"/>
  <c r="N15" i="1"/>
  <c r="N13" i="1"/>
  <c r="N11" i="1"/>
  <c r="N14" i="1"/>
  <c r="N12" i="1"/>
  <c r="N17" i="1"/>
  <c r="E17" i="1"/>
  <c r="E16" i="1"/>
  <c r="D27" i="1"/>
  <c r="F8" i="1"/>
  <c r="E15" i="1"/>
  <c r="E12" i="1"/>
  <c r="E14" i="1"/>
  <c r="E10" i="1"/>
  <c r="E11" i="1"/>
  <c r="Y22" i="1" l="1"/>
  <c r="Y17" i="1"/>
  <c r="Y21" i="1"/>
  <c r="Y20" i="1"/>
  <c r="Y13" i="1"/>
  <c r="Y24" i="1"/>
  <c r="Y12" i="1"/>
  <c r="Y15" i="1"/>
  <c r="Y16" i="1"/>
  <c r="Y25" i="1"/>
  <c r="Y18" i="1"/>
  <c r="Y23" i="1"/>
  <c r="Y14" i="1"/>
  <c r="Y19" i="1"/>
  <c r="F21" i="1"/>
  <c r="F22" i="1"/>
  <c r="F24" i="1"/>
  <c r="F18" i="1"/>
  <c r="F19" i="1"/>
  <c r="F20" i="1"/>
  <c r="F23" i="1"/>
  <c r="O21" i="1"/>
  <c r="O20" i="1"/>
  <c r="O18" i="1"/>
  <c r="O19" i="1"/>
  <c r="O22" i="1"/>
  <c r="O23" i="1"/>
  <c r="Y10" i="1"/>
  <c r="Y11" i="1"/>
  <c r="G6" i="3"/>
  <c r="E5" i="3"/>
  <c r="I5" i="3" s="1"/>
  <c r="G8" i="1"/>
  <c r="H7" i="3"/>
  <c r="X27" i="1"/>
  <c r="Z8" i="1"/>
  <c r="N27" i="1"/>
  <c r="F6" i="3" s="1"/>
  <c r="P8" i="1"/>
  <c r="P24" i="1" s="1"/>
  <c r="O16" i="1"/>
  <c r="O10" i="1"/>
  <c r="O11" i="1"/>
  <c r="O15" i="1"/>
  <c r="O13" i="1"/>
  <c r="O12" i="1"/>
  <c r="O17" i="1"/>
  <c r="O14" i="1"/>
  <c r="F17" i="1"/>
  <c r="F16" i="1"/>
  <c r="F15" i="1"/>
  <c r="F14" i="1"/>
  <c r="F13" i="1"/>
  <c r="F12" i="1"/>
  <c r="F11" i="1"/>
  <c r="F10" i="1"/>
  <c r="E27" i="1"/>
  <c r="E6" i="3" s="1"/>
  <c r="Z11" i="1" l="1"/>
  <c r="Z23" i="1"/>
  <c r="Z17" i="1"/>
  <c r="Z13" i="1"/>
  <c r="Z24" i="1"/>
  <c r="Z19" i="1"/>
  <c r="Z15" i="1"/>
  <c r="Z25" i="1"/>
  <c r="Z12" i="1"/>
  <c r="Z21" i="1"/>
  <c r="Z20" i="1"/>
  <c r="Z14" i="1"/>
  <c r="Z22" i="1"/>
  <c r="Z16" i="1"/>
  <c r="Z18" i="1"/>
  <c r="G18" i="1"/>
  <c r="G19" i="1"/>
  <c r="G20" i="1"/>
  <c r="G22" i="1"/>
  <c r="G21" i="1"/>
  <c r="G24" i="1"/>
  <c r="G23" i="1"/>
  <c r="P23" i="1"/>
  <c r="P21" i="1"/>
  <c r="P22" i="1"/>
  <c r="P18" i="1"/>
  <c r="P20" i="1"/>
  <c r="P19" i="1"/>
  <c r="AA8" i="1"/>
  <c r="Z10" i="1"/>
  <c r="G7" i="3"/>
  <c r="H8" i="1"/>
  <c r="I6" i="3"/>
  <c r="Y27" i="1"/>
  <c r="G8" i="3" s="1"/>
  <c r="H8" i="3"/>
  <c r="O27" i="1"/>
  <c r="F7" i="3" s="1"/>
  <c r="Q8" i="1"/>
  <c r="Q24" i="1" s="1"/>
  <c r="P16" i="1"/>
  <c r="P10" i="1"/>
  <c r="P14" i="1"/>
  <c r="P17" i="1"/>
  <c r="P15" i="1"/>
  <c r="P13" i="1"/>
  <c r="P12" i="1"/>
  <c r="P11" i="1"/>
  <c r="G17" i="1"/>
  <c r="G16" i="1"/>
  <c r="G14" i="1"/>
  <c r="F27" i="1"/>
  <c r="E7" i="3" s="1"/>
  <c r="G12" i="1"/>
  <c r="G11" i="1"/>
  <c r="G15" i="1"/>
  <c r="G10" i="1"/>
  <c r="G13" i="1"/>
  <c r="AA14" i="1" l="1"/>
  <c r="AA16" i="1"/>
  <c r="AA17" i="1"/>
  <c r="AA21" i="1"/>
  <c r="AA19" i="1"/>
  <c r="AA18" i="1"/>
  <c r="AA23" i="1"/>
  <c r="AA13" i="1"/>
  <c r="AA22" i="1"/>
  <c r="AA25" i="1"/>
  <c r="AA12" i="1"/>
  <c r="AA20" i="1"/>
  <c r="AA24" i="1"/>
  <c r="AA15" i="1"/>
  <c r="H10" i="1"/>
  <c r="H19" i="1"/>
  <c r="H22" i="1"/>
  <c r="H20" i="1"/>
  <c r="H18" i="1"/>
  <c r="H24" i="1"/>
  <c r="H21" i="1"/>
  <c r="H23" i="1"/>
  <c r="Q23" i="1"/>
  <c r="Q18" i="1"/>
  <c r="Q21" i="1"/>
  <c r="Q19" i="1"/>
  <c r="Q20" i="1"/>
  <c r="Q22" i="1"/>
  <c r="AA10" i="1"/>
  <c r="AA11" i="1"/>
  <c r="H14" i="1"/>
  <c r="H17" i="1"/>
  <c r="H12" i="1"/>
  <c r="I8" i="1"/>
  <c r="H15" i="1"/>
  <c r="H16" i="1"/>
  <c r="H13" i="1"/>
  <c r="H11" i="1"/>
  <c r="Q10" i="1"/>
  <c r="R8" i="1"/>
  <c r="R24" i="1" s="1"/>
  <c r="I7" i="3"/>
  <c r="H9" i="3"/>
  <c r="Z27" i="1"/>
  <c r="G9" i="3" s="1"/>
  <c r="P27" i="1"/>
  <c r="F8" i="3" s="1"/>
  <c r="Q16" i="1"/>
  <c r="Q14" i="1"/>
  <c r="Q17" i="1"/>
  <c r="Q12" i="1"/>
  <c r="Q15" i="1"/>
  <c r="Q13" i="1"/>
  <c r="Q11" i="1"/>
  <c r="I17" i="1"/>
  <c r="I16" i="1"/>
  <c r="G27" i="1"/>
  <c r="E8" i="3" s="1"/>
  <c r="I12" i="1" l="1"/>
  <c r="I19" i="1"/>
  <c r="I18" i="1"/>
  <c r="I24" i="1"/>
  <c r="I21" i="1"/>
  <c r="I23" i="1"/>
  <c r="I22" i="1"/>
  <c r="I20" i="1"/>
  <c r="R21" i="1"/>
  <c r="R19" i="1"/>
  <c r="R22" i="1"/>
  <c r="R23" i="1"/>
  <c r="R18" i="1"/>
  <c r="R20" i="1"/>
  <c r="AA27" i="1"/>
  <c r="G10" i="3" s="1"/>
  <c r="I13" i="1"/>
  <c r="I11" i="1"/>
  <c r="H27" i="1"/>
  <c r="E9" i="3" s="1"/>
  <c r="I15" i="1"/>
  <c r="I10" i="1"/>
  <c r="I14" i="1"/>
  <c r="I8" i="3"/>
  <c r="R10" i="1"/>
  <c r="R17" i="1"/>
  <c r="R12" i="1"/>
  <c r="R14" i="1"/>
  <c r="R15" i="1"/>
  <c r="R11" i="1"/>
  <c r="R16" i="1"/>
  <c r="R13" i="1"/>
  <c r="Q27" i="1"/>
  <c r="F9" i="3" s="1"/>
  <c r="I9" i="3" l="1"/>
  <c r="I27" i="1"/>
  <c r="E10" i="3" s="1"/>
  <c r="R27" i="1"/>
  <c r="F10" i="3" s="1"/>
  <c r="I10" i="3" l="1"/>
</calcChain>
</file>

<file path=xl/sharedStrings.xml><?xml version="1.0" encoding="utf-8"?>
<sst xmlns="http://schemas.openxmlformats.org/spreadsheetml/2006/main" count="140" uniqueCount="74">
  <si>
    <t>PROYECCIÓN DE POBLACIÓN MÉTODO  LINEAL</t>
  </si>
  <si>
    <t>AÑO</t>
  </si>
  <si>
    <t xml:space="preserve">POBLACION TOTAL </t>
  </si>
  <si>
    <t>K</t>
  </si>
  <si>
    <t xml:space="preserve">ECUACIÓN RATA DE CRECIMIENTO </t>
  </si>
  <si>
    <t>ECUACIÓN  CRECIMIENTO DE POBLACIÓN</t>
  </si>
  <si>
    <t>POBLACION</t>
  </si>
  <si>
    <t>AÑO2</t>
  </si>
  <si>
    <t>AÑO3</t>
  </si>
  <si>
    <t>AÑO4</t>
  </si>
  <si>
    <t>PROMEDIO</t>
  </si>
  <si>
    <t>PROYECCIÓN DE POBLACIÓN MÉTODO  GEOMÉTRICO</t>
  </si>
  <si>
    <t>r</t>
  </si>
  <si>
    <t>AÑOPROY1</t>
  </si>
  <si>
    <t>AÑOPROY2</t>
  </si>
  <si>
    <t>AÑOPROY3</t>
  </si>
  <si>
    <t>AÑOPROY4</t>
  </si>
  <si>
    <t>AÑOPROY5</t>
  </si>
  <si>
    <t>PROYECCIÓN DE POBLACIÓN MÉTODO  LOGARÍTMICO</t>
  </si>
  <si>
    <t>Kg</t>
  </si>
  <si>
    <t>AÑOPROY6</t>
  </si>
  <si>
    <t>POBLACION2</t>
  </si>
  <si>
    <t>AÑOP1</t>
  </si>
  <si>
    <t>AÑOP2</t>
  </si>
  <si>
    <t>AÑOP3</t>
  </si>
  <si>
    <t>AÑOP4</t>
  </si>
  <si>
    <t>AÑOP5</t>
  </si>
  <si>
    <t>POBLACION3</t>
  </si>
  <si>
    <t>AÑOPR1</t>
  </si>
  <si>
    <t>AÑOPR2</t>
  </si>
  <si>
    <t>AÑOPR3</t>
  </si>
  <si>
    <t>AÑOPR4</t>
  </si>
  <si>
    <t>AÑOPR5</t>
  </si>
  <si>
    <t>PROYECCIÓN DE POBLACIÓN MÉTODO  WAPPUS</t>
  </si>
  <si>
    <t>POBLACION4</t>
  </si>
  <si>
    <t>i</t>
  </si>
  <si>
    <t>AÑOPRO1</t>
  </si>
  <si>
    <t>AÑOPRO2</t>
  </si>
  <si>
    <t>AÑOPRO3</t>
  </si>
  <si>
    <t>AÑOPRO4</t>
  </si>
  <si>
    <t>AÑOPRO5</t>
  </si>
  <si>
    <t>PROYECCIÓN FINAL</t>
  </si>
  <si>
    <t>POBLACIÓN</t>
  </si>
  <si>
    <t>LINEAL</t>
  </si>
  <si>
    <t>GEOMÉTRICA</t>
  </si>
  <si>
    <t>WAPPUS</t>
  </si>
  <si>
    <t>AÑOP6</t>
  </si>
  <si>
    <t>AÑOPR6</t>
  </si>
  <si>
    <t>AÑOPRO6</t>
  </si>
  <si>
    <t>LOGARÍTMICO</t>
  </si>
  <si>
    <t>Población</t>
  </si>
  <si>
    <t>Proyección del DANE</t>
  </si>
  <si>
    <t>Año Proyectado</t>
  </si>
  <si>
    <t>Método Aritmético</t>
  </si>
  <si>
    <t>Método Geométrico</t>
  </si>
  <si>
    <t>K Método Aritmético</t>
  </si>
  <si>
    <t>r Método Geométrico</t>
  </si>
  <si>
    <t>K Método Exponencial</t>
  </si>
  <si>
    <t>Método Exponencial</t>
  </si>
  <si>
    <t>Método Wappus</t>
  </si>
  <si>
    <t>i Método Wappus</t>
  </si>
  <si>
    <t>TASAS DE CRECIMIENTO</t>
  </si>
  <si>
    <t>Año</t>
  </si>
  <si>
    <t>PROYECCIONES POBLACIONALES</t>
  </si>
  <si>
    <t>Promedio</t>
  </si>
  <si>
    <t>D bruta</t>
  </si>
  <si>
    <t>Promedio [Hab]</t>
  </si>
  <si>
    <t>K1</t>
  </si>
  <si>
    <t>K2</t>
  </si>
  <si>
    <t>CAUDALES</t>
  </si>
  <si>
    <t>Qmd     [L/s]</t>
  </si>
  <si>
    <t>QMD   [L/s]</t>
  </si>
  <si>
    <t>QMH   [L/s]</t>
  </si>
  <si>
    <t>%p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</si>
</sst>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"/>
    <numFmt numFmtId="165" formatCode="0.00000"/>
    <numFmt numFmtId="166" formatCode="_-* #,##0_-;\-* #,##0_-;_-* &quot;-&quot;??_-;_-@_-"/>
    <numFmt numFmtId="167" formatCode="0.0000"/>
  </numFmts>
  <fonts count="13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rgb="FFEFC2F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C2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4" tint="0.59999389629810485"/>
        <bgColor theme="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5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0" fontId="5" fillId="13" borderId="0" applyNumberFormat="0" applyBorder="0" applyAlignment="0" applyProtection="0"/>
  </cellStyleXfs>
  <cellXfs count="115">
    <xf numFmtId="0" fontId="0" fillId="0" borderId="0" xfId="0"/>
    <xf numFmtId="0" fontId="0" fillId="0" borderId="0" xfId="0" applyAlignment="1">
      <alignment vertical="center"/>
    </xf>
    <xf numFmtId="0" fontId="3" fillId="3" borderId="5" xfId="0" applyFont="1" applyFill="1" applyBorder="1" applyAlignment="1">
      <alignment horizontal="center"/>
    </xf>
    <xf numFmtId="3" fontId="3" fillId="3" borderId="1" xfId="0" applyNumberFormat="1" applyFont="1" applyFill="1" applyBorder="1" applyAlignment="1">
      <alignment horizontal="right"/>
    </xf>
    <xf numFmtId="3" fontId="3" fillId="5" borderId="1" xfId="0" applyNumberFormat="1" applyFont="1" applyFill="1" applyBorder="1" applyAlignment="1">
      <alignment horizontal="right"/>
    </xf>
    <xf numFmtId="4" fontId="3" fillId="4" borderId="1" xfId="0" applyNumberFormat="1" applyFont="1" applyFill="1" applyBorder="1" applyAlignment="1">
      <alignment horizontal="right"/>
    </xf>
    <xf numFmtId="1" fontId="3" fillId="5" borderId="1" xfId="0" applyNumberFormat="1" applyFont="1" applyFill="1" applyBorder="1" applyAlignment="1">
      <alignment horizontal="right"/>
    </xf>
    <xf numFmtId="165" fontId="3" fillId="4" borderId="1" xfId="0" applyNumberFormat="1" applyFont="1" applyFill="1" applyBorder="1" applyAlignment="1">
      <alignment horizontal="right"/>
    </xf>
    <xf numFmtId="1" fontId="3" fillId="3" borderId="1" xfId="0" applyNumberFormat="1" applyFont="1" applyFill="1" applyBorder="1" applyAlignment="1">
      <alignment horizontal="right"/>
    </xf>
    <xf numFmtId="4" fontId="2" fillId="7" borderId="1" xfId="0" applyNumberFormat="1" applyFont="1" applyFill="1" applyBorder="1" applyAlignment="1">
      <alignment horizontal="center" wrapText="1"/>
    </xf>
    <xf numFmtId="0" fontId="2" fillId="7" borderId="1" xfId="0" applyFont="1" applyFill="1" applyBorder="1" applyAlignment="1">
      <alignment horizontal="center" wrapText="1"/>
    </xf>
    <xf numFmtId="1" fontId="2" fillId="7" borderId="1" xfId="0" applyNumberFormat="1" applyFont="1" applyFill="1" applyBorder="1" applyAlignment="1">
      <alignment horizontal="center" wrapText="1"/>
    </xf>
    <xf numFmtId="1" fontId="2" fillId="7" borderId="1" xfId="0" applyNumberFormat="1" applyFont="1" applyFill="1" applyBorder="1" applyAlignment="1">
      <alignment horizontal="center"/>
    </xf>
    <xf numFmtId="1" fontId="2" fillId="7" borderId="6" xfId="0" applyNumberFormat="1" applyFont="1" applyFill="1" applyBorder="1" applyAlignment="1">
      <alignment horizontal="center"/>
    </xf>
    <xf numFmtId="3" fontId="3" fillId="9" borderId="1" xfId="0" applyNumberFormat="1" applyFont="1" applyFill="1" applyBorder="1" applyAlignment="1">
      <alignment horizontal="right" wrapText="1"/>
    </xf>
    <xf numFmtId="1" fontId="1" fillId="7" borderId="18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4" fontId="3" fillId="4" borderId="1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/>
    </xf>
    <xf numFmtId="1" fontId="1" fillId="2" borderId="3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1" fontId="1" fillId="2" borderId="6" xfId="0" applyNumberFormat="1" applyFont="1" applyFill="1" applyBorder="1" applyAlignment="1">
      <alignment horizontal="center"/>
    </xf>
    <xf numFmtId="1" fontId="3" fillId="5" borderId="6" xfId="0" applyNumberFormat="1" applyFont="1" applyFill="1" applyBorder="1" applyAlignment="1">
      <alignment horizontal="right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right"/>
    </xf>
    <xf numFmtId="4" fontId="3" fillId="2" borderId="8" xfId="0" applyNumberFormat="1" applyFont="1" applyFill="1" applyBorder="1" applyAlignment="1">
      <alignment horizontal="right"/>
    </xf>
    <xf numFmtId="3" fontId="3" fillId="2" borderId="8" xfId="0" applyNumberFormat="1" applyFont="1" applyFill="1" applyBorder="1" applyAlignment="1">
      <alignment horizontal="right"/>
    </xf>
    <xf numFmtId="1" fontId="3" fillId="2" borderId="8" xfId="0" applyNumberFormat="1" applyFont="1" applyFill="1" applyBorder="1" applyAlignment="1">
      <alignment horizontal="right"/>
    </xf>
    <xf numFmtId="165" fontId="3" fillId="2" borderId="8" xfId="0" applyNumberFormat="1" applyFont="1" applyFill="1" applyBorder="1" applyAlignment="1">
      <alignment horizontal="right"/>
    </xf>
    <xf numFmtId="0" fontId="0" fillId="10" borderId="13" xfId="0" applyFill="1" applyBorder="1" applyAlignment="1">
      <alignment vertical="center"/>
    </xf>
    <xf numFmtId="3" fontId="3" fillId="9" borderId="6" xfId="0" applyNumberFormat="1" applyFont="1" applyFill="1" applyBorder="1" applyAlignment="1">
      <alignment horizontal="right" wrapText="1"/>
    </xf>
    <xf numFmtId="1" fontId="1" fillId="7" borderId="23" xfId="0" applyNumberFormat="1" applyFont="1" applyFill="1" applyBorder="1" applyAlignment="1">
      <alignment horizontal="center"/>
    </xf>
    <xf numFmtId="3" fontId="3" fillId="9" borderId="8" xfId="0" applyNumberFormat="1" applyFont="1" applyFill="1" applyBorder="1" applyAlignment="1">
      <alignment horizontal="right" wrapText="1"/>
    </xf>
    <xf numFmtId="3" fontId="3" fillId="9" borderId="9" xfId="0" applyNumberFormat="1" applyFont="1" applyFill="1" applyBorder="1" applyAlignment="1">
      <alignment horizontal="right" wrapText="1"/>
    </xf>
    <xf numFmtId="0" fontId="1" fillId="7" borderId="5" xfId="0" applyFont="1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3" fontId="3" fillId="3" borderId="27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6" fillId="0" borderId="0" xfId="0" applyFont="1"/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166" fontId="6" fillId="0" borderId="0" xfId="1" applyNumberFormat="1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6" fillId="0" borderId="0" xfId="1" applyNumberFormat="1" applyFont="1" applyAlignment="1">
      <alignment horizontal="center"/>
    </xf>
    <xf numFmtId="166" fontId="6" fillId="0" borderId="0" xfId="0" applyNumberFormat="1" applyFont="1"/>
    <xf numFmtId="0" fontId="6" fillId="9" borderId="0" xfId="0" applyFont="1" applyFill="1" applyAlignment="1">
      <alignment horizontal="center"/>
    </xf>
    <xf numFmtId="166" fontId="6" fillId="9" borderId="0" xfId="1" applyNumberFormat="1" applyFont="1" applyFill="1" applyBorder="1" applyAlignment="1">
      <alignment horizontal="center"/>
    </xf>
    <xf numFmtId="167" fontId="6" fillId="9" borderId="0" xfId="0" applyNumberFormat="1" applyFont="1" applyFill="1" applyAlignment="1">
      <alignment horizontal="center"/>
    </xf>
    <xf numFmtId="0" fontId="6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/>
    </xf>
    <xf numFmtId="166" fontId="8" fillId="0" borderId="0" xfId="1" applyNumberFormat="1" applyFont="1" applyAlignment="1">
      <alignment horizontal="center" vertical="center"/>
    </xf>
    <xf numFmtId="166" fontId="8" fillId="0" borderId="0" xfId="1" applyNumberFormat="1" applyFont="1" applyAlignment="1">
      <alignment horizontal="left" vertical="center"/>
    </xf>
    <xf numFmtId="0" fontId="0" fillId="0" borderId="29" xfId="0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66" fontId="8" fillId="0" borderId="1" xfId="1" applyNumberFormat="1" applyFont="1" applyBorder="1" applyAlignment="1">
      <alignment horizontal="center" vertical="center"/>
    </xf>
    <xf numFmtId="43" fontId="6" fillId="0" borderId="1" xfId="0" applyNumberFormat="1" applyFont="1" applyBorder="1" applyAlignment="1">
      <alignment horizontal="center" vertical="center" wrapText="1"/>
    </xf>
    <xf numFmtId="0" fontId="7" fillId="11" borderId="28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/>
    </xf>
    <xf numFmtId="166" fontId="8" fillId="9" borderId="1" xfId="1" applyNumberFormat="1" applyFont="1" applyFill="1" applyBorder="1" applyAlignment="1">
      <alignment horizontal="center" vertical="center"/>
    </xf>
    <xf numFmtId="43" fontId="6" fillId="9" borderId="1" xfId="0" applyNumberFormat="1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wrapText="1"/>
    </xf>
    <xf numFmtId="43" fontId="0" fillId="0" borderId="0" xfId="0" applyNumberFormat="1"/>
    <xf numFmtId="43" fontId="5" fillId="13" borderId="1" xfId="2" applyNumberForma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43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43" fontId="6" fillId="13" borderId="1" xfId="2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/>
    <xf numFmtId="2" fontId="11" fillId="0" borderId="1" xfId="0" applyNumberFormat="1" applyFont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left" vertical="center"/>
    </xf>
    <xf numFmtId="0" fontId="1" fillId="5" borderId="11" xfId="0" applyFont="1" applyFill="1" applyBorder="1" applyAlignment="1">
      <alignment horizontal="left" vertical="center"/>
    </xf>
    <xf numFmtId="0" fontId="1" fillId="5" borderId="12" xfId="0" applyFont="1" applyFill="1" applyBorder="1" applyAlignment="1">
      <alignment horizontal="left" vertical="center"/>
    </xf>
    <xf numFmtId="0" fontId="1" fillId="5" borderId="13" xfId="0" applyFont="1" applyFill="1" applyBorder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5" borderId="14" xfId="0" applyFont="1" applyFill="1" applyBorder="1" applyAlignment="1">
      <alignment horizontal="left" vertical="center"/>
    </xf>
    <xf numFmtId="0" fontId="1" fillId="5" borderId="15" xfId="0" applyFont="1" applyFill="1" applyBorder="1" applyAlignment="1">
      <alignment horizontal="left" vertical="center"/>
    </xf>
    <xf numFmtId="0" fontId="1" fillId="5" borderId="16" xfId="0" applyFont="1" applyFill="1" applyBorder="1" applyAlignment="1">
      <alignment horizontal="left" vertical="center"/>
    </xf>
    <xf numFmtId="0" fontId="1" fillId="5" borderId="17" xfId="0" applyFont="1" applyFill="1" applyBorder="1" applyAlignment="1">
      <alignment horizontal="left" vertical="center"/>
    </xf>
    <xf numFmtId="0" fontId="1" fillId="6" borderId="10" xfId="0" applyFont="1" applyFill="1" applyBorder="1" applyAlignment="1">
      <alignment horizontal="left" vertical="center"/>
    </xf>
    <xf numFmtId="0" fontId="1" fillId="6" borderId="11" xfId="0" applyFont="1" applyFill="1" applyBorder="1" applyAlignment="1">
      <alignment horizontal="left" vertical="center"/>
    </xf>
    <xf numFmtId="0" fontId="1" fillId="6" borderId="1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1" fillId="6" borderId="14" xfId="0" applyFont="1" applyFill="1" applyBorder="1" applyAlignment="1">
      <alignment horizontal="left" vertical="center"/>
    </xf>
    <xf numFmtId="0" fontId="1" fillId="6" borderId="15" xfId="0" applyFont="1" applyFill="1" applyBorder="1" applyAlignment="1">
      <alignment horizontal="left" vertical="center"/>
    </xf>
    <xf numFmtId="0" fontId="1" fillId="6" borderId="16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0" fontId="1" fillId="8" borderId="22" xfId="0" applyFont="1" applyFill="1" applyBorder="1" applyAlignment="1">
      <alignment horizontal="center"/>
    </xf>
    <xf numFmtId="0" fontId="1" fillId="7" borderId="19" xfId="0" applyFont="1" applyFill="1" applyBorder="1" applyAlignment="1">
      <alignment horizontal="center"/>
    </xf>
    <xf numFmtId="0" fontId="1" fillId="7" borderId="24" xfId="0" applyFont="1" applyFill="1" applyBorder="1" applyAlignment="1">
      <alignment horizontal="center"/>
    </xf>
    <xf numFmtId="0" fontId="1" fillId="7" borderId="25" xfId="0" applyFont="1" applyFill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10" fillId="12" borderId="1" xfId="0" applyFont="1" applyFill="1" applyBorder="1" applyAlignment="1">
      <alignment horizontal="center"/>
    </xf>
    <xf numFmtId="0" fontId="9" fillId="12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</cellXfs>
  <cellStyles count="3">
    <cellStyle name="60% - Énfasis2" xfId="2" builtinId="36"/>
    <cellStyle name="Millares" xfId="1" builtinId="3"/>
    <cellStyle name="Normal" xfId="0" builtinId="0"/>
  </cellStyles>
  <dxfs count="148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7" formatCode="0.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fill>
        <patternFill patternType="solid">
          <fgColor rgb="FF000000"/>
          <bgColor rgb="FFFFFFFF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7" formatCode="0.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numFmt numFmtId="166" formatCode="_-* #,##0_-;\-* #,##0_-;_-* &quot;-&quot;??_-;_-@_-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7" formatCode="0.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fill>
        <patternFill patternType="solid">
          <fgColor rgb="FF000000"/>
          <bgColor rgb="FFFFFFFF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0.000"/>
      <fill>
        <patternFill patternType="solid">
          <fgColor rgb="FF000000"/>
          <bgColor rgb="FFFFF2CC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DDEBF7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DDEBF7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0.0000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0.0000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DDEBF7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DDEBF7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0.00000"/>
      <fill>
        <patternFill patternType="solid">
          <fgColor rgb="FF000000"/>
          <bgColor rgb="FFFFF2CC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DDEBF7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DDEBF7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4" formatCode="#,##0.00"/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4" formatCode="#,##0.00"/>
      <fill>
        <patternFill patternType="solid">
          <fgColor rgb="FF000000"/>
          <bgColor rgb="FFFFF2CC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EFC2F6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" formatCode="#,##0"/>
      <fill>
        <patternFill patternType="solid">
          <fgColor rgb="FF000000"/>
          <bgColor rgb="FFDDEBF7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EFC2F6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DDEBF7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FFFFFF"/>
        </patternFill>
      </fill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" formatCode="0"/>
      <fill>
        <patternFill patternType="solid">
          <fgColor rgb="FF000000"/>
          <bgColor rgb="FFEFC2F6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DDEBF7"/>
      <color rgb="FFFFF2CC"/>
      <color rgb="FFEFC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CO" b="1"/>
              <a:t>PROYECCIONES DE POBLACIÓN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LINEAL</c:v>
          </c:tx>
          <c:spPr>
            <a:ln w="19050" cap="rnd">
              <a:solidFill>
                <a:schemeClr val="accent1"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1">
                    <a:alpha val="60000"/>
                  </a:schemeClr>
                </a:solidFill>
              </a:ln>
              <a:effectLst/>
            </c:spPr>
          </c:marker>
          <c:xVal>
            <c:numRef>
              <c:f>GRAFICA!$D$5:$D$10</c:f>
              <c:numCache>
                <c:formatCode>0</c:formatCode>
                <c:ptCount val="6"/>
                <c:pt idx="0">
                  <c:v>2024</c:v>
                </c:pt>
                <c:pt idx="1">
                  <c:v>2029</c:v>
                </c:pt>
                <c:pt idx="2">
                  <c:v>2034</c:v>
                </c:pt>
                <c:pt idx="3">
                  <c:v>2039</c:v>
                </c:pt>
                <c:pt idx="4">
                  <c:v>2044</c:v>
                </c:pt>
                <c:pt idx="5">
                  <c:v>2049</c:v>
                </c:pt>
              </c:numCache>
            </c:numRef>
          </c:xVal>
          <c:yVal>
            <c:numRef>
              <c:f>GRAFICA!$E$5:$E$10</c:f>
              <c:numCache>
                <c:formatCode>#,##0</c:formatCode>
                <c:ptCount val="6"/>
                <c:pt idx="0">
                  <c:v>58592.533333333333</c:v>
                </c:pt>
                <c:pt idx="1">
                  <c:v>60982.8</c:v>
                </c:pt>
                <c:pt idx="2">
                  <c:v>63373.066666666666</c:v>
                </c:pt>
                <c:pt idx="3">
                  <c:v>65763.399999999994</c:v>
                </c:pt>
                <c:pt idx="4">
                  <c:v>68153.46666666666</c:v>
                </c:pt>
                <c:pt idx="5">
                  <c:v>70544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58-4E91-BECE-CBC43DCF9D6C}"/>
            </c:ext>
          </c:extLst>
        </c:ser>
        <c:ser>
          <c:idx val="1"/>
          <c:order val="1"/>
          <c:tx>
            <c:v>GEOMÉTRICO</c:v>
          </c:tx>
          <c:spPr>
            <a:ln w="19050" cap="rnd">
              <a:solidFill>
                <a:schemeClr val="accent6"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44450">
                <a:solidFill>
                  <a:schemeClr val="accent6">
                    <a:alpha val="60000"/>
                  </a:schemeClr>
                </a:solidFill>
              </a:ln>
              <a:effectLst/>
            </c:spPr>
          </c:marker>
          <c:xVal>
            <c:numRef>
              <c:f>GRAFICA!$D$5:$D$10</c:f>
              <c:numCache>
                <c:formatCode>0</c:formatCode>
                <c:ptCount val="6"/>
                <c:pt idx="0">
                  <c:v>2024</c:v>
                </c:pt>
                <c:pt idx="1">
                  <c:v>2029</c:v>
                </c:pt>
                <c:pt idx="2">
                  <c:v>2034</c:v>
                </c:pt>
                <c:pt idx="3">
                  <c:v>2039</c:v>
                </c:pt>
                <c:pt idx="4">
                  <c:v>2044</c:v>
                </c:pt>
                <c:pt idx="5">
                  <c:v>2049</c:v>
                </c:pt>
              </c:numCache>
            </c:numRef>
          </c:xVal>
          <c:yVal>
            <c:numRef>
              <c:f>GRAFICA!$F$5:$F$10</c:f>
              <c:numCache>
                <c:formatCode>#,##0</c:formatCode>
                <c:ptCount val="6"/>
                <c:pt idx="0">
                  <c:v>58703.6</c:v>
                </c:pt>
                <c:pt idx="1">
                  <c:v>61335.4</c:v>
                </c:pt>
                <c:pt idx="2">
                  <c:v>64086.26666666667</c:v>
                </c:pt>
                <c:pt idx="3">
                  <c:v>66961.8</c:v>
                </c:pt>
                <c:pt idx="4">
                  <c:v>69967.666666666672</c:v>
                </c:pt>
                <c:pt idx="5">
                  <c:v>73109.666666666672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58-4E91-BECE-CBC43DCF9D6C}"/>
            </c:ext>
          </c:extLst>
        </c:ser>
        <c:ser>
          <c:idx val="2"/>
          <c:order val="2"/>
          <c:tx>
            <c:v>LOGARÍTMICO</c:v>
          </c:tx>
          <c:spPr>
            <a:ln w="19050" cap="rnd">
              <a:solidFill>
                <a:srgbClr val="FF0000">
                  <a:alpha val="60000"/>
                </a:srgb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FF0000">
                    <a:alpha val="60000"/>
                  </a:srgbClr>
                </a:solidFill>
              </a:ln>
              <a:effectLst/>
            </c:spPr>
          </c:marker>
          <c:xVal>
            <c:numRef>
              <c:f>GRAFICA!$D$5:$D$10</c:f>
              <c:numCache>
                <c:formatCode>0</c:formatCode>
                <c:ptCount val="6"/>
                <c:pt idx="0">
                  <c:v>2024</c:v>
                </c:pt>
                <c:pt idx="1">
                  <c:v>2029</c:v>
                </c:pt>
                <c:pt idx="2">
                  <c:v>2034</c:v>
                </c:pt>
                <c:pt idx="3">
                  <c:v>2039</c:v>
                </c:pt>
                <c:pt idx="4">
                  <c:v>2044</c:v>
                </c:pt>
                <c:pt idx="5">
                  <c:v>2049</c:v>
                </c:pt>
              </c:numCache>
            </c:numRef>
          </c:xVal>
          <c:yVal>
            <c:numRef>
              <c:f>GRAFICA!$G$5:$G$10</c:f>
              <c:numCache>
                <c:formatCode>#,##0</c:formatCode>
                <c:ptCount val="6"/>
                <c:pt idx="0">
                  <c:v>55154.5625</c:v>
                </c:pt>
                <c:pt idx="1">
                  <c:v>58040</c:v>
                </c:pt>
                <c:pt idx="2">
                  <c:v>61077</c:v>
                </c:pt>
                <c:pt idx="3">
                  <c:v>64273</c:v>
                </c:pt>
                <c:pt idx="4">
                  <c:v>67636</c:v>
                </c:pt>
                <c:pt idx="5">
                  <c:v>71174.875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58-4E91-BECE-CBC43DCF9D6C}"/>
            </c:ext>
          </c:extLst>
        </c:ser>
        <c:ser>
          <c:idx val="3"/>
          <c:order val="3"/>
          <c:tx>
            <c:v>WAPPUS</c:v>
          </c:tx>
          <c:spPr>
            <a:ln w="19050" cap="rnd">
              <a:solidFill>
                <a:schemeClr val="accent4"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4">
                    <a:alpha val="60000"/>
                  </a:schemeClr>
                </a:solidFill>
              </a:ln>
              <a:effectLst/>
            </c:spPr>
          </c:marker>
          <c:xVal>
            <c:numRef>
              <c:f>GRAFICA!$D$5:$D$10</c:f>
              <c:numCache>
                <c:formatCode>0</c:formatCode>
                <c:ptCount val="6"/>
                <c:pt idx="0">
                  <c:v>2024</c:v>
                </c:pt>
                <c:pt idx="1">
                  <c:v>2029</c:v>
                </c:pt>
                <c:pt idx="2">
                  <c:v>2034</c:v>
                </c:pt>
                <c:pt idx="3">
                  <c:v>2039</c:v>
                </c:pt>
                <c:pt idx="4">
                  <c:v>2044</c:v>
                </c:pt>
                <c:pt idx="5">
                  <c:v>2049</c:v>
                </c:pt>
              </c:numCache>
            </c:numRef>
          </c:xVal>
          <c:yVal>
            <c:numRef>
              <c:f>GRAFICA!$H$5:$H$10</c:f>
              <c:numCache>
                <c:formatCode>#,##0</c:formatCode>
                <c:ptCount val="6"/>
                <c:pt idx="0">
                  <c:v>58698.2</c:v>
                </c:pt>
                <c:pt idx="1">
                  <c:v>61337.933333333334</c:v>
                </c:pt>
                <c:pt idx="2">
                  <c:v>64107.866666666669</c:v>
                </c:pt>
                <c:pt idx="3">
                  <c:v>67018</c:v>
                </c:pt>
                <c:pt idx="4">
                  <c:v>70079.666666666672</c:v>
                </c:pt>
                <c:pt idx="5">
                  <c:v>73305.066666666666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58-4E91-BECE-CBC43DCF9D6C}"/>
            </c:ext>
          </c:extLst>
        </c:ser>
        <c:ser>
          <c:idx val="4"/>
          <c:order val="4"/>
          <c:tx>
            <c:v>PROM FINAL</c:v>
          </c:tx>
          <c:spPr>
            <a:ln w="19050" cap="rnd">
              <a:solidFill>
                <a:srgbClr val="7030A0">
                  <a:alpha val="60000"/>
                </a:srgb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7030A0">
                    <a:alpha val="60000"/>
                  </a:srgbClr>
                </a:solidFill>
              </a:ln>
              <a:effectLst/>
            </c:spPr>
          </c:marker>
          <c:xVal>
            <c:numRef>
              <c:f>GRAFICA!$D$5:$D$10</c:f>
              <c:numCache>
                <c:formatCode>0</c:formatCode>
                <c:ptCount val="6"/>
                <c:pt idx="0">
                  <c:v>2024</c:v>
                </c:pt>
                <c:pt idx="1">
                  <c:v>2029</c:v>
                </c:pt>
                <c:pt idx="2">
                  <c:v>2034</c:v>
                </c:pt>
                <c:pt idx="3">
                  <c:v>2039</c:v>
                </c:pt>
                <c:pt idx="4">
                  <c:v>2044</c:v>
                </c:pt>
                <c:pt idx="5">
                  <c:v>2049</c:v>
                </c:pt>
              </c:numCache>
            </c:numRef>
          </c:xVal>
          <c:yVal>
            <c:numRef>
              <c:f>GRAFICA!$I$5:$I$10</c:f>
              <c:numCache>
                <c:formatCode>#,##0</c:formatCode>
                <c:ptCount val="6"/>
                <c:pt idx="0">
                  <c:v>57787.223958333328</c:v>
                </c:pt>
                <c:pt idx="1">
                  <c:v>60424.03333333334</c:v>
                </c:pt>
                <c:pt idx="2">
                  <c:v>63161.05</c:v>
                </c:pt>
                <c:pt idx="3">
                  <c:v>66004.05</c:v>
                </c:pt>
                <c:pt idx="4">
                  <c:v>68959.199999999997</c:v>
                </c:pt>
                <c:pt idx="5">
                  <c:v>72033.402083333334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158-4E91-BECE-CBC43DCF9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50879"/>
        <c:axId val="378452959"/>
      </c:scatterChart>
      <c:valAx>
        <c:axId val="378450879"/>
        <c:scaling>
          <c:orientation val="minMax"/>
          <c:min val="20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TIEMPO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8452959"/>
        <c:crosses val="autoZero"/>
        <c:crossBetween val="midCat"/>
        <c:majorUnit val="2"/>
      </c:valAx>
      <c:valAx>
        <c:axId val="378452959"/>
        <c:scaling>
          <c:orientation val="minMax"/>
          <c:min val="53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POBLACIÓN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8450879"/>
        <c:crossesAt val="2022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PROYECCIONES POBLACIONALES </a:t>
            </a:r>
          </a:p>
          <a:p>
            <a:pPr>
              <a:defRPr/>
            </a:pPr>
            <a:r>
              <a:rPr lang="es-CO"/>
              <a:t>PAMPLONA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118593323548507"/>
          <c:y val="0.24094809390660329"/>
          <c:w val="0.84549319632918218"/>
          <c:h val="0.65260240994069185"/>
        </c:manualLayout>
      </c:layout>
      <c:scatterChart>
        <c:scatterStyle val="lineMarker"/>
        <c:varyColors val="0"/>
        <c:ser>
          <c:idx val="0"/>
          <c:order val="0"/>
          <c:tx>
            <c:v>CENSOS PAMPLONA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PROY1!$B$4:$B$7</c:f>
              <c:numCache>
                <c:formatCode>General</c:formatCode>
                <c:ptCount val="4"/>
                <c:pt idx="0">
                  <c:v>1985</c:v>
                </c:pt>
                <c:pt idx="1">
                  <c:v>1993</c:v>
                </c:pt>
                <c:pt idx="2">
                  <c:v>2005</c:v>
                </c:pt>
              </c:numCache>
            </c:numRef>
          </c:xVal>
          <c:yVal>
            <c:numRef>
              <c:f>PROY1!$C$4:$C$7</c:f>
              <c:numCache>
                <c:formatCode>_-* #,##0_-;\-* #,##0_-;_-* "-"??_-;_-@_-</c:formatCode>
                <c:ptCount val="4"/>
                <c:pt idx="0">
                  <c:v>35058</c:v>
                </c:pt>
                <c:pt idx="1">
                  <c:v>37829</c:v>
                </c:pt>
                <c:pt idx="2">
                  <c:v>48575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AC-4F46-B52A-53BF8B38B35C}"/>
            </c:ext>
          </c:extLst>
        </c:ser>
        <c:ser>
          <c:idx val="1"/>
          <c:order val="1"/>
          <c:tx>
            <c:v>PROYECCIÓN DANE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PROY1!$B$13:$B$29</c:f>
              <c:numCache>
                <c:formatCode>General</c:formatCode>
                <c:ptCount val="17"/>
                <c:pt idx="0">
                  <c:v>2005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PROY1!$C$13:$C$29</c:f>
              <c:numCache>
                <c:formatCode>_-* #,##0_-;\-* #,##0_-;_-* "-"??_-;_-@_-</c:formatCode>
                <c:ptCount val="17"/>
                <c:pt idx="0">
                  <c:v>48639</c:v>
                </c:pt>
                <c:pt idx="1">
                  <c:v>50086</c:v>
                </c:pt>
                <c:pt idx="2">
                  <c:v>51128</c:v>
                </c:pt>
                <c:pt idx="3">
                  <c:v>51909</c:v>
                </c:pt>
                <c:pt idx="4">
                  <c:v>52472</c:v>
                </c:pt>
                <c:pt idx="5">
                  <c:v>52877</c:v>
                </c:pt>
                <c:pt idx="6">
                  <c:v>53141</c:v>
                </c:pt>
                <c:pt idx="7">
                  <c:v>53291</c:v>
                </c:pt>
                <c:pt idx="8">
                  <c:v>53385</c:v>
                </c:pt>
                <c:pt idx="9">
                  <c:v>53436</c:v>
                </c:pt>
                <c:pt idx="10">
                  <c:v>53457</c:v>
                </c:pt>
                <c:pt idx="11">
                  <c:v>53486</c:v>
                </c:pt>
                <c:pt idx="12">
                  <c:v>53505</c:v>
                </c:pt>
                <c:pt idx="13">
                  <c:v>53539</c:v>
                </c:pt>
                <c:pt idx="14">
                  <c:v>53561</c:v>
                </c:pt>
                <c:pt idx="15">
                  <c:v>53539</c:v>
                </c:pt>
                <c:pt idx="16">
                  <c:v>53558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AC-4F46-B52A-53BF8B38B35C}"/>
            </c:ext>
          </c:extLst>
        </c:ser>
        <c:ser>
          <c:idx val="2"/>
          <c:order val="2"/>
          <c:tx>
            <c:v>MÉTODO ARITMÉTICO</c:v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PROY1!$B$13:$B$29</c:f>
              <c:numCache>
                <c:formatCode>General</c:formatCode>
                <c:ptCount val="17"/>
                <c:pt idx="0">
                  <c:v>2005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PROY1!$D$13:$D$29</c:f>
              <c:numCache>
                <c:formatCode>_-* #,##0_-;\-* #,##0_-;_-* "-"??_-;_-@_-</c:formatCode>
                <c:ptCount val="17"/>
                <c:pt idx="0">
                  <c:v>48575</c:v>
                </c:pt>
                <c:pt idx="1">
                  <c:v>60424.1</c:v>
                </c:pt>
                <c:pt idx="2">
                  <c:v>61214.04</c:v>
                </c:pt>
                <c:pt idx="3">
                  <c:v>62003.98</c:v>
                </c:pt>
                <c:pt idx="4">
                  <c:v>62793.919999999998</c:v>
                </c:pt>
                <c:pt idx="5">
                  <c:v>63583.86</c:v>
                </c:pt>
                <c:pt idx="6">
                  <c:v>64373.8</c:v>
                </c:pt>
                <c:pt idx="7">
                  <c:v>65163.740000000005</c:v>
                </c:pt>
                <c:pt idx="8">
                  <c:v>65953.679999999993</c:v>
                </c:pt>
                <c:pt idx="9">
                  <c:v>66743.62</c:v>
                </c:pt>
                <c:pt idx="10">
                  <c:v>67533.56</c:v>
                </c:pt>
                <c:pt idx="11">
                  <c:v>68323.5</c:v>
                </c:pt>
                <c:pt idx="12">
                  <c:v>69113.440000000002</c:v>
                </c:pt>
                <c:pt idx="13">
                  <c:v>69903.38</c:v>
                </c:pt>
                <c:pt idx="14">
                  <c:v>70693.320000000007</c:v>
                </c:pt>
                <c:pt idx="15">
                  <c:v>71483.260000000009</c:v>
                </c:pt>
                <c:pt idx="16">
                  <c:v>72273.2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AC-4F46-B52A-53BF8B38B35C}"/>
            </c:ext>
          </c:extLst>
        </c:ser>
        <c:ser>
          <c:idx val="3"/>
          <c:order val="3"/>
          <c:tx>
            <c:v>MÉTODO GEOMETRICO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PROY1!$B$13:$B$29</c:f>
              <c:numCache>
                <c:formatCode>General</c:formatCode>
                <c:ptCount val="17"/>
                <c:pt idx="0">
                  <c:v>2005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PROY1!$E$13:$E$29</c:f>
              <c:numCache>
                <c:formatCode>_-* #,##0_-;\-* #,##0_-;_-* "-"??_-;_-@_-</c:formatCode>
                <c:ptCount val="17"/>
                <c:pt idx="0">
                  <c:v>48575</c:v>
                </c:pt>
                <c:pt idx="1">
                  <c:v>64179.327612976216</c:v>
                </c:pt>
                <c:pt idx="2">
                  <c:v>65382.369109081461</c:v>
                </c:pt>
                <c:pt idx="3">
                  <c:v>66607.9616180312</c:v>
                </c:pt>
                <c:pt idx="4">
                  <c:v>67856.527858561181</c:v>
                </c:pt>
                <c:pt idx="5">
                  <c:v>69128.498473269909</c:v>
                </c:pt>
                <c:pt idx="6">
                  <c:v>70424.312177151369</c:v>
                </c:pt>
                <c:pt idx="7">
                  <c:v>71744.415908912066</c:v>
                </c:pt>
                <c:pt idx="8">
                  <c:v>73089.26498512461</c:v>
                </c:pt>
                <c:pt idx="9">
                  <c:v>74459.323257270793</c:v>
                </c:pt>
                <c:pt idx="10">
                  <c:v>75855.063271728315</c:v>
                </c:pt>
                <c:pt idx="11">
                  <c:v>77276.966432756875</c:v>
                </c:pt>
                <c:pt idx="12">
                  <c:v>78725.523168538901</c:v>
                </c:pt>
                <c:pt idx="13">
                  <c:v>80201.233100333164</c:v>
                </c:pt>
                <c:pt idx="14">
                  <c:v>81704.605214798896</c:v>
                </c:pt>
                <c:pt idx="15">
                  <c:v>83236.158039550312</c:v>
                </c:pt>
                <c:pt idx="16">
                  <c:v>84796.41982200167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AC-4F46-B52A-53BF8B38B35C}"/>
            </c:ext>
          </c:extLst>
        </c:ser>
        <c:ser>
          <c:idx val="4"/>
          <c:order val="4"/>
          <c:tx>
            <c:v>MÉTODO EXPONENCIAL</c:v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PROY1!$B$13:$B$29</c:f>
              <c:numCache>
                <c:formatCode>General</c:formatCode>
                <c:ptCount val="17"/>
                <c:pt idx="0">
                  <c:v>2005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PROY1!$F$13:$F$29</c:f>
              <c:numCache>
                <c:formatCode>_-* #,##0_-;\-* #,##0_-;_-* "-"??_-;_-@_-</c:formatCode>
                <c:ptCount val="17"/>
                <c:pt idx="0">
                  <c:v>48575</c:v>
                </c:pt>
                <c:pt idx="1">
                  <c:v>60991.468593154939</c:v>
                </c:pt>
                <c:pt idx="2">
                  <c:v>61924.072363517458</c:v>
                </c:pt>
                <c:pt idx="3">
                  <c:v>62870.93632161698</c:v>
                </c:pt>
                <c:pt idx="4">
                  <c:v>63832.278516061888</c:v>
                </c:pt>
                <c:pt idx="5">
                  <c:v>64808.32032958186</c:v>
                </c:pt>
                <c:pt idx="6">
                  <c:v>65799.286530008991</c:v>
                </c:pt>
                <c:pt idx="7">
                  <c:v>66805.405322038496</c:v>
                </c:pt>
                <c:pt idx="8">
                  <c:v>67826.908399780761</c:v>
                </c:pt>
                <c:pt idx="9">
                  <c:v>68864.031000117146</c:v>
                </c:pt>
                <c:pt idx="10">
                  <c:v>69917.011956871458</c:v>
                </c:pt>
                <c:pt idx="11">
                  <c:v>70986.093755809765</c:v>
                </c:pt>
                <c:pt idx="12">
                  <c:v>72071.522590481312</c:v>
                </c:pt>
                <c:pt idx="13">
                  <c:v>73173.548418913211</c:v>
                </c:pt>
                <c:pt idx="14">
                  <c:v>74292.425021172006</c:v>
                </c:pt>
                <c:pt idx="15">
                  <c:v>75428.410057805377</c:v>
                </c:pt>
                <c:pt idx="16">
                  <c:v>76581.765129177686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AC-4F46-B52A-53BF8B38B35C}"/>
            </c:ext>
          </c:extLst>
        </c:ser>
        <c:ser>
          <c:idx val="5"/>
          <c:order val="5"/>
          <c:tx>
            <c:v>MÉTODO WAPPUS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PROY1!$B$13:$B$29</c:f>
              <c:numCache>
                <c:formatCode>General</c:formatCode>
                <c:ptCount val="17"/>
                <c:pt idx="0">
                  <c:v>2005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PROY1!$G$13:$G$29</c:f>
              <c:numCache>
                <c:formatCode>_-* #,##0_-;\-* #,##0_-;_-* "-"??_-;_-@_-</c:formatCode>
                <c:ptCount val="17"/>
                <c:pt idx="0">
                  <c:v>48575</c:v>
                </c:pt>
                <c:pt idx="1">
                  <c:v>64177.06731466706</c:v>
                </c:pt>
                <c:pt idx="2">
                  <c:v>65397.313467855471</c:v>
                </c:pt>
                <c:pt idx="3">
                  <c:v>66644.260533104054</c:v>
                </c:pt>
                <c:pt idx="4">
                  <c:v>67918.794592001927</c:v>
                </c:pt>
                <c:pt idx="5">
                  <c:v>69221.841371366216</c:v>
                </c:pt>
                <c:pt idx="6">
                  <c:v>70554.368485591665</c:v>
                </c:pt>
                <c:pt idx="7">
                  <c:v>71917.387832935405</c:v>
                </c:pt>
                <c:pt idx="8">
                  <c:v>73311.958158208407</c:v>
                </c:pt>
                <c:pt idx="9">
                  <c:v>74739.18779551296</c:v>
                </c:pt>
                <c:pt idx="10">
                  <c:v>76200.237605959424</c:v>
                </c:pt>
                <c:pt idx="11">
                  <c:v>77696.324126726249</c:v>
                </c:pt>
                <c:pt idx="12">
                  <c:v>79228.722949417875</c:v>
                </c:pt>
                <c:pt idx="13">
                  <c:v>80798.772347438164</c:v>
                </c:pt>
                <c:pt idx="14">
                  <c:v>82407.877174059598</c:v>
                </c:pt>
                <c:pt idx="15">
                  <c:v>84057.513055053074</c:v>
                </c:pt>
                <c:pt idx="16">
                  <c:v>85749.23090217766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AC-4F46-B52A-53BF8B38B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667295"/>
        <c:axId val="854667775"/>
      </c:scatterChart>
      <c:valAx>
        <c:axId val="854667295"/>
        <c:scaling>
          <c:orientation val="minMax"/>
          <c:max val="2036"/>
          <c:min val="198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4667775"/>
        <c:crosses val="autoZero"/>
        <c:crossBetween val="midCat"/>
        <c:majorUnit val="3"/>
      </c:valAx>
      <c:valAx>
        <c:axId val="854667775"/>
        <c:scaling>
          <c:orientation val="minMax"/>
          <c:max val="86000"/>
          <c:min val="3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POBLACIÓN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4667295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PROYECCIONES POBLACIONALES </a:t>
            </a:r>
          </a:p>
          <a:p>
            <a:pPr>
              <a:defRPr/>
            </a:pPr>
            <a:r>
              <a:rPr lang="es-CO"/>
              <a:t>PAMPLONA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118593323548507"/>
          <c:y val="0.24094809390660329"/>
          <c:w val="0.84549319632918218"/>
          <c:h val="0.65260240994069185"/>
        </c:manualLayout>
      </c:layout>
      <c:scatterChart>
        <c:scatterStyle val="lineMarker"/>
        <c:varyColors val="0"/>
        <c:ser>
          <c:idx val="0"/>
          <c:order val="0"/>
          <c:tx>
            <c:v>CENSOS PAMPLONA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PROY2!$B$4:$B$7</c:f>
              <c:numCache>
                <c:formatCode>General</c:formatCode>
                <c:ptCount val="4"/>
                <c:pt idx="0">
                  <c:v>1985</c:v>
                </c:pt>
                <c:pt idx="1">
                  <c:v>1993</c:v>
                </c:pt>
                <c:pt idx="2">
                  <c:v>2005</c:v>
                </c:pt>
                <c:pt idx="3">
                  <c:v>2018</c:v>
                </c:pt>
              </c:numCache>
            </c:numRef>
          </c:xVal>
          <c:yVal>
            <c:numRef>
              <c:f>PROY2!$C$4:$C$7</c:f>
              <c:numCache>
                <c:formatCode>_-* #,##0_-;\-* #,##0_-;_-* "-"??_-;_-@_-</c:formatCode>
                <c:ptCount val="4"/>
                <c:pt idx="0">
                  <c:v>35058</c:v>
                </c:pt>
                <c:pt idx="1">
                  <c:v>37829</c:v>
                </c:pt>
                <c:pt idx="2">
                  <c:v>48575</c:v>
                </c:pt>
                <c:pt idx="3">
                  <c:v>41680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6-40BA-88DE-2ACE82E75AC0}"/>
            </c:ext>
          </c:extLst>
        </c:ser>
        <c:ser>
          <c:idx val="1"/>
          <c:order val="1"/>
          <c:tx>
            <c:v>PROYECCIÓN DANE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PROY2!$B$13:$B$29</c:f>
              <c:numCache>
                <c:formatCode>General</c:formatCode>
                <c:ptCount val="17"/>
                <c:pt idx="0">
                  <c:v>2018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PROY2!$C$13:$C$29</c:f>
              <c:numCache>
                <c:formatCode>_-* #,##0_-;\-* #,##0_-;_-* "-"??_-;_-@_-</c:formatCode>
                <c:ptCount val="17"/>
                <c:pt idx="0">
                  <c:v>41680</c:v>
                </c:pt>
                <c:pt idx="1">
                  <c:v>50086</c:v>
                </c:pt>
                <c:pt idx="2">
                  <c:v>51128</c:v>
                </c:pt>
                <c:pt idx="3">
                  <c:v>51909</c:v>
                </c:pt>
                <c:pt idx="4">
                  <c:v>52472</c:v>
                </c:pt>
                <c:pt idx="5">
                  <c:v>52877</c:v>
                </c:pt>
                <c:pt idx="6">
                  <c:v>53141</c:v>
                </c:pt>
                <c:pt idx="7">
                  <c:v>53291</c:v>
                </c:pt>
                <c:pt idx="8">
                  <c:v>53385</c:v>
                </c:pt>
                <c:pt idx="9">
                  <c:v>53436</c:v>
                </c:pt>
                <c:pt idx="10">
                  <c:v>53457</c:v>
                </c:pt>
                <c:pt idx="11">
                  <c:v>53486</c:v>
                </c:pt>
                <c:pt idx="12">
                  <c:v>53505</c:v>
                </c:pt>
                <c:pt idx="13">
                  <c:v>53539</c:v>
                </c:pt>
                <c:pt idx="14">
                  <c:v>53561</c:v>
                </c:pt>
                <c:pt idx="15">
                  <c:v>53539</c:v>
                </c:pt>
                <c:pt idx="16">
                  <c:v>53558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26-40BA-88DE-2ACE82E75AC0}"/>
            </c:ext>
          </c:extLst>
        </c:ser>
        <c:ser>
          <c:idx val="2"/>
          <c:order val="2"/>
          <c:tx>
            <c:v>MÉTODO ARITMÉTICO</c:v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PROY2!$B$13:$B$29</c:f>
              <c:numCache>
                <c:formatCode>General</c:formatCode>
                <c:ptCount val="17"/>
                <c:pt idx="0">
                  <c:v>2018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PROY2!$D$13:$D$29</c:f>
              <c:numCache>
                <c:formatCode>_-* #,##0_-;\-* #,##0_-;_-* "-"??_-;_-@_-</c:formatCode>
                <c:ptCount val="17"/>
                <c:pt idx="0">
                  <c:v>41680</c:v>
                </c:pt>
                <c:pt idx="1">
                  <c:v>42951.22</c:v>
                </c:pt>
                <c:pt idx="2">
                  <c:v>43586.83</c:v>
                </c:pt>
                <c:pt idx="3">
                  <c:v>44222.44</c:v>
                </c:pt>
                <c:pt idx="4">
                  <c:v>44858.05</c:v>
                </c:pt>
                <c:pt idx="5">
                  <c:v>45493.66</c:v>
                </c:pt>
                <c:pt idx="6">
                  <c:v>46129.270000000004</c:v>
                </c:pt>
                <c:pt idx="7">
                  <c:v>46764.88</c:v>
                </c:pt>
                <c:pt idx="8">
                  <c:v>47400.49</c:v>
                </c:pt>
                <c:pt idx="9">
                  <c:v>48036.1</c:v>
                </c:pt>
                <c:pt idx="10">
                  <c:v>48671.71</c:v>
                </c:pt>
                <c:pt idx="11">
                  <c:v>49307.32</c:v>
                </c:pt>
                <c:pt idx="12">
                  <c:v>49942.93</c:v>
                </c:pt>
                <c:pt idx="13">
                  <c:v>50578.54</c:v>
                </c:pt>
                <c:pt idx="14">
                  <c:v>51214.15</c:v>
                </c:pt>
                <c:pt idx="15">
                  <c:v>51849.760000000002</c:v>
                </c:pt>
                <c:pt idx="16">
                  <c:v>52485.37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26-40BA-88DE-2ACE82E75AC0}"/>
            </c:ext>
          </c:extLst>
        </c:ser>
        <c:ser>
          <c:idx val="3"/>
          <c:order val="3"/>
          <c:tx>
            <c:v>MÉTODO GEOMETRICO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PROY2!$B$13:$B$29</c:f>
              <c:numCache>
                <c:formatCode>General</c:formatCode>
                <c:ptCount val="17"/>
                <c:pt idx="0">
                  <c:v>2018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PROY2!$E$13:$E$29</c:f>
              <c:numCache>
                <c:formatCode>_-* #,##0_-;\-* #,##0_-;_-* "-"??_-;_-@_-</c:formatCode>
                <c:ptCount val="17"/>
                <c:pt idx="0">
                  <c:v>41680</c:v>
                </c:pt>
                <c:pt idx="1">
                  <c:v>41608.896483783108</c:v>
                </c:pt>
                <c:pt idx="2">
                  <c:v>41573.390225450275</c:v>
                </c:pt>
                <c:pt idx="3">
                  <c:v>41537.914265791223</c:v>
                </c:pt>
                <c:pt idx="4">
                  <c:v>41502.468578951077</c:v>
                </c:pt>
                <c:pt idx="5">
                  <c:v>41467.053139097035</c:v>
                </c:pt>
                <c:pt idx="6">
                  <c:v>41431.667920418346</c:v>
                </c:pt>
                <c:pt idx="7">
                  <c:v>41396.312897126249</c:v>
                </c:pt>
                <c:pt idx="8">
                  <c:v>41360.988043454025</c:v>
                </c:pt>
                <c:pt idx="9">
                  <c:v>41325.693333656949</c:v>
                </c:pt>
                <c:pt idx="10">
                  <c:v>41290.428742012227</c:v>
                </c:pt>
                <c:pt idx="11">
                  <c:v>41255.194242819038</c:v>
                </c:pt>
                <c:pt idx="12">
                  <c:v>41219.989810398496</c:v>
                </c:pt>
                <c:pt idx="13">
                  <c:v>41184.815419093618</c:v>
                </c:pt>
                <c:pt idx="14">
                  <c:v>41149.671043269329</c:v>
                </c:pt>
                <c:pt idx="15">
                  <c:v>41114.556657312394</c:v>
                </c:pt>
                <c:pt idx="16">
                  <c:v>41079.472235631489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26-40BA-88DE-2ACE82E75AC0}"/>
            </c:ext>
          </c:extLst>
        </c:ser>
        <c:ser>
          <c:idx val="4"/>
          <c:order val="4"/>
          <c:tx>
            <c:v>MÉTODO EXPONENCIAL</c:v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PROY2!$B$13:$B$29</c:f>
              <c:numCache>
                <c:formatCode>General</c:formatCode>
                <c:ptCount val="17"/>
                <c:pt idx="0">
                  <c:v>2018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PROY2!$F$13:$F$29</c:f>
              <c:numCache>
                <c:formatCode>_-* #,##0_-;\-* #,##0_-;_-* "-"??_-;_-@_-</c:formatCode>
                <c:ptCount val="17"/>
                <c:pt idx="0">
                  <c:v>41680</c:v>
                </c:pt>
                <c:pt idx="1">
                  <c:v>42199.205651689008</c:v>
                </c:pt>
                <c:pt idx="2">
                  <c:v>42461.228859860494</c:v>
                </c:pt>
                <c:pt idx="3">
                  <c:v>42724.879021917972</c:v>
                </c:pt>
                <c:pt idx="4">
                  <c:v>42990.166239939666</c:v>
                </c:pt>
                <c:pt idx="5">
                  <c:v>43257.100678729606</c:v>
                </c:pt>
                <c:pt idx="6">
                  <c:v>43525.692566207101</c:v>
                </c:pt>
                <c:pt idx="7">
                  <c:v>43795.952193798621</c:v>
                </c:pt>
                <c:pt idx="8">
                  <c:v>44067.889916832166</c:v>
                </c:pt>
                <c:pt idx="9">
                  <c:v>44341.516154933983</c:v>
                </c:pt>
                <c:pt idx="10">
                  <c:v>44616.841392427843</c:v>
                </c:pt>
                <c:pt idx="11">
                  <c:v>44893.876178736784</c:v>
                </c:pt>
                <c:pt idx="12">
                  <c:v>45172.63112878726</c:v>
                </c:pt>
                <c:pt idx="13">
                  <c:v>45453.116923415917</c:v>
                </c:pt>
                <c:pt idx="14">
                  <c:v>45735.34430977884</c:v>
                </c:pt>
                <c:pt idx="15">
                  <c:v>46019.324101763304</c:v>
                </c:pt>
                <c:pt idx="16">
                  <c:v>46305.067180402155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26-40BA-88DE-2ACE82E75AC0}"/>
            </c:ext>
          </c:extLst>
        </c:ser>
        <c:ser>
          <c:idx val="5"/>
          <c:order val="5"/>
          <c:tx>
            <c:v>MÉTODO WAPPUS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PROY2!$B$13:$B$29</c:f>
              <c:numCache>
                <c:formatCode>General</c:formatCode>
                <c:ptCount val="17"/>
                <c:pt idx="0">
                  <c:v>2018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PROY2!$G$13:$G$29</c:f>
              <c:numCache>
                <c:formatCode>_-* #,##0_-;\-* #,##0_-;_-* "-"??_-;_-@_-</c:formatCode>
                <c:ptCount val="17"/>
                <c:pt idx="0">
                  <c:v>41680</c:v>
                </c:pt>
                <c:pt idx="1">
                  <c:v>41605.043460885201</c:v>
                </c:pt>
                <c:pt idx="2">
                  <c:v>41567.615718779642</c:v>
                </c:pt>
                <c:pt idx="3">
                  <c:v>41530.221601117984</c:v>
                </c:pt>
                <c:pt idx="4">
                  <c:v>41492.861062609132</c:v>
                </c:pt>
                <c:pt idx="5">
                  <c:v>41455.534058043289</c:v>
                </c:pt>
                <c:pt idx="6">
                  <c:v>41418.24054229178</c:v>
                </c:pt>
                <c:pt idx="7">
                  <c:v>41380.980470306895</c:v>
                </c:pt>
                <c:pt idx="8">
                  <c:v>41343.753797121659</c:v>
                </c:pt>
                <c:pt idx="9">
                  <c:v>41306.560477849671</c:v>
                </c:pt>
                <c:pt idx="10">
                  <c:v>41269.400467684958</c:v>
                </c:pt>
                <c:pt idx="11">
                  <c:v>41232.273721901722</c:v>
                </c:pt>
                <c:pt idx="12">
                  <c:v>41195.180195854256</c:v>
                </c:pt>
                <c:pt idx="13">
                  <c:v>41158.119844976653</c:v>
                </c:pt>
                <c:pt idx="14">
                  <c:v>41121.092624782716</c:v>
                </c:pt>
                <c:pt idx="15">
                  <c:v>41084.09849086577</c:v>
                </c:pt>
                <c:pt idx="16">
                  <c:v>41047.137398898427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26-40BA-88DE-2ACE82E75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667295"/>
        <c:axId val="854667775"/>
      </c:scatterChart>
      <c:valAx>
        <c:axId val="854667295"/>
        <c:scaling>
          <c:orientation val="minMax"/>
          <c:max val="2036"/>
          <c:min val="198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4667775"/>
        <c:crosses val="autoZero"/>
        <c:crossBetween val="midCat"/>
        <c:majorUnit val="3"/>
      </c:valAx>
      <c:valAx>
        <c:axId val="854667775"/>
        <c:scaling>
          <c:orientation val="minMax"/>
          <c:max val="55000"/>
          <c:min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POBLACIÓN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4667295"/>
        <c:crosses val="autoZero"/>
        <c:crossBetween val="midCat"/>
        <c:majorUnit val="1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PROYECCIONES POBLACIONALES </a:t>
            </a:r>
          </a:p>
          <a:p>
            <a:pPr>
              <a:defRPr/>
            </a:pPr>
            <a:r>
              <a:rPr lang="es-CO"/>
              <a:t>PAMPLONA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118593323548507"/>
          <c:y val="0.24094809390660329"/>
          <c:w val="0.84549319632918218"/>
          <c:h val="0.65260240994069185"/>
        </c:manualLayout>
      </c:layout>
      <c:scatterChart>
        <c:scatterStyle val="lineMarker"/>
        <c:varyColors val="0"/>
        <c:ser>
          <c:idx val="0"/>
          <c:order val="0"/>
          <c:tx>
            <c:v>CENSOS PAMPLONA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PROY3!$B$4:$B$7</c:f>
              <c:numCache>
                <c:formatCode>General</c:formatCode>
                <c:ptCount val="4"/>
                <c:pt idx="0">
                  <c:v>1985</c:v>
                </c:pt>
                <c:pt idx="1">
                  <c:v>1993</c:v>
                </c:pt>
                <c:pt idx="2">
                  <c:v>2005</c:v>
                </c:pt>
                <c:pt idx="3">
                  <c:v>2018</c:v>
                </c:pt>
              </c:numCache>
            </c:numRef>
          </c:xVal>
          <c:yVal>
            <c:numRef>
              <c:f>PROY3!$C$4:$C$7</c:f>
              <c:numCache>
                <c:formatCode>_-* #,##0_-;\-* #,##0_-;_-* "-"??_-;_-@_-</c:formatCode>
                <c:ptCount val="4"/>
                <c:pt idx="0">
                  <c:v>35058</c:v>
                </c:pt>
                <c:pt idx="1">
                  <c:v>37829</c:v>
                </c:pt>
                <c:pt idx="2">
                  <c:v>48575</c:v>
                </c:pt>
                <c:pt idx="3">
                  <c:v>55825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C-4DEB-8664-BC64FF8BF9A7}"/>
            </c:ext>
          </c:extLst>
        </c:ser>
        <c:ser>
          <c:idx val="1"/>
          <c:order val="1"/>
          <c:tx>
            <c:v>PROYECCIÓN DANE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PROY3!$B$13:$B$29</c:f>
              <c:numCache>
                <c:formatCode>General</c:formatCode>
                <c:ptCount val="17"/>
                <c:pt idx="0">
                  <c:v>2018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PROY3!$C$13:$C$29</c:f>
              <c:numCache>
                <c:formatCode>_-* #,##0_-;\-* #,##0_-;_-* "-"??_-;_-@_-</c:formatCode>
                <c:ptCount val="17"/>
                <c:pt idx="0">
                  <c:v>55825</c:v>
                </c:pt>
                <c:pt idx="1">
                  <c:v>50086</c:v>
                </c:pt>
                <c:pt idx="2">
                  <c:v>51128</c:v>
                </c:pt>
                <c:pt idx="3">
                  <c:v>51909</c:v>
                </c:pt>
                <c:pt idx="4">
                  <c:v>52472</c:v>
                </c:pt>
                <c:pt idx="5">
                  <c:v>52877</c:v>
                </c:pt>
                <c:pt idx="6">
                  <c:v>53141</c:v>
                </c:pt>
                <c:pt idx="7">
                  <c:v>53291</c:v>
                </c:pt>
                <c:pt idx="8">
                  <c:v>53385</c:v>
                </c:pt>
                <c:pt idx="9">
                  <c:v>53436</c:v>
                </c:pt>
                <c:pt idx="10">
                  <c:v>53457</c:v>
                </c:pt>
                <c:pt idx="11">
                  <c:v>53486</c:v>
                </c:pt>
                <c:pt idx="12">
                  <c:v>53505</c:v>
                </c:pt>
                <c:pt idx="13">
                  <c:v>53539</c:v>
                </c:pt>
                <c:pt idx="14">
                  <c:v>53561</c:v>
                </c:pt>
                <c:pt idx="15">
                  <c:v>53539</c:v>
                </c:pt>
                <c:pt idx="16">
                  <c:v>53558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0C-4DEB-8664-BC64FF8BF9A7}"/>
            </c:ext>
          </c:extLst>
        </c:ser>
        <c:ser>
          <c:idx val="2"/>
          <c:order val="2"/>
          <c:tx>
            <c:v>MÉTODO ARITMÉTICO</c:v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PROY3!$B$13:$B$29</c:f>
              <c:numCache>
                <c:formatCode>General</c:formatCode>
                <c:ptCount val="17"/>
                <c:pt idx="0">
                  <c:v>2018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PROY3!$D$13:$D$29</c:f>
              <c:numCache>
                <c:formatCode>_-* #,##0_-;\-* #,##0_-;_-* "-"??_-;_-@_-</c:formatCode>
                <c:ptCount val="17"/>
                <c:pt idx="0">
                  <c:v>55825</c:v>
                </c:pt>
                <c:pt idx="1">
                  <c:v>57096.22</c:v>
                </c:pt>
                <c:pt idx="2">
                  <c:v>57731.83</c:v>
                </c:pt>
                <c:pt idx="3">
                  <c:v>58367.44</c:v>
                </c:pt>
                <c:pt idx="4">
                  <c:v>59003.05</c:v>
                </c:pt>
                <c:pt idx="5">
                  <c:v>59638.66</c:v>
                </c:pt>
                <c:pt idx="6">
                  <c:v>60274.270000000004</c:v>
                </c:pt>
                <c:pt idx="7">
                  <c:v>60909.88</c:v>
                </c:pt>
                <c:pt idx="8">
                  <c:v>61545.49</c:v>
                </c:pt>
                <c:pt idx="9">
                  <c:v>62181.1</c:v>
                </c:pt>
                <c:pt idx="10">
                  <c:v>62816.71</c:v>
                </c:pt>
                <c:pt idx="11">
                  <c:v>63452.32</c:v>
                </c:pt>
                <c:pt idx="12">
                  <c:v>64087.93</c:v>
                </c:pt>
                <c:pt idx="13">
                  <c:v>64723.54</c:v>
                </c:pt>
                <c:pt idx="14">
                  <c:v>65359.15</c:v>
                </c:pt>
                <c:pt idx="15">
                  <c:v>65994.759999999995</c:v>
                </c:pt>
                <c:pt idx="16">
                  <c:v>66630.37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0C-4DEB-8664-BC64FF8BF9A7}"/>
            </c:ext>
          </c:extLst>
        </c:ser>
        <c:ser>
          <c:idx val="3"/>
          <c:order val="3"/>
          <c:tx>
            <c:v>MÉTODO GEOMETRICO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PROY3!$B$13:$B$29</c:f>
              <c:numCache>
                <c:formatCode>General</c:formatCode>
                <c:ptCount val="17"/>
                <c:pt idx="0">
                  <c:v>2018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PROY3!$E$13:$E$29</c:f>
              <c:numCache>
                <c:formatCode>_-* #,##0_-;\-* #,##0_-;_-* "-"??_-;_-@_-</c:formatCode>
                <c:ptCount val="17"/>
                <c:pt idx="0">
                  <c:v>55825</c:v>
                </c:pt>
                <c:pt idx="1">
                  <c:v>57348.107109562494</c:v>
                </c:pt>
                <c:pt idx="2">
                  <c:v>58125.17396089706</c:v>
                </c:pt>
                <c:pt idx="3">
                  <c:v>58912.770068067213</c:v>
                </c:pt>
                <c:pt idx="4">
                  <c:v>59711.038102489525</c:v>
                </c:pt>
                <c:pt idx="5">
                  <c:v>60520.12266877824</c:v>
                </c:pt>
                <c:pt idx="6">
                  <c:v>61340.170330940186</c:v>
                </c:pt>
                <c:pt idx="7">
                  <c:v>62171.329638924428</c:v>
                </c:pt>
                <c:pt idx="8">
                  <c:v>63013.751155531849</c:v>
                </c:pt>
                <c:pt idx="9">
                  <c:v>63867.587483689298</c:v>
                </c:pt>
                <c:pt idx="10">
                  <c:v>64732.993294093278</c:v>
                </c:pt>
                <c:pt idx="11">
                  <c:v>65610.125353228243</c:v>
                </c:pt>
                <c:pt idx="12">
                  <c:v>66499.142551764482</c:v>
                </c:pt>
                <c:pt idx="13">
                  <c:v>67400.205933340883</c:v>
                </c:pt>
                <c:pt idx="14">
                  <c:v>68313.478723737644</c:v>
                </c:pt>
                <c:pt idx="15">
                  <c:v>69239.126360444294</c:v>
                </c:pt>
                <c:pt idx="16">
                  <c:v>70177.316522628316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0C-4DEB-8664-BC64FF8BF9A7}"/>
            </c:ext>
          </c:extLst>
        </c:ser>
        <c:ser>
          <c:idx val="4"/>
          <c:order val="4"/>
          <c:tx>
            <c:v>MÉTODO EXPONENCIAL</c:v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PROY3!$B$13:$B$29</c:f>
              <c:numCache>
                <c:formatCode>General</c:formatCode>
                <c:ptCount val="17"/>
                <c:pt idx="0">
                  <c:v>2018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PROY3!$F$13:$F$29</c:f>
              <c:numCache>
                <c:formatCode>_-* #,##0_-;\-* #,##0_-;_-* "-"??_-;_-@_-</c:formatCode>
                <c:ptCount val="17"/>
                <c:pt idx="0">
                  <c:v>55825</c:v>
                </c:pt>
                <c:pt idx="1">
                  <c:v>57373.840807908964</c:v>
                </c:pt>
                <c:pt idx="2">
                  <c:v>58164.30193446896</c:v>
                </c:pt>
                <c:pt idx="3">
                  <c:v>58965.653543238332</c:v>
                </c:pt>
                <c:pt idx="4">
                  <c:v>59778.045676513626</c:v>
                </c:pt>
                <c:pt idx="5">
                  <c:v>60601.630443780901</c:v>
                </c:pt>
                <c:pt idx="6">
                  <c:v>61436.562050196204</c:v>
                </c:pt>
                <c:pt idx="7">
                  <c:v>62282.996825458395</c:v>
                </c:pt>
                <c:pt idx="8">
                  <c:v>63141.093253079773</c:v>
                </c:pt>
                <c:pt idx="9">
                  <c:v>64011.012000059993</c:v>
                </c:pt>
                <c:pt idx="10">
                  <c:v>64892.915946968802</c:v>
                </c:pt>
                <c:pt idx="11">
                  <c:v>65786.97021844321</c:v>
                </c:pt>
                <c:pt idx="12">
                  <c:v>66693.34221410488</c:v>
                </c:pt>
                <c:pt idx="13">
                  <c:v>67612.201639903418</c:v>
                </c:pt>
                <c:pt idx="14">
                  <c:v>68543.720539891583</c:v>
                </c:pt>
                <c:pt idx="15">
                  <c:v>69488.073328438157</c:v>
                </c:pt>
                <c:pt idx="16">
                  <c:v>70445.436822884716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0C-4DEB-8664-BC64FF8BF9A7}"/>
            </c:ext>
          </c:extLst>
        </c:ser>
        <c:ser>
          <c:idx val="5"/>
          <c:order val="5"/>
          <c:tx>
            <c:v>MÉTODO WAPPUS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PROY3!$B$13:$B$29</c:f>
              <c:numCache>
                <c:formatCode>General</c:formatCode>
                <c:ptCount val="17"/>
                <c:pt idx="0">
                  <c:v>2018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xVal>
          <c:yVal>
            <c:numRef>
              <c:f>PROY3!$G$13:$G$29</c:f>
              <c:numCache>
                <c:formatCode>_-* #,##0_-;\-* #,##0_-;_-* "-"??_-;_-@_-</c:formatCode>
                <c:ptCount val="17"/>
                <c:pt idx="0">
                  <c:v>55825</c:v>
                </c:pt>
                <c:pt idx="1">
                  <c:v>57329.960981047938</c:v>
                </c:pt>
                <c:pt idx="2">
                  <c:v>58097.759042905978</c:v>
                </c:pt>
                <c:pt idx="3">
                  <c:v>58876.04787343333</c:v>
                </c:pt>
                <c:pt idx="4">
                  <c:v>59665.043961727439</c:v>
                </c:pt>
                <c:pt idx="5">
                  <c:v>60464.969794813034</c:v>
                </c:pt>
                <c:pt idx="6">
                  <c:v>61276.05406681</c:v>
                </c:pt>
                <c:pt idx="7">
                  <c:v>62098.53189691592</c:v>
                </c:pt>
                <c:pt idx="8">
                  <c:v>62932.6450566399</c:v>
                </c:pt>
                <c:pt idx="9">
                  <c:v>63778.642206748802</c:v>
                </c:pt>
                <c:pt idx="10">
                  <c:v>64636.779144413871</c:v>
                </c:pt>
                <c:pt idx="11">
                  <c:v>65507.319061073686</c:v>
                </c:pt>
                <c:pt idx="12">
                  <c:v>66390.532811559286</c:v>
                </c:pt>
                <c:pt idx="13">
                  <c:v>67286.699195060108</c:v>
                </c:pt>
                <c:pt idx="14">
                  <c:v>68196.105248542066</c:v>
                </c:pt>
                <c:pt idx="15">
                  <c:v>69119.04655326769</c:v>
                </c:pt>
                <c:pt idx="16">
                  <c:v>70055.827555104581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80C-4DEB-8664-BC64FF8B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667295"/>
        <c:axId val="854667775"/>
      </c:scatterChart>
      <c:valAx>
        <c:axId val="854667295"/>
        <c:scaling>
          <c:orientation val="minMax"/>
          <c:max val="2036"/>
          <c:min val="198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4667775"/>
        <c:crosses val="autoZero"/>
        <c:crossBetween val="midCat"/>
        <c:majorUnit val="3"/>
      </c:valAx>
      <c:valAx>
        <c:axId val="854667775"/>
        <c:scaling>
          <c:orientation val="minMax"/>
          <c:max val="71000"/>
          <c:min val="3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POBLACIÓN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4667295"/>
        <c:crosses val="autoZero"/>
        <c:crossBetween val="midCat"/>
        <c:majorUnit val="1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16076</xdr:colOff>
      <xdr:row>1</xdr:row>
      <xdr:rowOff>107214</xdr:rowOff>
    </xdr:from>
    <xdr:ext cx="812338" cy="3743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956839CC-5E8C-45D6-B845-117FA3405E44}"/>
                </a:ext>
              </a:extLst>
            </xdr:cNvPr>
            <xdr:cNvSpPr txBox="1"/>
          </xdr:nvSpPr>
          <xdr:spPr>
            <a:xfrm>
              <a:off x="4895392" y="3081530"/>
              <a:ext cx="812338" cy="374333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s-CO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𝑘</m:t>
                    </m:r>
                    <m:r>
                      <a:rPr kumimoji="0" lang="es-CO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kumimoji="0" lang="es-CO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𝑐𝑓</m:t>
                            </m:r>
                          </m:sub>
                        </m:sSub>
                        <m:r>
                          <a:rPr kumimoji="0" lang="es-CO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𝑐𝑖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𝑐𝑓</m:t>
                            </m:r>
                          </m:sub>
                        </m:sSub>
                        <m:r>
                          <a:rPr kumimoji="0" lang="es-CO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kumimoji="0" lang="es-CO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956839CC-5E8C-45D6-B845-117FA3405E44}"/>
                </a:ext>
              </a:extLst>
            </xdr:cNvPr>
            <xdr:cNvSpPr txBox="1"/>
          </xdr:nvSpPr>
          <xdr:spPr>
            <a:xfrm>
              <a:off x="4895392" y="3081530"/>
              <a:ext cx="812338" cy="374333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CO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𝑘=(𝑃_𝑐𝑓−𝑃_𝑐𝑖)/(𝑇_𝑐𝑓−𝑇_𝑐𝑖 )</a:t>
              </a:r>
              <a:endParaRPr kumimoji="0" lang="es-CO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5</xdr:col>
      <xdr:colOff>13449</xdr:colOff>
      <xdr:row>4</xdr:row>
      <xdr:rowOff>187778</xdr:rowOff>
    </xdr:from>
    <xdr:ext cx="1442383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DAFE1007-B471-4EE1-85E7-C61B8F0A4B33}"/>
                </a:ext>
              </a:extLst>
            </xdr:cNvPr>
            <xdr:cNvSpPr txBox="1"/>
          </xdr:nvSpPr>
          <xdr:spPr>
            <a:xfrm>
              <a:off x="4892765" y="3737188"/>
              <a:ext cx="1442383" cy="194925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s-CO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0" lang="es-CO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kumimoji="0" lang="es-CO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</m:sSub>
                    <m:r>
                      <a:rPr kumimoji="0" lang="es-CO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kumimoji="0" lang="es-CO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𝑘</m:t>
                    </m:r>
                    <m:d>
                      <m:dPr>
                        <m:ctrlPr>
                          <a:rPr kumimoji="0" lang="es-CO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</m:sSub>
                        <m:r>
                          <a:rPr kumimoji="0" lang="es-CO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kumimoji="0" lang="es-CO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𝑐𝑓</m:t>
                            </m:r>
                          </m:sub>
                        </m:sSub>
                      </m:e>
                    </m:d>
                    <m:r>
                      <a:rPr kumimoji="0" lang="es-CO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 </m:t>
                    </m:r>
                    <m:sSub>
                      <m:sSubPr>
                        <m:ctrlPr>
                          <a:rPr kumimoji="0" lang="es-CO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0" lang="es-CO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kumimoji="0" lang="es-CO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𝑐𝑓</m:t>
                        </m:r>
                      </m:sub>
                    </m:sSub>
                  </m:oMath>
                </m:oMathPara>
              </a14:m>
              <a:endParaRPr kumimoji="0" lang="es-CO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DAFE1007-B471-4EE1-85E7-C61B8F0A4B33}"/>
                </a:ext>
              </a:extLst>
            </xdr:cNvPr>
            <xdr:cNvSpPr txBox="1"/>
          </xdr:nvSpPr>
          <xdr:spPr>
            <a:xfrm>
              <a:off x="4892765" y="3737188"/>
              <a:ext cx="1442383" cy="194925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CO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𝑃_𝑓=𝑘(𝑇_𝑓−𝑇_𝑐𝑓 )+ 𝑃_𝑐𝑓</a:t>
              </a:r>
              <a:endParaRPr kumimoji="0" lang="es-CO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14</xdr:col>
      <xdr:colOff>66815</xdr:colOff>
      <xdr:row>1</xdr:row>
      <xdr:rowOff>24682</xdr:rowOff>
    </xdr:from>
    <xdr:ext cx="1379095" cy="5379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4039694C-66D3-4C85-8DF4-DCEF1EA26858}"/>
                </a:ext>
              </a:extLst>
            </xdr:cNvPr>
            <xdr:cNvSpPr txBox="1"/>
          </xdr:nvSpPr>
          <xdr:spPr>
            <a:xfrm>
              <a:off x="8553590" y="2072557"/>
              <a:ext cx="1379095" cy="5379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𝑟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𝑢𝑐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𝑐𝑖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  <m:sup>
                            <m:d>
                              <m:d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𝑢𝑐</m:t>
                                        </m:r>
                                      </m:sub>
                                    </m:sSub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𝑐𝑖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e>
                    </m:d>
                    <m:r>
                      <a:rPr lang="es-CO" sz="1100" b="0" i="1">
                        <a:latin typeface="Cambria Math" panose="02040503050406030204" pitchFamily="18" charset="0"/>
                      </a:rPr>
                      <m:t>−1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4039694C-66D3-4C85-8DF4-DCEF1EA26858}"/>
                </a:ext>
              </a:extLst>
            </xdr:cNvPr>
            <xdr:cNvSpPr txBox="1"/>
          </xdr:nvSpPr>
          <xdr:spPr>
            <a:xfrm>
              <a:off x="8553590" y="2072557"/>
              <a:ext cx="1379095" cy="5379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𝑟=[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[𝑃_𝑢𝑐/𝑃_𝑐𝑖 ]^((1/(𝑇_𝑢𝑐−𝑇_𝑐𝑖 )) ) ]</a:t>
              </a:r>
              <a:r>
                <a:rPr lang="es-CO" sz="1100" b="0" i="0">
                  <a:latin typeface="Cambria Math" panose="02040503050406030204" pitchFamily="18" charset="0"/>
                </a:rPr>
                <a:t>−1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14</xdr:col>
      <xdr:colOff>17903</xdr:colOff>
      <xdr:row>4</xdr:row>
      <xdr:rowOff>172136</xdr:rowOff>
    </xdr:from>
    <xdr:ext cx="1562992" cy="1985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1622772-E1B5-4DEE-947A-D0A37A76B4CF}"/>
                </a:ext>
              </a:extLst>
            </xdr:cNvPr>
            <xdr:cNvSpPr txBox="1"/>
          </xdr:nvSpPr>
          <xdr:spPr>
            <a:xfrm>
              <a:off x="8504678" y="2801036"/>
              <a:ext cx="1562992" cy="1985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𝑐𝑓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(1+</m:t>
                        </m:r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𝑐𝑓</m:t>
                            </m:r>
                          </m:sub>
                        </m:s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1622772-E1B5-4DEE-947A-D0A37A76B4CF}"/>
                </a:ext>
              </a:extLst>
            </xdr:cNvPr>
            <xdr:cNvSpPr txBox="1"/>
          </xdr:nvSpPr>
          <xdr:spPr>
            <a:xfrm>
              <a:off x="8504678" y="2801036"/>
              <a:ext cx="1562992" cy="1985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𝑃_𝑓=𝑃_𝑐𝑓∗〖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(1+𝑟)〗^(</a:t>
              </a:r>
              <a:r>
                <a:rPr lang="es-CO" sz="1100" b="0" i="0">
                  <a:latin typeface="Cambria Math" panose="02040503050406030204" pitchFamily="18" charset="0"/>
                </a:rPr>
                <a:t>(𝑇_𝑓−𝑇_𝑐𝑓))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23</xdr:col>
      <xdr:colOff>602051</xdr:colOff>
      <xdr:row>1</xdr:row>
      <xdr:rowOff>98845</xdr:rowOff>
    </xdr:from>
    <xdr:ext cx="1396536" cy="3997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A58C4ACB-7AA1-4A7C-8E47-CCC66AB50FCC}"/>
                </a:ext>
              </a:extLst>
            </xdr:cNvPr>
            <xdr:cNvSpPr txBox="1"/>
          </xdr:nvSpPr>
          <xdr:spPr>
            <a:xfrm>
              <a:off x="19337546" y="296534"/>
              <a:ext cx="1396536" cy="3997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𝑘𝑔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CO" sz="11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  <m:t>𝑃</m:t>
                                    </m:r>
                                  </m:e>
                                  <m:sub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  <m:t>𝑐𝑝</m:t>
                                    </m:r>
                                  </m:sub>
                                </m:sSub>
                              </m:e>
                            </m:d>
                          </m:e>
                        </m:func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CO" sz="1100" b="0" i="0">
                            <a:latin typeface="Cambria Math" panose="02040503050406030204" pitchFamily="18" charset="0"/>
                          </a:rPr>
                          <m:t>ln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⁡(</m:t>
                        </m:r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𝑐𝑎</m:t>
                            </m:r>
                          </m:sub>
                        </m:s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𝑐𝑝</m:t>
                            </m:r>
                          </m:sub>
                        </m:s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𝑐𝑎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A58C4ACB-7AA1-4A7C-8E47-CCC66AB50FCC}"/>
                </a:ext>
              </a:extLst>
            </xdr:cNvPr>
            <xdr:cNvSpPr txBox="1"/>
          </xdr:nvSpPr>
          <xdr:spPr>
            <a:xfrm>
              <a:off x="19337546" y="296534"/>
              <a:ext cx="1396536" cy="3997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𝑘𝑔=(ln⁡(𝑃_𝑐𝑝 )−ln⁡(𝑃_𝑐𝑎))/(𝑇_𝑐𝑝−𝑇_𝑐𝑎 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23</xdr:col>
      <xdr:colOff>611038</xdr:colOff>
      <xdr:row>4</xdr:row>
      <xdr:rowOff>143773</xdr:rowOff>
    </xdr:from>
    <xdr:ext cx="1353768" cy="2076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8AD255F1-3FEB-40B1-839C-AA6062B98D71}"/>
                </a:ext>
              </a:extLst>
            </xdr:cNvPr>
            <xdr:cNvSpPr txBox="1"/>
          </xdr:nvSpPr>
          <xdr:spPr>
            <a:xfrm>
              <a:off x="19346533" y="916556"/>
              <a:ext cx="1353768" cy="2076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𝑐𝑖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acc>
                          <m:accPr>
                            <m:chr m:val="̅"/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𝐾𝑔</m:t>
                            </m:r>
                          </m:e>
                        </m:acc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∗(</m:t>
                        </m:r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𝑐𝑖</m:t>
                            </m:r>
                          </m:sub>
                        </m:s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8AD255F1-3FEB-40B1-839C-AA6062B98D71}"/>
                </a:ext>
              </a:extLst>
            </xdr:cNvPr>
            <xdr:cNvSpPr txBox="1"/>
          </xdr:nvSpPr>
          <xdr:spPr>
            <a:xfrm>
              <a:off x="19346533" y="916556"/>
              <a:ext cx="1353768" cy="2076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𝑃_𝑓=𝑃_𝑐𝑖∗𝑒^((𝐾𝑔) ̅∗(𝑇_𝑓−𝑇_𝑐𝑖))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31</xdr:col>
      <xdr:colOff>435000</xdr:colOff>
      <xdr:row>1</xdr:row>
      <xdr:rowOff>110509</xdr:rowOff>
    </xdr:from>
    <xdr:ext cx="1641027" cy="3524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64AE67AA-24FF-4AED-8431-5EACBBEF7819}"/>
                </a:ext>
              </a:extLst>
            </xdr:cNvPr>
            <xdr:cNvSpPr txBox="1"/>
          </xdr:nvSpPr>
          <xdr:spPr>
            <a:xfrm>
              <a:off x="2921025" y="5387359"/>
              <a:ext cx="1641027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200∗(</m:t>
                        </m:r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𝑢𝑐</m:t>
                            </m:r>
                          </m:sub>
                        </m:s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𝑐𝑖</m:t>
                            </m:r>
                          </m:sub>
                        </m:s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𝑢𝑐</m:t>
                                </m:r>
                              </m:sub>
                            </m:sSub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𝑐𝑖</m:t>
                                </m:r>
                              </m:sub>
                            </m:sSub>
                          </m:e>
                        </m:d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∗(</m:t>
                        </m:r>
                        <m:sSub>
                          <m:sSub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𝑢𝑐</m:t>
                            </m:r>
                          </m:sub>
                        </m:s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𝑐𝑖</m:t>
                            </m:r>
                          </m:sub>
                        </m:s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64AE67AA-24FF-4AED-8431-5EACBBEF7819}"/>
                </a:ext>
              </a:extLst>
            </xdr:cNvPr>
            <xdr:cNvSpPr txBox="1"/>
          </xdr:nvSpPr>
          <xdr:spPr>
            <a:xfrm>
              <a:off x="2921025" y="5387359"/>
              <a:ext cx="1641027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𝑖=(200∗(𝑃_𝑢𝑐−𝑃_𝑐𝑖))/(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(𝑇_𝑢𝑐−𝑇_𝑐𝑖 )</a:t>
              </a:r>
              <a:r>
                <a:rPr lang="es-CO" sz="1100" b="0" i="0">
                  <a:latin typeface="Cambria Math" panose="02040503050406030204" pitchFamily="18" charset="0"/>
                </a:rPr>
                <a:t>∗(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𝑃_𝑢𝑐+𝑃_𝑐𝑖))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31</xdr:col>
      <xdr:colOff>381235</xdr:colOff>
      <xdr:row>4</xdr:row>
      <xdr:rowOff>131687</xdr:rowOff>
    </xdr:from>
    <xdr:ext cx="1948162" cy="3820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FF658C1C-5BAC-470A-8D26-E3B65C990B06}"/>
                </a:ext>
              </a:extLst>
            </xdr:cNvPr>
            <xdr:cNvSpPr txBox="1"/>
          </xdr:nvSpPr>
          <xdr:spPr>
            <a:xfrm>
              <a:off x="2867260" y="5989562"/>
              <a:ext cx="1948162" cy="3820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𝑐𝑖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200+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∗(</m:t>
                            </m:r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sub>
                            </m:sSub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𝑐𝑖</m:t>
                                </m:r>
                              </m:sub>
                            </m:sSub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num>
                          <m:den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200−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∗(</m:t>
                            </m:r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sub>
                            </m:sSub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𝑐𝑖</m:t>
                                </m:r>
                              </m:sub>
                            </m:sSub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FF658C1C-5BAC-470A-8D26-E3B65C990B06}"/>
                </a:ext>
              </a:extLst>
            </xdr:cNvPr>
            <xdr:cNvSpPr txBox="1"/>
          </xdr:nvSpPr>
          <xdr:spPr>
            <a:xfrm>
              <a:off x="2867260" y="5989562"/>
              <a:ext cx="1948162" cy="3820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𝑃_𝑓=𝑃_𝑐𝑖∗[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(200+𝑖∗(𝑇_𝑓−𝑇_𝑐𝑖))/(200−𝑖∗(𝑇_𝑓−𝑇_𝑐𝑖))]</a:t>
              </a:r>
              <a:endParaRPr lang="es-CO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94307</xdr:rowOff>
    </xdr:from>
    <xdr:to>
      <xdr:col>11</xdr:col>
      <xdr:colOff>94307</xdr:colOff>
      <xdr:row>30</xdr:row>
      <xdr:rowOff>47153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C0007678-8795-4C2B-B39B-1173126307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29</xdr:row>
      <xdr:rowOff>166685</xdr:rowOff>
    </xdr:from>
    <xdr:to>
      <xdr:col>10</xdr:col>
      <xdr:colOff>714375</xdr:colOff>
      <xdr:row>56</xdr:row>
      <xdr:rowOff>47624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F42E2-3249-424E-8F3B-830907A18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29</xdr:row>
      <xdr:rowOff>166685</xdr:rowOff>
    </xdr:from>
    <xdr:to>
      <xdr:col>10</xdr:col>
      <xdr:colOff>714375</xdr:colOff>
      <xdr:row>56</xdr:row>
      <xdr:rowOff>47624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0DA365-80A6-3C9A-26D3-45B2F5488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29</xdr:row>
      <xdr:rowOff>166685</xdr:rowOff>
    </xdr:from>
    <xdr:to>
      <xdr:col>10</xdr:col>
      <xdr:colOff>714375</xdr:colOff>
      <xdr:row>56</xdr:row>
      <xdr:rowOff>47624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A43A005-1F10-4EE4-999C-4D4D2D8533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E607B-7757-4F16-887C-F8D4A045D9DE}" name="lineal" displayName="lineal" ref="A9:AJ27" totalsRowCount="1" headerRowDxfId="147" dataDxfId="145" totalsRowDxfId="143" headerRowBorderDxfId="146" tableBorderDxfId="144">
  <autoFilter ref="A9:AJ26" xr:uid="{816E607B-7757-4F16-887C-F8D4A045D9D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xr3:uid="{92E019A4-C928-4431-9939-219C7529A75E}" name="AÑO" totalsRowLabel="PROMEDIO" dataDxfId="142" totalsRowDxfId="141"/>
    <tableColumn id="2" xr3:uid="{33593711-BDD8-4295-998C-66F5FC1AA48B}" name="POBLACION" dataDxfId="140" totalsRowDxfId="139"/>
    <tableColumn id="3" xr3:uid="{08D97743-D05C-4C0E-BFC6-2E11F251032D}" name="K" dataDxfId="138" totalsRowDxfId="137">
      <calculatedColumnFormula>IF(lineal[[#This Row],[AÑO]]="","",IFERROR(ROUND((VLOOKUP(MAX(lineal[AÑO]),lineal[],2,FALSE)-lineal[[#This Row],[POBLACION]])/(MAX(lineal[AÑO])-lineal[[#This Row],[AÑO]]),2),""))</calculatedColumnFormula>
    </tableColumn>
    <tableColumn id="4" xr3:uid="{F8723487-8685-47EE-A382-1B689F1D73C2}" name="AÑOPROY1" totalsRowFunction="average" dataDxfId="136" totalsRowDxfId="135">
      <calculatedColumnFormula>IF(lineal[[#This Row],[K]]="","",ROUNDUP((lineal[[#This Row],[K]]*($D$8-MAX(lineal[AÑO]))+(VLOOKUP(MAX(lineal[AÑO]),lineal[],2,FALSE))),0))</calculatedColumnFormula>
    </tableColumn>
    <tableColumn id="5" xr3:uid="{9EEF8389-59EE-49C8-9ACF-972D73E81CB0}" name="AÑOPROY2" totalsRowFunction="average" dataDxfId="134" totalsRowDxfId="133">
      <calculatedColumnFormula>IF(lineal[[#This Row],[K]]="","",ROUNDUP((lineal[[#This Row],[K]]*($E$8-MAX(lineal[AÑO]))+(VLOOKUP(MAX(lineal[AÑO]),lineal[],2,FALSE))),0))</calculatedColumnFormula>
    </tableColumn>
    <tableColumn id="6" xr3:uid="{D7E74494-8334-430B-A93A-432F003CE963}" name="AÑOPROY3" totalsRowFunction="average" dataDxfId="132" totalsRowDxfId="131">
      <calculatedColumnFormula>IF(lineal[[#This Row],[K]]="","",ROUNDUP((lineal[[#This Row],[K]]*($F$8-MAX(lineal[AÑO]))+(VLOOKUP(MAX(lineal[AÑO]),lineal[],2,FALSE))),0))</calculatedColumnFormula>
    </tableColumn>
    <tableColumn id="7" xr3:uid="{B943F43C-F60B-4B7D-934A-421DAA16ED74}" name="AÑOPROY4" totalsRowFunction="average" dataDxfId="130" totalsRowDxfId="129">
      <calculatedColumnFormula>IF(lineal[[#This Row],[K]]="","",ROUNDUP((lineal[[#This Row],[K]]*($G$8-MAX(lineal[AÑO]))+(VLOOKUP(MAX(lineal[AÑO]),lineal[],2,FALSE))),0))</calculatedColumnFormula>
    </tableColumn>
    <tableColumn id="33" xr3:uid="{FFA03818-6FF8-4625-8287-A2071F56D5C8}" name="AÑOPROY5" totalsRowFunction="average" dataDxfId="128" totalsRowDxfId="127">
      <calculatedColumnFormula>IF(lineal[[#This Row],[K]]="","",ROUNDUP((lineal[[#This Row],[K]]*($H$8-MAX(lineal[AÑO]))+(VLOOKUP(MAX(lineal[AÑO]),lineal[],2,FALSE))),0))</calculatedColumnFormula>
    </tableColumn>
    <tableColumn id="8" xr3:uid="{57F74C89-3AE6-4418-8303-1C51E2C1F415}" name="AÑOPROY6" totalsRowFunction="average" dataDxfId="126" totalsRowDxfId="125">
      <calculatedColumnFormula>IF(lineal[[#This Row],[K]]="","",ROUNDUP((lineal[[#This Row],[K]]*($I$8-MAX(lineal[AÑO]))+(VLOOKUP(MAX(lineal[AÑO]),lineal[],2,FALSE))),0))</calculatedColumnFormula>
    </tableColumn>
    <tableColumn id="9" xr3:uid="{2D44B276-C292-4AA2-B931-C41BE3834374}" name="AÑO2" totalsRowLabel="PROMEDIO" dataDxfId="124" totalsRowDxfId="123">
      <calculatedColumnFormula>lineal[[#This Row],[AÑO]]</calculatedColumnFormula>
    </tableColumn>
    <tableColumn id="10" xr3:uid="{CB1C95AE-8883-41CB-99DD-5B41885A8092}" name="POBLACION2" dataDxfId="122" totalsRowDxfId="121">
      <calculatedColumnFormula>lineal[[#This Row],[POBLACION]]</calculatedColumnFormula>
    </tableColumn>
    <tableColumn id="11" xr3:uid="{EA1E81DE-00DD-43E4-9F37-D32ED067D96F}" name="r" dataDxfId="120" totalsRowDxfId="119">
      <calculatedColumnFormula>IFERROR(ROUND((((VLOOKUP(MAX(lineal[AÑO2]),lineal[[AÑO2]:[POBLACION2]],2,FALSE))/lineal[[#This Row],[POBLACION2]])^(1/(MAX(lineal[AÑO2])-lineal[[#This Row],[AÑO2]])))-1,5),"")</calculatedColumnFormula>
    </tableColumn>
    <tableColumn id="12" xr3:uid="{B2F2A371-2B2F-4299-8E29-418ABC71D222}" name="AÑOP1" totalsRowFunction="average" dataDxfId="118" totalsRowDxfId="117">
      <calculatedColumnFormula>IF(lineal[[#This Row],[r]]="","",ROUNDUP((VLOOKUP(MAX(lineal[AÑO]),lineal[],2,FALSE)*(1+lineal[[#This Row],[r]])^($M$8-MAX(lineal[AÑO2]))),0))</calculatedColumnFormula>
    </tableColumn>
    <tableColumn id="13" xr3:uid="{416B3989-0CBE-487B-9646-F9E11D9CCE10}" name="AÑOP2" totalsRowFunction="average" dataDxfId="116" totalsRowDxfId="115">
      <calculatedColumnFormula>IF(lineal[[#This Row],[r]]="","",ROUNDUP((VLOOKUP(MAX(lineal[AÑO]),lineal[],2,FALSE)*(1+lineal[[#This Row],[r]])^($N$8-MAX(lineal[AÑO2]))),0))</calculatedColumnFormula>
    </tableColumn>
    <tableColumn id="14" xr3:uid="{C826C3E3-1FF9-4468-AB94-448A51394B15}" name="AÑOP3" totalsRowFunction="average" dataDxfId="114" totalsRowDxfId="113">
      <calculatedColumnFormula>IF(lineal[[#This Row],[r]]="","",ROUNDUP((VLOOKUP(MAX(lineal[AÑO]),lineal[],2,FALSE)*(1+lineal[[#This Row],[r]])^($O$8-MAX(lineal[AÑO2]))),0))</calculatedColumnFormula>
    </tableColumn>
    <tableColumn id="15" xr3:uid="{0848D8A1-F51D-48CB-87F6-BE77AF1CB36C}" name="AÑOP4" totalsRowFunction="average" dataDxfId="112" totalsRowDxfId="111">
      <calculatedColumnFormula>IF(lineal[[#This Row],[r]]="","",ROUNDUP((VLOOKUP(MAX(lineal[AÑO]),lineal[],2,FALSE)*(1+lineal[[#This Row],[r]])^($P$8-MAX(lineal[AÑO2]))),0))</calculatedColumnFormula>
    </tableColumn>
    <tableColumn id="16" xr3:uid="{B86C36A6-8A9C-4395-9D99-082A074E4951}" name="AÑOP5" totalsRowFunction="average" dataDxfId="110" totalsRowDxfId="109">
      <calculatedColumnFormula>IF(lineal[[#This Row],[r]]="","",ROUNDUP((VLOOKUP(MAX(lineal[AÑO]),lineal[],2,FALSE)*(1+lineal[[#This Row],[r]])^($Q$8-MAX(lineal[AÑO2]))),0))</calculatedColumnFormula>
    </tableColumn>
    <tableColumn id="34" xr3:uid="{54242078-F93E-4D04-97C3-420DEAB80403}" name="AÑOP6" totalsRowFunction="average" dataDxfId="108" totalsRowDxfId="107">
      <calculatedColumnFormula>IF(lineal[[#This Row],[r]]="","",ROUNDUP((VLOOKUP(MAX(lineal[AÑO]),lineal[],2,FALSE)*(1+lineal[[#This Row],[r]])^($R$8-MAX(lineal[AÑO2]))),0))</calculatedColumnFormula>
    </tableColumn>
    <tableColumn id="17" xr3:uid="{94966C5E-F24F-4D49-8434-34AAF2395094}" name="AÑO3" totalsRowLabel="PROMEDIO" dataDxfId="106" totalsRowDxfId="105">
      <calculatedColumnFormula>lineal[[#This Row],[AÑO]]</calculatedColumnFormula>
    </tableColumn>
    <tableColumn id="18" xr3:uid="{3A5AC55F-CA33-4D8E-91A8-10661444444C}" name="POBLACION3" dataDxfId="104" totalsRowDxfId="103">
      <calculatedColumnFormula>lineal[[#This Row],[POBLACION]]</calculatedColumnFormula>
    </tableColumn>
    <tableColumn id="19" xr3:uid="{B074AAF7-D41D-4B24-A903-1C27615FD485}" name="Kg" totalsRowFunction="average" dataDxfId="102" totalsRowDxfId="101">
      <calculatedColumnFormula>IFERROR(ROUND((LN(T11)-LN(lineal[[#This Row],[POBLACION3]]))/(S11-lineal[[#This Row],[AÑO3]]),5),"")</calculatedColumnFormula>
    </tableColumn>
    <tableColumn id="20" xr3:uid="{E9D89C89-A259-4CEC-BD1F-21BF2A864BD9}" name="AÑOPR1" totalsRowFunction="average" dataDxfId="100" totalsRowDxfId="99">
      <calculatedColumnFormula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calculatedColumnFormula>
    </tableColumn>
    <tableColumn id="21" xr3:uid="{268B7EC2-06FC-4E3F-BEB0-2A645EDE1011}" name="AÑOPR2" totalsRowFunction="custom" dataDxfId="98" totalsRowDxfId="97">
      <calculatedColumnFormula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calculatedColumnFormula>
      <totalsRowFormula>ROUND(SUBTOTAL(101,lineal[AÑOPR2]),0)</totalsRowFormula>
    </tableColumn>
    <tableColumn id="22" xr3:uid="{3E890257-E415-4EAE-BB32-6A6EB3F7745D}" name="AÑOPR3" totalsRowFunction="custom" dataDxfId="96" totalsRowDxfId="95">
      <calculatedColumnFormula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calculatedColumnFormula>
      <totalsRowFormula>ROUND(SUBTOTAL(101,lineal[AÑOPR3]),0)</totalsRowFormula>
    </tableColumn>
    <tableColumn id="23" xr3:uid="{E8F9A9BA-5BFD-4327-ADDC-C4624B37532C}" name="AÑOPR4" totalsRowFunction="custom" dataDxfId="94" totalsRowDxfId="93">
      <calculatedColumnFormula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calculatedColumnFormula>
      <totalsRowFormula>ROUND(SUBTOTAL(101,lineal[AÑOPR4]),0)</totalsRowFormula>
    </tableColumn>
    <tableColumn id="24" xr3:uid="{87753490-3225-433E-A007-877AF94CD324}" name="AÑOPR5" totalsRowFunction="custom" dataDxfId="92" totalsRowDxfId="91">
      <calculatedColumnFormula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calculatedColumnFormula>
      <totalsRowFormula>ROUND(SUBTOTAL(101,lineal[AÑOPR5]),0)</totalsRowFormula>
    </tableColumn>
    <tableColumn id="35" xr3:uid="{08B0A83F-2116-486F-9768-3311436B1128}" name="AÑOPR6" totalsRowFunction="average" dataDxfId="90" totalsRowDxfId="89">
      <calculatedColumnFormula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calculatedColumnFormula>
    </tableColumn>
    <tableColumn id="25" xr3:uid="{67AA7F9A-FAC1-40A4-889C-8DF7E5C3C5A5}" name="AÑO4" totalsRowLabel="PROMEDIO" dataDxfId="88" totalsRowDxfId="87">
      <calculatedColumnFormula>lineal[[#This Row],[AÑO]]</calculatedColumnFormula>
    </tableColumn>
    <tableColumn id="26" xr3:uid="{FD869C0F-4B22-4D03-A34C-835F9D4291BC}" name="POBLACION4" dataDxfId="86" totalsRowDxfId="85">
      <calculatedColumnFormula>lineal[[#This Row],[POBLACION]]</calculatedColumnFormula>
    </tableColumn>
    <tableColumn id="27" xr3:uid="{AFF99DF0-5208-458D-91D1-EB52A5AA4F72}" name="i" dataDxfId="84" totalsRowDxfId="83">
      <calculatedColumnFormula>IF(lineal[[#This Row],[AÑO4]]=0,"",IFERROR(ROUND((200*(VLOOKUP(MAX(lineal[AÑO]),lineal[],2,FALSE)-lineal[[#This Row],[POBLACION4]]))/((MAX(lineal[AÑO])-lineal[[#This Row],[AÑO4]])*(VLOOKUP(MAX(lineal[AÑO]),lineal[],2,FALSE)+lineal[[#This Row],[POBLACION4]])),2),""))</calculatedColumnFormula>
    </tableColumn>
    <tableColumn id="28" xr3:uid="{56223E55-2221-49F9-B3C2-8754C696ECDB}" name="AÑOPRO1" totalsRowFunction="average" dataDxfId="82" totalsRowDxfId="81">
      <calculatedColumnFormula>IF(lineal[[#This Row],[i]]="","",ROUNDUP(lineal[[#This Row],[POBLACION4]]*((200+lineal[[#This Row],[i]]*($AE$8-lineal[[#This Row],[AÑO4]]))/(200-lineal[[#This Row],[i]]*($AE$8-lineal[[#This Row],[AÑO4]]))),0))</calculatedColumnFormula>
    </tableColumn>
    <tableColumn id="29" xr3:uid="{188053D4-22A3-4E8E-9F0C-CF01458F4644}" name="AÑOPRO2" totalsRowFunction="average" dataDxfId="80" totalsRowDxfId="79">
      <calculatedColumnFormula>IF(lineal[[#This Row],[i]]="","",ROUNDUP(lineal[[#This Row],[POBLACION4]]*((200+lineal[[#This Row],[i]]*($AF$8-lineal[[#This Row],[AÑO4]]))/(200-lineal[[#This Row],[i]]*($AF$8-lineal[[#This Row],[AÑO4]]))),0))</calculatedColumnFormula>
    </tableColumn>
    <tableColumn id="30" xr3:uid="{F357D00C-E994-439E-BB10-67ADEC863232}" name="AÑOPRO3" totalsRowFunction="average" dataDxfId="78" totalsRowDxfId="77">
      <calculatedColumnFormula>IF(lineal[[#This Row],[i]]="","",ROUNDUP(lineal[[#This Row],[POBLACION4]]*((200+lineal[[#This Row],[i]]*($AG$8-lineal[[#This Row],[AÑO4]]))/(200-lineal[[#This Row],[i]]*($AG$8-lineal[[#This Row],[AÑO4]]))),0))</calculatedColumnFormula>
    </tableColumn>
    <tableColumn id="31" xr3:uid="{2396B196-3BD9-4A24-99A3-EB04C951E2C5}" name="AÑOPRO4" totalsRowFunction="average" dataDxfId="76" totalsRowDxfId="75">
      <calculatedColumnFormula>IF(lineal[[#This Row],[i]]="","",ROUNDUP(lineal[[#This Row],[POBLACION4]]*((200+lineal[[#This Row],[i]]*($AH$8-lineal[[#This Row],[AÑO4]]))/(200-lineal[[#This Row],[i]]*($AH$8-lineal[[#This Row],[AÑO4]]))),0))</calculatedColumnFormula>
    </tableColumn>
    <tableColumn id="32" xr3:uid="{3D227D22-B09B-446E-BB2D-ADD371AA4203}" name="AÑOPRO5" totalsRowFunction="average" dataDxfId="74" totalsRowDxfId="73">
      <calculatedColumnFormula>IF(lineal[[#This Row],[i]]="","",ROUNDUP(lineal[[#This Row],[POBLACION4]]*((200+lineal[[#This Row],[i]]*($AI$8-lineal[[#This Row],[AÑO4]]))/(200-lineal[[#This Row],[i]]*($AI$8-lineal[[#This Row],[AÑO4]]))),0))</calculatedColumnFormula>
    </tableColumn>
    <tableColumn id="36" xr3:uid="{B63ABBD9-617C-42C7-88A0-76C7B5A58C47}" name="AÑOPRO6" totalsRowFunction="average" dataDxfId="72" totalsRowDxfId="71">
      <calculatedColumnFormula>IF(lineal[[#This Row],[i]]="","",ROUNDUP(lineal[[#This Row],[POBLACION4]]*((200+lineal[[#This Row],[i]]*($AJ$8-lineal[[#This Row],[AÑO4]]))/(200-lineal[[#This Row],[i]]*($AJ$8-lineal[[#This Row],[AÑO4]]))),0))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909E41-C209-4D16-AECF-07E145DAE9DC}" name="Tabla25" displayName="Tabla25" ref="B3:G8" totalsRowCount="1" headerRowDxfId="70" dataDxfId="69" totalsRowDxfId="68">
  <autoFilter ref="B3:G7" xr:uid="{C8F31A5C-CF60-40AE-BE17-8E4AAF12D28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CE638A6-5380-4258-9AF2-EBD3C283B52D}" name="Año" totalsRowLabel="PROMEDIO" dataDxfId="67" totalsRowDxfId="66"/>
    <tableColumn id="2" xr3:uid="{B8D29004-A698-4755-BC8E-0B341E414F2D}" name="Población" dataDxfId="65" totalsRowDxfId="64" dataCellStyle="Millares"/>
    <tableColumn id="3" xr3:uid="{D28A43CB-A296-4A35-AE67-512CC1C2D262}" name="K Método Aritmético" totalsRowFunction="average" dataDxfId="63" totalsRowDxfId="62">
      <calculatedColumnFormula>IF(Tabla25[[#This Row],[Año]]="","",IFERROR(ROUND((VLOOKUP(MAX(Tabla25[Año]),lineal[],2,FALSE)-Tabla25[[#This Row],[Población]])/(MAX(Tabla25[Año])-Tabla25[[#This Row],[Año]]),2),""))</calculatedColumnFormula>
    </tableColumn>
    <tableColumn id="4" xr3:uid="{72FB0B39-B547-47CD-BC7E-4704093FFEE4}" name="r Método Geométrico" totalsRowFunction="average" dataDxfId="61" totalsRowDxfId="60">
      <calculatedColumnFormula>IFERROR(ROUND((((VLOOKUP(MAX(Tabla25[Año]),Tabla25[#All],2,FALSE))/Tabla25[[#This Row],[Población]])^(1/(MAX(Tabla25[Año])-Tabla25[[#This Row],[Año]])))-1,5),"")</calculatedColumnFormula>
    </tableColumn>
    <tableColumn id="5" xr3:uid="{904377C6-4ED5-4971-8A89-F7DD3C548BC8}" name="K Método Exponencial" totalsRowFunction="average" dataDxfId="59" totalsRowDxfId="58">
      <calculatedColumnFormula>IFERROR(ROUND((LN(C5)-LN(Tabla25[[#This Row],[Población]]))/(B5-Tabla25[[#This Row],[Año]]),5),"")</calculatedColumnFormula>
    </tableColumn>
    <tableColumn id="7" xr3:uid="{2A49FFB2-6269-4179-93A4-897351FD07FB}" name="i Método Wappus" totalsRowFunction="average" dataDxfId="57" totalsRowDxfId="56">
      <calculatedColumnFormula>IF(Tabla25[[#This Row],[Año]]=0,"",IFERROR(ROUND((200*(VLOOKUP(MAX(Tabla25[Año]),Tabla25[#All],2,FALSE)-Tabla25[[#This Row],[Población]]))/((MAX(Tabla25[Año])-Tabla25[[#This Row],[Año]])*(VLOOKUP(MAX(Tabla25[Año]),Tabla25[#All],2,FALSE)+Tabla25[[#This Row],[Población]])),2),""))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96281E-72B8-4DE5-8201-E0553B205993}" name="Tabla36" displayName="Tabla36" ref="B12:H29" totalsRowShown="0" headerRowDxfId="55" dataDxfId="54">
  <autoFilter ref="B12:H29" xr:uid="{B49D758C-5365-4522-AA7F-9406B3ABBD0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1CE9875-D6DC-43AD-B3FE-CD4F1C75874E}" name="Año Proyectado" dataDxfId="53"/>
    <tableColumn id="2" xr3:uid="{0B50DDEC-65B8-4714-97A6-160C3FF4E03F}" name="Proyección del DANE" dataDxfId="52" dataCellStyle="Millares"/>
    <tableColumn id="3" xr3:uid="{8625D31A-71F7-4F7F-BF85-38D5927CEDA8}" name="Método Aritmético" dataDxfId="51">
      <calculatedColumnFormula>$C$6+Tabla25[[#Totals],[K Método Aritmético]]*(Tabla36[[#This Row],[Año Proyectado]]-$B$6)</calculatedColumnFormula>
    </tableColumn>
    <tableColumn id="4" xr3:uid="{B18309DB-D60B-48DC-9A5D-FF4537E07159}" name="Método Geométrico" dataDxfId="50">
      <calculatedColumnFormula>$C$6*(1+Tabla25[[#Totals],[r Método Geométrico]])^(Tabla36[[#This Row],[Año Proyectado]]-$B$6)</calculatedColumnFormula>
    </tableColumn>
    <tableColumn id="5" xr3:uid="{ED4F88A9-5677-402F-8256-946A1659764C}" name="Método Exponencial" dataDxfId="49">
      <calculatedColumnFormula>$C$6*EXP(1)^(Tabla25[[#Totals],[K Método Exponencial]]*(Tabla36[[#This Row],[Año Proyectado]]-$B$6))</calculatedColumnFormula>
    </tableColumn>
    <tableColumn id="6" xr3:uid="{F48C02F0-FAD2-4A84-B9E5-E72596DE5DDC}" name="Método Wappus" dataDxfId="48">
      <calculatedColumnFormula>$C$6*((200+(Tabla25[[#Totals],[i Método Wappus]]*(Tabla36[[#This Row],[Año Proyectado]]-$B$6)))/(200-(Tabla25[[#Totals],[i Método Wappus]]*(Tabla36[[#This Row],[Año Proyectado]]-$B$6))))</calculatedColumnFormula>
    </tableColumn>
    <tableColumn id="7" xr3:uid="{760E4E51-6B07-4049-836A-5361A9E2154E}" name="Promedio" dataDxfId="47" dataCellStyle="Millares">
      <calculatedColumnFormula>AVERAGE(Tabla36[[#This Row],[Proyección del DANE]:[Método Wappus]])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F31A5C-CF60-40AE-BE17-8E4AAF12D284}" name="Tabla2" displayName="Tabla2" ref="B3:G8" totalsRowCount="1" headerRowDxfId="46" dataDxfId="45" totalsRowDxfId="44">
  <autoFilter ref="B3:G7" xr:uid="{C8F31A5C-CF60-40AE-BE17-8E4AAF12D28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5FB1C442-F1E2-4B31-BE7A-6CB16516B163}" name="Año" totalsRowLabel="PROMEDIO" dataDxfId="43" totalsRowDxfId="42"/>
    <tableColumn id="2" xr3:uid="{4A0B8744-6B06-40B0-885F-0E3A292BC537}" name="Población" dataDxfId="41" totalsRowDxfId="40" dataCellStyle="Millares"/>
    <tableColumn id="3" xr3:uid="{BEEB85AA-75C8-4CF2-95BD-0B7728F4F706}" name="K Método Aritmético" totalsRowFunction="average" dataDxfId="39" totalsRowDxfId="38">
      <calculatedColumnFormula>IF(Tabla2[[#This Row],[Año]]="","",IFERROR(ROUND((VLOOKUP(MAX(Tabla2[Año]),lineal[],2,FALSE)-Tabla2[[#This Row],[Población]])/(MAX(Tabla2[Año])-Tabla2[[#This Row],[Año]]),2),""))</calculatedColumnFormula>
    </tableColumn>
    <tableColumn id="4" xr3:uid="{383AAADA-906B-4428-9860-D981F0F13FE5}" name="r Método Geométrico" totalsRowFunction="average" dataDxfId="37" totalsRowDxfId="36">
      <calculatedColumnFormula>IFERROR(ROUND((((VLOOKUP(MAX(Tabla2[Año]),Tabla2[#All],2,FALSE))/Tabla2[[#This Row],[Población]])^(1/(MAX(Tabla2[Año])-Tabla2[[#This Row],[Año]])))-1,5),"")</calculatedColumnFormula>
    </tableColumn>
    <tableColumn id="5" xr3:uid="{77815AE6-51E3-4D45-AACE-B454D90EEA9F}" name="K Método Exponencial" totalsRowFunction="average" dataDxfId="35" totalsRowDxfId="34">
      <calculatedColumnFormula>IFERROR(ROUND((LN(C5)-LN(Tabla2[[#This Row],[Población]]))/(B5-Tabla2[[#This Row],[Año]]),5),"")</calculatedColumnFormula>
    </tableColumn>
    <tableColumn id="7" xr3:uid="{9905B142-7A67-4510-8EE5-5B2D84FF4348}" name="i Método Wappus" totalsRowFunction="average" dataDxfId="33" totalsRowDxfId="32">
      <calculatedColumnFormula>IF(Tabla2[[#This Row],[Año]]=0,"",IFERROR(ROUND((200*(VLOOKUP(MAX(Tabla2[Año]),Tabla2[#All],2,FALSE)-Tabla2[[#This Row],[Población]]))/((MAX(Tabla2[Año])-Tabla2[[#This Row],[Año]])*(VLOOKUP(MAX(Tabla2[Año]),Tabla2[#All],2,FALSE)+Tabla2[[#This Row],[Población]])),2),""))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D758C-5365-4522-AA7F-9406B3ABBD0A}" name="Tabla3" displayName="Tabla3" ref="B12:H29" totalsRowShown="0" headerRowDxfId="31" dataDxfId="30">
  <autoFilter ref="B12:H29" xr:uid="{B49D758C-5365-4522-AA7F-9406B3ABBD0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A1C4504-ED5E-424B-BFF5-D61E7B3EDC1F}" name="Año Proyectado" dataDxfId="29"/>
    <tableColumn id="2" xr3:uid="{2A8CE559-195E-46CE-9503-F4AC1C467D6B}" name="Proyección del DANE" dataDxfId="28" dataCellStyle="Millares"/>
    <tableColumn id="3" xr3:uid="{A4B56FE1-AA45-48D6-95C9-2269EEC08CF1}" name="Método Aritmético" dataDxfId="27">
      <calculatedColumnFormula>$C$7+Tabla2[[#Totals],[K Método Aritmético]]*(Tabla3[[#This Row],[Año Proyectado]]-$B$7)</calculatedColumnFormula>
    </tableColumn>
    <tableColumn id="4" xr3:uid="{E70DFB4F-0D0C-4F71-B9B3-646BD221C037}" name="Método Geométrico" dataDxfId="26">
      <calculatedColumnFormula>$C$7*(1+Tabla2[[#Totals],[r Método Geométrico]])^(Tabla3[[#This Row],[Año Proyectado]]-$B$7)</calculatedColumnFormula>
    </tableColumn>
    <tableColumn id="5" xr3:uid="{B279CF2A-A6DE-4EF5-B61E-AFAD977F0519}" name="Método Exponencial" dataDxfId="25">
      <calculatedColumnFormula>$C$7*EXP(1)^(Tabla2[[#Totals],[K Método Exponencial]]*(Tabla3[[#This Row],[Año Proyectado]]-$B$7))</calculatedColumnFormula>
    </tableColumn>
    <tableColumn id="6" xr3:uid="{714B21EF-F4AB-4D4B-98B2-242A4C6869E6}" name="Método Wappus" dataDxfId="24">
      <calculatedColumnFormula>$C$7*((200+(Tabla2[[#Totals],[i Método Wappus]]*(Tabla3[[#This Row],[Año Proyectado]]-$B$7)))/(200-(Tabla2[[#Totals],[i Método Wappus]]*(Tabla3[[#This Row],[Año Proyectado]]-$B$7))))</calculatedColumnFormula>
    </tableColumn>
    <tableColumn id="7" xr3:uid="{E540BCE9-92E2-4085-B6D7-7DF104740F20}" name="Promedio" dataDxfId="23">
      <calculatedColumnFormula>AVERAGE(Tabla3[[#This Row],[Proyección del DANE]:[Método Wappus]])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8B76A8-4902-4F6C-9E49-3457B2637520}" name="Tabla27" displayName="Tabla27" ref="B3:G8" totalsRowCount="1" headerRowDxfId="22" dataDxfId="21" totalsRowDxfId="20">
  <autoFilter ref="B3:G7" xr:uid="{C8F31A5C-CF60-40AE-BE17-8E4AAF12D28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B405342A-45CA-4FB9-B233-3EAF8A1E9276}" name="Año" totalsRowLabel="PROMEDIO" dataDxfId="19" totalsRowDxfId="18"/>
    <tableColumn id="2" xr3:uid="{AF4E6997-C583-47D2-BF1A-67267B7E6E83}" name="Población" dataDxfId="17" totalsRowDxfId="16" dataCellStyle="Millares"/>
    <tableColumn id="3" xr3:uid="{BB5940A0-996A-4E0F-92A9-E1611E118B93}" name="K Método Aritmético" totalsRowFunction="average" dataDxfId="15" totalsRowDxfId="14">
      <calculatedColumnFormula>IF(Tabla27[[#This Row],[Año]]="","",IFERROR(ROUND((VLOOKUP(MAX(Tabla27[Año]),lineal[],2,FALSE)-Tabla27[[#This Row],[Población]])/(MAX(Tabla27[Año])-Tabla27[[#This Row],[Año]]),2),""))</calculatedColumnFormula>
    </tableColumn>
    <tableColumn id="4" xr3:uid="{FA5F7F28-0666-4A60-B179-5D52DC118F9A}" name="r Método Geométrico" totalsRowFunction="average" dataDxfId="13" totalsRowDxfId="12">
      <calculatedColumnFormula>IFERROR(ROUND((((VLOOKUP(MAX(Tabla27[Año]),Tabla27[#All],2,FALSE))/Tabla27[[#This Row],[Población]])^(1/(MAX(Tabla27[Año])-Tabla27[[#This Row],[Año]])))-1,5),"")</calculatedColumnFormula>
    </tableColumn>
    <tableColumn id="5" xr3:uid="{7FCB483E-F97B-4DBD-873C-13B1F324FEBA}" name="K Método Exponencial" totalsRowFunction="average" dataDxfId="11" totalsRowDxfId="10">
      <calculatedColumnFormula>IFERROR(ROUND((LN(C5)-LN(Tabla27[[#This Row],[Población]]))/(B5-Tabla27[[#This Row],[Año]]),5),"")</calculatedColumnFormula>
    </tableColumn>
    <tableColumn id="7" xr3:uid="{B8BB41DE-AF36-4817-8A46-6190D4A0FA0C}" name="i Método Wappus" totalsRowFunction="average" dataDxfId="9" totalsRowDxfId="8">
      <calculatedColumnFormula>IF(Tabla27[[#This Row],[Año]]=0,"",IFERROR(ROUND((200*(VLOOKUP(MAX(Tabla27[Año]),Tabla27[#All],2,FALSE)-Tabla27[[#This Row],[Población]]))/((MAX(Tabla27[Año])-Tabla27[[#This Row],[Año]])*(VLOOKUP(MAX(Tabla27[Año]),Tabla27[#All],2,FALSE)+Tabla27[[#This Row],[Población]])),2),""))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E706284-9CF5-4A7E-BC31-3705EA85A2EA}" name="Tabla38" displayName="Tabla38" ref="B12:G29" totalsRowShown="0" headerRowDxfId="7" dataDxfId="6">
  <autoFilter ref="B12:G29" xr:uid="{B49D758C-5365-4522-AA7F-9406B3ABBD0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5786B7D-1F6D-42B2-9FDE-73F6587FFB41}" name="Año Proyectado" dataDxfId="5"/>
    <tableColumn id="2" xr3:uid="{6CACA935-6063-45BE-AD06-D84AD43CCB08}" name="Proyección del DANE" dataDxfId="4" dataCellStyle="Millares"/>
    <tableColumn id="3" xr3:uid="{09ED79F5-894B-4D82-AB11-A0B100C62733}" name="Método Aritmético" dataDxfId="3">
      <calculatedColumnFormula>$C$7+Tabla27[[#Totals],[K Método Aritmético]]*(Tabla38[[#This Row],[Año Proyectado]]-$B$7)</calculatedColumnFormula>
    </tableColumn>
    <tableColumn id="4" xr3:uid="{22C6B5F0-C0E3-4053-8A5E-C0F9307137AA}" name="Método Geométrico" dataDxfId="2">
      <calculatedColumnFormula>$C$7*(1+Tabla27[[#Totals],[r Método Geométrico]])^(Tabla38[[#This Row],[Año Proyectado]]-$B$7)</calculatedColumnFormula>
    </tableColumn>
    <tableColumn id="5" xr3:uid="{BB5797D7-FCED-4564-BC63-503F0754EEA8}" name="Método Exponencial" dataDxfId="1">
      <calculatedColumnFormula>$C$7*EXP(1)^(Tabla27[[#Totals],[K Método Exponencial]]*(Tabla38[[#This Row],[Año Proyectado]]-$B$7))</calculatedColumnFormula>
    </tableColumn>
    <tableColumn id="6" xr3:uid="{049700C5-F276-4B2E-B898-A2B44A4D80A0}" name="Método Wappus" dataDxfId="0">
      <calculatedColumnFormula>$C$7*((200+(Tabla27[[#Totals],[i Método Wappus]]*(Tabla38[[#This Row],[Año Proyectado]]-$B$7)))/(200-(Tabla27[[#Totals],[i Método Wappus]]*(Tabla38[[#This Row],[Año Proyectado]]-$B$7))))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27"/>
  <sheetViews>
    <sheetView showGridLines="0" view="pageLayout" topLeftCell="AB1" zoomScale="107" zoomScaleNormal="100" zoomScaleSheetLayoutView="101" zoomScalePageLayoutView="107" workbookViewId="0">
      <selection activeCell="AD10" sqref="AD10"/>
    </sheetView>
  </sheetViews>
  <sheetFormatPr baseColWidth="10" defaultColWidth="6" defaultRowHeight="15" x14ac:dyDescent="0.25"/>
  <cols>
    <col min="1" max="1" width="10.28515625" style="1" bestFit="1" customWidth="1"/>
    <col min="2" max="2" width="15.42578125" style="1" bestFit="1" customWidth="1"/>
    <col min="3" max="3" width="8.42578125" style="1" bestFit="1" customWidth="1"/>
    <col min="4" max="7" width="10" style="1" bestFit="1" customWidth="1"/>
    <col min="8" max="8" width="10" style="1" customWidth="1"/>
    <col min="9" max="9" width="10" style="1" bestFit="1" customWidth="1"/>
    <col min="10" max="10" width="10.28515625" style="1" bestFit="1" customWidth="1"/>
    <col min="11" max="11" width="14" style="1" bestFit="1" customWidth="1"/>
    <col min="12" max="12" width="8.42578125" style="1" bestFit="1" customWidth="1"/>
    <col min="13" max="17" width="10" style="1" bestFit="1" customWidth="1"/>
    <col min="18" max="18" width="10" style="1" customWidth="1"/>
    <col min="19" max="19" width="10.28515625" style="1" bestFit="1" customWidth="1"/>
    <col min="20" max="20" width="12.42578125" style="1" bestFit="1" customWidth="1"/>
    <col min="21" max="21" width="8" style="1" bestFit="1" customWidth="1"/>
    <col min="22" max="22" width="9.85546875" style="1" bestFit="1" customWidth="1"/>
    <col min="23" max="26" width="10.140625" style="1" bestFit="1" customWidth="1"/>
    <col min="27" max="27" width="10.140625" style="1" customWidth="1"/>
    <col min="28" max="28" width="9.85546875" style="1" bestFit="1" customWidth="1"/>
    <col min="29" max="29" width="12.7109375" style="1" bestFit="1" customWidth="1"/>
    <col min="30" max="30" width="10" style="1" bestFit="1" customWidth="1"/>
    <col min="31" max="35" width="8.85546875" style="1" bestFit="1" customWidth="1"/>
    <col min="36" max="36" width="8.85546875" style="1" customWidth="1"/>
    <col min="37" max="16384" width="6" style="1"/>
  </cols>
  <sheetData>
    <row r="1" spans="1:36" ht="15.75" thickBot="1" x14ac:dyDescent="0.25">
      <c r="A1" s="100" t="s">
        <v>0</v>
      </c>
      <c r="B1" s="101"/>
      <c r="C1" s="101"/>
      <c r="D1" s="101"/>
      <c r="E1" s="101"/>
      <c r="F1" s="101"/>
      <c r="G1" s="101"/>
      <c r="H1" s="101"/>
      <c r="I1" s="102"/>
      <c r="J1" s="100" t="s">
        <v>11</v>
      </c>
      <c r="K1" s="101"/>
      <c r="L1" s="101"/>
      <c r="M1" s="101"/>
      <c r="N1" s="101"/>
      <c r="O1" s="101"/>
      <c r="P1" s="101"/>
      <c r="Q1" s="101"/>
      <c r="R1" s="102"/>
      <c r="S1" s="100" t="s">
        <v>18</v>
      </c>
      <c r="T1" s="101"/>
      <c r="U1" s="101"/>
      <c r="V1" s="101"/>
      <c r="W1" s="101"/>
      <c r="X1" s="101"/>
      <c r="Y1" s="101"/>
      <c r="Z1" s="101"/>
      <c r="AA1" s="102"/>
      <c r="AB1" s="100" t="s">
        <v>33</v>
      </c>
      <c r="AC1" s="101"/>
      <c r="AD1" s="101"/>
      <c r="AE1" s="101"/>
      <c r="AF1" s="101"/>
      <c r="AG1" s="101"/>
      <c r="AH1" s="101"/>
      <c r="AI1" s="101"/>
      <c r="AJ1" s="102"/>
    </row>
    <row r="2" spans="1:36" x14ac:dyDescent="0.25">
      <c r="A2" s="82" t="s">
        <v>4</v>
      </c>
      <c r="B2" s="83"/>
      <c r="C2" s="83"/>
      <c r="D2" s="83"/>
      <c r="E2" s="83"/>
      <c r="F2" s="83"/>
      <c r="G2" s="83"/>
      <c r="H2" s="83"/>
      <c r="I2" s="84"/>
      <c r="J2" s="91" t="s">
        <v>4</v>
      </c>
      <c r="K2" s="92"/>
      <c r="L2" s="92"/>
      <c r="M2" s="92"/>
      <c r="N2" s="92"/>
      <c r="O2" s="92"/>
      <c r="P2" s="92"/>
      <c r="Q2" s="92"/>
      <c r="R2" s="93"/>
      <c r="S2" s="91" t="s">
        <v>4</v>
      </c>
      <c r="T2" s="92"/>
      <c r="U2" s="92"/>
      <c r="V2" s="92"/>
      <c r="W2" s="92"/>
      <c r="X2" s="92"/>
      <c r="Y2" s="92"/>
      <c r="Z2" s="92"/>
      <c r="AA2" s="93"/>
      <c r="AB2" s="91" t="s">
        <v>4</v>
      </c>
      <c r="AC2" s="92"/>
      <c r="AD2" s="92"/>
      <c r="AE2" s="92"/>
      <c r="AF2" s="92"/>
      <c r="AG2" s="92"/>
      <c r="AH2" s="92"/>
      <c r="AI2" s="92"/>
      <c r="AJ2" s="93"/>
    </row>
    <row r="3" spans="1:36" x14ac:dyDescent="0.25">
      <c r="A3" s="85"/>
      <c r="B3" s="86"/>
      <c r="C3" s="86"/>
      <c r="D3" s="86"/>
      <c r="E3" s="86"/>
      <c r="F3" s="86"/>
      <c r="G3" s="86"/>
      <c r="H3" s="86"/>
      <c r="I3" s="87"/>
      <c r="J3" s="94"/>
      <c r="K3" s="95"/>
      <c r="L3" s="95"/>
      <c r="M3" s="95"/>
      <c r="N3" s="95"/>
      <c r="O3" s="95"/>
      <c r="P3" s="95"/>
      <c r="Q3" s="95"/>
      <c r="R3" s="96"/>
      <c r="S3" s="94"/>
      <c r="T3" s="95"/>
      <c r="U3" s="95"/>
      <c r="V3" s="95"/>
      <c r="W3" s="95"/>
      <c r="X3" s="95"/>
      <c r="Y3" s="95"/>
      <c r="Z3" s="95"/>
      <c r="AA3" s="96"/>
      <c r="AB3" s="94"/>
      <c r="AC3" s="95"/>
      <c r="AD3" s="95"/>
      <c r="AE3" s="95"/>
      <c r="AF3" s="95"/>
      <c r="AG3" s="95"/>
      <c r="AH3" s="95"/>
      <c r="AI3" s="95"/>
      <c r="AJ3" s="96"/>
    </row>
    <row r="4" spans="1:36" ht="15.75" thickBot="1" x14ac:dyDescent="0.3">
      <c r="A4" s="88"/>
      <c r="B4" s="89"/>
      <c r="C4" s="89"/>
      <c r="D4" s="89"/>
      <c r="E4" s="89"/>
      <c r="F4" s="89"/>
      <c r="G4" s="89"/>
      <c r="H4" s="89"/>
      <c r="I4" s="90"/>
      <c r="J4" s="97"/>
      <c r="K4" s="98"/>
      <c r="L4" s="98"/>
      <c r="M4" s="98"/>
      <c r="N4" s="98"/>
      <c r="O4" s="98"/>
      <c r="P4" s="98"/>
      <c r="Q4" s="98"/>
      <c r="R4" s="99"/>
      <c r="S4" s="97"/>
      <c r="T4" s="98"/>
      <c r="U4" s="98"/>
      <c r="V4" s="98"/>
      <c r="W4" s="98"/>
      <c r="X4" s="98"/>
      <c r="Y4" s="98"/>
      <c r="Z4" s="98"/>
      <c r="AA4" s="99"/>
      <c r="AB4" s="97"/>
      <c r="AC4" s="98"/>
      <c r="AD4" s="98"/>
      <c r="AE4" s="98"/>
      <c r="AF4" s="98"/>
      <c r="AG4" s="98"/>
      <c r="AH4" s="98"/>
      <c r="AI4" s="98"/>
      <c r="AJ4" s="99"/>
    </row>
    <row r="5" spans="1:36" x14ac:dyDescent="0.25">
      <c r="A5" s="82" t="s">
        <v>5</v>
      </c>
      <c r="B5" s="83"/>
      <c r="C5" s="83"/>
      <c r="D5" s="83"/>
      <c r="E5" s="83"/>
      <c r="F5" s="83"/>
      <c r="G5" s="83"/>
      <c r="H5" s="83"/>
      <c r="I5" s="84"/>
      <c r="J5" s="91" t="s">
        <v>5</v>
      </c>
      <c r="K5" s="92"/>
      <c r="L5" s="92"/>
      <c r="M5" s="92"/>
      <c r="N5" s="92"/>
      <c r="O5" s="92"/>
      <c r="P5" s="92"/>
      <c r="Q5" s="92"/>
      <c r="R5" s="93"/>
      <c r="S5" s="91" t="s">
        <v>5</v>
      </c>
      <c r="T5" s="92"/>
      <c r="U5" s="92"/>
      <c r="V5" s="92"/>
      <c r="W5" s="92"/>
      <c r="X5" s="92"/>
      <c r="Y5" s="92"/>
      <c r="Z5" s="92"/>
      <c r="AA5" s="93"/>
      <c r="AB5" s="91" t="s">
        <v>5</v>
      </c>
      <c r="AC5" s="92"/>
      <c r="AD5" s="92"/>
      <c r="AE5" s="92"/>
      <c r="AF5" s="92"/>
      <c r="AG5" s="92"/>
      <c r="AH5" s="92"/>
      <c r="AI5" s="92"/>
      <c r="AJ5" s="93"/>
    </row>
    <row r="6" spans="1:36" x14ac:dyDescent="0.25">
      <c r="A6" s="85"/>
      <c r="B6" s="86"/>
      <c r="C6" s="86"/>
      <c r="D6" s="86"/>
      <c r="E6" s="86"/>
      <c r="F6" s="86"/>
      <c r="G6" s="86"/>
      <c r="H6" s="86"/>
      <c r="I6" s="87"/>
      <c r="J6" s="94"/>
      <c r="K6" s="95"/>
      <c r="L6" s="95"/>
      <c r="M6" s="95"/>
      <c r="N6" s="95"/>
      <c r="O6" s="95"/>
      <c r="P6" s="95"/>
      <c r="Q6" s="95"/>
      <c r="R6" s="96"/>
      <c r="S6" s="94"/>
      <c r="T6" s="95"/>
      <c r="U6" s="95"/>
      <c r="V6" s="95"/>
      <c r="W6" s="95"/>
      <c r="X6" s="95"/>
      <c r="Y6" s="95"/>
      <c r="Z6" s="95"/>
      <c r="AA6" s="96"/>
      <c r="AB6" s="94"/>
      <c r="AC6" s="95"/>
      <c r="AD6" s="95"/>
      <c r="AE6" s="95"/>
      <c r="AF6" s="95"/>
      <c r="AG6" s="95"/>
      <c r="AH6" s="95"/>
      <c r="AI6" s="95"/>
      <c r="AJ6" s="96"/>
    </row>
    <row r="7" spans="1:36" ht="15.75" thickBot="1" x14ac:dyDescent="0.3">
      <c r="A7" s="85"/>
      <c r="B7" s="86"/>
      <c r="C7" s="86"/>
      <c r="D7" s="86"/>
      <c r="E7" s="86"/>
      <c r="F7" s="86"/>
      <c r="G7" s="86"/>
      <c r="H7" s="86"/>
      <c r="I7" s="87"/>
      <c r="J7" s="94"/>
      <c r="K7" s="95"/>
      <c r="L7" s="95"/>
      <c r="M7" s="95"/>
      <c r="N7" s="95"/>
      <c r="O7" s="95"/>
      <c r="P7" s="95"/>
      <c r="Q7" s="95"/>
      <c r="R7" s="96"/>
      <c r="S7" s="97"/>
      <c r="T7" s="98"/>
      <c r="U7" s="98"/>
      <c r="V7" s="98"/>
      <c r="W7" s="98"/>
      <c r="X7" s="98"/>
      <c r="Y7" s="98"/>
      <c r="Z7" s="98"/>
      <c r="AA7" s="99"/>
      <c r="AB7" s="97"/>
      <c r="AC7" s="98"/>
      <c r="AD7" s="98"/>
      <c r="AE7" s="98"/>
      <c r="AF7" s="98"/>
      <c r="AG7" s="98"/>
      <c r="AH7" s="98"/>
      <c r="AI7" s="98"/>
      <c r="AJ7" s="99"/>
    </row>
    <row r="8" spans="1:36" ht="24" customHeight="1" x14ac:dyDescent="0.2">
      <c r="A8" s="21" t="s">
        <v>1</v>
      </c>
      <c r="B8" s="22" t="s">
        <v>2</v>
      </c>
      <c r="C8" s="23" t="s">
        <v>3</v>
      </c>
      <c r="D8" s="24">
        <f>MAX(lineal[AÑO])+4</f>
        <v>2024</v>
      </c>
      <c r="E8" s="24">
        <f>D8+5</f>
        <v>2029</v>
      </c>
      <c r="F8" s="24">
        <f t="shared" ref="F8" si="0">E8+5</f>
        <v>2034</v>
      </c>
      <c r="G8" s="24">
        <f>F8+5</f>
        <v>2039</v>
      </c>
      <c r="H8" s="24">
        <f>G8+5</f>
        <v>2044</v>
      </c>
      <c r="I8" s="24">
        <f>H8+5</f>
        <v>2049</v>
      </c>
      <c r="J8" s="23" t="s">
        <v>1</v>
      </c>
      <c r="K8" s="22" t="s">
        <v>2</v>
      </c>
      <c r="L8" s="23" t="s">
        <v>12</v>
      </c>
      <c r="M8" s="24">
        <f>D8</f>
        <v>2024</v>
      </c>
      <c r="N8" s="24">
        <f>M8+5</f>
        <v>2029</v>
      </c>
      <c r="O8" s="24">
        <f t="shared" ref="O8" si="1">N8+5</f>
        <v>2034</v>
      </c>
      <c r="P8" s="24">
        <f t="shared" ref="P8:R8" si="2">O8+5</f>
        <v>2039</v>
      </c>
      <c r="Q8" s="24">
        <f t="shared" ref="Q8" si="3">P8+5</f>
        <v>2044</v>
      </c>
      <c r="R8" s="24">
        <f t="shared" si="2"/>
        <v>2049</v>
      </c>
      <c r="S8" s="23" t="s">
        <v>1</v>
      </c>
      <c r="T8" s="22" t="s">
        <v>2</v>
      </c>
      <c r="U8" s="23" t="s">
        <v>19</v>
      </c>
      <c r="V8" s="24">
        <f>D8</f>
        <v>2024</v>
      </c>
      <c r="W8" s="24">
        <f>V8+5</f>
        <v>2029</v>
      </c>
      <c r="X8" s="24">
        <f t="shared" ref="X8" si="4">W8+5</f>
        <v>2034</v>
      </c>
      <c r="Y8" s="24">
        <f t="shared" ref="Y8:AA8" si="5">X8+5</f>
        <v>2039</v>
      </c>
      <c r="Z8" s="24">
        <f t="shared" ref="Z8" si="6">Y8+5</f>
        <v>2044</v>
      </c>
      <c r="AA8" s="24">
        <f t="shared" si="5"/>
        <v>2049</v>
      </c>
      <c r="AB8" s="23" t="s">
        <v>1</v>
      </c>
      <c r="AC8" s="22" t="s">
        <v>2</v>
      </c>
      <c r="AD8" s="23" t="s">
        <v>35</v>
      </c>
      <c r="AE8" s="24">
        <f>D8</f>
        <v>2024</v>
      </c>
      <c r="AF8" s="24">
        <f>AE8+5</f>
        <v>2029</v>
      </c>
      <c r="AG8" s="24">
        <f t="shared" ref="AG8" si="7">AF8+5</f>
        <v>2034</v>
      </c>
      <c r="AH8" s="24">
        <f t="shared" ref="AH8:AJ8" si="8">AG8+5</f>
        <v>2039</v>
      </c>
      <c r="AI8" s="24">
        <f t="shared" ref="AI8" si="9">AH8+5</f>
        <v>2044</v>
      </c>
      <c r="AJ8" s="25">
        <f t="shared" si="8"/>
        <v>2049</v>
      </c>
    </row>
    <row r="9" spans="1:36" ht="36" hidden="1" customHeight="1" x14ac:dyDescent="0.2">
      <c r="A9" s="26" t="s">
        <v>1</v>
      </c>
      <c r="B9" s="17" t="s">
        <v>6</v>
      </c>
      <c r="C9" s="16" t="s">
        <v>3</v>
      </c>
      <c r="D9" s="18" t="s">
        <v>13</v>
      </c>
      <c r="E9" s="18" t="s">
        <v>14</v>
      </c>
      <c r="F9" s="18" t="s">
        <v>15</v>
      </c>
      <c r="G9" s="18" t="s">
        <v>16</v>
      </c>
      <c r="H9" s="18" t="s">
        <v>17</v>
      </c>
      <c r="I9" s="18" t="s">
        <v>20</v>
      </c>
      <c r="J9" s="18" t="s">
        <v>7</v>
      </c>
      <c r="K9" s="18" t="s">
        <v>21</v>
      </c>
      <c r="L9" s="18" t="s">
        <v>12</v>
      </c>
      <c r="M9" s="18" t="s">
        <v>22</v>
      </c>
      <c r="N9" s="18" t="s">
        <v>23</v>
      </c>
      <c r="O9" s="18" t="s">
        <v>24</v>
      </c>
      <c r="P9" s="18" t="s">
        <v>25</v>
      </c>
      <c r="Q9" s="18" t="s">
        <v>26</v>
      </c>
      <c r="R9" s="18" t="s">
        <v>46</v>
      </c>
      <c r="S9" s="18" t="s">
        <v>8</v>
      </c>
      <c r="T9" s="18" t="s">
        <v>27</v>
      </c>
      <c r="U9" s="18" t="s">
        <v>19</v>
      </c>
      <c r="V9" s="18" t="s">
        <v>28</v>
      </c>
      <c r="W9" s="18" t="s">
        <v>29</v>
      </c>
      <c r="X9" s="18" t="s">
        <v>30</v>
      </c>
      <c r="Y9" s="18" t="s">
        <v>31</v>
      </c>
      <c r="Z9" s="18" t="s">
        <v>32</v>
      </c>
      <c r="AA9" s="18" t="s">
        <v>47</v>
      </c>
      <c r="AB9" s="18" t="s">
        <v>9</v>
      </c>
      <c r="AC9" s="18" t="s">
        <v>34</v>
      </c>
      <c r="AD9" s="18" t="s">
        <v>35</v>
      </c>
      <c r="AE9" s="18" t="s">
        <v>36</v>
      </c>
      <c r="AF9" s="18" t="s">
        <v>37</v>
      </c>
      <c r="AG9" s="18" t="s">
        <v>38</v>
      </c>
      <c r="AH9" s="18" t="s">
        <v>39</v>
      </c>
      <c r="AI9" s="18" t="s">
        <v>40</v>
      </c>
      <c r="AJ9" s="27" t="s">
        <v>48</v>
      </c>
    </row>
    <row r="10" spans="1:36" x14ac:dyDescent="0.2">
      <c r="A10" s="2">
        <v>2005</v>
      </c>
      <c r="B10" s="3">
        <v>48639</v>
      </c>
      <c r="C10" s="5">
        <f>IF(lineal[[#This Row],[AÑO]]="","",IFERROR(ROUND((VLOOKUP(MAX(lineal[AÑO]),lineal[],2,FALSE)-lineal[[#This Row],[POBLACION]])/(MAX(lineal[AÑO])-lineal[[#This Row],[AÑO]]),2),""))</f>
        <v>536.07000000000005</v>
      </c>
      <c r="D10" s="4">
        <f>IF(lineal[[#This Row],[K]]="","",ROUNDUP((lineal[[#This Row],[K]]*($D$8-MAX(lineal[AÑO]))+(VLOOKUP(MAX(lineal[AÑO]),lineal[],2,FALSE))),0))</f>
        <v>58825</v>
      </c>
      <c r="E10" s="4">
        <f>IF(lineal[[#This Row],[K]]="","",ROUNDUP((lineal[[#This Row],[K]]*($E$8-MAX(lineal[AÑO]))+(VLOOKUP(MAX(lineal[AÑO]),lineal[],2,FALSE))),0))</f>
        <v>61505</v>
      </c>
      <c r="F10" s="4">
        <f>IF(lineal[[#This Row],[K]]="","",ROUNDUP((lineal[[#This Row],[K]]*($F$8-MAX(lineal[AÑO]))+(VLOOKUP(MAX(lineal[AÑO]),lineal[],2,FALSE))),0))</f>
        <v>64185</v>
      </c>
      <c r="G10" s="4">
        <f>IF(lineal[[#This Row],[K]]="","",ROUNDUP((lineal[[#This Row],[K]]*($G$8-MAX(lineal[AÑO]))+(VLOOKUP(MAX(lineal[AÑO]),lineal[],2,FALSE))),0))</f>
        <v>66866</v>
      </c>
      <c r="H10" s="4">
        <f>IF(lineal[[#This Row],[K]]="","",ROUNDUP((lineal[[#This Row],[K]]*($H$8-MAX(lineal[AÑO]))+(VLOOKUP(MAX(lineal[AÑO]),lineal[],2,FALSE))),0))</f>
        <v>69546</v>
      </c>
      <c r="I10" s="4">
        <f>IF(lineal[[#This Row],[K]]="","",ROUNDUP((lineal[[#This Row],[K]]*($I$8-MAX(lineal[AÑO]))+(VLOOKUP(MAX(lineal[AÑO]),lineal[],2,FALSE))),0))</f>
        <v>72227</v>
      </c>
      <c r="J10" s="19">
        <f>lineal[[#This Row],[AÑO]]</f>
        <v>2005</v>
      </c>
      <c r="K10" s="3">
        <f>lineal[[#This Row],[POBLACION]]</f>
        <v>48639</v>
      </c>
      <c r="L10" s="7">
        <f>IFERROR(ROUND((((VLOOKUP(MAX(lineal[AÑO2]),lineal[[AÑO2]:[POBLACION2]],2,FALSE))/lineal[[#This Row],[POBLACION2]])^(1/(MAX(lineal[AÑO2])-lineal[[#This Row],[AÑO2]])))-1,5),"")</f>
        <v>1.025E-2</v>
      </c>
      <c r="M10" s="6">
        <f>IF(lineal[[#This Row],[r]]="","",ROUNDUP((VLOOKUP(MAX(lineal[AÑO]),lineal[],2,FALSE)*(1+lineal[[#This Row],[r]])^($M$8-MAX(lineal[AÑO2]))),0))</f>
        <v>59040</v>
      </c>
      <c r="N10" s="6">
        <f>IF(lineal[[#This Row],[r]]="","",ROUNDUP((VLOOKUP(MAX(lineal[AÑO]),lineal[],2,FALSE)*(1+lineal[[#This Row],[r]])^($N$8-MAX(lineal[AÑO2]))),0))</f>
        <v>62129</v>
      </c>
      <c r="O10" s="6">
        <f>IF(lineal[[#This Row],[r]]="","",ROUNDUP((VLOOKUP(MAX(lineal[AÑO]),lineal[],2,FALSE)*(1+lineal[[#This Row],[r]])^($O$8-MAX(lineal[AÑO2]))),0))</f>
        <v>65379</v>
      </c>
      <c r="P10" s="6">
        <f>IF(lineal[[#This Row],[r]]="","",ROUNDUP((VLOOKUP(MAX(lineal[AÑO]),lineal[],2,FALSE)*(1+lineal[[#This Row],[r]])^($P$8-MAX(lineal[AÑO2]))),0))</f>
        <v>68799</v>
      </c>
      <c r="Q10" s="6">
        <f>IF(lineal[[#This Row],[r]]="","",ROUNDUP((VLOOKUP(MAX(lineal[AÑO]),lineal[],2,FALSE)*(1+lineal[[#This Row],[r]])^($Q$8-MAX(lineal[AÑO2]))),0))</f>
        <v>72398</v>
      </c>
      <c r="R10" s="6">
        <f>IF(lineal[[#This Row],[r]]="","",ROUNDUP((VLOOKUP(MAX(lineal[AÑO]),lineal[],2,FALSE)*(1+lineal[[#This Row],[r]])^($R$8-MAX(lineal[AÑO2]))),0))</f>
        <v>76185</v>
      </c>
      <c r="S10" s="19">
        <f>lineal[[#This Row],[AÑO]]</f>
        <v>2005</v>
      </c>
      <c r="T10" s="3">
        <f>lineal[[#This Row],[POBLACION]]</f>
        <v>48639</v>
      </c>
      <c r="U10" s="7">
        <f>IFERROR(ROUND((LN(T11)-LN(lineal[[#This Row],[POBLACION3]]))/(S11-lineal[[#This Row],[AÑO3]]),5),"")</f>
        <v>1.38E-2</v>
      </c>
      <c r="V10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50665</v>
      </c>
      <c r="W10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53316</v>
      </c>
      <c r="X10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56106</v>
      </c>
      <c r="Y10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59041</v>
      </c>
      <c r="Z10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62130</v>
      </c>
      <c r="AA10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65381</v>
      </c>
      <c r="AB10" s="8">
        <f>lineal[[#This Row],[AÑO]]</f>
        <v>2005</v>
      </c>
      <c r="AC10" s="8">
        <f>lineal[[#This Row],[POBLACION]]</f>
        <v>48639</v>
      </c>
      <c r="AD10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1.02</v>
      </c>
      <c r="AE10" s="6">
        <f>IF(lineal[[#This Row],[i]]="","",ROUNDUP(lineal[[#This Row],[POBLACION4]]*((200+lineal[[#This Row],[i]]*($AE$8-lineal[[#This Row],[AÑO4]]))/(200-lineal[[#This Row],[i]]*($AE$8-lineal[[#This Row],[AÑO4]]))),0))</f>
        <v>59077</v>
      </c>
      <c r="AF10" s="6">
        <f>IF(lineal[[#This Row],[i]]="","",ROUNDUP(lineal[[#This Row],[POBLACION4]]*((200+lineal[[#This Row],[i]]*($AF$8-lineal[[#This Row],[AÑO4]]))/(200-lineal[[#This Row],[i]]*($AF$8-lineal[[#This Row],[AÑO4]]))),0))</f>
        <v>62207</v>
      </c>
      <c r="AG10" s="6">
        <f>IF(lineal[[#This Row],[i]]="","",ROUNDUP(lineal[[#This Row],[POBLACION4]]*((200+lineal[[#This Row],[i]]*($AG$8-lineal[[#This Row],[AÑO4]]))/(200-lineal[[#This Row],[i]]*($AG$8-lineal[[#This Row],[AÑO4]]))),0))</f>
        <v>65524</v>
      </c>
      <c r="AH10" s="6">
        <f>IF(lineal[[#This Row],[i]]="","",ROUNDUP(lineal[[#This Row],[POBLACION4]]*((200+lineal[[#This Row],[i]]*($AH$8-lineal[[#This Row],[AÑO4]]))/(200-lineal[[#This Row],[i]]*($AH$8-lineal[[#This Row],[AÑO4]]))),0))</f>
        <v>69046</v>
      </c>
      <c r="AI10" s="6">
        <f>IF(lineal[[#This Row],[i]]="","",ROUNDUP(lineal[[#This Row],[POBLACION4]]*((200+lineal[[#This Row],[i]]*($AI$8-lineal[[#This Row],[AÑO4]]))/(200-lineal[[#This Row],[i]]*($AI$8-lineal[[#This Row],[AÑO4]]))),0))</f>
        <v>72792</v>
      </c>
      <c r="AJ10" s="28">
        <f>IF(lineal[[#This Row],[i]]="","",ROUNDUP(lineal[[#This Row],[POBLACION4]]*((200+lineal[[#This Row],[i]]*($AJ$8-lineal[[#This Row],[AÑO4]]))/(200-lineal[[#This Row],[i]]*($AJ$8-lineal[[#This Row],[AÑO4]]))),0))</f>
        <v>76784</v>
      </c>
    </row>
    <row r="11" spans="1:36" x14ac:dyDescent="0.2">
      <c r="A11" s="2">
        <v>2006</v>
      </c>
      <c r="B11" s="3">
        <v>49315</v>
      </c>
      <c r="C11" s="5">
        <f>IF(lineal[[#This Row],[AÑO]]="","",IFERROR(ROUND((VLOOKUP(MAX(lineal[AÑO]),lineal[],2,FALSE)-lineal[[#This Row],[POBLACION]])/(MAX(lineal[AÑO])-lineal[[#This Row],[AÑO]]),2),""))</f>
        <v>526.07000000000005</v>
      </c>
      <c r="D11" s="4">
        <f>IF(lineal[[#This Row],[K]]="","",ROUNDUP((lineal[[#This Row],[K]]*($D$8-MAX(lineal[AÑO]))+(VLOOKUP(MAX(lineal[AÑO]),lineal[],2,FALSE))),0))</f>
        <v>58785</v>
      </c>
      <c r="E11" s="4">
        <f>IF(lineal[[#This Row],[K]]="","",ROUNDUP((lineal[[#This Row],[K]]*($E$8-MAX(lineal[AÑO]))+(VLOOKUP(MAX(lineal[AÑO]),lineal[],2,FALSE))),0))</f>
        <v>61415</v>
      </c>
      <c r="F11" s="4">
        <f>IF(lineal[[#This Row],[K]]="","",ROUNDUP((lineal[[#This Row],[K]]*($F$8-MAX(lineal[AÑO]))+(VLOOKUP(MAX(lineal[AÑO]),lineal[],2,FALSE))),0))</f>
        <v>64045</v>
      </c>
      <c r="G11" s="4">
        <f>IF(lineal[[#This Row],[K]]="","",ROUNDUP((lineal[[#This Row],[K]]*($G$8-MAX(lineal[AÑO]))+(VLOOKUP(MAX(lineal[AÑO]),lineal[],2,FALSE))),0))</f>
        <v>66676</v>
      </c>
      <c r="H11" s="4">
        <f>IF(lineal[[#This Row],[K]]="","",ROUNDUP((lineal[[#This Row],[K]]*($H$8-MAX(lineal[AÑO]))+(VLOOKUP(MAX(lineal[AÑO]),lineal[],2,FALSE))),0))</f>
        <v>69306</v>
      </c>
      <c r="I11" s="4">
        <f>IF(lineal[[#This Row],[K]]="","",ROUNDUP((lineal[[#This Row],[K]]*($I$8-MAX(lineal[AÑO]))+(VLOOKUP(MAX(lineal[AÑO]),lineal[],2,FALSE))),0))</f>
        <v>71937</v>
      </c>
      <c r="J11" s="19">
        <f>lineal[[#This Row],[AÑO]]</f>
        <v>2006</v>
      </c>
      <c r="K11" s="3">
        <f>lineal[[#This Row],[POBLACION]]</f>
        <v>49315</v>
      </c>
      <c r="L11" s="7">
        <f>IFERROR(ROUND((((VLOOKUP(MAX(lineal[AÑO2]),lineal[[AÑO2]:[POBLACION2]],2,FALSE))/lineal[[#This Row],[POBLACION2]])^(1/(MAX(lineal[AÑO2])-lineal[[#This Row],[AÑO2]])))-1,5),"")</f>
        <v>9.9900000000000006E-3</v>
      </c>
      <c r="M11" s="6">
        <f>IF(lineal[[#This Row],[r]]="","",ROUNDUP((VLOOKUP(MAX(lineal[AÑO]),lineal[],2,FALSE)*(1+lineal[[#This Row],[r]])^($M$8-MAX(lineal[AÑO2]))),0))</f>
        <v>58980</v>
      </c>
      <c r="N11" s="6">
        <f>IF(lineal[[#This Row],[r]]="","",ROUNDUP((VLOOKUP(MAX(lineal[AÑO]),lineal[],2,FALSE)*(1+lineal[[#This Row],[r]])^($N$8-MAX(lineal[AÑO2]))),0))</f>
        <v>61985</v>
      </c>
      <c r="O11" s="6">
        <f>IF(lineal[[#This Row],[r]]="","",ROUNDUP((VLOOKUP(MAX(lineal[AÑO]),lineal[],2,FALSE)*(1+lineal[[#This Row],[r]])^($O$8-MAX(lineal[AÑO2]))),0))</f>
        <v>65144</v>
      </c>
      <c r="P11" s="6">
        <f>IF(lineal[[#This Row],[r]]="","",ROUNDUP((VLOOKUP(MAX(lineal[AÑO]),lineal[],2,FALSE)*(1+lineal[[#This Row],[r]])^($P$8-MAX(lineal[AÑO2]))),0))</f>
        <v>68463</v>
      </c>
      <c r="Q11" s="6">
        <f>IF(lineal[[#This Row],[r]]="","",ROUNDUP((VLOOKUP(MAX(lineal[AÑO]),lineal[],2,FALSE)*(1+lineal[[#This Row],[r]])^($Q$8-MAX(lineal[AÑO2]))),0))</f>
        <v>71952</v>
      </c>
      <c r="R11" s="6">
        <f>IF(lineal[[#This Row],[r]]="","",ROUNDUP((VLOOKUP(MAX(lineal[AÑO]),lineal[],2,FALSE)*(1+lineal[[#This Row],[r]])^($R$8-MAX(lineal[AÑO2]))),0))</f>
        <v>75618</v>
      </c>
      <c r="S11" s="19">
        <f>lineal[[#This Row],[AÑO]]</f>
        <v>2006</v>
      </c>
      <c r="T11" s="3">
        <f>lineal[[#This Row],[POBLACION]]</f>
        <v>49315</v>
      </c>
      <c r="U11" s="7">
        <f>IFERROR(ROUND((LN(T12)-LN(lineal[[#This Row],[POBLACION3]]))/(S12-lineal[[#This Row],[AÑO3]]),5),"")</f>
        <v>1.269E-2</v>
      </c>
      <c r="V11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51369</v>
      </c>
      <c r="W11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54057</v>
      </c>
      <c r="X11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56885</v>
      </c>
      <c r="Y11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59862</v>
      </c>
      <c r="Z11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62994</v>
      </c>
      <c r="AA11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66290</v>
      </c>
      <c r="AB11" s="8">
        <f>lineal[[#This Row],[AÑO]]</f>
        <v>2006</v>
      </c>
      <c r="AC11" s="8">
        <f>lineal[[#This Row],[POBLACION]]</f>
        <v>49315</v>
      </c>
      <c r="AD11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0.99</v>
      </c>
      <c r="AE11" s="6">
        <f>IF(lineal[[#This Row],[i]]="","",ROUNDUP(lineal[[#This Row],[POBLACION4]]*((200+lineal[[#This Row],[i]]*($AE$8-lineal[[#This Row],[AÑO4]]))/(200-lineal[[#This Row],[i]]*($AE$8-lineal[[#This Row],[AÑO4]]))),0))</f>
        <v>58963</v>
      </c>
      <c r="AF11" s="6">
        <f>IF(lineal[[#This Row],[i]]="","",ROUNDUP(lineal[[#This Row],[POBLACION4]]*((200+lineal[[#This Row],[i]]*($AF$8-lineal[[#This Row],[AÑO4]]))/(200-lineal[[#This Row],[i]]*($AF$8-lineal[[#This Row],[AÑO4]]))),0))</f>
        <v>61987</v>
      </c>
      <c r="AG11" s="6">
        <f>IF(lineal[[#This Row],[i]]="","",ROUNDUP(lineal[[#This Row],[POBLACION4]]*((200+lineal[[#This Row],[i]]*($AG$8-lineal[[#This Row],[AÑO4]]))/(200-lineal[[#This Row],[i]]*($AG$8-lineal[[#This Row],[AÑO4]]))),0))</f>
        <v>65185</v>
      </c>
      <c r="AH11" s="6">
        <f>IF(lineal[[#This Row],[i]]="","",ROUNDUP(lineal[[#This Row],[POBLACION4]]*((200+lineal[[#This Row],[i]]*($AH$8-lineal[[#This Row],[AÑO4]]))/(200-lineal[[#This Row],[i]]*($AH$8-lineal[[#This Row],[AÑO4]]))),0))</f>
        <v>68572</v>
      </c>
      <c r="AI11" s="6">
        <f>IF(lineal[[#This Row],[i]]="","",ROUNDUP(lineal[[#This Row],[POBLACION4]]*((200+lineal[[#This Row],[i]]*($AI$8-lineal[[#This Row],[AÑO4]]))/(200-lineal[[#This Row],[i]]*($AI$8-lineal[[#This Row],[AÑO4]]))),0))</f>
        <v>72166</v>
      </c>
      <c r="AJ11" s="28">
        <f>IF(lineal[[#This Row],[i]]="","",ROUNDUP(lineal[[#This Row],[POBLACION4]]*((200+lineal[[#This Row],[i]]*($AJ$8-lineal[[#This Row],[AÑO4]]))/(200-lineal[[#This Row],[i]]*($AJ$8-lineal[[#This Row],[AÑO4]]))),0))</f>
        <v>75986</v>
      </c>
    </row>
    <row r="12" spans="1:36" x14ac:dyDescent="0.2">
      <c r="A12" s="2">
        <v>2007</v>
      </c>
      <c r="B12" s="3">
        <v>49945</v>
      </c>
      <c r="C12" s="5">
        <f>IF(lineal[[#This Row],[AÑO]]="","",IFERROR(ROUND((VLOOKUP(MAX(lineal[AÑO]),lineal[],2,FALSE)-lineal[[#This Row],[POBLACION]])/(MAX(lineal[AÑO])-lineal[[#This Row],[AÑO]]),2),""))</f>
        <v>518.08000000000004</v>
      </c>
      <c r="D12" s="4">
        <f>IF(lineal[[#This Row],[K]]="","",ROUNDUP((lineal[[#This Row],[K]]*($D$8-MAX(lineal[AÑO]))+(VLOOKUP(MAX(lineal[AÑO]),lineal[],2,FALSE))),0))</f>
        <v>58753</v>
      </c>
      <c r="E12" s="4">
        <f>IF(lineal[[#This Row],[K]]="","",ROUNDUP((lineal[[#This Row],[K]]*($E$8-MAX(lineal[AÑO]))+(VLOOKUP(MAX(lineal[AÑO]),lineal[],2,FALSE))),0))</f>
        <v>61343</v>
      </c>
      <c r="F12" s="4">
        <f>IF(lineal[[#This Row],[K]]="","",ROUNDUP((lineal[[#This Row],[K]]*($F$8-MAX(lineal[AÑO]))+(VLOOKUP(MAX(lineal[AÑO]),lineal[],2,FALSE))),0))</f>
        <v>63934</v>
      </c>
      <c r="G12" s="4">
        <f>IF(lineal[[#This Row],[K]]="","",ROUNDUP((lineal[[#This Row],[K]]*($G$8-MAX(lineal[AÑO]))+(VLOOKUP(MAX(lineal[AÑO]),lineal[],2,FALSE))),0))</f>
        <v>66524</v>
      </c>
      <c r="H12" s="4">
        <f>IF(lineal[[#This Row],[K]]="","",ROUNDUP((lineal[[#This Row],[K]]*($H$8-MAX(lineal[AÑO]))+(VLOOKUP(MAX(lineal[AÑO]),lineal[],2,FALSE))),0))</f>
        <v>69114</v>
      </c>
      <c r="I12" s="4">
        <f>IF(lineal[[#This Row],[K]]="","",ROUNDUP((lineal[[#This Row],[K]]*($I$8-MAX(lineal[AÑO]))+(VLOOKUP(MAX(lineal[AÑO]),lineal[],2,FALSE))),0))</f>
        <v>71705</v>
      </c>
      <c r="J12" s="19">
        <f>lineal[[#This Row],[AÑO]]</f>
        <v>2007</v>
      </c>
      <c r="K12" s="3">
        <f>lineal[[#This Row],[POBLACION]]</f>
        <v>49945</v>
      </c>
      <c r="L12" s="7">
        <f>IFERROR(ROUND((((VLOOKUP(MAX(lineal[AÑO2]),lineal[[AÑO2]:[POBLACION2]],2,FALSE))/lineal[[#This Row],[POBLACION2]])^(1/(MAX(lineal[AÑO2])-lineal[[#This Row],[AÑO2]])))-1,5),"")</f>
        <v>9.7800000000000005E-3</v>
      </c>
      <c r="M12" s="6">
        <f>IF(lineal[[#This Row],[r]]="","",ROUNDUP((VLOOKUP(MAX(lineal[AÑO]),lineal[],2,FALSE)*(1+lineal[[#This Row],[r]])^($M$8-MAX(lineal[AÑO2]))),0))</f>
        <v>58931</v>
      </c>
      <c r="N12" s="6">
        <f>IF(lineal[[#This Row],[r]]="","",ROUNDUP((VLOOKUP(MAX(lineal[AÑO]),lineal[],2,FALSE)*(1+lineal[[#This Row],[r]])^($N$8-MAX(lineal[AÑO2]))),0))</f>
        <v>61869</v>
      </c>
      <c r="O12" s="6">
        <f>IF(lineal[[#This Row],[r]]="","",ROUNDUP((VLOOKUP(MAX(lineal[AÑO]),lineal[],2,FALSE)*(1+lineal[[#This Row],[r]])^($O$8-MAX(lineal[AÑO2]))),0))</f>
        <v>64954</v>
      </c>
      <c r="P12" s="6">
        <f>IF(lineal[[#This Row],[r]]="","",ROUNDUP((VLOOKUP(MAX(lineal[AÑO]),lineal[],2,FALSE)*(1+lineal[[#This Row],[r]])^($P$8-MAX(lineal[AÑO2]))),0))</f>
        <v>68193</v>
      </c>
      <c r="Q12" s="6">
        <f>IF(lineal[[#This Row],[r]]="","",ROUNDUP((VLOOKUP(MAX(lineal[AÑO]),lineal[],2,FALSE)*(1+lineal[[#This Row],[r]])^($Q$8-MAX(lineal[AÑO2]))),0))</f>
        <v>71594</v>
      </c>
      <c r="R12" s="6">
        <f>IF(lineal[[#This Row],[r]]="","",ROUNDUP((VLOOKUP(MAX(lineal[AÑO]),lineal[],2,FALSE)*(1+lineal[[#This Row],[r]])^($R$8-MAX(lineal[AÑO2]))),0))</f>
        <v>75164</v>
      </c>
      <c r="S12" s="19">
        <f>lineal[[#This Row],[AÑO]]</f>
        <v>2007</v>
      </c>
      <c r="T12" s="3">
        <f>lineal[[#This Row],[POBLACION]]</f>
        <v>49945</v>
      </c>
      <c r="U12" s="7">
        <f>IFERROR(ROUND((LN(T13)-LN(lineal[[#This Row],[POBLACION3]]))/(S13-lineal[[#This Row],[AÑO3]]),5),"")</f>
        <v>1.2120000000000001E-2</v>
      </c>
      <c r="V12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52025</v>
      </c>
      <c r="W12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54747</v>
      </c>
      <c r="X12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57612</v>
      </c>
      <c r="Y12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60626</v>
      </c>
      <c r="Z12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63799</v>
      </c>
      <c r="AA12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67137</v>
      </c>
      <c r="AB12" s="8">
        <f>lineal[[#This Row],[AÑO]]</f>
        <v>2007</v>
      </c>
      <c r="AC12" s="8">
        <f>lineal[[#This Row],[POBLACION]]</f>
        <v>49945</v>
      </c>
      <c r="AD12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0.97</v>
      </c>
      <c r="AE12" s="6">
        <f>IF(lineal[[#This Row],[i]]="","",ROUNDUP(lineal[[#This Row],[POBLACION4]]*((200+lineal[[#This Row],[i]]*($AE$8-lineal[[#This Row],[AÑO4]]))/(200-lineal[[#This Row],[i]]*($AE$8-lineal[[#This Row],[AÑO4]]))),0))</f>
        <v>58922</v>
      </c>
      <c r="AF12" s="6">
        <f>IF(lineal[[#This Row],[i]]="","",ROUNDUP(lineal[[#This Row],[POBLACION4]]*((200+lineal[[#This Row],[i]]*($AF$8-lineal[[#This Row],[AÑO4]]))/(200-lineal[[#This Row],[i]]*($AF$8-lineal[[#This Row],[AÑO4]]))),0))</f>
        <v>61877</v>
      </c>
      <c r="AG12" s="6">
        <f>IF(lineal[[#This Row],[i]]="","",ROUNDUP(lineal[[#This Row],[POBLACION4]]*((200+lineal[[#This Row],[i]]*($AG$8-lineal[[#This Row],[AÑO4]]))/(200-lineal[[#This Row],[i]]*($AG$8-lineal[[#This Row],[AÑO4]]))),0))</f>
        <v>64997</v>
      </c>
      <c r="AH12" s="6">
        <f>IF(lineal[[#This Row],[i]]="","",ROUNDUP(lineal[[#This Row],[POBLACION4]]*((200+lineal[[#This Row],[i]]*($AH$8-lineal[[#This Row],[AÑO4]]))/(200-lineal[[#This Row],[i]]*($AH$8-lineal[[#This Row],[AÑO4]]))),0))</f>
        <v>68297</v>
      </c>
      <c r="AI12" s="6">
        <f>IF(lineal[[#This Row],[i]]="","",ROUNDUP(lineal[[#This Row],[POBLACION4]]*((200+lineal[[#This Row],[i]]*($AI$8-lineal[[#This Row],[AÑO4]]))/(200-lineal[[#This Row],[i]]*($AI$8-lineal[[#This Row],[AÑO4]]))),0))</f>
        <v>71791</v>
      </c>
      <c r="AJ12" s="28">
        <f>IF(lineal[[#This Row],[i]]="","",ROUNDUP(lineal[[#This Row],[POBLACION4]]*((200+lineal[[#This Row],[i]]*($AJ$8-lineal[[#This Row],[AÑO4]]))/(200-lineal[[#This Row],[i]]*($AJ$8-lineal[[#This Row],[AÑO4]]))),0))</f>
        <v>75498</v>
      </c>
    </row>
    <row r="13" spans="1:36" x14ac:dyDescent="0.2">
      <c r="A13" s="2">
        <v>2008</v>
      </c>
      <c r="B13" s="3">
        <v>50554</v>
      </c>
      <c r="C13" s="5">
        <f>IF(lineal[[#This Row],[AÑO]]="","",IFERROR(ROUND((VLOOKUP(MAX(lineal[AÑO]),lineal[],2,FALSE)-lineal[[#This Row],[POBLACION]])/(MAX(lineal[AÑO])-lineal[[#This Row],[AÑO]]),2),""))</f>
        <v>510.5</v>
      </c>
      <c r="D13" s="4">
        <f>IF(lineal[[#This Row],[K]]="","",ROUNDUP((lineal[[#This Row],[K]]*($D$8-MAX(lineal[AÑO]))+(VLOOKUP(MAX(lineal[AÑO]),lineal[],2,FALSE))),0))</f>
        <v>58722</v>
      </c>
      <c r="E13" s="4">
        <f>IF(lineal[[#This Row],[K]]="","",ROUNDUP((lineal[[#This Row],[K]]*($E$8-MAX(lineal[AÑO]))+(VLOOKUP(MAX(lineal[AÑO]),lineal[],2,FALSE))),0))</f>
        <v>61275</v>
      </c>
      <c r="F13" s="4">
        <f>IF(lineal[[#This Row],[K]]="","",ROUNDUP((lineal[[#This Row],[K]]*($F$8-MAX(lineal[AÑO]))+(VLOOKUP(MAX(lineal[AÑO]),lineal[],2,FALSE))),0))</f>
        <v>63827</v>
      </c>
      <c r="G13" s="4">
        <f>IF(lineal[[#This Row],[K]]="","",ROUNDUP((lineal[[#This Row],[K]]*($G$8-MAX(lineal[AÑO]))+(VLOOKUP(MAX(lineal[AÑO]),lineal[],2,FALSE))),0))</f>
        <v>66380</v>
      </c>
      <c r="H13" s="4">
        <f>IF(lineal[[#This Row],[K]]="","",ROUNDUP((lineal[[#This Row],[K]]*($H$8-MAX(lineal[AÑO]))+(VLOOKUP(MAX(lineal[AÑO]),lineal[],2,FALSE))),0))</f>
        <v>68932</v>
      </c>
      <c r="I13" s="4">
        <f>IF(lineal[[#This Row],[K]]="","",ROUNDUP((lineal[[#This Row],[K]]*($I$8-MAX(lineal[AÑO]))+(VLOOKUP(MAX(lineal[AÑO]),lineal[],2,FALSE))),0))</f>
        <v>71485</v>
      </c>
      <c r="J13" s="19">
        <f>lineal[[#This Row],[AÑO]]</f>
        <v>2008</v>
      </c>
      <c r="K13" s="3">
        <f>lineal[[#This Row],[POBLACION]]</f>
        <v>50554</v>
      </c>
      <c r="L13" s="7">
        <f>IFERROR(ROUND((((VLOOKUP(MAX(lineal[AÑO2]),lineal[[AÑO2]:[POBLACION2]],2,FALSE))/lineal[[#This Row],[POBLACION2]])^(1/(MAX(lineal[AÑO2])-lineal[[#This Row],[AÑO2]])))-1,5),"")</f>
        <v>9.58E-3</v>
      </c>
      <c r="M13" s="6">
        <f>IF(lineal[[#This Row],[r]]="","",ROUNDUP((VLOOKUP(MAX(lineal[AÑO]),lineal[],2,FALSE)*(1+lineal[[#This Row],[r]])^($M$8-MAX(lineal[AÑO2]))),0))</f>
        <v>58884</v>
      </c>
      <c r="N13" s="6">
        <f>IF(lineal[[#This Row],[r]]="","",ROUNDUP((VLOOKUP(MAX(lineal[AÑO]),lineal[],2,FALSE)*(1+lineal[[#This Row],[r]])^($N$8-MAX(lineal[AÑO2]))),0))</f>
        <v>61759</v>
      </c>
      <c r="O13" s="6">
        <f>IF(lineal[[#This Row],[r]]="","",ROUNDUP((VLOOKUP(MAX(lineal[AÑO]),lineal[],2,FALSE)*(1+lineal[[#This Row],[r]])^($O$8-MAX(lineal[AÑO2]))),0))</f>
        <v>64774</v>
      </c>
      <c r="P13" s="6">
        <f>IF(lineal[[#This Row],[r]]="","",ROUNDUP((VLOOKUP(MAX(lineal[AÑO]),lineal[],2,FALSE)*(1+lineal[[#This Row],[r]])^($P$8-MAX(lineal[AÑO2]))),0))</f>
        <v>67937</v>
      </c>
      <c r="Q13" s="6">
        <f>IF(lineal[[#This Row],[r]]="","",ROUNDUP((VLOOKUP(MAX(lineal[AÑO]),lineal[],2,FALSE)*(1+lineal[[#This Row],[r]])^($Q$8-MAX(lineal[AÑO2]))),0))</f>
        <v>71254</v>
      </c>
      <c r="R13" s="6">
        <f>IF(lineal[[#This Row],[r]]="","",ROUNDUP((VLOOKUP(MAX(lineal[AÑO]),lineal[],2,FALSE)*(1+lineal[[#This Row],[r]])^($R$8-MAX(lineal[AÑO2]))),0))</f>
        <v>74733</v>
      </c>
      <c r="S13" s="19">
        <f>lineal[[#This Row],[AÑO]]</f>
        <v>2008</v>
      </c>
      <c r="T13" s="3">
        <f>lineal[[#This Row],[POBLACION]]</f>
        <v>50554</v>
      </c>
      <c r="U13" s="7">
        <f>IFERROR(ROUND((LN(T14)-LN(lineal[[#This Row],[POBLACION3]]))/(S14-lineal[[#This Row],[AÑO3]]),5),"")</f>
        <v>1.1780000000000001E-2</v>
      </c>
      <c r="V13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52660</v>
      </c>
      <c r="W13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55415</v>
      </c>
      <c r="X13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58314</v>
      </c>
      <c r="Y13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61366</v>
      </c>
      <c r="Z13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64576</v>
      </c>
      <c r="AA13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67955</v>
      </c>
      <c r="AB13" s="8">
        <f>lineal[[#This Row],[AÑO]]</f>
        <v>2008</v>
      </c>
      <c r="AC13" s="8">
        <f>lineal[[#This Row],[POBLACION]]</f>
        <v>50554</v>
      </c>
      <c r="AD13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0.95</v>
      </c>
      <c r="AE13" s="6">
        <f>IF(lineal[[#This Row],[i]]="","",ROUNDUP(lineal[[#This Row],[POBLACION4]]*((200+lineal[[#This Row],[i]]*($AE$8-lineal[[#This Row],[AÑO4]]))/(200-lineal[[#This Row],[i]]*($AE$8-lineal[[#This Row],[AÑO4]]))),0))</f>
        <v>58871</v>
      </c>
      <c r="AF13" s="6">
        <f>IF(lineal[[#This Row],[i]]="","",ROUNDUP(lineal[[#This Row],[POBLACION4]]*((200+lineal[[#This Row],[i]]*($AF$8-lineal[[#This Row],[AÑO4]]))/(200-lineal[[#This Row],[i]]*($AF$8-lineal[[#This Row],[AÑO4]]))),0))</f>
        <v>61758</v>
      </c>
      <c r="AG13" s="6">
        <f>IF(lineal[[#This Row],[i]]="","",ROUNDUP(lineal[[#This Row],[POBLACION4]]*((200+lineal[[#This Row],[i]]*($AG$8-lineal[[#This Row],[AÑO4]]))/(200-lineal[[#This Row],[i]]*($AG$8-lineal[[#This Row],[AÑO4]]))),0))</f>
        <v>64801</v>
      </c>
      <c r="AH13" s="6">
        <f>IF(lineal[[#This Row],[i]]="","",ROUNDUP(lineal[[#This Row],[POBLACION4]]*((200+lineal[[#This Row],[i]]*($AH$8-lineal[[#This Row],[AÑO4]]))/(200-lineal[[#This Row],[i]]*($AH$8-lineal[[#This Row],[AÑO4]]))),0))</f>
        <v>68013</v>
      </c>
      <c r="AI13" s="6">
        <f>IF(lineal[[#This Row],[i]]="","",ROUNDUP(lineal[[#This Row],[POBLACION4]]*((200+lineal[[#This Row],[i]]*($AI$8-lineal[[#This Row],[AÑO4]]))/(200-lineal[[#This Row],[i]]*($AI$8-lineal[[#This Row],[AÑO4]]))),0))</f>
        <v>71410</v>
      </c>
      <c r="AJ13" s="28">
        <f>IF(lineal[[#This Row],[i]]="","",ROUNDUP(lineal[[#This Row],[POBLACION4]]*((200+lineal[[#This Row],[i]]*($AJ$8-lineal[[#This Row],[AÑO4]]))/(200-lineal[[#This Row],[i]]*($AJ$8-lineal[[#This Row],[AÑO4]]))),0))</f>
        <v>75008</v>
      </c>
    </row>
    <row r="14" spans="1:36" x14ac:dyDescent="0.2">
      <c r="A14" s="2">
        <v>2009</v>
      </c>
      <c r="B14" s="3">
        <v>51153</v>
      </c>
      <c r="C14" s="5">
        <f>IF(lineal[[#This Row],[AÑO]]="","",IFERROR(ROUND((VLOOKUP(MAX(lineal[AÑO]),lineal[],2,FALSE)-lineal[[#This Row],[POBLACION]])/(MAX(lineal[AÑO])-lineal[[#This Row],[AÑO]]),2),""))</f>
        <v>502.45</v>
      </c>
      <c r="D14" s="4">
        <f>IF(lineal[[#This Row],[K]]="","",ROUNDUP((lineal[[#This Row],[K]]*($D$8-MAX(lineal[AÑO]))+(VLOOKUP(MAX(lineal[AÑO]),lineal[],2,FALSE))),0))</f>
        <v>58690</v>
      </c>
      <c r="E14" s="4">
        <f>IF(lineal[[#This Row],[K]]="","",ROUNDUP((lineal[[#This Row],[K]]*($E$8-MAX(lineal[AÑO]))+(VLOOKUP(MAX(lineal[AÑO]),lineal[],2,FALSE))),0))</f>
        <v>61203</v>
      </c>
      <c r="F14" s="4">
        <f>IF(lineal[[#This Row],[K]]="","",ROUNDUP((lineal[[#This Row],[K]]*($F$8-MAX(lineal[AÑO]))+(VLOOKUP(MAX(lineal[AÑO]),lineal[],2,FALSE))),0))</f>
        <v>63715</v>
      </c>
      <c r="G14" s="4">
        <f>IF(lineal[[#This Row],[K]]="","",ROUNDUP((lineal[[#This Row],[K]]*($G$8-MAX(lineal[AÑO]))+(VLOOKUP(MAX(lineal[AÑO]),lineal[],2,FALSE))),0))</f>
        <v>66227</v>
      </c>
      <c r="H14" s="4">
        <f>IF(lineal[[#This Row],[K]]="","",ROUNDUP((lineal[[#This Row],[K]]*($H$8-MAX(lineal[AÑO]))+(VLOOKUP(MAX(lineal[AÑO]),lineal[],2,FALSE))),0))</f>
        <v>68739</v>
      </c>
      <c r="I14" s="4">
        <f>IF(lineal[[#This Row],[K]]="","",ROUNDUP((lineal[[#This Row],[K]]*($I$8-MAX(lineal[AÑO]))+(VLOOKUP(MAX(lineal[AÑO]),lineal[],2,FALSE))),0))</f>
        <v>71252</v>
      </c>
      <c r="J14" s="19">
        <f>lineal[[#This Row],[AÑO]]</f>
        <v>2009</v>
      </c>
      <c r="K14" s="3">
        <f>lineal[[#This Row],[POBLACION]]</f>
        <v>51153</v>
      </c>
      <c r="L14" s="7">
        <f>IFERROR(ROUND((((VLOOKUP(MAX(lineal[AÑO2]),lineal[[AÑO2]:[POBLACION2]],2,FALSE))/lineal[[#This Row],[POBLACION2]])^(1/(MAX(lineal[AÑO2])-lineal[[#This Row],[AÑO2]])))-1,5),"")</f>
        <v>9.3699999999999999E-3</v>
      </c>
      <c r="M14" s="6">
        <f>IF(lineal[[#This Row],[r]]="","",ROUNDUP((VLOOKUP(MAX(lineal[AÑO]),lineal[],2,FALSE)*(1+lineal[[#This Row],[r]])^($M$8-MAX(lineal[AÑO2]))),0))</f>
        <v>58835</v>
      </c>
      <c r="N14" s="6">
        <f>IF(lineal[[#This Row],[r]]="","",ROUNDUP((VLOOKUP(MAX(lineal[AÑO]),lineal[],2,FALSE)*(1+lineal[[#This Row],[r]])^($N$8-MAX(lineal[AÑO2]))),0))</f>
        <v>61643</v>
      </c>
      <c r="O14" s="6">
        <f>IF(lineal[[#This Row],[r]]="","",ROUNDUP((VLOOKUP(MAX(lineal[AÑO]),lineal[],2,FALSE)*(1+lineal[[#This Row],[r]])^($O$8-MAX(lineal[AÑO2]))),0))</f>
        <v>64586</v>
      </c>
      <c r="P14" s="6">
        <f>IF(lineal[[#This Row],[r]]="","",ROUNDUP((VLOOKUP(MAX(lineal[AÑO]),lineal[],2,FALSE)*(1+lineal[[#This Row],[r]])^($P$8-MAX(lineal[AÑO2]))),0))</f>
        <v>67669</v>
      </c>
      <c r="Q14" s="6">
        <f>IF(lineal[[#This Row],[r]]="","",ROUNDUP((VLOOKUP(MAX(lineal[AÑO]),lineal[],2,FALSE)*(1+lineal[[#This Row],[r]])^($Q$8-MAX(lineal[AÑO2]))),0))</f>
        <v>70899</v>
      </c>
      <c r="R14" s="6">
        <f>IF(lineal[[#This Row],[r]]="","",ROUNDUP((VLOOKUP(MAX(lineal[AÑO]),lineal[],2,FALSE)*(1+lineal[[#This Row],[r]])^($R$8-MAX(lineal[AÑO2]))),0))</f>
        <v>74284</v>
      </c>
      <c r="S14" s="19">
        <f>lineal[[#This Row],[AÑO]]</f>
        <v>2009</v>
      </c>
      <c r="T14" s="3">
        <f>lineal[[#This Row],[POBLACION]]</f>
        <v>51153</v>
      </c>
      <c r="U14" s="7">
        <f>IFERROR(ROUND((LN(T15)-LN(lineal[[#This Row],[POBLACION3]]))/(S15-lineal[[#This Row],[AÑO3]]),5),"")</f>
        <v>1.116E-2</v>
      </c>
      <c r="V14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53284</v>
      </c>
      <c r="W14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56072</v>
      </c>
      <c r="X14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59005</v>
      </c>
      <c r="Y14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62093</v>
      </c>
      <c r="Z14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65342</v>
      </c>
      <c r="AA14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68760</v>
      </c>
      <c r="AB14" s="8">
        <f>lineal[[#This Row],[AÑO]]</f>
        <v>2009</v>
      </c>
      <c r="AC14" s="8">
        <f>lineal[[#This Row],[POBLACION]]</f>
        <v>51153</v>
      </c>
      <c r="AD14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0.93</v>
      </c>
      <c r="AE14" s="6">
        <f>IF(lineal[[#This Row],[i]]="","",ROUNDUP(lineal[[#This Row],[POBLACION4]]*((200+lineal[[#This Row],[i]]*($AE$8-lineal[[#This Row],[AÑO4]]))/(200-lineal[[#This Row],[i]]*($AE$8-lineal[[#This Row],[AÑO4]]))),0))</f>
        <v>58824</v>
      </c>
      <c r="AF14" s="6">
        <f>IF(lineal[[#This Row],[i]]="","",ROUNDUP(lineal[[#This Row],[POBLACION4]]*((200+lineal[[#This Row],[i]]*($AF$8-lineal[[#This Row],[AÑO4]]))/(200-lineal[[#This Row],[i]]*($AF$8-lineal[[#This Row],[AÑO4]]))),0))</f>
        <v>61644</v>
      </c>
      <c r="AG14" s="6">
        <f>IF(lineal[[#This Row],[i]]="","",ROUNDUP(lineal[[#This Row],[POBLACION4]]*((200+lineal[[#This Row],[i]]*($AG$8-lineal[[#This Row],[AÑO4]]))/(200-lineal[[#This Row],[i]]*($AG$8-lineal[[#This Row],[AÑO4]]))),0))</f>
        <v>64611</v>
      </c>
      <c r="AH14" s="6">
        <f>IF(lineal[[#This Row],[i]]="","",ROUNDUP(lineal[[#This Row],[POBLACION4]]*((200+lineal[[#This Row],[i]]*($AH$8-lineal[[#This Row],[AÑO4]]))/(200-lineal[[#This Row],[i]]*($AH$8-lineal[[#This Row],[AÑO4]]))),0))</f>
        <v>67739</v>
      </c>
      <c r="AI14" s="6">
        <f>IF(lineal[[#This Row],[i]]="","",ROUNDUP(lineal[[#This Row],[POBLACION4]]*((200+lineal[[#This Row],[i]]*($AI$8-lineal[[#This Row],[AÑO4]]))/(200-lineal[[#This Row],[i]]*($AI$8-lineal[[#This Row],[AÑO4]]))),0))</f>
        <v>71040</v>
      </c>
      <c r="AJ14" s="28">
        <f>IF(lineal[[#This Row],[i]]="","",ROUNDUP(lineal[[#This Row],[POBLACION4]]*((200+lineal[[#This Row],[i]]*($AJ$8-lineal[[#This Row],[AÑO4]]))/(200-lineal[[#This Row],[i]]*($AJ$8-lineal[[#This Row],[AÑO4]]))),0))</f>
        <v>74531</v>
      </c>
    </row>
    <row r="15" spans="1:36" x14ac:dyDescent="0.2">
      <c r="A15" s="2">
        <v>2010</v>
      </c>
      <c r="B15" s="3">
        <v>51727</v>
      </c>
      <c r="C15" s="5">
        <f>IF(lineal[[#This Row],[AÑO]]="","",IFERROR(ROUND((VLOOKUP(MAX(lineal[AÑO]),lineal[],2,FALSE)-lineal[[#This Row],[POBLACION]])/(MAX(lineal[AÑO])-lineal[[#This Row],[AÑO]]),2),""))</f>
        <v>495.3</v>
      </c>
      <c r="D15" s="4">
        <f>IF(lineal[[#This Row],[K]]="","",ROUNDUP((lineal[[#This Row],[K]]*($D$8-MAX(lineal[AÑO]))+(VLOOKUP(MAX(lineal[AÑO]),lineal[],2,FALSE))),0))</f>
        <v>58662</v>
      </c>
      <c r="E15" s="4">
        <f>IF(lineal[[#This Row],[K]]="","",ROUNDUP((lineal[[#This Row],[K]]*($E$8-MAX(lineal[AÑO]))+(VLOOKUP(MAX(lineal[AÑO]),lineal[],2,FALSE))),0))</f>
        <v>61138</v>
      </c>
      <c r="F15" s="4">
        <f>IF(lineal[[#This Row],[K]]="","",ROUNDUP((lineal[[#This Row],[K]]*($F$8-MAX(lineal[AÑO]))+(VLOOKUP(MAX(lineal[AÑO]),lineal[],2,FALSE))),0))</f>
        <v>63615</v>
      </c>
      <c r="G15" s="4">
        <f>IF(lineal[[#This Row],[K]]="","",ROUNDUP((lineal[[#This Row],[K]]*($G$8-MAX(lineal[AÑO]))+(VLOOKUP(MAX(lineal[AÑO]),lineal[],2,FALSE))),0))</f>
        <v>66091</v>
      </c>
      <c r="H15" s="4">
        <f>IF(lineal[[#This Row],[K]]="","",ROUNDUP((lineal[[#This Row],[K]]*($H$8-MAX(lineal[AÑO]))+(VLOOKUP(MAX(lineal[AÑO]),lineal[],2,FALSE))),0))</f>
        <v>68568</v>
      </c>
      <c r="I15" s="4">
        <f>IF(lineal[[#This Row],[K]]="","",ROUNDUP((lineal[[#This Row],[K]]*($I$8-MAX(lineal[AÑO]))+(VLOOKUP(MAX(lineal[AÑO]),lineal[],2,FALSE))),0))</f>
        <v>71044</v>
      </c>
      <c r="J15" s="19">
        <f>lineal[[#This Row],[AÑO]]</f>
        <v>2010</v>
      </c>
      <c r="K15" s="3">
        <f>lineal[[#This Row],[POBLACION]]</f>
        <v>51727</v>
      </c>
      <c r="L15" s="7">
        <f>IFERROR(ROUND((((VLOOKUP(MAX(lineal[AÑO2]),lineal[[AÑO2]:[POBLACION2]],2,FALSE))/lineal[[#This Row],[POBLACION2]])^(1/(MAX(lineal[AÑO2])-lineal[[#This Row],[AÑO2]])))-1,5),"")</f>
        <v>9.1900000000000003E-3</v>
      </c>
      <c r="M15" s="6">
        <f>IF(lineal[[#This Row],[r]]="","",ROUNDUP((VLOOKUP(MAX(lineal[AÑO]),lineal[],2,FALSE)*(1+lineal[[#This Row],[r]])^($M$8-MAX(lineal[AÑO2]))),0))</f>
        <v>58793</v>
      </c>
      <c r="N15" s="6">
        <f>IF(lineal[[#This Row],[r]]="","",ROUNDUP((VLOOKUP(MAX(lineal[AÑO]),lineal[],2,FALSE)*(1+lineal[[#This Row],[r]])^($N$8-MAX(lineal[AÑO2]))),0))</f>
        <v>61545</v>
      </c>
      <c r="O15" s="6">
        <f>IF(lineal[[#This Row],[r]]="","",ROUNDUP((VLOOKUP(MAX(lineal[AÑO]),lineal[],2,FALSE)*(1+lineal[[#This Row],[r]])^($O$8-MAX(lineal[AÑO2]))),0))</f>
        <v>64425</v>
      </c>
      <c r="P15" s="6">
        <f>IF(lineal[[#This Row],[r]]="","",ROUNDUP((VLOOKUP(MAX(lineal[AÑO]),lineal[],2,FALSE)*(1+lineal[[#This Row],[r]])^($P$8-MAX(lineal[AÑO2]))),0))</f>
        <v>67440</v>
      </c>
      <c r="Q15" s="6">
        <f>IF(lineal[[#This Row],[r]]="","",ROUNDUP((VLOOKUP(MAX(lineal[AÑO]),lineal[],2,FALSE)*(1+lineal[[#This Row],[r]])^($Q$8-MAX(lineal[AÑO2]))),0))</f>
        <v>70597</v>
      </c>
      <c r="R15" s="6">
        <f>IF(lineal[[#This Row],[r]]="","",ROUNDUP((VLOOKUP(MAX(lineal[AÑO]),lineal[],2,FALSE)*(1+lineal[[#This Row],[r]])^($R$8-MAX(lineal[AÑO2]))),0))</f>
        <v>73901</v>
      </c>
      <c r="S15" s="19">
        <f>lineal[[#This Row],[AÑO]]</f>
        <v>2010</v>
      </c>
      <c r="T15" s="3">
        <f>lineal[[#This Row],[POBLACION]]</f>
        <v>51727</v>
      </c>
      <c r="U15" s="7">
        <f>IFERROR(ROUND((LN(T16)-LN(lineal[[#This Row],[POBLACION3]]))/(S16-lineal[[#This Row],[AÑO3]]),5),"")</f>
        <v>1.0919999999999999E-2</v>
      </c>
      <c r="V15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53882</v>
      </c>
      <c r="W15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56701</v>
      </c>
      <c r="X15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59668</v>
      </c>
      <c r="Y15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62789</v>
      </c>
      <c r="Z15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66075</v>
      </c>
      <c r="AA15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69532</v>
      </c>
      <c r="AB15" s="8">
        <f>lineal[[#This Row],[AÑO]]</f>
        <v>2010</v>
      </c>
      <c r="AC15" s="8">
        <f>lineal[[#This Row],[POBLACION]]</f>
        <v>51727</v>
      </c>
      <c r="AD15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0.91</v>
      </c>
      <c r="AE15" s="6">
        <f>IF(lineal[[#This Row],[i]]="","",ROUNDUP(lineal[[#This Row],[POBLACION4]]*((200+lineal[[#This Row],[i]]*($AE$8-lineal[[#This Row],[AÑO4]]))/(200-lineal[[#This Row],[i]]*($AE$8-lineal[[#This Row],[AÑO4]]))),0))</f>
        <v>58766</v>
      </c>
      <c r="AF15" s="6">
        <f>IF(lineal[[#This Row],[i]]="","",ROUNDUP(lineal[[#This Row],[POBLACION4]]*((200+lineal[[#This Row],[i]]*($AF$8-lineal[[#This Row],[AÑO4]]))/(200-lineal[[#This Row],[i]]*($AF$8-lineal[[#This Row],[AÑO4]]))),0))</f>
        <v>61517</v>
      </c>
      <c r="AG15" s="6">
        <f>IF(lineal[[#This Row],[i]]="","",ROUNDUP(lineal[[#This Row],[POBLACION4]]*((200+lineal[[#This Row],[i]]*($AG$8-lineal[[#This Row],[AÑO4]]))/(200-lineal[[#This Row],[i]]*($AG$8-lineal[[#This Row],[AÑO4]]))),0))</f>
        <v>64410</v>
      </c>
      <c r="AH15" s="6">
        <f>IF(lineal[[#This Row],[i]]="","",ROUNDUP(lineal[[#This Row],[POBLACION4]]*((200+lineal[[#This Row],[i]]*($AH$8-lineal[[#This Row],[AÑO4]]))/(200-lineal[[#This Row],[i]]*($AH$8-lineal[[#This Row],[AÑO4]]))),0))</f>
        <v>67453</v>
      </c>
      <c r="AI15" s="6">
        <f>IF(lineal[[#This Row],[i]]="","",ROUNDUP(lineal[[#This Row],[POBLACION4]]*((200+lineal[[#This Row],[i]]*($AI$8-lineal[[#This Row],[AÑO4]]))/(200-lineal[[#This Row],[i]]*($AI$8-lineal[[#This Row],[AÑO4]]))),0))</f>
        <v>70661</v>
      </c>
      <c r="AJ15" s="28">
        <f>IF(lineal[[#This Row],[i]]="","",ROUNDUP(lineal[[#This Row],[POBLACION4]]*((200+lineal[[#This Row],[i]]*($AJ$8-lineal[[#This Row],[AÑO4]]))/(200-lineal[[#This Row],[i]]*($AJ$8-lineal[[#This Row],[AÑO4]]))),0))</f>
        <v>74046</v>
      </c>
    </row>
    <row r="16" spans="1:36" x14ac:dyDescent="0.2">
      <c r="A16" s="2">
        <v>2011</v>
      </c>
      <c r="B16" s="3">
        <v>52295</v>
      </c>
      <c r="C16" s="5">
        <f>IF(lineal[[#This Row],[AÑO]]="","",IFERROR(ROUND((VLOOKUP(MAX(lineal[AÑO]),lineal[],2,FALSE)-lineal[[#This Row],[POBLACION]])/(MAX(lineal[AÑO])-lineal[[#This Row],[AÑO]]),2),""))</f>
        <v>487.22</v>
      </c>
      <c r="D16" s="4">
        <f>IF(lineal[[#This Row],[K]]="","",ROUNDUP((lineal[[#This Row],[K]]*($D$8-MAX(lineal[AÑO]))+(VLOOKUP(MAX(lineal[AÑO]),lineal[],2,FALSE))),0))</f>
        <v>58629</v>
      </c>
      <c r="E16" s="4">
        <f>IF(lineal[[#This Row],[K]]="","",ROUNDUP((lineal[[#This Row],[K]]*($E$8-MAX(lineal[AÑO]))+(VLOOKUP(MAX(lineal[AÑO]),lineal[],2,FALSE))),0))</f>
        <v>61065</v>
      </c>
      <c r="F16" s="4">
        <f>IF(lineal[[#This Row],[K]]="","",ROUNDUP((lineal[[#This Row],[K]]*($F$8-MAX(lineal[AÑO]))+(VLOOKUP(MAX(lineal[AÑO]),lineal[],2,FALSE))),0))</f>
        <v>63502</v>
      </c>
      <c r="G16" s="4">
        <f>IF(lineal[[#This Row],[K]]="","",ROUNDUP((lineal[[#This Row],[K]]*($G$8-MAX(lineal[AÑO]))+(VLOOKUP(MAX(lineal[AÑO]),lineal[],2,FALSE))),0))</f>
        <v>65938</v>
      </c>
      <c r="H16" s="4">
        <f>IF(lineal[[#This Row],[K]]="","",ROUNDUP((lineal[[#This Row],[K]]*($H$8-MAX(lineal[AÑO]))+(VLOOKUP(MAX(lineal[AÑO]),lineal[],2,FALSE))),0))</f>
        <v>68374</v>
      </c>
      <c r="I16" s="4">
        <f>IF(lineal[[#This Row],[K]]="","",ROUNDUP((lineal[[#This Row],[K]]*($I$8-MAX(lineal[AÑO]))+(VLOOKUP(MAX(lineal[AÑO]),lineal[],2,FALSE))),0))</f>
        <v>70810</v>
      </c>
      <c r="J16" s="19">
        <f>lineal[[#This Row],[AÑO]]</f>
        <v>2011</v>
      </c>
      <c r="K16" s="3">
        <f>lineal[[#This Row],[POBLACION]]</f>
        <v>52295</v>
      </c>
      <c r="L16" s="7">
        <f>IFERROR(ROUND((((VLOOKUP(MAX(lineal[AÑO2]),lineal[[AÑO2]:[POBLACION2]],2,FALSE))/lineal[[#This Row],[POBLACION2]])^(1/(MAX(lineal[AÑO2])-lineal[[#This Row],[AÑO2]])))-1,5),"")</f>
        <v>8.9899999999999997E-3</v>
      </c>
      <c r="M16" s="6">
        <f>IF(lineal[[#This Row],[r]]="","",ROUNDUP((VLOOKUP(MAX(lineal[AÑO]),lineal[],2,FALSE)*(1+lineal[[#This Row],[r]])^($M$8-MAX(lineal[AÑO2]))),0))</f>
        <v>58746</v>
      </c>
      <c r="N16" s="6">
        <f>IF(lineal[[#This Row],[r]]="","",ROUNDUP((VLOOKUP(MAX(lineal[AÑO]),lineal[],2,FALSE)*(1+lineal[[#This Row],[r]])^($N$8-MAX(lineal[AÑO2]))),0))</f>
        <v>61435</v>
      </c>
      <c r="O16" s="6">
        <f>IF(lineal[[#This Row],[r]]="","",ROUNDUP((VLOOKUP(MAX(lineal[AÑO]),lineal[],2,FALSE)*(1+lineal[[#This Row],[r]])^($O$8-MAX(lineal[AÑO2]))),0))</f>
        <v>64246</v>
      </c>
      <c r="P16" s="6">
        <f>IF(lineal[[#This Row],[r]]="","",ROUNDUP((VLOOKUP(MAX(lineal[AÑO]),lineal[],2,FALSE)*(1+lineal[[#This Row],[r]])^($P$8-MAX(lineal[AÑO2]))),0))</f>
        <v>67187</v>
      </c>
      <c r="Q16" s="6">
        <f>IF(lineal[[#This Row],[r]]="","",ROUNDUP((VLOOKUP(MAX(lineal[AÑO]),lineal[],2,FALSE)*(1+lineal[[#This Row],[r]])^($Q$8-MAX(lineal[AÑO2]))),0))</f>
        <v>70262</v>
      </c>
      <c r="R16" s="6">
        <f>IF(lineal[[#This Row],[r]]="","",ROUNDUP((VLOOKUP(MAX(lineal[AÑO]),lineal[],2,FALSE)*(1+lineal[[#This Row],[r]])^($R$8-MAX(lineal[AÑO2]))),0))</f>
        <v>73477</v>
      </c>
      <c r="S16" s="19">
        <f>lineal[[#This Row],[AÑO]]</f>
        <v>2011</v>
      </c>
      <c r="T16" s="3">
        <f>lineal[[#This Row],[POBLACION]]</f>
        <v>52295</v>
      </c>
      <c r="U16" s="7">
        <f>IFERROR(ROUND((LN(T17)-LN(lineal[[#This Row],[POBLACION3]]))/(S17-lineal[[#This Row],[AÑO3]]),5),"")</f>
        <v>1.052E-2</v>
      </c>
      <c r="V16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54473</v>
      </c>
      <c r="W16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57323</v>
      </c>
      <c r="X16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60323</v>
      </c>
      <c r="Y16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63479</v>
      </c>
      <c r="Z16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66800</v>
      </c>
      <c r="AA16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70296</v>
      </c>
      <c r="AB16" s="8">
        <f>lineal[[#This Row],[AÑO]]</f>
        <v>2011</v>
      </c>
      <c r="AC16" s="8">
        <f>lineal[[#This Row],[POBLACION]]</f>
        <v>52295</v>
      </c>
      <c r="AD16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0.89</v>
      </c>
      <c r="AE16" s="6">
        <f>IF(lineal[[#This Row],[i]]="","",ROUNDUP(lineal[[#This Row],[POBLACION4]]*((200+lineal[[#This Row],[i]]*($AE$8-lineal[[#This Row],[AÑO4]]))/(200-lineal[[#This Row],[i]]*($AE$8-lineal[[#This Row],[AÑO4]]))),0))</f>
        <v>58718</v>
      </c>
      <c r="AF16" s="6">
        <f>IF(lineal[[#This Row],[i]]="","",ROUNDUP(lineal[[#This Row],[POBLACION4]]*((200+lineal[[#This Row],[i]]*($AF$8-lineal[[#This Row],[AÑO4]]))/(200-lineal[[#This Row],[i]]*($AF$8-lineal[[#This Row],[AÑO4]]))),0))</f>
        <v>61403</v>
      </c>
      <c r="AG16" s="6">
        <f>IF(lineal[[#This Row],[i]]="","",ROUNDUP(lineal[[#This Row],[POBLACION4]]*((200+lineal[[#This Row],[i]]*($AG$8-lineal[[#This Row],[AÑO4]]))/(200-lineal[[#This Row],[i]]*($AG$8-lineal[[#This Row],[AÑO4]]))),0))</f>
        <v>64221</v>
      </c>
      <c r="AH16" s="6">
        <f>IF(lineal[[#This Row],[i]]="","",ROUNDUP(lineal[[#This Row],[POBLACION4]]*((200+lineal[[#This Row],[i]]*($AH$8-lineal[[#This Row],[AÑO4]]))/(200-lineal[[#This Row],[i]]*($AH$8-lineal[[#This Row],[AÑO4]]))),0))</f>
        <v>67182</v>
      </c>
      <c r="AI16" s="6">
        <f>IF(lineal[[#This Row],[i]]="","",ROUNDUP(lineal[[#This Row],[POBLACION4]]*((200+lineal[[#This Row],[i]]*($AI$8-lineal[[#This Row],[AÑO4]]))/(200-lineal[[#This Row],[i]]*($AI$8-lineal[[#This Row],[AÑO4]]))),0))</f>
        <v>70298</v>
      </c>
      <c r="AJ16" s="28">
        <f>IF(lineal[[#This Row],[i]]="","",ROUNDUP(lineal[[#This Row],[POBLACION4]]*((200+lineal[[#This Row],[i]]*($AJ$8-lineal[[#This Row],[AÑO4]]))/(200-lineal[[#This Row],[i]]*($AJ$8-lineal[[#This Row],[AÑO4]]))),0))</f>
        <v>73581</v>
      </c>
    </row>
    <row r="17" spans="1:36" x14ac:dyDescent="0.2">
      <c r="A17" s="2">
        <v>2012</v>
      </c>
      <c r="B17" s="3">
        <v>52848</v>
      </c>
      <c r="C17" s="5">
        <f>IF(lineal[[#This Row],[AÑO]]="","",IFERROR(ROUND((VLOOKUP(MAX(lineal[AÑO]),lineal[],2,FALSE)-lineal[[#This Row],[POBLACION]])/(MAX(lineal[AÑO])-lineal[[#This Row],[AÑO]]),2),""))</f>
        <v>479</v>
      </c>
      <c r="D17" s="4">
        <f>IF(lineal[[#This Row],[K]]="","",ROUNDUP((lineal[[#This Row],[K]]*($D$8-MAX(lineal[AÑO]))+(VLOOKUP(MAX(lineal[AÑO]),lineal[],2,FALSE))),0))</f>
        <v>58596</v>
      </c>
      <c r="E17" s="4">
        <f>IF(lineal[[#This Row],[K]]="","",ROUNDUP((lineal[[#This Row],[K]]*($E$8-MAX(lineal[AÑO]))+(VLOOKUP(MAX(lineal[AÑO]),lineal[],2,FALSE))),0))</f>
        <v>60991</v>
      </c>
      <c r="F17" s="4">
        <f>IF(lineal[[#This Row],[K]]="","",ROUNDUP((lineal[[#This Row],[K]]*($F$8-MAX(lineal[AÑO]))+(VLOOKUP(MAX(lineal[AÑO]),lineal[],2,FALSE))),0))</f>
        <v>63386</v>
      </c>
      <c r="G17" s="4">
        <f>IF(lineal[[#This Row],[K]]="","",ROUNDUP((lineal[[#This Row],[K]]*($G$8-MAX(lineal[AÑO]))+(VLOOKUP(MAX(lineal[AÑO]),lineal[],2,FALSE))),0))</f>
        <v>65781</v>
      </c>
      <c r="H17" s="4">
        <f>IF(lineal[[#This Row],[K]]="","",ROUNDUP((lineal[[#This Row],[K]]*($H$8-MAX(lineal[AÑO]))+(VLOOKUP(MAX(lineal[AÑO]),lineal[],2,FALSE))),0))</f>
        <v>68176</v>
      </c>
      <c r="I17" s="4">
        <f>IF(lineal[[#This Row],[K]]="","",ROUNDUP((lineal[[#This Row],[K]]*($I$8-MAX(lineal[AÑO]))+(VLOOKUP(MAX(lineal[AÑO]),lineal[],2,FALSE))),0))</f>
        <v>70571</v>
      </c>
      <c r="J17" s="19">
        <f>lineal[[#This Row],[AÑO]]</f>
        <v>2012</v>
      </c>
      <c r="K17" s="3">
        <f>lineal[[#This Row],[POBLACION]]</f>
        <v>52848</v>
      </c>
      <c r="L17" s="7">
        <f>IFERROR(ROUND((((VLOOKUP(MAX(lineal[AÑO2]),lineal[[AÑO2]:[POBLACION2]],2,FALSE))/lineal[[#This Row],[POBLACION2]])^(1/(MAX(lineal[AÑO2])-lineal[[#This Row],[AÑO2]])))-1,5),"")</f>
        <v>8.7899999999999992E-3</v>
      </c>
      <c r="M17" s="6">
        <f>IF(lineal[[#This Row],[r]]="","",ROUNDUP((VLOOKUP(MAX(lineal[AÑO]),lineal[],2,FALSE)*(1+lineal[[#This Row],[r]])^($M$8-MAX(lineal[AÑO2]))),0))</f>
        <v>58700</v>
      </c>
      <c r="N17" s="6">
        <f>IF(lineal[[#This Row],[r]]="","",ROUNDUP((VLOOKUP(MAX(lineal[AÑO]),lineal[],2,FALSE)*(1+lineal[[#This Row],[r]])^($N$8-MAX(lineal[AÑO2]))),0))</f>
        <v>61325</v>
      </c>
      <c r="O17" s="6">
        <f>IF(lineal[[#This Row],[r]]="","",ROUNDUP((VLOOKUP(MAX(lineal[AÑO]),lineal[],2,FALSE)*(1+lineal[[#This Row],[r]])^($O$8-MAX(lineal[AÑO2]))),0))</f>
        <v>64068</v>
      </c>
      <c r="P17" s="6">
        <f>IF(lineal[[#This Row],[r]]="","",ROUNDUP((VLOOKUP(MAX(lineal[AÑO]),lineal[],2,FALSE)*(1+lineal[[#This Row],[r]])^($P$8-MAX(lineal[AÑO2]))),0))</f>
        <v>66934</v>
      </c>
      <c r="Q17" s="6">
        <f>IF(lineal[[#This Row],[r]]="","",ROUNDUP((VLOOKUP(MAX(lineal[AÑO]),lineal[],2,FALSE)*(1+lineal[[#This Row],[r]])^($Q$8-MAX(lineal[AÑO2]))),0))</f>
        <v>69928</v>
      </c>
      <c r="R17" s="6">
        <f>IF(lineal[[#This Row],[r]]="","",ROUNDUP((VLOOKUP(MAX(lineal[AÑO]),lineal[],2,FALSE)*(1+lineal[[#This Row],[r]])^($R$8-MAX(lineal[AÑO2]))),0))</f>
        <v>73056</v>
      </c>
      <c r="S17" s="19">
        <f>lineal[[#This Row],[AÑO]]</f>
        <v>2012</v>
      </c>
      <c r="T17" s="3">
        <f>lineal[[#This Row],[POBLACION]]</f>
        <v>52848</v>
      </c>
      <c r="U17" s="7">
        <f>IFERROR(ROUND((LN(T18)-LN(lineal[[#This Row],[POBLACION3]]))/(S18-lineal[[#This Row],[AÑO3]]),5),"")</f>
        <v>1.0019999999999999E-2</v>
      </c>
      <c r="V17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55049</v>
      </c>
      <c r="W17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57930</v>
      </c>
      <c r="X17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60961</v>
      </c>
      <c r="Y17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64150</v>
      </c>
      <c r="Z17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67507</v>
      </c>
      <c r="AA17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71039</v>
      </c>
      <c r="AB17" s="8">
        <f>lineal[[#This Row],[AÑO]]</f>
        <v>2012</v>
      </c>
      <c r="AC17" s="8">
        <f>lineal[[#This Row],[POBLACION]]</f>
        <v>52848</v>
      </c>
      <c r="AD17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0.87</v>
      </c>
      <c r="AE17" s="6">
        <f>IF(lineal[[#This Row],[i]]="","",ROUNDUP(lineal[[#This Row],[POBLACION4]]*((200+lineal[[#This Row],[i]]*($AE$8-lineal[[#This Row],[AÑO4]]))/(200-lineal[[#This Row],[i]]*($AE$8-lineal[[#This Row],[AÑO4]]))),0))</f>
        <v>58670</v>
      </c>
      <c r="AF17" s="6">
        <f>IF(lineal[[#This Row],[i]]="","",ROUNDUP(lineal[[#This Row],[POBLACION4]]*((200+lineal[[#This Row],[i]]*($AF$8-lineal[[#This Row],[AÑO4]]))/(200-lineal[[#This Row],[i]]*($AF$8-lineal[[#This Row],[AÑO4]]))),0))</f>
        <v>61289</v>
      </c>
      <c r="AG17" s="6">
        <f>IF(lineal[[#This Row],[i]]="","",ROUNDUP(lineal[[#This Row],[POBLACION4]]*((200+lineal[[#This Row],[i]]*($AG$8-lineal[[#This Row],[AÑO4]]))/(200-lineal[[#This Row],[i]]*($AG$8-lineal[[#This Row],[AÑO4]]))),0))</f>
        <v>64034</v>
      </c>
      <c r="AH17" s="6">
        <f>IF(lineal[[#This Row],[i]]="","",ROUNDUP(lineal[[#This Row],[POBLACION4]]*((200+lineal[[#This Row],[i]]*($AH$8-lineal[[#This Row],[AÑO4]]))/(200-lineal[[#This Row],[i]]*($AH$8-lineal[[#This Row],[AÑO4]]))),0))</f>
        <v>66915</v>
      </c>
      <c r="AI17" s="6">
        <f>IF(lineal[[#This Row],[i]]="","",ROUNDUP(lineal[[#This Row],[POBLACION4]]*((200+lineal[[#This Row],[i]]*($AI$8-lineal[[#This Row],[AÑO4]]))/(200-lineal[[#This Row],[i]]*($AI$8-lineal[[#This Row],[AÑO4]]))),0))</f>
        <v>69941</v>
      </c>
      <c r="AJ17" s="28">
        <f>IF(lineal[[#This Row],[i]]="","",ROUNDUP(lineal[[#This Row],[POBLACION4]]*((200+lineal[[#This Row],[i]]*($AJ$8-lineal[[#This Row],[AÑO4]]))/(200-lineal[[#This Row],[i]]*($AJ$8-lineal[[#This Row],[AÑO4]]))),0))</f>
        <v>73124</v>
      </c>
    </row>
    <row r="18" spans="1:36" x14ac:dyDescent="0.2">
      <c r="A18" s="2">
        <v>2013</v>
      </c>
      <c r="B18" s="42">
        <v>53380</v>
      </c>
      <c r="C18" s="5">
        <f>IF(lineal[[#This Row],[AÑO]]="","",IFERROR(ROUND((VLOOKUP(MAX(lineal[AÑO]),lineal[],2,FALSE)-lineal[[#This Row],[POBLACION]])/(MAX(lineal[AÑO])-lineal[[#This Row],[AÑO]]),2),""))</f>
        <v>471.43</v>
      </c>
      <c r="D18" s="4">
        <f>IF(lineal[[#This Row],[K]]="","",ROUNDUP((lineal[[#This Row],[K]]*($D$8-MAX(lineal[AÑO]))+(VLOOKUP(MAX(lineal[AÑO]),lineal[],2,FALSE))),0))</f>
        <v>58566</v>
      </c>
      <c r="E18" s="4">
        <f>IF(lineal[[#This Row],[K]]="","",ROUNDUP((lineal[[#This Row],[K]]*($E$8-MAX(lineal[AÑO]))+(VLOOKUP(MAX(lineal[AÑO]),lineal[],2,FALSE))),0))</f>
        <v>60923</v>
      </c>
      <c r="F18" s="4">
        <f>IF(lineal[[#This Row],[K]]="","",ROUNDUP((lineal[[#This Row],[K]]*($F$8-MAX(lineal[AÑO]))+(VLOOKUP(MAX(lineal[AÑO]),lineal[],2,FALSE))),0))</f>
        <v>63281</v>
      </c>
      <c r="G18" s="4">
        <f>IF(lineal[[#This Row],[K]]="","",ROUNDUP((lineal[[#This Row],[K]]*($G$8-MAX(lineal[AÑO]))+(VLOOKUP(MAX(lineal[AÑO]),lineal[],2,FALSE))),0))</f>
        <v>65638</v>
      </c>
      <c r="H18" s="4">
        <f>IF(lineal[[#This Row],[K]]="","",ROUNDUP((lineal[[#This Row],[K]]*($H$8-MAX(lineal[AÑO]))+(VLOOKUP(MAX(lineal[AÑO]),lineal[],2,FALSE))),0))</f>
        <v>67995</v>
      </c>
      <c r="I18" s="4">
        <f>IF(lineal[[#This Row],[K]]="","",ROUNDUP((lineal[[#This Row],[K]]*($I$8-MAX(lineal[AÑO]))+(VLOOKUP(MAX(lineal[AÑO]),lineal[],2,FALSE))),0))</f>
        <v>70352</v>
      </c>
      <c r="J18" s="19">
        <f>lineal[[#This Row],[AÑO]]</f>
        <v>2013</v>
      </c>
      <c r="K18" s="3">
        <f>lineal[[#This Row],[POBLACION]]</f>
        <v>53380</v>
      </c>
      <c r="L18" s="7">
        <f>IFERROR(ROUND((((VLOOKUP(MAX(lineal[AÑO2]),lineal[[AÑO2]:[POBLACION2]],2,FALSE))/lineal[[#This Row],[POBLACION2]])^(1/(MAX(lineal[AÑO2])-lineal[[#This Row],[AÑO2]])))-1,5),"")</f>
        <v>8.6099999999999996E-3</v>
      </c>
      <c r="M18" s="6">
        <f>IF(lineal[[#This Row],[r]]="","",ROUNDUP((VLOOKUP(MAX(lineal[AÑO]),lineal[],2,FALSE)*(1+lineal[[#This Row],[r]])^($M$8-MAX(lineal[AÑO2]))),0))</f>
        <v>58658</v>
      </c>
      <c r="N18" s="6">
        <f>IF(lineal[[#This Row],[r]]="","",ROUNDUP((VLOOKUP(MAX(lineal[AÑO]),lineal[],2,FALSE)*(1+lineal[[#This Row],[r]])^($N$8-MAX(lineal[AÑO2]))),0))</f>
        <v>61227</v>
      </c>
      <c r="O18" s="6">
        <f>IF(lineal[[#This Row],[r]]="","",ROUNDUP((VLOOKUP(MAX(lineal[AÑO]),lineal[],2,FALSE)*(1+lineal[[#This Row],[r]])^($O$8-MAX(lineal[AÑO2]))),0))</f>
        <v>63909</v>
      </c>
      <c r="P18" s="6">
        <f>IF(lineal[[#This Row],[r]]="","",ROUNDUP((VLOOKUP(MAX(lineal[AÑO]),lineal[],2,FALSE)*(1+lineal[[#This Row],[r]])^($P$8-MAX(lineal[AÑO2]))),0))</f>
        <v>66708</v>
      </c>
      <c r="Q18" s="6">
        <f>IF(lineal[[#This Row],[r]]="","",ROUNDUP((VLOOKUP(MAX(lineal[AÑO]),lineal[],2,FALSE)*(1+lineal[[#This Row],[r]])^($Q$8-MAX(lineal[AÑO2]))),0))</f>
        <v>69629</v>
      </c>
      <c r="R18" s="6">
        <f>IF(lineal[[#This Row],[r]]="","",ROUNDUP((VLOOKUP(MAX(lineal[AÑO]),lineal[],2,FALSE)*(1+lineal[[#This Row],[r]])^($R$8-MAX(lineal[AÑO2]))),0))</f>
        <v>72679</v>
      </c>
      <c r="S18" s="19">
        <f>lineal[[#This Row],[AÑO]]</f>
        <v>2013</v>
      </c>
      <c r="T18" s="3">
        <f>lineal[[#This Row],[POBLACION]]</f>
        <v>53380</v>
      </c>
      <c r="U18" s="7">
        <f>IFERROR(ROUND((LN(T19)-LN(lineal[[#This Row],[POBLACION3]]))/(S19-lineal[[#This Row],[AÑO3]]),5),"")</f>
        <v>9.6399999999999993E-3</v>
      </c>
      <c r="V18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55603</v>
      </c>
      <c r="W18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58513</v>
      </c>
      <c r="X18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61574</v>
      </c>
      <c r="Y18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64796</v>
      </c>
      <c r="Z18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68186</v>
      </c>
      <c r="AA18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71754</v>
      </c>
      <c r="AB18" s="8">
        <f>lineal[[#This Row],[AÑO]]</f>
        <v>2013</v>
      </c>
      <c r="AC18" s="8">
        <f>lineal[[#This Row],[POBLACION]]</f>
        <v>53380</v>
      </c>
      <c r="AD18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0.86</v>
      </c>
      <c r="AE18" s="6">
        <f>IF(lineal[[#This Row],[i]]="","",ROUNDUP(lineal[[#This Row],[POBLACION4]]*((200+lineal[[#This Row],[i]]*($AE$8-lineal[[#This Row],[AÑO4]]))/(200-lineal[[#This Row],[i]]*($AE$8-lineal[[#This Row],[AÑO4]]))),0))</f>
        <v>58681</v>
      </c>
      <c r="AF18" s="6">
        <f>IF(lineal[[#This Row],[i]]="","",ROUNDUP(lineal[[#This Row],[POBLACION4]]*((200+lineal[[#This Row],[i]]*($AF$8-lineal[[#This Row],[AÑO4]]))/(200-lineal[[#This Row],[i]]*($AF$8-lineal[[#This Row],[AÑO4]]))),0))</f>
        <v>61268</v>
      </c>
      <c r="AG18" s="6">
        <f>IF(lineal[[#This Row],[i]]="","",ROUNDUP(lineal[[#This Row],[POBLACION4]]*((200+lineal[[#This Row],[i]]*($AG$8-lineal[[#This Row],[AÑO4]]))/(200-lineal[[#This Row],[i]]*($AG$8-lineal[[#This Row],[AÑO4]]))),0))</f>
        <v>63978</v>
      </c>
      <c r="AH18" s="6">
        <f>IF(lineal[[#This Row],[i]]="","",ROUNDUP(lineal[[#This Row],[POBLACION4]]*((200+lineal[[#This Row],[i]]*($AH$8-lineal[[#This Row],[AÑO4]]))/(200-lineal[[#This Row],[i]]*($AH$8-lineal[[#This Row],[AÑO4]]))),0))</f>
        <v>66819</v>
      </c>
      <c r="AI18" s="6">
        <f>IF(lineal[[#This Row],[i]]="","",ROUNDUP(lineal[[#This Row],[POBLACION4]]*((200+lineal[[#This Row],[i]]*($AI$8-lineal[[#This Row],[AÑO4]]))/(200-lineal[[#This Row],[i]]*($AI$8-lineal[[#This Row],[AÑO4]]))),0))</f>
        <v>69800</v>
      </c>
      <c r="AJ18" s="28">
        <f>IF(lineal[[#This Row],[i]]="","",ROUNDUP(lineal[[#This Row],[POBLACION4]]*((200+lineal[[#This Row],[i]]*($AJ$8-lineal[[#This Row],[AÑO4]]))/(200-lineal[[#This Row],[i]]*($AJ$8-lineal[[#This Row],[AÑO4]]))),0))</f>
        <v>72934</v>
      </c>
    </row>
    <row r="19" spans="1:36" x14ac:dyDescent="0.2">
      <c r="A19" s="2">
        <v>2014</v>
      </c>
      <c r="B19" s="42">
        <v>53897</v>
      </c>
      <c r="C19" s="5">
        <f>IF(lineal[[#This Row],[AÑO]]="","",IFERROR(ROUND((VLOOKUP(MAX(lineal[AÑO]),lineal[],2,FALSE)-lineal[[#This Row],[POBLACION]])/(MAX(lineal[AÑO])-lineal[[#This Row],[AÑO]]),2),""))</f>
        <v>463.83</v>
      </c>
      <c r="D19" s="4">
        <f>IF(lineal[[#This Row],[K]]="","",ROUNDUP((lineal[[#This Row],[K]]*($D$8-MAX(lineal[AÑO]))+(VLOOKUP(MAX(lineal[AÑO]),lineal[],2,FALSE))),0))</f>
        <v>58536</v>
      </c>
      <c r="E19" s="4">
        <f>IF(lineal[[#This Row],[K]]="","",ROUNDUP((lineal[[#This Row],[K]]*($E$8-MAX(lineal[AÑO]))+(VLOOKUP(MAX(lineal[AÑO]),lineal[],2,FALSE))),0))</f>
        <v>60855</v>
      </c>
      <c r="F19" s="4">
        <f>IF(lineal[[#This Row],[K]]="","",ROUNDUP((lineal[[#This Row],[K]]*($F$8-MAX(lineal[AÑO]))+(VLOOKUP(MAX(lineal[AÑO]),lineal[],2,FALSE))),0))</f>
        <v>63174</v>
      </c>
      <c r="G19" s="4">
        <f>IF(lineal[[#This Row],[K]]="","",ROUNDUP((lineal[[#This Row],[K]]*($G$8-MAX(lineal[AÑO]))+(VLOOKUP(MAX(lineal[AÑO]),lineal[],2,FALSE))),0))</f>
        <v>65493</v>
      </c>
      <c r="H19" s="4">
        <f>IF(lineal[[#This Row],[K]]="","",ROUNDUP((lineal[[#This Row],[K]]*($H$8-MAX(lineal[AÑO]))+(VLOOKUP(MAX(lineal[AÑO]),lineal[],2,FALSE))),0))</f>
        <v>67812</v>
      </c>
      <c r="I19" s="4">
        <f>IF(lineal[[#This Row],[K]]="","",ROUNDUP((lineal[[#This Row],[K]]*($I$8-MAX(lineal[AÑO]))+(VLOOKUP(MAX(lineal[AÑO]),lineal[],2,FALSE))),0))</f>
        <v>70132</v>
      </c>
      <c r="J19" s="19">
        <f>lineal[[#This Row],[AÑO]]</f>
        <v>2014</v>
      </c>
      <c r="K19" s="3">
        <f>lineal[[#This Row],[POBLACION]]</f>
        <v>53897</v>
      </c>
      <c r="L19" s="7">
        <f>IFERROR(ROUND((((VLOOKUP(MAX(lineal[AÑO2]),lineal[[AÑO2]:[POBLACION2]],2,FALSE))/lineal[[#This Row],[POBLACION2]])^(1/(MAX(lineal[AÑO2])-lineal[[#This Row],[AÑO2]])))-1,5),"")</f>
        <v>8.43E-3</v>
      </c>
      <c r="M19" s="6">
        <f>IF(lineal[[#This Row],[r]]="","",ROUNDUP((VLOOKUP(MAX(lineal[AÑO]),lineal[],2,FALSE)*(1+lineal[[#This Row],[r]])^($M$8-MAX(lineal[AÑO2]))),0))</f>
        <v>58616</v>
      </c>
      <c r="N19" s="6">
        <f>IF(lineal[[#This Row],[r]]="","",ROUNDUP((VLOOKUP(MAX(lineal[AÑO]),lineal[],2,FALSE)*(1+lineal[[#This Row],[r]])^($N$8-MAX(lineal[AÑO2]))),0))</f>
        <v>61129</v>
      </c>
      <c r="O19" s="6">
        <f>IF(lineal[[#This Row],[r]]="","",ROUNDUP((VLOOKUP(MAX(lineal[AÑO]),lineal[],2,FALSE)*(1+lineal[[#This Row],[r]])^($O$8-MAX(lineal[AÑO2]))),0))</f>
        <v>63749</v>
      </c>
      <c r="P19" s="6">
        <f>IF(lineal[[#This Row],[r]]="","",ROUNDUP((VLOOKUP(MAX(lineal[AÑO]),lineal[],2,FALSE)*(1+lineal[[#This Row],[r]])^($P$8-MAX(lineal[AÑO2]))),0))</f>
        <v>66482</v>
      </c>
      <c r="Q19" s="6">
        <f>IF(lineal[[#This Row],[r]]="","",ROUNDUP((VLOOKUP(MAX(lineal[AÑO]),lineal[],2,FALSE)*(1+lineal[[#This Row],[r]])^($Q$8-MAX(lineal[AÑO2]))),0))</f>
        <v>69332</v>
      </c>
      <c r="R19" s="6">
        <f>IF(lineal[[#This Row],[r]]="","",ROUNDUP((VLOOKUP(MAX(lineal[AÑO]),lineal[],2,FALSE)*(1+lineal[[#This Row],[r]])^($R$8-MAX(lineal[AÑO2]))),0))</f>
        <v>72304</v>
      </c>
      <c r="S19" s="19">
        <f>lineal[[#This Row],[AÑO]]</f>
        <v>2014</v>
      </c>
      <c r="T19" s="3">
        <f>lineal[[#This Row],[POBLACION]]</f>
        <v>53897</v>
      </c>
      <c r="U19" s="7">
        <f>IFERROR(ROUND((LN(T20)-LN(lineal[[#This Row],[POBLACION3]]))/(S20-lineal[[#This Row],[AÑO3]]),5),"")</f>
        <v>9.3100000000000006E-3</v>
      </c>
      <c r="V19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56142</v>
      </c>
      <c r="W19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59079</v>
      </c>
      <c r="X19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62171</v>
      </c>
      <c r="Y19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65424</v>
      </c>
      <c r="Z19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68847</v>
      </c>
      <c r="AA19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72449</v>
      </c>
      <c r="AB19" s="8">
        <f>lineal[[#This Row],[AÑO]]</f>
        <v>2014</v>
      </c>
      <c r="AC19" s="8">
        <f>lineal[[#This Row],[POBLACION]]</f>
        <v>53897</v>
      </c>
      <c r="AD19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0.84</v>
      </c>
      <c r="AE19" s="6">
        <f>IF(lineal[[#This Row],[i]]="","",ROUNDUP(lineal[[#This Row],[POBLACION4]]*((200+lineal[[#This Row],[i]]*($AE$8-lineal[[#This Row],[AÑO4]]))/(200-lineal[[#This Row],[i]]*($AE$8-lineal[[#This Row],[AÑO4]]))),0))</f>
        <v>58623</v>
      </c>
      <c r="AF19" s="6">
        <f>IF(lineal[[#This Row],[i]]="","",ROUNDUP(lineal[[#This Row],[POBLACION4]]*((200+lineal[[#This Row],[i]]*($AF$8-lineal[[#This Row],[AÑO4]]))/(200-lineal[[#This Row],[i]]*($AF$8-lineal[[#This Row],[AÑO4]]))),0))</f>
        <v>61145</v>
      </c>
      <c r="AG19" s="6">
        <f>IF(lineal[[#This Row],[i]]="","",ROUNDUP(lineal[[#This Row],[POBLACION4]]*((200+lineal[[#This Row],[i]]*($AG$8-lineal[[#This Row],[AÑO4]]))/(200-lineal[[#This Row],[i]]*($AG$8-lineal[[#This Row],[AÑO4]]))),0))</f>
        <v>63783</v>
      </c>
      <c r="AH19" s="6">
        <f>IF(lineal[[#This Row],[i]]="","",ROUNDUP(lineal[[#This Row],[POBLACION4]]*((200+lineal[[#This Row],[i]]*($AH$8-lineal[[#This Row],[AÑO4]]))/(200-lineal[[#This Row],[i]]*($AH$8-lineal[[#This Row],[AÑO4]]))),0))</f>
        <v>66544</v>
      </c>
      <c r="AI19" s="6">
        <f>IF(lineal[[#This Row],[i]]="","",ROUNDUP(lineal[[#This Row],[POBLACION4]]*((200+lineal[[#This Row],[i]]*($AI$8-lineal[[#This Row],[AÑO4]]))/(200-lineal[[#This Row],[i]]*($AI$8-lineal[[#This Row],[AÑO4]]))),0))</f>
        <v>69438</v>
      </c>
      <c r="AJ19" s="28">
        <f>IF(lineal[[#This Row],[i]]="","",ROUNDUP(lineal[[#This Row],[POBLACION4]]*((200+lineal[[#This Row],[i]]*($AJ$8-lineal[[#This Row],[AÑO4]]))/(200-lineal[[#This Row],[i]]*($AJ$8-lineal[[#This Row],[AÑO4]]))),0))</f>
        <v>72474</v>
      </c>
    </row>
    <row r="20" spans="1:36" x14ac:dyDescent="0.2">
      <c r="A20" s="2">
        <v>2015</v>
      </c>
      <c r="B20" s="42">
        <v>54401</v>
      </c>
      <c r="C20" s="5">
        <f>IF(lineal[[#This Row],[AÑO]]="","",IFERROR(ROUND((VLOOKUP(MAX(lineal[AÑO]),lineal[],2,FALSE)-lineal[[#This Row],[POBLACION]])/(MAX(lineal[AÑO])-lineal[[#This Row],[AÑO]]),2),""))</f>
        <v>455.8</v>
      </c>
      <c r="D20" s="4">
        <f>IF(lineal[[#This Row],[K]]="","",ROUNDUP((lineal[[#This Row],[K]]*($D$8-MAX(lineal[AÑO]))+(VLOOKUP(MAX(lineal[AÑO]),lineal[],2,FALSE))),0))</f>
        <v>58504</v>
      </c>
      <c r="E20" s="4">
        <f>IF(lineal[[#This Row],[K]]="","",ROUNDUP((lineal[[#This Row],[K]]*($E$8-MAX(lineal[AÑO]))+(VLOOKUP(MAX(lineal[AÑO]),lineal[],2,FALSE))),0))</f>
        <v>60783</v>
      </c>
      <c r="F20" s="4">
        <f>IF(lineal[[#This Row],[K]]="","",ROUNDUP((lineal[[#This Row],[K]]*($F$8-MAX(lineal[AÑO]))+(VLOOKUP(MAX(lineal[AÑO]),lineal[],2,FALSE))),0))</f>
        <v>63062</v>
      </c>
      <c r="G20" s="4">
        <f>IF(lineal[[#This Row],[K]]="","",ROUNDUP((lineal[[#This Row],[K]]*($G$8-MAX(lineal[AÑO]))+(VLOOKUP(MAX(lineal[AÑO]),lineal[],2,FALSE))),0))</f>
        <v>65341</v>
      </c>
      <c r="H20" s="4">
        <f>IF(lineal[[#This Row],[K]]="","",ROUNDUP((lineal[[#This Row],[K]]*($H$8-MAX(lineal[AÑO]))+(VLOOKUP(MAX(lineal[AÑO]),lineal[],2,FALSE))),0))</f>
        <v>67620</v>
      </c>
      <c r="I20" s="4">
        <f>IF(lineal[[#This Row],[K]]="","",ROUNDUP((lineal[[#This Row],[K]]*($I$8-MAX(lineal[AÑO]))+(VLOOKUP(MAX(lineal[AÑO]),lineal[],2,FALSE))),0))</f>
        <v>69899</v>
      </c>
      <c r="J20" s="19">
        <f>lineal[[#This Row],[AÑO]]</f>
        <v>2015</v>
      </c>
      <c r="K20" s="3">
        <f>lineal[[#This Row],[POBLACION]]</f>
        <v>54401</v>
      </c>
      <c r="L20" s="7">
        <f>IFERROR(ROUND((((VLOOKUP(MAX(lineal[AÑO2]),lineal[[AÑO2]:[POBLACION2]],2,FALSE))/lineal[[#This Row],[POBLACION2]])^(1/(MAX(lineal[AÑO2])-lineal[[#This Row],[AÑO2]])))-1,5),"")</f>
        <v>8.2400000000000008E-3</v>
      </c>
      <c r="M20" s="6">
        <f>IF(lineal[[#This Row],[r]]="","",ROUNDUP((VLOOKUP(MAX(lineal[AÑO]),lineal[],2,FALSE)*(1+lineal[[#This Row],[r]])^($M$8-MAX(lineal[AÑO2]))),0))</f>
        <v>58572</v>
      </c>
      <c r="N20" s="6">
        <f>IF(lineal[[#This Row],[r]]="","",ROUNDUP((VLOOKUP(MAX(lineal[AÑO]),lineal[],2,FALSE)*(1+lineal[[#This Row],[r]])^($N$8-MAX(lineal[AÑO2]))),0))</f>
        <v>61025</v>
      </c>
      <c r="O20" s="6">
        <f>IF(lineal[[#This Row],[r]]="","",ROUNDUP((VLOOKUP(MAX(lineal[AÑO]),lineal[],2,FALSE)*(1+lineal[[#This Row],[r]])^($O$8-MAX(lineal[AÑO2]))),0))</f>
        <v>63581</v>
      </c>
      <c r="P20" s="6">
        <f>IF(lineal[[#This Row],[r]]="","",ROUNDUP((VLOOKUP(MAX(lineal[AÑO]),lineal[],2,FALSE)*(1+lineal[[#This Row],[r]])^($P$8-MAX(lineal[AÑO2]))),0))</f>
        <v>66244</v>
      </c>
      <c r="Q20" s="6">
        <f>IF(lineal[[#This Row],[r]]="","",ROUNDUP((VLOOKUP(MAX(lineal[AÑO]),lineal[],2,FALSE)*(1+lineal[[#This Row],[r]])^($Q$8-MAX(lineal[AÑO2]))),0))</f>
        <v>69019</v>
      </c>
      <c r="R20" s="6">
        <f>IF(lineal[[#This Row],[r]]="","",ROUNDUP((VLOOKUP(MAX(lineal[AÑO]),lineal[],2,FALSE)*(1+lineal[[#This Row],[r]])^($R$8-MAX(lineal[AÑO2]))),0))</f>
        <v>71910</v>
      </c>
      <c r="S20" s="19">
        <f>lineal[[#This Row],[AÑO]]</f>
        <v>2015</v>
      </c>
      <c r="T20" s="3">
        <f>lineal[[#This Row],[POBLACION]]</f>
        <v>54401</v>
      </c>
      <c r="U20" s="7">
        <f>IFERROR(ROUND((LN(T21)-LN(lineal[[#This Row],[POBLACION3]]))/(S21-lineal[[#This Row],[AÑO3]]),5),"")</f>
        <v>9.0200000000000002E-3</v>
      </c>
      <c r="V20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56667</v>
      </c>
      <c r="W20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59632</v>
      </c>
      <c r="X20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62752</v>
      </c>
      <c r="Y20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66035</v>
      </c>
      <c r="Z20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69490</v>
      </c>
      <c r="AA20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73126</v>
      </c>
      <c r="AB20" s="8">
        <f>lineal[[#This Row],[AÑO]]</f>
        <v>2015</v>
      </c>
      <c r="AC20" s="8">
        <f>lineal[[#This Row],[POBLACION]]</f>
        <v>54401</v>
      </c>
      <c r="AD20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0.82</v>
      </c>
      <c r="AE20" s="6">
        <f>IF(lineal[[#This Row],[i]]="","",ROUNDUP(lineal[[#This Row],[POBLACION4]]*((200+lineal[[#This Row],[i]]*($AE$8-lineal[[#This Row],[AÑO4]]))/(200-lineal[[#This Row],[i]]*($AE$8-lineal[[#This Row],[AÑO4]]))),0))</f>
        <v>58570</v>
      </c>
      <c r="AF20" s="6">
        <f>IF(lineal[[#This Row],[i]]="","",ROUNDUP(lineal[[#This Row],[POBLACION4]]*((200+lineal[[#This Row],[i]]*($AF$8-lineal[[#This Row],[AÑO4]]))/(200-lineal[[#This Row],[i]]*($AF$8-lineal[[#This Row],[AÑO4]]))),0))</f>
        <v>61027</v>
      </c>
      <c r="AG20" s="6">
        <f>IF(lineal[[#This Row],[i]]="","",ROUNDUP(lineal[[#This Row],[POBLACION4]]*((200+lineal[[#This Row],[i]]*($AG$8-lineal[[#This Row],[AÑO4]]))/(200-lineal[[#This Row],[i]]*($AG$8-lineal[[#This Row],[AÑO4]]))),0))</f>
        <v>63593</v>
      </c>
      <c r="AH20" s="6">
        <f>IF(lineal[[#This Row],[i]]="","",ROUNDUP(lineal[[#This Row],[POBLACION4]]*((200+lineal[[#This Row],[i]]*($AH$8-lineal[[#This Row],[AÑO4]]))/(200-lineal[[#This Row],[i]]*($AH$8-lineal[[#This Row],[AÑO4]]))),0))</f>
        <v>66276</v>
      </c>
      <c r="AI20" s="6">
        <f>IF(lineal[[#This Row],[i]]="","",ROUNDUP(lineal[[#This Row],[POBLACION4]]*((200+lineal[[#This Row],[i]]*($AI$8-lineal[[#This Row],[AÑO4]]))/(200-lineal[[#This Row],[i]]*($AI$8-lineal[[#This Row],[AÑO4]]))),0))</f>
        <v>69084</v>
      </c>
      <c r="AJ20" s="28">
        <f>IF(lineal[[#This Row],[i]]="","",ROUNDUP(lineal[[#This Row],[POBLACION4]]*((200+lineal[[#This Row],[i]]*($AJ$8-lineal[[#This Row],[AÑO4]]))/(200-lineal[[#This Row],[i]]*($AJ$8-lineal[[#This Row],[AÑO4]]))),0))</f>
        <v>72025</v>
      </c>
    </row>
    <row r="21" spans="1:36" x14ac:dyDescent="0.2">
      <c r="A21" s="2">
        <v>2016</v>
      </c>
      <c r="B21" s="42">
        <v>54894</v>
      </c>
      <c r="C21" s="5">
        <f>IF(lineal[[#This Row],[AÑO]]="","",IFERROR(ROUND((VLOOKUP(MAX(lineal[AÑO]),lineal[],2,FALSE)-lineal[[#This Row],[POBLACION]])/(MAX(lineal[AÑO])-lineal[[#This Row],[AÑO]]),2),""))</f>
        <v>446.5</v>
      </c>
      <c r="D21" s="4">
        <f>IF(lineal[[#This Row],[K]]="","",ROUNDUP((lineal[[#This Row],[K]]*($D$8-MAX(lineal[AÑO]))+(VLOOKUP(MAX(lineal[AÑO]),lineal[],2,FALSE))),0))</f>
        <v>58466</v>
      </c>
      <c r="E21" s="4">
        <f>IF(lineal[[#This Row],[K]]="","",ROUNDUP((lineal[[#This Row],[K]]*($E$8-MAX(lineal[AÑO]))+(VLOOKUP(MAX(lineal[AÑO]),lineal[],2,FALSE))),0))</f>
        <v>60699</v>
      </c>
      <c r="F21" s="4">
        <f>IF(lineal[[#This Row],[K]]="","",ROUNDUP((lineal[[#This Row],[K]]*($F$8-MAX(lineal[AÑO]))+(VLOOKUP(MAX(lineal[AÑO]),lineal[],2,FALSE))),0))</f>
        <v>62931</v>
      </c>
      <c r="G21" s="4">
        <f>IF(lineal[[#This Row],[K]]="","",ROUNDUP((lineal[[#This Row],[K]]*($G$8-MAX(lineal[AÑO]))+(VLOOKUP(MAX(lineal[AÑO]),lineal[],2,FALSE))),0))</f>
        <v>65164</v>
      </c>
      <c r="H21" s="4">
        <f>IF(lineal[[#This Row],[K]]="","",ROUNDUP((lineal[[#This Row],[K]]*($H$8-MAX(lineal[AÑO]))+(VLOOKUP(MAX(lineal[AÑO]),lineal[],2,FALSE))),0))</f>
        <v>67396</v>
      </c>
      <c r="I21" s="4">
        <f>IF(lineal[[#This Row],[K]]="","",ROUNDUP((lineal[[#This Row],[K]]*($I$8-MAX(lineal[AÑO]))+(VLOOKUP(MAX(lineal[AÑO]),lineal[],2,FALSE))),0))</f>
        <v>69629</v>
      </c>
      <c r="J21" s="19">
        <f>lineal[[#This Row],[AÑO]]</f>
        <v>2016</v>
      </c>
      <c r="K21" s="3">
        <f>lineal[[#This Row],[POBLACION]]</f>
        <v>54894</v>
      </c>
      <c r="L21" s="7">
        <f>IFERROR(ROUND((((VLOOKUP(MAX(lineal[AÑO2]),lineal[[AÑO2]:[POBLACION2]],2,FALSE))/lineal[[#This Row],[POBLACION2]])^(1/(MAX(lineal[AÑO2])-lineal[[#This Row],[AÑO2]])))-1,5),"")</f>
        <v>8.0400000000000003E-3</v>
      </c>
      <c r="M21" s="6">
        <f>IF(lineal[[#This Row],[r]]="","",ROUNDUP((VLOOKUP(MAX(lineal[AÑO]),lineal[],2,FALSE)*(1+lineal[[#This Row],[r]])^($M$8-MAX(lineal[AÑO2]))),0))</f>
        <v>58525</v>
      </c>
      <c r="N21" s="6">
        <f>IF(lineal[[#This Row],[r]]="","",ROUNDUP((VLOOKUP(MAX(lineal[AÑO]),lineal[],2,FALSE)*(1+lineal[[#This Row],[r]])^($N$8-MAX(lineal[AÑO2]))),0))</f>
        <v>60916</v>
      </c>
      <c r="O21" s="6">
        <f>IF(lineal[[#This Row],[r]]="","",ROUNDUP((VLOOKUP(MAX(lineal[AÑO]),lineal[],2,FALSE)*(1+lineal[[#This Row],[r]])^($O$8-MAX(lineal[AÑO2]))),0))</f>
        <v>63405</v>
      </c>
      <c r="P21" s="6">
        <f>IF(lineal[[#This Row],[r]]="","",ROUNDUP((VLOOKUP(MAX(lineal[AÑO]),lineal[],2,FALSE)*(1+lineal[[#This Row],[r]])^($P$8-MAX(lineal[AÑO2]))),0))</f>
        <v>65995</v>
      </c>
      <c r="Q21" s="6">
        <f>IF(lineal[[#This Row],[r]]="","",ROUNDUP((VLOOKUP(MAX(lineal[AÑO]),lineal[],2,FALSE)*(1+lineal[[#This Row],[r]])^($Q$8-MAX(lineal[AÑO2]))),0))</f>
        <v>68691</v>
      </c>
      <c r="R21" s="6">
        <f>IF(lineal[[#This Row],[r]]="","",ROUNDUP((VLOOKUP(MAX(lineal[AÑO]),lineal[],2,FALSE)*(1+lineal[[#This Row],[r]])^($R$8-MAX(lineal[AÑO2]))),0))</f>
        <v>71497</v>
      </c>
      <c r="S21" s="19">
        <f>lineal[[#This Row],[AÑO]]</f>
        <v>2016</v>
      </c>
      <c r="T21" s="3">
        <f>lineal[[#This Row],[POBLACION]]</f>
        <v>54894</v>
      </c>
      <c r="U21" s="7">
        <f>IFERROR(ROUND((LN(T22)-LN(lineal[[#This Row],[POBLACION3]]))/(S22-lineal[[#This Row],[AÑO3]]),5),"")</f>
        <v>8.5599999999999999E-3</v>
      </c>
      <c r="V21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57180</v>
      </c>
      <c r="W21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60172</v>
      </c>
      <c r="X21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63321</v>
      </c>
      <c r="Y21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66634</v>
      </c>
      <c r="Z21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70120</v>
      </c>
      <c r="AA21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73789</v>
      </c>
      <c r="AB21" s="8">
        <f>lineal[[#This Row],[AÑO]]</f>
        <v>2016</v>
      </c>
      <c r="AC21" s="8">
        <f>lineal[[#This Row],[POBLACION]]</f>
        <v>54894</v>
      </c>
      <c r="AD21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0.8</v>
      </c>
      <c r="AE21" s="6">
        <f>IF(lineal[[#This Row],[i]]="","",ROUNDUP(lineal[[#This Row],[POBLACION4]]*((200+lineal[[#This Row],[i]]*($AE$8-lineal[[#This Row],[AÑO4]]))/(200-lineal[[#This Row],[i]]*($AE$8-lineal[[#This Row],[AÑO4]]))),0))</f>
        <v>58524</v>
      </c>
      <c r="AF21" s="6">
        <f>IF(lineal[[#This Row],[i]]="","",ROUNDUP(lineal[[#This Row],[POBLACION4]]*((200+lineal[[#This Row],[i]]*($AF$8-lineal[[#This Row],[AÑO4]]))/(200-lineal[[#This Row],[i]]*($AF$8-lineal[[#This Row],[AÑO4]]))),0))</f>
        <v>60917</v>
      </c>
      <c r="AG21" s="6">
        <f>IF(lineal[[#This Row],[i]]="","",ROUNDUP(lineal[[#This Row],[POBLACION4]]*((200+lineal[[#This Row],[i]]*($AG$8-lineal[[#This Row],[AÑO4]]))/(200-lineal[[#This Row],[i]]*($AG$8-lineal[[#This Row],[AÑO4]]))),0))</f>
        <v>63413</v>
      </c>
      <c r="AH21" s="6">
        <f>IF(lineal[[#This Row],[i]]="","",ROUNDUP(lineal[[#This Row],[POBLACION4]]*((200+lineal[[#This Row],[i]]*($AH$8-lineal[[#This Row],[AÑO4]]))/(200-lineal[[#This Row],[i]]*($AH$8-lineal[[#This Row],[AÑO4]]))),0))</f>
        <v>66018</v>
      </c>
      <c r="AI21" s="6">
        <f>IF(lineal[[#This Row],[i]]="","",ROUNDUP(lineal[[#This Row],[POBLACION4]]*((200+lineal[[#This Row],[i]]*($AI$8-lineal[[#This Row],[AÑO4]]))/(200-lineal[[#This Row],[i]]*($AI$8-lineal[[#This Row],[AÑO4]]))),0))</f>
        <v>68742</v>
      </c>
      <c r="AJ21" s="28">
        <f>IF(lineal[[#This Row],[i]]="","",ROUNDUP(lineal[[#This Row],[POBLACION4]]*((200+lineal[[#This Row],[i]]*($AJ$8-lineal[[#This Row],[AÑO4]]))/(200-lineal[[#This Row],[i]]*($AJ$8-lineal[[#This Row],[AÑO4]]))),0))</f>
        <v>71590</v>
      </c>
    </row>
    <row r="22" spans="1:36" x14ac:dyDescent="0.2">
      <c r="A22" s="2">
        <v>2017</v>
      </c>
      <c r="B22" s="42">
        <v>55366</v>
      </c>
      <c r="C22" s="5">
        <f>IF(lineal[[#This Row],[AÑO]]="","",IFERROR(ROUND((VLOOKUP(MAX(lineal[AÑO]),lineal[],2,FALSE)-lineal[[#This Row],[POBLACION]])/(MAX(lineal[AÑO])-lineal[[#This Row],[AÑO]]),2),""))</f>
        <v>438</v>
      </c>
      <c r="D22" s="4">
        <f>IF(lineal[[#This Row],[K]]="","",ROUNDUP((lineal[[#This Row],[K]]*($D$8-MAX(lineal[AÑO]))+(VLOOKUP(MAX(lineal[AÑO]),lineal[],2,FALSE))),0))</f>
        <v>58432</v>
      </c>
      <c r="E22" s="4">
        <f>IF(lineal[[#This Row],[K]]="","",ROUNDUP((lineal[[#This Row],[K]]*($E$8-MAX(lineal[AÑO]))+(VLOOKUP(MAX(lineal[AÑO]),lineal[],2,FALSE))),0))</f>
        <v>60622</v>
      </c>
      <c r="F22" s="4">
        <f>IF(lineal[[#This Row],[K]]="","",ROUNDUP((lineal[[#This Row],[K]]*($F$8-MAX(lineal[AÑO]))+(VLOOKUP(MAX(lineal[AÑO]),lineal[],2,FALSE))),0))</f>
        <v>62812</v>
      </c>
      <c r="G22" s="4">
        <f>IF(lineal[[#This Row],[K]]="","",ROUNDUP((lineal[[#This Row],[K]]*($G$8-MAX(lineal[AÑO]))+(VLOOKUP(MAX(lineal[AÑO]),lineal[],2,FALSE))),0))</f>
        <v>65002</v>
      </c>
      <c r="H22" s="4">
        <f>IF(lineal[[#This Row],[K]]="","",ROUNDUP((lineal[[#This Row],[K]]*($H$8-MAX(lineal[AÑO]))+(VLOOKUP(MAX(lineal[AÑO]),lineal[],2,FALSE))),0))</f>
        <v>67192</v>
      </c>
      <c r="I22" s="4">
        <f>IF(lineal[[#This Row],[K]]="","",ROUNDUP((lineal[[#This Row],[K]]*($I$8-MAX(lineal[AÑO]))+(VLOOKUP(MAX(lineal[AÑO]),lineal[],2,FALSE))),0))</f>
        <v>69382</v>
      </c>
      <c r="J22" s="19">
        <f>lineal[[#This Row],[AÑO]]</f>
        <v>2017</v>
      </c>
      <c r="K22" s="3">
        <f>lineal[[#This Row],[POBLACION]]</f>
        <v>55366</v>
      </c>
      <c r="L22" s="7">
        <f>IFERROR(ROUND((((VLOOKUP(MAX(lineal[AÑO2]),lineal[[AÑO2]:[POBLACION2]],2,FALSE))/lineal[[#This Row],[POBLACION2]])^(1/(MAX(lineal[AÑO2])-lineal[[#This Row],[AÑO2]])))-1,5),"")</f>
        <v>7.8499999999999993E-3</v>
      </c>
      <c r="M22" s="6">
        <f>IF(lineal[[#This Row],[r]]="","",ROUNDUP((VLOOKUP(MAX(lineal[AÑO]),lineal[],2,FALSE)*(1+lineal[[#This Row],[r]])^($M$8-MAX(lineal[AÑO2]))),0))</f>
        <v>58481</v>
      </c>
      <c r="N22" s="6">
        <f>IF(lineal[[#This Row],[r]]="","",ROUNDUP((VLOOKUP(MAX(lineal[AÑO]),lineal[],2,FALSE)*(1+lineal[[#This Row],[r]])^($N$8-MAX(lineal[AÑO2]))),0))</f>
        <v>60813</v>
      </c>
      <c r="O22" s="6">
        <f>IF(lineal[[#This Row],[r]]="","",ROUNDUP((VLOOKUP(MAX(lineal[AÑO]),lineal[],2,FALSE)*(1+lineal[[#This Row],[r]])^($O$8-MAX(lineal[AÑO2]))),0))</f>
        <v>63238</v>
      </c>
      <c r="P22" s="6">
        <f>IF(lineal[[#This Row],[r]]="","",ROUNDUP((VLOOKUP(MAX(lineal[AÑO]),lineal[],2,FALSE)*(1+lineal[[#This Row],[r]])^($P$8-MAX(lineal[AÑO2]))),0))</f>
        <v>65759</v>
      </c>
      <c r="Q22" s="6">
        <f>IF(lineal[[#This Row],[r]]="","",ROUNDUP((VLOOKUP(MAX(lineal[AÑO]),lineal[],2,FALSE)*(1+lineal[[#This Row],[r]])^($Q$8-MAX(lineal[AÑO2]))),0))</f>
        <v>68381</v>
      </c>
      <c r="R22" s="6">
        <f>IF(lineal[[#This Row],[r]]="","",ROUNDUP((VLOOKUP(MAX(lineal[AÑO]),lineal[],2,FALSE)*(1+lineal[[#This Row],[r]])^($R$8-MAX(lineal[AÑO2]))),0))</f>
        <v>71107</v>
      </c>
      <c r="S22" s="19">
        <f>lineal[[#This Row],[AÑO]]</f>
        <v>2017</v>
      </c>
      <c r="T22" s="3">
        <f>lineal[[#This Row],[POBLACION]]</f>
        <v>55366</v>
      </c>
      <c r="U22" s="7">
        <f>IFERROR(ROUND((LN(T23)-LN(lineal[[#This Row],[POBLACION3]]))/(S23-lineal[[#This Row],[AÑO3]]),5),"")</f>
        <v>8.26E-3</v>
      </c>
      <c r="V22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57672</v>
      </c>
      <c r="W22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60690</v>
      </c>
      <c r="X22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63865</v>
      </c>
      <c r="Y22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67207</v>
      </c>
      <c r="Z22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70723</v>
      </c>
      <c r="AA22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74424</v>
      </c>
      <c r="AB22" s="8">
        <f>lineal[[#This Row],[AÑO]]</f>
        <v>2017</v>
      </c>
      <c r="AC22" s="8">
        <f>lineal[[#This Row],[POBLACION]]</f>
        <v>55366</v>
      </c>
      <c r="AD22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0.78</v>
      </c>
      <c r="AE22" s="6">
        <f>IF(lineal[[#This Row],[i]]="","",ROUNDUP(lineal[[#This Row],[POBLACION4]]*((200+lineal[[#This Row],[i]]*($AE$8-lineal[[#This Row],[AÑO4]]))/(200-lineal[[#This Row],[i]]*($AE$8-lineal[[#This Row],[AÑO4]]))),0))</f>
        <v>58474</v>
      </c>
      <c r="AF22" s="6">
        <f>IF(lineal[[#This Row],[i]]="","",ROUNDUP(lineal[[#This Row],[POBLACION4]]*((200+lineal[[#This Row],[i]]*($AF$8-lineal[[#This Row],[AÑO4]]))/(200-lineal[[#This Row],[i]]*($AF$8-lineal[[#This Row],[AÑO4]]))),0))</f>
        <v>60803</v>
      </c>
      <c r="AG22" s="6">
        <f>IF(lineal[[#This Row],[i]]="","",ROUNDUP(lineal[[#This Row],[POBLACION4]]*((200+lineal[[#This Row],[i]]*($AG$8-lineal[[#This Row],[AÑO4]]))/(200-lineal[[#This Row],[i]]*($AG$8-lineal[[#This Row],[AÑO4]]))),0))</f>
        <v>63229</v>
      </c>
      <c r="AH22" s="6">
        <f>IF(lineal[[#This Row],[i]]="","",ROUNDUP(lineal[[#This Row],[POBLACION4]]*((200+lineal[[#This Row],[i]]*($AH$8-lineal[[#This Row],[AÑO4]]))/(200-lineal[[#This Row],[i]]*($AH$8-lineal[[#This Row],[AÑO4]]))),0))</f>
        <v>65759</v>
      </c>
      <c r="AI22" s="6">
        <f>IF(lineal[[#This Row],[i]]="","",ROUNDUP(lineal[[#This Row],[POBLACION4]]*((200+lineal[[#This Row],[i]]*($AI$8-lineal[[#This Row],[AÑO4]]))/(200-lineal[[#This Row],[i]]*($AI$8-lineal[[#This Row],[AÑO4]]))),0))</f>
        <v>68399</v>
      </c>
      <c r="AJ22" s="28">
        <f>IF(lineal[[#This Row],[i]]="","",ROUNDUP(lineal[[#This Row],[POBLACION4]]*((200+lineal[[#This Row],[i]]*($AJ$8-lineal[[#This Row],[AÑO4]]))/(200-lineal[[#This Row],[i]]*($AJ$8-lineal[[#This Row],[AÑO4]]))),0))</f>
        <v>71156</v>
      </c>
    </row>
    <row r="23" spans="1:36" x14ac:dyDescent="0.2">
      <c r="A23" s="2">
        <v>2018</v>
      </c>
      <c r="B23" s="42">
        <v>55825</v>
      </c>
      <c r="C23" s="5">
        <f>IF(lineal[[#This Row],[AÑO]]="","",IFERROR(ROUND((VLOOKUP(MAX(lineal[AÑO]),lineal[],2,FALSE)-lineal[[#This Row],[POBLACION]])/(MAX(lineal[AÑO])-lineal[[#This Row],[AÑO]]),2),""))</f>
        <v>427.5</v>
      </c>
      <c r="D23" s="4">
        <f>IF(lineal[[#This Row],[K]]="","",ROUNDUP((lineal[[#This Row],[K]]*($D$8-MAX(lineal[AÑO]))+(VLOOKUP(MAX(lineal[AÑO]),lineal[],2,FALSE))),0))</f>
        <v>58390</v>
      </c>
      <c r="E23" s="4">
        <f>IF(lineal[[#This Row],[K]]="","",ROUNDUP((lineal[[#This Row],[K]]*($E$8-MAX(lineal[AÑO]))+(VLOOKUP(MAX(lineal[AÑO]),lineal[],2,FALSE))),0))</f>
        <v>60528</v>
      </c>
      <c r="F23" s="4">
        <f>IF(lineal[[#This Row],[K]]="","",ROUNDUP((lineal[[#This Row],[K]]*($F$8-MAX(lineal[AÑO]))+(VLOOKUP(MAX(lineal[AÑO]),lineal[],2,FALSE))),0))</f>
        <v>62665</v>
      </c>
      <c r="G23" s="4">
        <f>IF(lineal[[#This Row],[K]]="","",ROUNDUP((lineal[[#This Row],[K]]*($G$8-MAX(lineal[AÑO]))+(VLOOKUP(MAX(lineal[AÑO]),lineal[],2,FALSE))),0))</f>
        <v>64803</v>
      </c>
      <c r="H23" s="4">
        <f>IF(lineal[[#This Row],[K]]="","",ROUNDUP((lineal[[#This Row],[K]]*($H$8-MAX(lineal[AÑO]))+(VLOOKUP(MAX(lineal[AÑO]),lineal[],2,FALSE))),0))</f>
        <v>66940</v>
      </c>
      <c r="I23" s="4">
        <f>IF(lineal[[#This Row],[K]]="","",ROUNDUP((lineal[[#This Row],[K]]*($I$8-MAX(lineal[AÑO]))+(VLOOKUP(MAX(lineal[AÑO]),lineal[],2,FALSE))),0))</f>
        <v>69078</v>
      </c>
      <c r="J23" s="19">
        <f>lineal[[#This Row],[AÑO]]</f>
        <v>2018</v>
      </c>
      <c r="K23" s="3">
        <f>lineal[[#This Row],[POBLACION]]</f>
        <v>55825</v>
      </c>
      <c r="L23" s="7">
        <f>IFERROR(ROUND((((VLOOKUP(MAX(lineal[AÑO2]),lineal[[AÑO2]:[POBLACION2]],2,FALSE))/lineal[[#This Row],[POBLACION2]])^(1/(MAX(lineal[AÑO2])-lineal[[#This Row],[AÑO2]])))-1,5),"")</f>
        <v>7.6299999999999996E-3</v>
      </c>
      <c r="M23" s="6">
        <f>IF(lineal[[#This Row],[r]]="","",ROUNDUP((VLOOKUP(MAX(lineal[AÑO]),lineal[],2,FALSE)*(1+lineal[[#This Row],[r]])^($M$8-MAX(lineal[AÑO2]))),0))</f>
        <v>58430</v>
      </c>
      <c r="N23" s="6">
        <f>IF(lineal[[#This Row],[r]]="","",ROUNDUP((VLOOKUP(MAX(lineal[AÑO]),lineal[],2,FALSE)*(1+lineal[[#This Row],[r]])^($N$8-MAX(lineal[AÑO2]))),0))</f>
        <v>60694</v>
      </c>
      <c r="O23" s="6">
        <f>IF(lineal[[#This Row],[r]]="","",ROUNDUP((VLOOKUP(MAX(lineal[AÑO]),lineal[],2,FALSE)*(1+lineal[[#This Row],[r]])^($O$8-MAX(lineal[AÑO2]))),0))</f>
        <v>63045</v>
      </c>
      <c r="P23" s="6">
        <f>IF(lineal[[#This Row],[r]]="","",ROUNDUP((VLOOKUP(MAX(lineal[AÑO]),lineal[],2,FALSE)*(1+lineal[[#This Row],[r]])^($P$8-MAX(lineal[AÑO2]))),0))</f>
        <v>65487</v>
      </c>
      <c r="Q23" s="6">
        <f>IF(lineal[[#This Row],[r]]="","",ROUNDUP((VLOOKUP(MAX(lineal[AÑO]),lineal[],2,FALSE)*(1+lineal[[#This Row],[r]])^($Q$8-MAX(lineal[AÑO2]))),0))</f>
        <v>68024</v>
      </c>
      <c r="R23" s="6">
        <f>IF(lineal[[#This Row],[r]]="","",ROUNDUP((VLOOKUP(MAX(lineal[AÑO]),lineal[],2,FALSE)*(1+lineal[[#This Row],[r]])^($R$8-MAX(lineal[AÑO2]))),0))</f>
        <v>70659</v>
      </c>
      <c r="S23" s="19">
        <f>lineal[[#This Row],[AÑO]]</f>
        <v>2018</v>
      </c>
      <c r="T23" s="3">
        <f>lineal[[#This Row],[POBLACION]]</f>
        <v>55825</v>
      </c>
      <c r="U23" s="7">
        <f>IFERROR(ROUND((LN(T24)-LN(lineal[[#This Row],[POBLACION3]]))/(S24-lineal[[#This Row],[AÑO3]]),5),"")</f>
        <v>7.8899999999999994E-3</v>
      </c>
      <c r="V23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58150</v>
      </c>
      <c r="W23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61193</v>
      </c>
      <c r="X23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64395</v>
      </c>
      <c r="Y23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67764</v>
      </c>
      <c r="Z23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71309</v>
      </c>
      <c r="AA23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75041</v>
      </c>
      <c r="AB23" s="8">
        <f>lineal[[#This Row],[AÑO]]</f>
        <v>2018</v>
      </c>
      <c r="AC23" s="8">
        <f>lineal[[#This Row],[POBLACION]]</f>
        <v>55825</v>
      </c>
      <c r="AD23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0.76</v>
      </c>
      <c r="AE23" s="6">
        <f>IF(lineal[[#This Row],[i]]="","",ROUNDUP(lineal[[#This Row],[POBLACION4]]*((200+lineal[[#This Row],[i]]*($AE$8-lineal[[#This Row],[AÑO4]]))/(200-lineal[[#This Row],[i]]*($AE$8-lineal[[#This Row],[AÑO4]]))),0))</f>
        <v>58431</v>
      </c>
      <c r="AF23" s="6">
        <f>IF(lineal[[#This Row],[i]]="","",ROUNDUP(lineal[[#This Row],[POBLACION4]]*((200+lineal[[#This Row],[i]]*($AF$8-lineal[[#This Row],[AÑO4]]))/(200-lineal[[#This Row],[i]]*($AF$8-lineal[[#This Row],[AÑO4]]))),0))</f>
        <v>60696</v>
      </c>
      <c r="AG23" s="6">
        <f>IF(lineal[[#This Row],[i]]="","",ROUNDUP(lineal[[#This Row],[POBLACION4]]*((200+lineal[[#This Row],[i]]*($AG$8-lineal[[#This Row],[AÑO4]]))/(200-lineal[[#This Row],[i]]*($AG$8-lineal[[#This Row],[AÑO4]]))),0))</f>
        <v>63053</v>
      </c>
      <c r="AH23" s="6">
        <f>IF(lineal[[#This Row],[i]]="","",ROUNDUP(lineal[[#This Row],[POBLACION4]]*((200+lineal[[#This Row],[i]]*($AH$8-lineal[[#This Row],[AÑO4]]))/(200-lineal[[#This Row],[i]]*($AH$8-lineal[[#This Row],[AÑO4]]))),0))</f>
        <v>65508</v>
      </c>
      <c r="AI23" s="6">
        <f>IF(lineal[[#This Row],[i]]="","",ROUNDUP(lineal[[#This Row],[POBLACION4]]*((200+lineal[[#This Row],[i]]*($AI$8-lineal[[#This Row],[AÑO4]]))/(200-lineal[[#This Row],[i]]*($AI$8-lineal[[#This Row],[AÑO4]]))),0))</f>
        <v>68066</v>
      </c>
      <c r="AJ23" s="28">
        <f>IF(lineal[[#This Row],[i]]="","",ROUNDUP(lineal[[#This Row],[POBLACION4]]*((200+lineal[[#This Row],[i]]*($AJ$8-lineal[[#This Row],[AÑO4]]))/(200-lineal[[#This Row],[i]]*($AJ$8-lineal[[#This Row],[AÑO4]]))),0))</f>
        <v>70734</v>
      </c>
    </row>
    <row r="24" spans="1:36" x14ac:dyDescent="0.2">
      <c r="A24" s="2">
        <v>2019</v>
      </c>
      <c r="B24" s="42">
        <v>56267</v>
      </c>
      <c r="C24" s="5">
        <f>IF(lineal[[#This Row],[AÑO]]="","",IFERROR(ROUND((VLOOKUP(MAX(lineal[AÑO]),lineal[],2,FALSE)-lineal[[#This Row],[POBLACION]])/(MAX(lineal[AÑO])-lineal[[#This Row],[AÑO]]),2),""))</f>
        <v>413</v>
      </c>
      <c r="D24" s="4">
        <f>IF(lineal[[#This Row],[K]]="","",ROUNDUP((lineal[[#This Row],[K]]*($D$8-MAX(lineal[AÑO]))+(VLOOKUP(MAX(lineal[AÑO]),lineal[],2,FALSE))),0))</f>
        <v>58332</v>
      </c>
      <c r="E24" s="4">
        <f>IF(lineal[[#This Row],[K]]="","",ROUNDUP((lineal[[#This Row],[K]]*($E$8-MAX(lineal[AÑO]))+(VLOOKUP(MAX(lineal[AÑO]),lineal[],2,FALSE))),0))</f>
        <v>60397</v>
      </c>
      <c r="F24" s="4">
        <f>IF(lineal[[#This Row],[K]]="","",ROUNDUP((lineal[[#This Row],[K]]*($F$8-MAX(lineal[AÑO]))+(VLOOKUP(MAX(lineal[AÑO]),lineal[],2,FALSE))),0))</f>
        <v>62462</v>
      </c>
      <c r="G24" s="4">
        <f>IF(lineal[[#This Row],[K]]="","",ROUNDUP((lineal[[#This Row],[K]]*($G$8-MAX(lineal[AÑO]))+(VLOOKUP(MAX(lineal[AÑO]),lineal[],2,FALSE))),0))</f>
        <v>64527</v>
      </c>
      <c r="H24" s="4">
        <f>IF(lineal[[#This Row],[K]]="","",ROUNDUP((lineal[[#This Row],[K]]*($H$8-MAX(lineal[AÑO]))+(VLOOKUP(MAX(lineal[AÑO]),lineal[],2,FALSE))),0))</f>
        <v>66592</v>
      </c>
      <c r="I24" s="4">
        <f>IF(lineal[[#This Row],[K]]="","",ROUNDUP((lineal[[#This Row],[K]]*($I$8-MAX(lineal[AÑO]))+(VLOOKUP(MAX(lineal[AÑO]),lineal[],2,FALSE))),0))</f>
        <v>68657</v>
      </c>
      <c r="J24" s="19">
        <f>lineal[[#This Row],[AÑO]]</f>
        <v>2019</v>
      </c>
      <c r="K24" s="3">
        <f>lineal[[#This Row],[POBLACION]]</f>
        <v>56267</v>
      </c>
      <c r="L24" s="7">
        <f>IFERROR(ROUND((((VLOOKUP(MAX(lineal[AÑO2]),lineal[[AÑO2]:[POBLACION2]],2,FALSE))/lineal[[#This Row],[POBLACION2]])^(1/(MAX(lineal[AÑO2])-lineal[[#This Row],[AÑO2]])))-1,5),"")</f>
        <v>7.3400000000000002E-3</v>
      </c>
      <c r="M24" s="6">
        <f>IF(lineal[[#This Row],[r]]="","",ROUNDUP((VLOOKUP(MAX(lineal[AÑO]),lineal[],2,FALSE)*(1+lineal[[#This Row],[r]])^($M$8-MAX(lineal[AÑO2]))),0))</f>
        <v>58363</v>
      </c>
      <c r="N24" s="6">
        <f>IF(lineal[[#This Row],[r]]="","",ROUNDUP((VLOOKUP(MAX(lineal[AÑO]),lineal[],2,FALSE)*(1+lineal[[#This Row],[r]])^($N$8-MAX(lineal[AÑO2]))),0))</f>
        <v>60537</v>
      </c>
      <c r="O24" s="6">
        <f>IF(lineal[[#This Row],[r]]="","",ROUNDUP((VLOOKUP(MAX(lineal[AÑO]),lineal[],2,FALSE)*(1+lineal[[#This Row],[r]])^($O$8-MAX(lineal[AÑO2]))),0))</f>
        <v>62791</v>
      </c>
      <c r="P24" s="6">
        <f>IF(lineal[[#This Row],[r]]="","",ROUNDUP((VLOOKUP(MAX(lineal[AÑO]),lineal[],2,FALSE)*(1+lineal[[#This Row],[r]])^($P$8-MAX(lineal[AÑO2]))),0))</f>
        <v>65130</v>
      </c>
      <c r="Q24" s="6">
        <f>IF(lineal[[#This Row],[r]]="","",ROUNDUP((VLOOKUP(MAX(lineal[AÑO]),lineal[],2,FALSE)*(1+lineal[[#This Row],[r]])^($Q$8-MAX(lineal[AÑO2]))),0))</f>
        <v>67555</v>
      </c>
      <c r="R24" s="6">
        <f>IF(lineal[[#This Row],[r]]="","",ROUNDUP((VLOOKUP(MAX(lineal[AÑO]),lineal[],2,FALSE)*(1+lineal[[#This Row],[r]])^($R$8-MAX(lineal[AÑO2]))),0))</f>
        <v>70071</v>
      </c>
      <c r="S24" s="19">
        <f>lineal[[#This Row],[AÑO]]</f>
        <v>2019</v>
      </c>
      <c r="T24" s="3">
        <f>lineal[[#This Row],[POBLACION]]</f>
        <v>56267</v>
      </c>
      <c r="U24" s="7">
        <f>IFERROR(ROUND((LN(T25)-LN(lineal[[#This Row],[POBLACION3]]))/(S25-lineal[[#This Row],[AÑO3]]),5),"")</f>
        <v>7.3099999999999997E-3</v>
      </c>
      <c r="V24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58611</v>
      </c>
      <c r="W24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61677</v>
      </c>
      <c r="X24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64904</v>
      </c>
      <c r="Y24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68300</v>
      </c>
      <c r="Z24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71874</v>
      </c>
      <c r="AA24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75635</v>
      </c>
      <c r="AB24" s="8">
        <f>lineal[[#This Row],[AÑO]]</f>
        <v>2019</v>
      </c>
      <c r="AC24" s="8">
        <f>lineal[[#This Row],[POBLACION]]</f>
        <v>56267</v>
      </c>
      <c r="AD24" s="20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>0.73</v>
      </c>
      <c r="AE24" s="6">
        <f>IF(lineal[[#This Row],[i]]="","",ROUNDUP(lineal[[#This Row],[POBLACION4]]*((200+lineal[[#This Row],[i]]*($AE$8-lineal[[#This Row],[AÑO4]]))/(200-lineal[[#This Row],[i]]*($AE$8-lineal[[#This Row],[AÑO4]]))),0))</f>
        <v>58359</v>
      </c>
      <c r="AF24" s="6">
        <f>IF(lineal[[#This Row],[i]]="","",ROUNDUP(lineal[[#This Row],[POBLACION4]]*((200+lineal[[#This Row],[i]]*($AF$8-lineal[[#This Row],[AÑO4]]))/(200-lineal[[#This Row],[i]]*($AF$8-lineal[[#This Row],[AÑO4]]))),0))</f>
        <v>60531</v>
      </c>
      <c r="AG24" s="6">
        <f>IF(lineal[[#This Row],[i]]="","",ROUNDUP(lineal[[#This Row],[POBLACION4]]*((200+lineal[[#This Row],[i]]*($AG$8-lineal[[#This Row],[AÑO4]]))/(200-lineal[[#This Row],[i]]*($AG$8-lineal[[#This Row],[AÑO4]]))),0))</f>
        <v>62786</v>
      </c>
      <c r="AH24" s="6">
        <f>IF(lineal[[#This Row],[i]]="","",ROUNDUP(lineal[[#This Row],[POBLACION4]]*((200+lineal[[#This Row],[i]]*($AH$8-lineal[[#This Row],[AÑO4]]))/(200-lineal[[#This Row],[i]]*($AH$8-lineal[[#This Row],[AÑO4]]))),0))</f>
        <v>65129</v>
      </c>
      <c r="AI24" s="6">
        <f>IF(lineal[[#This Row],[i]]="","",ROUNDUP(lineal[[#This Row],[POBLACION4]]*((200+lineal[[#This Row],[i]]*($AI$8-lineal[[#This Row],[AÑO4]]))/(200-lineal[[#This Row],[i]]*($AI$8-lineal[[#This Row],[AÑO4]]))),0))</f>
        <v>67567</v>
      </c>
      <c r="AJ24" s="28">
        <f>IF(lineal[[#This Row],[i]]="","",ROUNDUP(lineal[[#This Row],[POBLACION4]]*((200+lineal[[#This Row],[i]]*($AJ$8-lineal[[#This Row],[AÑO4]]))/(200-lineal[[#This Row],[i]]*($AJ$8-lineal[[#This Row],[AÑO4]]))),0))</f>
        <v>70105</v>
      </c>
    </row>
    <row r="25" spans="1:36" x14ac:dyDescent="0.2">
      <c r="A25" s="2">
        <v>2020</v>
      </c>
      <c r="B25" s="42">
        <v>56680</v>
      </c>
      <c r="C25" s="5" t="str">
        <f>IF(lineal[[#This Row],[AÑO]]="","",IFERROR(ROUND((VLOOKUP(MAX(lineal[AÑO]),lineal[],2,FALSE)-lineal[[#This Row],[POBLACION]])/(MAX(lineal[AÑO])-lineal[[#This Row],[AÑO]]),2),""))</f>
        <v/>
      </c>
      <c r="D25" s="4" t="str">
        <f>IF(lineal[[#This Row],[K]]="","",ROUNDUP((lineal[[#This Row],[K]]*($D$8-MAX(lineal[AÑO]))+(VLOOKUP(MAX(lineal[AÑO]),lineal[],2,FALSE))),0))</f>
        <v/>
      </c>
      <c r="E25" s="4" t="str">
        <f>IF(lineal[[#This Row],[K]]="","",ROUNDUP((lineal[[#This Row],[K]]*($E$8-MAX(lineal[AÑO]))+(VLOOKUP(MAX(lineal[AÑO]),lineal[],2,FALSE))),0))</f>
        <v/>
      </c>
      <c r="F25" s="4" t="str">
        <f>IF(lineal[[#This Row],[K]]="","",ROUNDUP((lineal[[#This Row],[K]]*($F$8-MAX(lineal[AÑO]))+(VLOOKUP(MAX(lineal[AÑO]),lineal[],2,FALSE))),0))</f>
        <v/>
      </c>
      <c r="G25" s="4" t="str">
        <f>IF(lineal[[#This Row],[K]]="","",ROUNDUP((lineal[[#This Row],[K]]*($G$8-MAX(lineal[AÑO]))+(VLOOKUP(MAX(lineal[AÑO]),lineal[],2,FALSE))),0))</f>
        <v/>
      </c>
      <c r="H25" s="4" t="str">
        <f>IF(lineal[[#This Row],[K]]="","",ROUNDUP((lineal[[#This Row],[K]]*($H$8-MAX(lineal[AÑO]))+(VLOOKUP(MAX(lineal[AÑO]),lineal[],2,FALSE))),0))</f>
        <v/>
      </c>
      <c r="I25" s="4" t="str">
        <f>IF(lineal[[#This Row],[K]]="","",ROUNDUP((lineal[[#This Row],[K]]*($I$8-MAX(lineal[AÑO]))+(VLOOKUP(MAX(lineal[AÑO]),lineal[],2,FALSE))),0))</f>
        <v/>
      </c>
      <c r="J25" s="19">
        <f>lineal[[#This Row],[AÑO]]</f>
        <v>2020</v>
      </c>
      <c r="K25" s="3">
        <f>lineal[[#This Row],[POBLACION]]</f>
        <v>56680</v>
      </c>
      <c r="L25" s="7" t="str">
        <f>IFERROR(ROUND((((VLOOKUP(MAX(lineal[AÑO2]),lineal[[AÑO2]:[POBLACION2]],2,FALSE))/lineal[[#This Row],[POBLACION2]])^(1/(MAX(lineal[AÑO2])-lineal[[#This Row],[AÑO2]])))-1,5),"")</f>
        <v/>
      </c>
      <c r="M25" s="6" t="str">
        <f>IF(lineal[[#This Row],[r]]="","",ROUNDUP((VLOOKUP(MAX(lineal[AÑO]),lineal[],2,FALSE)*(1+lineal[[#This Row],[r]])^($M$8-MAX(lineal[AÑO2]))),0))</f>
        <v/>
      </c>
      <c r="N25" s="6" t="str">
        <f>IF(lineal[[#This Row],[r]]="","",ROUNDUP((VLOOKUP(MAX(lineal[AÑO]),lineal[],2,FALSE)*(1+lineal[[#This Row],[r]])^($N$8-MAX(lineal[AÑO2]))),0))</f>
        <v/>
      </c>
      <c r="O25" s="6" t="str">
        <f>IF(lineal[[#This Row],[r]]="","",ROUNDUP((VLOOKUP(MAX(lineal[AÑO]),lineal[],2,FALSE)*(1+lineal[[#This Row],[r]])^($O$8-MAX(lineal[AÑO2]))),0))</f>
        <v/>
      </c>
      <c r="P25" s="6" t="str">
        <f>IF(lineal[[#This Row],[r]]="","",ROUNDUP((VLOOKUP(MAX(lineal[AÑO]),lineal[],2,FALSE)*(1+lineal[[#This Row],[r]])^($P$8-MAX(lineal[AÑO2]))),0))</f>
        <v/>
      </c>
      <c r="Q25" s="6" t="str">
        <f>IF(lineal[[#This Row],[r]]="","",ROUNDUP((VLOOKUP(MAX(lineal[AÑO]),lineal[],2,FALSE)*(1+lineal[[#This Row],[r]])^($Q$8-MAX(lineal[AÑO2]))),0))</f>
        <v/>
      </c>
      <c r="R25" s="6" t="str">
        <f>IF(lineal[[#This Row],[r]]="","",ROUNDUP((VLOOKUP(MAX(lineal[AÑO]),lineal[],2,FALSE)*(1+lineal[[#This Row],[r]])^($R$8-MAX(lineal[AÑO2]))),0))</f>
        <v/>
      </c>
      <c r="S25" s="19">
        <f>lineal[[#This Row],[AÑO]]</f>
        <v>2020</v>
      </c>
      <c r="T25" s="3">
        <f>lineal[[#This Row],[POBLACION]]</f>
        <v>56680</v>
      </c>
      <c r="U25" s="7" t="str">
        <f>IFERROR(ROUND((LN(T26)-LN(lineal[[#This Row],[POBLACION3]]))/(S26-lineal[[#This Row],[AÑO3]]),5),"")</f>
        <v/>
      </c>
      <c r="V25" s="6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>59041</v>
      </c>
      <c r="W25" s="6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>62130</v>
      </c>
      <c r="X25" s="6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>65381</v>
      </c>
      <c r="Y25" s="6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>68802</v>
      </c>
      <c r="Z25" s="6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>72402</v>
      </c>
      <c r="AA25" s="6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>76190</v>
      </c>
      <c r="AB25" s="8">
        <f>lineal[[#This Row],[AÑO]]</f>
        <v>2020</v>
      </c>
      <c r="AC25" s="8">
        <f>lineal[[#This Row],[POBLACION]]</f>
        <v>56680</v>
      </c>
      <c r="AD25" s="20" t="str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/>
      </c>
      <c r="AE25" s="6" t="str">
        <f>IF(lineal[[#This Row],[i]]="","",ROUNDUP(lineal[[#This Row],[POBLACION4]]*((200+lineal[[#This Row],[i]]*($AE$8-lineal[[#This Row],[AÑO4]]))/(200-lineal[[#This Row],[i]]*($AE$8-lineal[[#This Row],[AÑO4]]))),0))</f>
        <v/>
      </c>
      <c r="AF25" s="6" t="str">
        <f>IF(lineal[[#This Row],[i]]="","",ROUNDUP(lineal[[#This Row],[POBLACION4]]*((200+lineal[[#This Row],[i]]*($AF$8-lineal[[#This Row],[AÑO4]]))/(200-lineal[[#This Row],[i]]*($AF$8-lineal[[#This Row],[AÑO4]]))),0))</f>
        <v/>
      </c>
      <c r="AG25" s="6" t="str">
        <f>IF(lineal[[#This Row],[i]]="","",ROUNDUP(lineal[[#This Row],[POBLACION4]]*((200+lineal[[#This Row],[i]]*($AG$8-lineal[[#This Row],[AÑO4]]))/(200-lineal[[#This Row],[i]]*($AG$8-lineal[[#This Row],[AÑO4]]))),0))</f>
        <v/>
      </c>
      <c r="AH25" s="6" t="str">
        <f>IF(lineal[[#This Row],[i]]="","",ROUNDUP(lineal[[#This Row],[POBLACION4]]*((200+lineal[[#This Row],[i]]*($AH$8-lineal[[#This Row],[AÑO4]]))/(200-lineal[[#This Row],[i]]*($AH$8-lineal[[#This Row],[AÑO4]]))),0))</f>
        <v/>
      </c>
      <c r="AI25" s="6" t="str">
        <f>IF(lineal[[#This Row],[i]]="","",ROUNDUP(lineal[[#This Row],[POBLACION4]]*((200+lineal[[#This Row],[i]]*($AI$8-lineal[[#This Row],[AÑO4]]))/(200-lineal[[#This Row],[i]]*($AI$8-lineal[[#This Row],[AÑO4]]))),0))</f>
        <v/>
      </c>
      <c r="AJ25" s="28" t="str">
        <f>IF(lineal[[#This Row],[i]]="","",ROUNDUP(lineal[[#This Row],[POBLACION4]]*((200+lineal[[#This Row],[i]]*($AJ$8-lineal[[#This Row],[AÑO4]]))/(200-lineal[[#This Row],[i]]*($AJ$8-lineal[[#This Row],[AÑO4]]))),0))</f>
        <v/>
      </c>
    </row>
    <row r="26" spans="1:36" x14ac:dyDescent="0.2">
      <c r="A26" s="41"/>
      <c r="B26" s="42"/>
      <c r="C26" s="5" t="str">
        <f>IF(lineal[[#This Row],[AÑO]]="","",IFERROR(ROUND((VLOOKUP(MAX(lineal[AÑO]),lineal[],2,FALSE)-lineal[[#This Row],[POBLACION]])/(MAX(lineal[AÑO])-lineal[[#This Row],[AÑO]]),2),""))</f>
        <v/>
      </c>
      <c r="D26" s="4" t="str">
        <f>IF(lineal[[#This Row],[K]]="","",ROUNDUP((lineal[[#This Row],[K]]*($D$8-MAX(lineal[AÑO]))+(VLOOKUP(MAX(lineal[AÑO]),lineal[],2,FALSE))),0))</f>
        <v/>
      </c>
      <c r="E26" s="4" t="str">
        <f>IF(lineal[[#This Row],[K]]="","",ROUNDUP((lineal[[#This Row],[K]]*($E$8-MAX(lineal[AÑO]))+(VLOOKUP(MAX(lineal[AÑO]),lineal[],2,FALSE))),0))</f>
        <v/>
      </c>
      <c r="F26" s="4" t="str">
        <f>IF(lineal[[#This Row],[K]]="","",ROUNDUP((lineal[[#This Row],[K]]*($F$8-MAX(lineal[AÑO]))+(VLOOKUP(MAX(lineal[AÑO]),lineal[],2,FALSE))),0))</f>
        <v/>
      </c>
      <c r="G26" s="4" t="str">
        <f>IF(lineal[[#This Row],[K]]="","",ROUNDUP((lineal[[#This Row],[K]]*($G$8-MAX(lineal[AÑO]))+(VLOOKUP(MAX(lineal[AÑO]),lineal[],2,FALSE))),0))</f>
        <v/>
      </c>
      <c r="H26" s="4" t="str">
        <f>IF(lineal[[#This Row],[K]]="","",ROUNDUP((lineal[[#This Row],[K]]*($H$8-MAX(lineal[AÑO]))+(VLOOKUP(MAX(lineal[AÑO]),lineal[],2,FALSE))),0))</f>
        <v/>
      </c>
      <c r="I26" s="4" t="str">
        <f>IF(lineal[[#This Row],[K]]="","",ROUNDUP((lineal[[#This Row],[K]]*($I$8-MAX(lineal[AÑO]))+(VLOOKUP(MAX(lineal[AÑO]),lineal[],2,FALSE))),0))</f>
        <v/>
      </c>
      <c r="J26" s="19">
        <f>lineal[[#This Row],[AÑO]]</f>
        <v>0</v>
      </c>
      <c r="K26" s="3">
        <f>lineal[[#This Row],[POBLACION]]</f>
        <v>0</v>
      </c>
      <c r="L26" s="7" t="str">
        <f>IFERROR(ROUND((((VLOOKUP(MAX(lineal[AÑO2]),lineal[[AÑO2]:[POBLACION2]],2,FALSE))/lineal[[#This Row],[POBLACION2]])^(1/(MAX(lineal[AÑO2])-lineal[[#This Row],[AÑO2]])))-1,5),"")</f>
        <v/>
      </c>
      <c r="M26" s="6" t="str">
        <f>IF(lineal[[#This Row],[r]]="","",ROUNDUP((VLOOKUP(MAX(lineal[AÑO]),lineal[],2,FALSE)*(1+lineal[[#This Row],[r]])^($M$8-MAX(lineal[AÑO2]))),0))</f>
        <v/>
      </c>
      <c r="N26" s="6" t="str">
        <f>IF(lineal[[#This Row],[r]]="","",ROUNDUP((VLOOKUP(MAX(lineal[AÑO]),lineal[],2,FALSE)*(1+lineal[[#This Row],[r]])^($N$8-MAX(lineal[AÑO2]))),0))</f>
        <v/>
      </c>
      <c r="O26" s="6" t="str">
        <f>IF(lineal[[#This Row],[r]]="","",ROUNDUP((VLOOKUP(MAX(lineal[AÑO]),lineal[],2,FALSE)*(1+lineal[[#This Row],[r]])^($O$8-MAX(lineal[AÑO2]))),0))</f>
        <v/>
      </c>
      <c r="P26" s="6" t="str">
        <f>IF(lineal[[#This Row],[r]]="","",ROUNDUP((VLOOKUP(MAX(lineal[AÑO]),lineal[],2,FALSE)*(1+lineal[[#This Row],[r]])^($P$8-MAX(lineal[AÑO2]))),0))</f>
        <v/>
      </c>
      <c r="Q26" s="6" t="str">
        <f>IF(lineal[[#This Row],[r]]="","",ROUNDUP((VLOOKUP(MAX(lineal[AÑO]),lineal[],2,FALSE)*(1+lineal[[#This Row],[r]])^($Q$8-MAX(lineal[AÑO2]))),0))</f>
        <v/>
      </c>
      <c r="R26" s="6" t="str">
        <f>IF(lineal[[#This Row],[r]]="","",ROUNDUP((VLOOKUP(MAX(lineal[AÑO]),lineal[],2,FALSE)*(1+lineal[[#This Row],[r]])^($R$8-MAX(lineal[AÑO2]))),0))</f>
        <v/>
      </c>
      <c r="S26" s="19">
        <f>lineal[[#This Row],[AÑO]]</f>
        <v>0</v>
      </c>
      <c r="T26" s="3">
        <f>lineal[[#This Row],[POBLACION]]</f>
        <v>0</v>
      </c>
      <c r="U26" s="7" t="str">
        <f>IFERROR(ROUND((LN(T27)-LN(lineal[[#This Row],[POBLACION3]]))/(S27-lineal[[#This Row],[AÑO3]]),5),"")</f>
        <v/>
      </c>
      <c r="V26" s="6" t="str">
        <f>IF(lineal[[#This Row],[AÑO3]]&gt;0,ROUNDUP((lineal[[#This Row],[POBLACION3]]*EXP(1)^(lineal[[#Totals],[Kg]]*($V$8-MAX(lineal[AÑO])))),0),IF(lineal[[#This Row],[Kg]]="","",ROUNDUP((lineal[[#This Row],[POBLACION3]]*EXP(1)^(lineal[[#Totals],[Kg]]*($V$8-MAX(lineal[AÑO])))),0)))</f>
        <v/>
      </c>
      <c r="W26" s="6" t="str">
        <f>IF(lineal[[#This Row],[AÑO3]]&gt;0,ROUNDUP((lineal[[#This Row],[POBLACION3]]*EXP(1)^(lineal[[#Totals],[Kg]]*($W$8-MAX(lineal[AÑO])))),0),IF(lineal[[#This Row],[Kg]]="","",ROUNDUP((lineal[[#This Row],[POBLACION3]]*EXP(1)^(lineal[[#Totals],[Kg]]*($W$8-MAX(lineal[AÑO])))),0)))</f>
        <v/>
      </c>
      <c r="X26" s="6" t="str">
        <f>IF(lineal[[#This Row],[AÑO3]]&gt;0,ROUNDUP((lineal[[#This Row],[POBLACION3]]*EXP(1)^(lineal[[#Totals],[Kg]]*($X$8-MAX(lineal[AÑO])))),0),IF(lineal[[#This Row],[Kg]]="","",ROUNDUP((lineal[[#This Row],[POBLACION3]]*EXP(1)^(lineal[[#Totals],[Kg]]*($X$8-MAX(lineal[AÑO])))),0)))</f>
        <v/>
      </c>
      <c r="Y26" s="6" t="str">
        <f>IF(lineal[[#This Row],[AÑO3]]&gt;0,ROUNDUP((lineal[[#This Row],[POBLACION3]]*EXP(1)^(lineal[[#Totals],[Kg]]*($Y$8-MAX(lineal[AÑO])))),0),IF(lineal[[#This Row],[Kg]]="","",ROUNDUP((lineal[[#This Row],[POBLACION3]]*EXP(1)^(lineal[[#Totals],[Kg]]*($Y$8-MAX(lineal[AÑO])))),0)))</f>
        <v/>
      </c>
      <c r="Z26" s="6" t="str">
        <f>IF(lineal[[#This Row],[AÑO3]]&gt;0,ROUNDUP((lineal[[#This Row],[POBLACION3]]*EXP(1)^(lineal[[#Totals],[Kg]]*($Z$8-MAX(lineal[AÑO])))),0),IF(lineal[[#This Row],[Kg]]="","",ROUNDUP((lineal[[#This Row],[POBLACION3]]*EXP(1)^(lineal[[#Totals],[Kg]]*($Z$8-MAX(lineal[AÑO])))),0)))</f>
        <v/>
      </c>
      <c r="AA26" s="6" t="str">
        <f>IF(lineal[[#This Row],[AÑO3]]&gt;0,ROUNDUP((lineal[[#This Row],[POBLACION3]]*EXP(1)^(lineal[[#Totals],[Kg]]*($AA$8-MAX(lineal[AÑO])))),0),IF(lineal[[#This Row],[Kg]]="","",ROUNDUP((lineal[[#This Row],[POBLACION3]]*EXP(1)^(lineal[[#Totals],[Kg]]*($AA$8-MAX(lineal[AÑO])))),0)))</f>
        <v/>
      </c>
      <c r="AB26" s="8">
        <f>lineal[[#This Row],[AÑO]]</f>
        <v>0</v>
      </c>
      <c r="AC26" s="8">
        <f>lineal[[#This Row],[POBLACION]]</f>
        <v>0</v>
      </c>
      <c r="AD26" s="20" t="str">
        <f>IF(lineal[[#This Row],[AÑO4]]=0,"",IFERROR(ROUND((200*(VLOOKUP(MAX(lineal[AÑO]),lineal[],2,FALSE)-lineal[[#This Row],[POBLACION4]]))/((MAX(lineal[AÑO])-lineal[[#This Row],[AÑO4]])*(VLOOKUP(MAX(lineal[AÑO]),lineal[],2,FALSE)+lineal[[#This Row],[POBLACION4]])),2),""))</f>
        <v/>
      </c>
      <c r="AE26" s="6" t="str">
        <f>IF(lineal[[#This Row],[i]]="","",ROUNDUP(lineal[[#This Row],[POBLACION4]]*((200+lineal[[#This Row],[i]]*($AE$8-lineal[[#This Row],[AÑO4]]))/(200-lineal[[#This Row],[i]]*($AE$8-lineal[[#This Row],[AÑO4]]))),0))</f>
        <v/>
      </c>
      <c r="AF26" s="6" t="str">
        <f>IF(lineal[[#This Row],[i]]="","",ROUNDUP(lineal[[#This Row],[POBLACION4]]*((200+lineal[[#This Row],[i]]*($AF$8-lineal[[#This Row],[AÑO4]]))/(200-lineal[[#This Row],[i]]*($AF$8-lineal[[#This Row],[AÑO4]]))),0))</f>
        <v/>
      </c>
      <c r="AG26" s="6" t="str">
        <f>IF(lineal[[#This Row],[i]]="","",ROUNDUP(lineal[[#This Row],[POBLACION4]]*((200+lineal[[#This Row],[i]]*($AG$8-lineal[[#This Row],[AÑO4]]))/(200-lineal[[#This Row],[i]]*($AG$8-lineal[[#This Row],[AÑO4]]))),0))</f>
        <v/>
      </c>
      <c r="AH26" s="6" t="str">
        <f>IF(lineal[[#This Row],[i]]="","",ROUNDUP(lineal[[#This Row],[POBLACION4]]*((200+lineal[[#This Row],[i]]*($AH$8-lineal[[#This Row],[AÑO4]]))/(200-lineal[[#This Row],[i]]*($AH$8-lineal[[#This Row],[AÑO4]]))),0))</f>
        <v/>
      </c>
      <c r="AI26" s="6" t="str">
        <f>IF(lineal[[#This Row],[i]]="","",ROUNDUP(lineal[[#This Row],[POBLACION4]]*((200+lineal[[#This Row],[i]]*($AI$8-lineal[[#This Row],[AÑO4]]))/(200-lineal[[#This Row],[i]]*($AI$8-lineal[[#This Row],[AÑO4]]))),0))</f>
        <v/>
      </c>
      <c r="AJ26" s="28" t="str">
        <f>IF(lineal[[#This Row],[i]]="","",ROUNDUP(lineal[[#This Row],[POBLACION4]]*((200+lineal[[#This Row],[i]]*($AJ$8-lineal[[#This Row],[AÑO4]]))/(200-lineal[[#This Row],[i]]*($AJ$8-lineal[[#This Row],[AÑO4]]))),0))</f>
        <v/>
      </c>
    </row>
    <row r="27" spans="1:36" ht="15.75" thickBot="1" x14ac:dyDescent="0.25">
      <c r="A27" s="29" t="s">
        <v>10</v>
      </c>
      <c r="B27" s="30"/>
      <c r="C27" s="31"/>
      <c r="D27" s="32">
        <f>SUBTOTAL(101,lineal[AÑOPROY1])</f>
        <v>58592.533333333333</v>
      </c>
      <c r="E27" s="32">
        <f>SUBTOTAL(101,lineal[AÑOPROY2])</f>
        <v>60982.8</v>
      </c>
      <c r="F27" s="32">
        <f>SUBTOTAL(101,lineal[AÑOPROY3])</f>
        <v>63373.066666666666</v>
      </c>
      <c r="G27" s="32">
        <f>SUBTOTAL(101,lineal[AÑOPROY4])</f>
        <v>65763.399999999994</v>
      </c>
      <c r="H27" s="32">
        <f>SUBTOTAL(101,lineal[AÑOPROY5])</f>
        <v>68153.46666666666</v>
      </c>
      <c r="I27" s="32">
        <f>SUBTOTAL(101,lineal[AÑOPROY6])</f>
        <v>70544</v>
      </c>
      <c r="J27" s="30" t="s">
        <v>10</v>
      </c>
      <c r="K27" s="30"/>
      <c r="L27" s="30"/>
      <c r="M27" s="33">
        <f>SUBTOTAL(101,lineal[AÑOP1])</f>
        <v>58703.6</v>
      </c>
      <c r="N27" s="33">
        <f>SUBTOTAL(101,lineal[AÑOP2])</f>
        <v>61335.4</v>
      </c>
      <c r="O27" s="33">
        <f>SUBTOTAL(101,lineal[AÑOP3])</f>
        <v>64086.26666666667</v>
      </c>
      <c r="P27" s="33">
        <f>SUBTOTAL(101,lineal[AÑOP4])</f>
        <v>66961.8</v>
      </c>
      <c r="Q27" s="33">
        <f>SUBTOTAL(101,lineal[AÑOP5])</f>
        <v>69967.666666666672</v>
      </c>
      <c r="R27" s="33">
        <f>SUBTOTAL(101,lineal[AÑOP6])</f>
        <v>73109.666666666672</v>
      </c>
      <c r="S27" s="30" t="s">
        <v>10</v>
      </c>
      <c r="T27" s="30"/>
      <c r="U27" s="34">
        <f>SUBTOTAL(101,lineal[Kg])</f>
        <v>1.0199999999999999E-2</v>
      </c>
      <c r="V27" s="33">
        <f>SUBTOTAL(101,lineal[AÑOPR1])</f>
        <v>55154.5625</v>
      </c>
      <c r="W27" s="33">
        <f>ROUND(SUBTOTAL(101,lineal[AÑOPR2]),0)</f>
        <v>58040</v>
      </c>
      <c r="X27" s="33">
        <f>ROUND(SUBTOTAL(101,lineal[AÑOPR3]),0)</f>
        <v>61077</v>
      </c>
      <c r="Y27" s="33">
        <f>ROUND(SUBTOTAL(101,lineal[AÑOPR4]),0)</f>
        <v>64273</v>
      </c>
      <c r="Z27" s="33">
        <f>ROUND(SUBTOTAL(101,lineal[AÑOPR5]),0)</f>
        <v>67636</v>
      </c>
      <c r="AA27" s="33">
        <f>SUBTOTAL(101,lineal[AÑOPR6])</f>
        <v>71174.875</v>
      </c>
      <c r="AB27" s="30" t="s">
        <v>10</v>
      </c>
      <c r="AC27" s="30"/>
      <c r="AD27" s="30"/>
      <c r="AE27" s="33">
        <f>SUBTOTAL(101,lineal[AÑOPRO1])</f>
        <v>58698.2</v>
      </c>
      <c r="AF27" s="33">
        <f>SUBTOTAL(101,lineal[AÑOPRO2])</f>
        <v>61337.933333333334</v>
      </c>
      <c r="AG27" s="33">
        <f>SUBTOTAL(101,lineal[AÑOPRO3])</f>
        <v>64107.866666666669</v>
      </c>
      <c r="AH27" s="33">
        <f>SUBTOTAL(101,lineal[AÑOPRO4])</f>
        <v>67018</v>
      </c>
      <c r="AI27" s="33">
        <f>SUBTOTAL(101,lineal[AÑOPRO5])</f>
        <v>70079.666666666672</v>
      </c>
      <c r="AJ27" s="33">
        <f>SUBTOTAL(101,lineal[AÑOPRO6])</f>
        <v>73305.066666666666</v>
      </c>
    </row>
  </sheetData>
  <mergeCells count="12">
    <mergeCell ref="AB5:AJ7"/>
    <mergeCell ref="AB2:AJ4"/>
    <mergeCell ref="AB1:AJ1"/>
    <mergeCell ref="S1:AA1"/>
    <mergeCell ref="S2:AA4"/>
    <mergeCell ref="S5:AA7"/>
    <mergeCell ref="A2:I4"/>
    <mergeCell ref="A5:I7"/>
    <mergeCell ref="J2:R4"/>
    <mergeCell ref="J5:R7"/>
    <mergeCell ref="J1:R1"/>
    <mergeCell ref="A1:I1"/>
  </mergeCells>
  <phoneticPr fontId="4" type="noConversion"/>
  <pageMargins left="0.94488188976377963" right="0.94488188976377963" top="1.1811023622047245" bottom="1.1811023622047245" header="0.19685039370078741" footer="0.31496062992125984"/>
  <pageSetup scale="74" orientation="portrait" r:id="rId1"/>
  <headerFooter>
    <oddHeader>&amp;C&amp;G</oddHeader>
    <oddFooter>&amp;C&amp;8“Formando líderes para la construcción de un nuevo país en paz”
Universidad de Pamplona | Pamplona - Norte de Santander - Colombia
Tels: (+57) 3153429495 - 3160244475
www.unipamplona.edu.co</oddFooter>
  </headerFooter>
  <colBreaks count="3" manualBreakCount="3">
    <brk id="9" max="1048575" man="1"/>
    <brk id="18" max="1048575" man="1"/>
    <brk id="27" max="1048575" man="1"/>
  </colBreaks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6E22B-C0C7-41B5-95CB-CE09508B159D}">
  <dimension ref="D1:I10"/>
  <sheetViews>
    <sheetView showGridLines="0" view="pageBreakPreview" topLeftCell="A10" zoomScale="95" zoomScaleNormal="100" zoomScaleSheetLayoutView="101" zoomScalePageLayoutView="55" workbookViewId="0">
      <selection activeCell="K6" sqref="K6"/>
    </sheetView>
  </sheetViews>
  <sheetFormatPr baseColWidth="10" defaultColWidth="6" defaultRowHeight="15" x14ac:dyDescent="0.25"/>
  <cols>
    <col min="1" max="2" width="6" style="1"/>
    <col min="3" max="3" width="10.28515625" style="1" bestFit="1" customWidth="1"/>
    <col min="4" max="4" width="8.42578125" style="1" bestFit="1" customWidth="1"/>
    <col min="5" max="5" width="10" style="1" bestFit="1" customWidth="1"/>
    <col min="6" max="6" width="15.42578125" style="1" customWidth="1"/>
    <col min="7" max="7" width="17.140625" style="1" customWidth="1"/>
    <col min="8" max="8" width="10" style="1" bestFit="1" customWidth="1"/>
    <col min="9" max="9" width="10.5703125" style="1" customWidth="1"/>
    <col min="10" max="10" width="10.28515625" style="1" bestFit="1" customWidth="1"/>
    <col min="11" max="11" width="14" style="1" bestFit="1" customWidth="1"/>
    <col min="12" max="12" width="8.42578125" style="1" bestFit="1" customWidth="1"/>
    <col min="13" max="17" width="10" style="1" bestFit="1" customWidth="1"/>
    <col min="18" max="18" width="10.28515625" style="1" bestFit="1" customWidth="1"/>
    <col min="19" max="19" width="12.42578125" style="1" bestFit="1" customWidth="1"/>
    <col min="20" max="20" width="8" style="1" bestFit="1" customWidth="1"/>
    <col min="21" max="21" width="9.85546875" style="1" bestFit="1" customWidth="1"/>
    <col min="22" max="25" width="10.140625" style="1" bestFit="1" customWidth="1"/>
    <col min="26" max="26" width="9.85546875" style="1" bestFit="1" customWidth="1"/>
    <col min="27" max="27" width="12.7109375" style="1" bestFit="1" customWidth="1"/>
    <col min="28" max="28" width="10" style="1" bestFit="1" customWidth="1"/>
    <col min="29" max="33" width="8.85546875" style="1" bestFit="1" customWidth="1"/>
    <col min="34" max="16384" width="6" style="1"/>
  </cols>
  <sheetData>
    <row r="1" spans="4:9" ht="15.75" thickBot="1" x14ac:dyDescent="0.3"/>
    <row r="2" spans="4:9" ht="15.75" thickBot="1" x14ac:dyDescent="0.25">
      <c r="D2" s="103" t="s">
        <v>41</v>
      </c>
      <c r="E2" s="104"/>
      <c r="F2" s="104"/>
      <c r="G2" s="104"/>
      <c r="H2" s="104"/>
      <c r="I2" s="105"/>
    </row>
    <row r="3" spans="4:9" x14ac:dyDescent="0.2">
      <c r="D3" s="35"/>
      <c r="E3" s="106" t="s">
        <v>42</v>
      </c>
      <c r="F3" s="107"/>
      <c r="G3" s="107"/>
      <c r="H3" s="107"/>
      <c r="I3" s="108"/>
    </row>
    <row r="4" spans="4:9" x14ac:dyDescent="0.2">
      <c r="D4" s="40" t="s">
        <v>1</v>
      </c>
      <c r="E4" s="9" t="s">
        <v>43</v>
      </c>
      <c r="F4" s="10" t="s">
        <v>44</v>
      </c>
      <c r="G4" s="11" t="s">
        <v>49</v>
      </c>
      <c r="H4" s="12" t="s">
        <v>45</v>
      </c>
      <c r="I4" s="13" t="s">
        <v>10</v>
      </c>
    </row>
    <row r="5" spans="4:9" x14ac:dyDescent="0.2">
      <c r="D5" s="15">
        <f>METODOS!D8</f>
        <v>2024</v>
      </c>
      <c r="E5" s="14">
        <f>lineal[[#Totals],[AÑOPROY1]]</f>
        <v>58592.533333333333</v>
      </c>
      <c r="F5" s="14">
        <f>lineal[[#Totals],[AÑOP1]]</f>
        <v>58703.6</v>
      </c>
      <c r="G5" s="14">
        <f>lineal[[#Totals],[AÑOPR1]]</f>
        <v>55154.5625</v>
      </c>
      <c r="H5" s="14">
        <f>lineal[[#Totals],[AÑOPRO1]]</f>
        <v>58698.2</v>
      </c>
      <c r="I5" s="36">
        <f>AVERAGE(E5:H5)</f>
        <v>57787.223958333328</v>
      </c>
    </row>
    <row r="6" spans="4:9" x14ac:dyDescent="0.2">
      <c r="D6" s="15">
        <f>D5+5</f>
        <v>2029</v>
      </c>
      <c r="E6" s="14">
        <f>lineal[[#Totals],[AÑOPROY2]]</f>
        <v>60982.8</v>
      </c>
      <c r="F6" s="14">
        <f>lineal[[#Totals],[AÑOP2]]</f>
        <v>61335.4</v>
      </c>
      <c r="G6" s="14">
        <f>lineal[[#Totals],[AÑOPR2]]</f>
        <v>58040</v>
      </c>
      <c r="H6" s="14">
        <f>lineal[[#Totals],[AÑOPRO2]]</f>
        <v>61337.933333333334</v>
      </c>
      <c r="I6" s="36">
        <f t="shared" ref="I6:I10" si="0">AVERAGE(E6:H6)</f>
        <v>60424.03333333334</v>
      </c>
    </row>
    <row r="7" spans="4:9" x14ac:dyDescent="0.2">
      <c r="D7" s="15">
        <f t="shared" ref="D7:D10" si="1">D6+5</f>
        <v>2034</v>
      </c>
      <c r="E7" s="14">
        <f>lineal[[#Totals],[AÑOPROY3]]</f>
        <v>63373.066666666666</v>
      </c>
      <c r="F7" s="14">
        <f>lineal[[#Totals],[AÑOP3]]</f>
        <v>64086.26666666667</v>
      </c>
      <c r="G7" s="14">
        <f>lineal[[#Totals],[AÑOPR3]]</f>
        <v>61077</v>
      </c>
      <c r="H7" s="14">
        <f>lineal[[#Totals],[AÑOPRO3]]</f>
        <v>64107.866666666669</v>
      </c>
      <c r="I7" s="36">
        <f t="shared" si="0"/>
        <v>63161.05</v>
      </c>
    </row>
    <row r="8" spans="4:9" x14ac:dyDescent="0.2">
      <c r="D8" s="15">
        <f t="shared" si="1"/>
        <v>2039</v>
      </c>
      <c r="E8" s="14">
        <f>lineal[[#Totals],[AÑOPROY4]]</f>
        <v>65763.399999999994</v>
      </c>
      <c r="F8" s="14">
        <f>lineal[[#Totals],[AÑOP4]]</f>
        <v>66961.8</v>
      </c>
      <c r="G8" s="14">
        <f>lineal[[#Totals],[AÑOPR4]]</f>
        <v>64273</v>
      </c>
      <c r="H8" s="14">
        <f>lineal[[#Totals],[AÑOPRO4]]</f>
        <v>67018</v>
      </c>
      <c r="I8" s="36">
        <f t="shared" si="0"/>
        <v>66004.05</v>
      </c>
    </row>
    <row r="9" spans="4:9" x14ac:dyDescent="0.2">
      <c r="D9" s="15">
        <f t="shared" si="1"/>
        <v>2044</v>
      </c>
      <c r="E9" s="14">
        <f>lineal[[#Totals],[AÑOPROY5]]</f>
        <v>68153.46666666666</v>
      </c>
      <c r="F9" s="14">
        <f>lineal[[#Totals],[AÑOP5]]</f>
        <v>69967.666666666672</v>
      </c>
      <c r="G9" s="14">
        <f>lineal[[#Totals],[AÑOPR5]]</f>
        <v>67636</v>
      </c>
      <c r="H9" s="14">
        <f>lineal[[#Totals],[AÑOPRO5]]</f>
        <v>70079.666666666672</v>
      </c>
      <c r="I9" s="36">
        <f t="shared" si="0"/>
        <v>68959.199999999997</v>
      </c>
    </row>
    <row r="10" spans="4:9" ht="15.75" thickBot="1" x14ac:dyDescent="0.25">
      <c r="D10" s="37">
        <f t="shared" si="1"/>
        <v>2049</v>
      </c>
      <c r="E10" s="38">
        <f>lineal[[#Totals],[AÑOPROY6]]</f>
        <v>70544</v>
      </c>
      <c r="F10" s="38">
        <f>lineal[[#Totals],[AÑOP6]]</f>
        <v>73109.666666666672</v>
      </c>
      <c r="G10" s="38">
        <f>lineal[[#Totals],[AÑOPR6]]</f>
        <v>71174.875</v>
      </c>
      <c r="H10" s="38">
        <f>lineal[[#Totals],[AÑOPRO6]]</f>
        <v>73305.066666666666</v>
      </c>
      <c r="I10" s="39">
        <f t="shared" si="0"/>
        <v>72033.402083333334</v>
      </c>
    </row>
  </sheetData>
  <mergeCells count="2">
    <mergeCell ref="D2:I2"/>
    <mergeCell ref="E3:I3"/>
  </mergeCells>
  <pageMargins left="0.94488188976377963" right="0.94488188976377963" top="1.1811023622047245" bottom="1.1811023622047245" header="0.19685039370078741" footer="0.31496062992125984"/>
  <pageSetup scale="68" orientation="portrait" r:id="rId1"/>
  <headerFooter>
    <oddHeader>&amp;C&amp;G</oddHeader>
    <oddFooter>&amp;C&amp;8“Formando líderes para la construcción de un nuevo país en paz”
Universidad de Pamplona | Pamplona - Norte de Santander - Colombia
Tels: (+57) 3153429495 - 3160244475
www.unipamplona.edu.co</oddFooter>
  </headerFooter>
  <colBreaks count="2" manualBreakCount="2">
    <brk id="17" max="1048575" man="1"/>
    <brk id="25" max="1048575" man="1"/>
  </col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51D06-7300-44FA-9D1B-C667497477DC}">
  <dimension ref="B1:R29"/>
  <sheetViews>
    <sheetView showGridLines="0" tabSelected="1" zoomScaleNormal="100" workbookViewId="0">
      <selection activeCell="K4" sqref="K4"/>
    </sheetView>
  </sheetViews>
  <sheetFormatPr baseColWidth="10" defaultRowHeight="15" x14ac:dyDescent="0.25"/>
  <cols>
    <col min="2" max="2" width="12.5703125" customWidth="1"/>
    <col min="3" max="3" width="13.140625" customWidth="1"/>
    <col min="4" max="4" width="11" style="43" bestFit="1" customWidth="1"/>
    <col min="5" max="5" width="13.7109375" customWidth="1"/>
    <col min="6" max="6" width="13.42578125" customWidth="1"/>
    <col min="8" max="8" width="13.5703125" bestFit="1" customWidth="1"/>
    <col min="13" max="13" width="14.140625" customWidth="1"/>
  </cols>
  <sheetData>
    <row r="1" spans="2:16" ht="15.75" thickBot="1" x14ac:dyDescent="0.3"/>
    <row r="2" spans="2:16" ht="16.5" thickBot="1" x14ac:dyDescent="0.3">
      <c r="B2" s="47"/>
      <c r="C2" s="47"/>
      <c r="D2" s="109" t="s">
        <v>61</v>
      </c>
      <c r="E2" s="110"/>
      <c r="F2" s="110"/>
      <c r="G2" s="111"/>
    </row>
    <row r="3" spans="2:16" s="45" customFormat="1" ht="31.5" x14ac:dyDescent="0.25">
      <c r="B3" s="48" t="s">
        <v>62</v>
      </c>
      <c r="C3" s="48" t="s">
        <v>50</v>
      </c>
      <c r="D3" s="48" t="s">
        <v>55</v>
      </c>
      <c r="E3" s="48" t="s">
        <v>56</v>
      </c>
      <c r="F3" s="48" t="s">
        <v>57</v>
      </c>
      <c r="G3" s="48" t="s">
        <v>60</v>
      </c>
    </row>
    <row r="4" spans="2:16" ht="15.75" x14ac:dyDescent="0.25">
      <c r="B4" s="55">
        <v>1985</v>
      </c>
      <c r="C4" s="56">
        <v>35058</v>
      </c>
      <c r="D4" s="55">
        <f>IF(Tabla25[[#This Row],[Año]]="","",IFERROR(ROUND((VLOOKUP(MAX(Tabla25[Año]),lineal[],2,FALSE)-Tabla25[[#This Row],[Población]])/(MAX(Tabla25[Año])-Tabla25[[#This Row],[Año]]),2),""))</f>
        <v>679.05</v>
      </c>
      <c r="E4" s="55">
        <f>IFERROR(ROUND((((VLOOKUP(MAX(Tabla25[Año]),Tabla25[#All],2,FALSE))/Tabla25[[#This Row],[Población]])^(1/(MAX(Tabla25[Año])-Tabla25[[#This Row],[Año]])))-1,5),"")</f>
        <v>1.644E-2</v>
      </c>
      <c r="F4" s="55">
        <f>IFERROR(ROUND((LN(C5)-LN(Tabla25[[#This Row],[Población]]))/(B5-Tabla25[[#This Row],[Año]]),5),"")</f>
        <v>9.5099999999999994E-3</v>
      </c>
      <c r="G4" s="57">
        <f>IF(Tabla25[[#This Row],[Año]]=0,"",IFERROR(ROUND((200*(VLOOKUP(MAX(Tabla25[Año]),Tabla25[#All],2,FALSE)-Tabla25[[#This Row],[Población]]))/((MAX(Tabla25[Año])-Tabla25[[#This Row],[Año]])*(VLOOKUP(MAX(Tabla25[Año]),Tabla25[#All],2,FALSE)+Tabla25[[#This Row],[Población]])),2),""))</f>
        <v>1.62</v>
      </c>
    </row>
    <row r="5" spans="2:16" ht="15.75" x14ac:dyDescent="0.25">
      <c r="B5" s="55">
        <v>1993</v>
      </c>
      <c r="C5" s="56">
        <v>37829</v>
      </c>
      <c r="D5" s="55">
        <f>IF(Tabla25[[#This Row],[Año]]="","",IFERROR(ROUND((VLOOKUP(MAX(Tabla25[Año]),lineal[],2,FALSE)-Tabla25[[#This Row],[Población]])/(MAX(Tabla25[Año])-Tabla25[[#This Row],[Año]]),2),""))</f>
        <v>900.83</v>
      </c>
      <c r="E5" s="55">
        <f>IFERROR(ROUND((((VLOOKUP(MAX(Tabla25[Año]),Tabla25[#All],2,FALSE))/Tabla25[[#This Row],[Población]])^(1/(MAX(Tabla25[Año])-Tabla25[[#This Row],[Año]])))-1,5),"")</f>
        <v>2.1049999999999999E-2</v>
      </c>
      <c r="F5" s="55">
        <f>IFERROR(ROUND((LN(C6)-LN(Tabla25[[#This Row],[Población]]))/(B6-Tabla25[[#This Row],[Año]]),5),"")</f>
        <v>2.0840000000000001E-2</v>
      </c>
      <c r="G5" s="57">
        <f>IF(Tabla25[[#This Row],[Año]]=0,"",IFERROR(ROUND((200*(VLOOKUP(MAX(Tabla25[Año]),Tabla25[#All],2,FALSE)-Tabla25[[#This Row],[Población]]))/((MAX(Tabla25[Año])-Tabla25[[#This Row],[Año]])*(VLOOKUP(MAX(Tabla25[Año]),Tabla25[#All],2,FALSE)+Tabla25[[#This Row],[Población]])),2),""))</f>
        <v>2.0699999999999998</v>
      </c>
    </row>
    <row r="6" spans="2:16" ht="15.75" x14ac:dyDescent="0.25">
      <c r="B6" s="55">
        <v>2005</v>
      </c>
      <c r="C6" s="56">
        <v>48575</v>
      </c>
      <c r="D6" s="55" t="str">
        <f>IF(Tabla25[[#This Row],[Año]]="","",IFERROR(ROUND((VLOOKUP(MAX(Tabla25[Año]),lineal[],2,FALSE)-Tabla25[[#This Row],[Población]])/(MAX(Tabla25[Año])-Tabla25[[#This Row],[Año]]),2),""))</f>
        <v/>
      </c>
      <c r="E6" s="55" t="str">
        <f>IFERROR(ROUND((((VLOOKUP(MAX(Tabla25[Año]),Tabla25[#All],2,FALSE))/Tabla25[[#This Row],[Población]])^(1/(MAX(Tabla25[Año])-Tabla25[[#This Row],[Año]])))-1,5),"")</f>
        <v/>
      </c>
      <c r="F6" s="55" t="str">
        <f>IFERROR(ROUND((LN(C7)-LN(Tabla25[[#This Row],[Población]]))/(B7-Tabla25[[#This Row],[Año]]),5),"")</f>
        <v/>
      </c>
      <c r="G6" s="57" t="str">
        <f>IF(Tabla25[[#This Row],[Año]]=0,"",IFERROR(ROUND((200*(VLOOKUP(MAX(Tabla25[Año]),Tabla25[#All],2,FALSE)-Tabla25[[#This Row],[Población]]))/((MAX(Tabla25[Año])-Tabla25[[#This Row],[Año]])*(VLOOKUP(MAX(Tabla25[Año]),Tabla25[#All],2,FALSE)+Tabla25[[#This Row],[Población]])),2),""))</f>
        <v/>
      </c>
    </row>
    <row r="7" spans="2:16" ht="15.75" x14ac:dyDescent="0.25">
      <c r="B7" s="55"/>
      <c r="C7" s="56"/>
      <c r="D7" s="55" t="str">
        <f>IF(Tabla25[[#This Row],[Año]]="","",IFERROR(ROUND((VLOOKUP(MAX(Tabla25[Año]),lineal[],2,FALSE)-Tabla25[[#This Row],[Población]])/(MAX(Tabla25[Año])-Tabla25[[#This Row],[Año]]),2),""))</f>
        <v/>
      </c>
      <c r="E7" s="55" t="str">
        <f>IFERROR(ROUND((((VLOOKUP(MAX(Tabla25[Año]),Tabla25[#All],2,FALSE))/Tabla25[[#This Row],[Población]])^(1/(MAX(Tabla25[Año])-Tabla25[[#This Row],[Año]])))-1,5),"")</f>
        <v/>
      </c>
      <c r="F7" s="55" t="str">
        <f>IFERROR(ROUND((LN(C8)-LN(Tabla25[[#This Row],[Población]]))/(B8-Tabla25[[#This Row],[Año]]),5),"")</f>
        <v/>
      </c>
      <c r="G7" s="57" t="str">
        <f>IF(Tabla25[[#This Row],[Año]]=0,"",IFERROR(ROUND((200*(VLOOKUP(MAX(Tabla25[Año]),Tabla25[#All],2,FALSE)-Tabla25[[#This Row],[Población]]))/((MAX(Tabla25[Año])-Tabla25[[#This Row],[Año]])*(VLOOKUP(MAX(Tabla25[Año]),Tabla25[#All],2,FALSE)+Tabla25[[#This Row],[Población]])),2),""))</f>
        <v/>
      </c>
    </row>
    <row r="8" spans="2:16" ht="15.75" x14ac:dyDescent="0.25">
      <c r="B8" s="49" t="s">
        <v>10</v>
      </c>
      <c r="C8" s="52"/>
      <c r="D8" s="49">
        <f>SUBTOTAL(101,Tabla25[K Método Aritmético])</f>
        <v>789.94</v>
      </c>
      <c r="E8" s="49">
        <f>SUBTOTAL(101,Tabla25[r Método Geométrico])</f>
        <v>1.8744999999999998E-2</v>
      </c>
      <c r="F8" s="49">
        <f>SUBTOTAL(101,Tabla25[K Método Exponencial])</f>
        <v>1.5175000000000001E-2</v>
      </c>
      <c r="G8" s="51">
        <f>SUBTOTAL(101,Tabla25[i Método Wappus])</f>
        <v>1.845</v>
      </c>
    </row>
    <row r="9" spans="2:16" x14ac:dyDescent="0.25">
      <c r="B9" s="43"/>
      <c r="C9" s="44"/>
    </row>
    <row r="10" spans="2:16" ht="15.75" thickBot="1" x14ac:dyDescent="0.3">
      <c r="B10" s="43"/>
      <c r="C10" s="44"/>
    </row>
    <row r="11" spans="2:16" ht="19.5" thickBot="1" x14ac:dyDescent="0.35">
      <c r="B11" s="47"/>
      <c r="C11" s="109" t="s">
        <v>63</v>
      </c>
      <c r="D11" s="110"/>
      <c r="E11" s="110"/>
      <c r="F11" s="110"/>
      <c r="G11" s="111"/>
      <c r="K11" s="112" t="s">
        <v>69</v>
      </c>
      <c r="L11" s="113"/>
      <c r="M11" s="113"/>
      <c r="N11" s="113"/>
      <c r="O11" s="113"/>
      <c r="P11" s="113"/>
    </row>
    <row r="12" spans="2:16" s="46" customFormat="1" ht="35.25" customHeight="1" x14ac:dyDescent="0.25">
      <c r="B12" s="48" t="s">
        <v>52</v>
      </c>
      <c r="C12" s="48" t="s">
        <v>51</v>
      </c>
      <c r="D12" s="48" t="s">
        <v>53</v>
      </c>
      <c r="E12" s="48" t="s">
        <v>54</v>
      </c>
      <c r="F12" s="48" t="s">
        <v>58</v>
      </c>
      <c r="G12" s="48" t="s">
        <v>59</v>
      </c>
      <c r="H12" s="58" t="s">
        <v>64</v>
      </c>
      <c r="K12" s="70" t="s">
        <v>65</v>
      </c>
      <c r="L12" s="71" t="s">
        <v>52</v>
      </c>
      <c r="M12" s="70" t="s">
        <v>66</v>
      </c>
      <c r="N12" s="70" t="s">
        <v>70</v>
      </c>
      <c r="O12" s="70" t="s">
        <v>71</v>
      </c>
      <c r="P12" s="70" t="s">
        <v>72</v>
      </c>
    </row>
    <row r="13" spans="2:16" s="46" customFormat="1" ht="21" customHeight="1" x14ac:dyDescent="0.25">
      <c r="B13" s="49">
        <v>2005</v>
      </c>
      <c r="C13" s="56">
        <v>48639</v>
      </c>
      <c r="D13" s="52">
        <f>$C$6+Tabla25[[#Totals],[K Método Aritmético]]*(Tabla36[[#This Row],[Año Proyectado]]-$B$6)</f>
        <v>48575</v>
      </c>
      <c r="E13" s="52">
        <f>$C$6*(1+Tabla25[[#Totals],[r Método Geométrico]])^(Tabla36[[#This Row],[Año Proyectado]]-$B$6)</f>
        <v>48575</v>
      </c>
      <c r="F13" s="52">
        <f>$C$6*EXP(1)^(Tabla25[[#Totals],[K Método Exponencial]]*(Tabla36[[#This Row],[Año Proyectado]]-$B$6))</f>
        <v>48575</v>
      </c>
      <c r="G13" s="52">
        <f>$C$6*((200+(Tabla25[[#Totals],[i Método Wappus]]*(Tabla36[[#This Row],[Año Proyectado]]-$B$6)))/(200-(Tabla25[[#Totals],[i Método Wappus]]*(Tabla36[[#This Row],[Año Proyectado]]-$B$6))))</f>
        <v>48575</v>
      </c>
      <c r="H13" s="60">
        <f>AVERAGE(Tabla36[[#This Row],[Proyección del DANE]:[Método Wappus]])</f>
        <v>48587.8</v>
      </c>
      <c r="K13" s="77">
        <f>120/(1-K16/100)</f>
        <v>208.44189682126108</v>
      </c>
      <c r="L13" s="63">
        <v>2005</v>
      </c>
      <c r="M13" s="64">
        <f>AVERAGE(Tabla36[[#This Row],[Proyección del DANE]:[Método Wappus]])</f>
        <v>48587.8</v>
      </c>
      <c r="N13" s="65">
        <f>(M13*$K$13)/86400</f>
        <v>117.21913419412117</v>
      </c>
      <c r="O13" s="65">
        <f t="shared" ref="O13:O29" si="0">N13*$K$19</f>
        <v>152.38487445235754</v>
      </c>
      <c r="P13" s="65">
        <f t="shared" ref="P13:P29" si="1">O13*$K$22</f>
        <v>243.81579912377208</v>
      </c>
    </row>
    <row r="14" spans="2:16" ht="15.75" x14ac:dyDescent="0.25">
      <c r="B14" s="49">
        <v>2020</v>
      </c>
      <c r="C14" s="53">
        <v>50086</v>
      </c>
      <c r="D14" s="52">
        <f>$C$6+Tabla25[[#Totals],[K Método Aritmético]]*(Tabla36[[#This Row],[Año Proyectado]]-$B$6)</f>
        <v>60424.1</v>
      </c>
      <c r="E14" s="52">
        <f>$C$6*(1+Tabla25[[#Totals],[r Método Geométrico]])^(Tabla36[[#This Row],[Año Proyectado]]-$B$6)</f>
        <v>64179.327612976216</v>
      </c>
      <c r="F14" s="52">
        <f>$C$6*EXP(1)^(Tabla25[[#Totals],[K Método Exponencial]]*(Tabla36[[#This Row],[Año Proyectado]]-$B$6))</f>
        <v>60991.468593154939</v>
      </c>
      <c r="G14" s="52">
        <f>$C$6*((200+(Tabla25[[#Totals],[i Método Wappus]]*(Tabla36[[#This Row],[Año Proyectado]]-$B$6)))/(200-(Tabla25[[#Totals],[i Método Wappus]]*(Tabla36[[#This Row],[Año Proyectado]]-$B$6))))</f>
        <v>64177.06731466706</v>
      </c>
      <c r="H14" s="61">
        <f>AVERAGE(Tabla36[[#This Row],[Proyección del DANE]:[Método Wappus]])</f>
        <v>59971.592704159651</v>
      </c>
      <c r="L14" s="63">
        <v>2020</v>
      </c>
      <c r="M14" s="64">
        <f>AVERAGE(Tabla36[[#This Row],[Proyección del DANE]:[Método Wappus]])</f>
        <v>59971.592704159651</v>
      </c>
      <c r="N14" s="65">
        <f t="shared" ref="N14:N29" si="2">(M14*$K$13)/86400</f>
        <v>144.68278401211967</v>
      </c>
      <c r="O14" s="65">
        <f t="shared" si="0"/>
        <v>188.08761921575558</v>
      </c>
      <c r="P14" s="65">
        <f t="shared" si="1"/>
        <v>300.94019074520895</v>
      </c>
    </row>
    <row r="15" spans="2:16" ht="15.75" x14ac:dyDescent="0.25">
      <c r="B15" s="49">
        <v>2021</v>
      </c>
      <c r="C15" s="53">
        <v>51128</v>
      </c>
      <c r="D15" s="52">
        <f>$C$6+Tabla25[[#Totals],[K Método Aritmético]]*(Tabla36[[#This Row],[Año Proyectado]]-$B$6)</f>
        <v>61214.04</v>
      </c>
      <c r="E15" s="52">
        <f>$C$6*(1+Tabla25[[#Totals],[r Método Geométrico]])^(Tabla36[[#This Row],[Año Proyectado]]-$B$6)</f>
        <v>65382.369109081461</v>
      </c>
      <c r="F15" s="52">
        <f>$C$6*EXP(1)^(Tabla25[[#Totals],[K Método Exponencial]]*(Tabla36[[#This Row],[Año Proyectado]]-$B$6))</f>
        <v>61924.072363517458</v>
      </c>
      <c r="G15" s="52">
        <f>$C$6*((200+(Tabla25[[#Totals],[i Método Wappus]]*(Tabla36[[#This Row],[Año Proyectado]]-$B$6)))/(200-(Tabla25[[#Totals],[i Método Wappus]]*(Tabla36[[#This Row],[Año Proyectado]]-$B$6))))</f>
        <v>65397.313467855471</v>
      </c>
      <c r="H15" s="61">
        <f>AVERAGE(Tabla36[[#This Row],[Proyección del DANE]:[Método Wappus]])</f>
        <v>61009.158988090872</v>
      </c>
      <c r="K15" s="70" t="s">
        <v>73</v>
      </c>
      <c r="L15" s="63">
        <v>2021</v>
      </c>
      <c r="M15" s="64">
        <f>AVERAGE(Tabla36[[#This Row],[Proyección del DANE]:[Método Wappus]])</f>
        <v>61009.158988090872</v>
      </c>
      <c r="N15" s="65">
        <f t="shared" si="2"/>
        <v>147.18593545078184</v>
      </c>
      <c r="O15" s="65">
        <f t="shared" si="0"/>
        <v>191.34171608601639</v>
      </c>
      <c r="P15" s="65">
        <f t="shared" si="1"/>
        <v>306.14674573762625</v>
      </c>
    </row>
    <row r="16" spans="2:16" ht="15.75" x14ac:dyDescent="0.25">
      <c r="B16" s="49">
        <v>2022</v>
      </c>
      <c r="C16" s="53">
        <v>51909</v>
      </c>
      <c r="D16" s="52">
        <f>$C$6+Tabla25[[#Totals],[K Método Aritmético]]*(Tabla36[[#This Row],[Año Proyectado]]-$B$6)</f>
        <v>62003.98</v>
      </c>
      <c r="E16" s="52">
        <f>$C$6*(1+Tabla25[[#Totals],[r Método Geométrico]])^(Tabla36[[#This Row],[Año Proyectado]]-$B$6)</f>
        <v>66607.9616180312</v>
      </c>
      <c r="F16" s="52">
        <f>$C$6*EXP(1)^(Tabla25[[#Totals],[K Método Exponencial]]*(Tabla36[[#This Row],[Año Proyectado]]-$B$6))</f>
        <v>62870.93632161698</v>
      </c>
      <c r="G16" s="52">
        <f>$C$6*((200+(Tabla25[[#Totals],[i Método Wappus]]*(Tabla36[[#This Row],[Año Proyectado]]-$B$6)))/(200-(Tabla25[[#Totals],[i Método Wappus]]*(Tabla36[[#This Row],[Año Proyectado]]-$B$6))))</f>
        <v>66644.260533104054</v>
      </c>
      <c r="H16" s="61">
        <f>AVERAGE(Tabla36[[#This Row],[Proyección del DANE]:[Método Wappus]])</f>
        <v>62007.227694550449</v>
      </c>
      <c r="K16" s="76">
        <v>42.43</v>
      </c>
      <c r="L16" s="63">
        <v>2022</v>
      </c>
      <c r="M16" s="64">
        <f>AVERAGE(Tabla36[[#This Row],[Proyección del DANE]:[Método Wappus]])</f>
        <v>62007.227694550449</v>
      </c>
      <c r="N16" s="65">
        <f t="shared" si="2"/>
        <v>149.59379811666582</v>
      </c>
      <c r="O16" s="65">
        <f t="shared" si="0"/>
        <v>194.47193755166558</v>
      </c>
      <c r="P16" s="65">
        <f t="shared" si="1"/>
        <v>311.15510008266494</v>
      </c>
    </row>
    <row r="17" spans="2:18" ht="15.75" x14ac:dyDescent="0.25">
      <c r="B17" s="49">
        <v>2023</v>
      </c>
      <c r="C17" s="53">
        <v>52472</v>
      </c>
      <c r="D17" s="52">
        <f>$C$6+Tabla25[[#Totals],[K Método Aritmético]]*(Tabla36[[#This Row],[Año Proyectado]]-$B$6)</f>
        <v>62793.919999999998</v>
      </c>
      <c r="E17" s="52">
        <f>$C$6*(1+Tabla25[[#Totals],[r Método Geométrico]])^(Tabla36[[#This Row],[Año Proyectado]]-$B$6)</f>
        <v>67856.527858561181</v>
      </c>
      <c r="F17" s="52">
        <f>$C$6*EXP(1)^(Tabla25[[#Totals],[K Método Exponencial]]*(Tabla36[[#This Row],[Año Proyectado]]-$B$6))</f>
        <v>63832.278516061888</v>
      </c>
      <c r="G17" s="52">
        <f>$C$6*((200+(Tabla25[[#Totals],[i Método Wappus]]*(Tabla36[[#This Row],[Año Proyectado]]-$B$6)))/(200-(Tabla25[[#Totals],[i Método Wappus]]*(Tabla36[[#This Row],[Año Proyectado]]-$B$6))))</f>
        <v>67918.794592001927</v>
      </c>
      <c r="H17" s="61">
        <f>AVERAGE(Tabla36[[#This Row],[Proyección del DANE]:[Método Wappus]])</f>
        <v>62974.704193325</v>
      </c>
      <c r="L17" s="63">
        <v>2023</v>
      </c>
      <c r="M17" s="64">
        <f>AVERAGE(Tabla36[[#This Row],[Proyección del DANE]:[Método Wappus]])</f>
        <v>62974.704193325</v>
      </c>
      <c r="N17" s="65">
        <f t="shared" si="2"/>
        <v>151.9278564098899</v>
      </c>
      <c r="O17" s="65">
        <f t="shared" si="0"/>
        <v>197.50621333285687</v>
      </c>
      <c r="P17" s="65">
        <f t="shared" si="1"/>
        <v>316.00994133257103</v>
      </c>
    </row>
    <row r="18" spans="2:18" ht="15.75" x14ac:dyDescent="0.25">
      <c r="B18" s="49">
        <v>2024</v>
      </c>
      <c r="C18" s="53">
        <v>52877</v>
      </c>
      <c r="D18" s="52">
        <f>$C$6+Tabla25[[#Totals],[K Método Aritmético]]*(Tabla36[[#This Row],[Año Proyectado]]-$B$6)</f>
        <v>63583.86</v>
      </c>
      <c r="E18" s="52">
        <f>$C$6*(1+Tabla25[[#Totals],[r Método Geométrico]])^(Tabla36[[#This Row],[Año Proyectado]]-$B$6)</f>
        <v>69128.498473269909</v>
      </c>
      <c r="F18" s="52">
        <f>$C$6*EXP(1)^(Tabla25[[#Totals],[K Método Exponencial]]*(Tabla36[[#This Row],[Año Proyectado]]-$B$6))</f>
        <v>64808.32032958186</v>
      </c>
      <c r="G18" s="52">
        <f>$C$6*((200+(Tabla25[[#Totals],[i Método Wappus]]*(Tabla36[[#This Row],[Año Proyectado]]-$B$6)))/(200-(Tabla25[[#Totals],[i Método Wappus]]*(Tabla36[[#This Row],[Año Proyectado]]-$B$6))))</f>
        <v>69221.841371366216</v>
      </c>
      <c r="H18" s="61">
        <f>AVERAGE(Tabla36[[#This Row],[Proyección del DANE]:[Método Wappus]])</f>
        <v>63923.904034843596</v>
      </c>
      <c r="K18" s="70" t="s">
        <v>67</v>
      </c>
      <c r="L18" s="63">
        <v>2024</v>
      </c>
      <c r="M18" s="64">
        <f>AVERAGE(Tabla36[[#This Row],[Proyección del DANE]:[Método Wappus]])</f>
        <v>63923.904034843596</v>
      </c>
      <c r="N18" s="73">
        <f t="shared" si="2"/>
        <v>154.21782186623918</v>
      </c>
      <c r="O18" s="65">
        <f t="shared" si="0"/>
        <v>200.48316842611095</v>
      </c>
      <c r="P18" s="65">
        <f t="shared" si="1"/>
        <v>320.77306948177755</v>
      </c>
    </row>
    <row r="19" spans="2:18" ht="15.75" x14ac:dyDescent="0.25">
      <c r="B19" s="49">
        <v>2025</v>
      </c>
      <c r="C19" s="53">
        <v>53141</v>
      </c>
      <c r="D19" s="52">
        <f>$C$6+Tabla25[[#Totals],[K Método Aritmético]]*(Tabla36[[#This Row],[Año Proyectado]]-$B$6)</f>
        <v>64373.8</v>
      </c>
      <c r="E19" s="52">
        <f>$C$6*(1+Tabla25[[#Totals],[r Método Geométrico]])^(Tabla36[[#This Row],[Año Proyectado]]-$B$6)</f>
        <v>70424.312177151369</v>
      </c>
      <c r="F19" s="52">
        <f>$C$6*EXP(1)^(Tabla25[[#Totals],[K Método Exponencial]]*(Tabla36[[#This Row],[Año Proyectado]]-$B$6))</f>
        <v>65799.286530008991</v>
      </c>
      <c r="G19" s="52">
        <f>$C$6*((200+(Tabla25[[#Totals],[i Método Wappus]]*(Tabla36[[#This Row],[Año Proyectado]]-$B$6)))/(200-(Tabla25[[#Totals],[i Método Wappus]]*(Tabla36[[#This Row],[Año Proyectado]]-$B$6))))</f>
        <v>70554.368485591665</v>
      </c>
      <c r="H19" s="61">
        <f>AVERAGE(Tabla36[[#This Row],[Proyección del DANE]:[Método Wappus]])</f>
        <v>64858.553438550407</v>
      </c>
      <c r="K19" s="76">
        <v>1.3</v>
      </c>
      <c r="L19" s="63">
        <v>2025</v>
      </c>
      <c r="M19" s="64">
        <f>AVERAGE(Tabla36[[#This Row],[Proyección del DANE]:[Método Wappus]])</f>
        <v>64858.553438550407</v>
      </c>
      <c r="N19" s="65">
        <f t="shared" si="2"/>
        <v>156.47268407192792</v>
      </c>
      <c r="O19" s="65">
        <f t="shared" si="0"/>
        <v>203.41448929350631</v>
      </c>
      <c r="P19" s="65">
        <f t="shared" si="1"/>
        <v>325.46318286961014</v>
      </c>
    </row>
    <row r="20" spans="2:18" ht="15.75" x14ac:dyDescent="0.25">
      <c r="B20" s="49">
        <v>2026</v>
      </c>
      <c r="C20" s="53">
        <v>53291</v>
      </c>
      <c r="D20" s="52">
        <f>$C$6+Tabla25[[#Totals],[K Método Aritmético]]*(Tabla36[[#This Row],[Año Proyectado]]-$B$6)</f>
        <v>65163.740000000005</v>
      </c>
      <c r="E20" s="52">
        <f>$C$6*(1+Tabla25[[#Totals],[r Método Geométrico]])^(Tabla36[[#This Row],[Año Proyectado]]-$B$6)</f>
        <v>71744.415908912066</v>
      </c>
      <c r="F20" s="52">
        <f>$C$6*EXP(1)^(Tabla25[[#Totals],[K Método Exponencial]]*(Tabla36[[#This Row],[Año Proyectado]]-$B$6))</f>
        <v>66805.405322038496</v>
      </c>
      <c r="G20" s="52">
        <f>$C$6*((200+(Tabla25[[#Totals],[i Método Wappus]]*(Tabla36[[#This Row],[Año Proyectado]]-$B$6)))/(200-(Tabla25[[#Totals],[i Método Wappus]]*(Tabla36[[#This Row],[Año Proyectado]]-$B$6))))</f>
        <v>71917.387832935405</v>
      </c>
      <c r="H20" s="61">
        <f>AVERAGE(Tabla36[[#This Row],[Proyección del DANE]:[Método Wappus]])</f>
        <v>65784.389812777197</v>
      </c>
      <c r="L20" s="63">
        <v>2026</v>
      </c>
      <c r="M20" s="64">
        <f>AVERAGE(Tabla36[[#This Row],[Proyección del DANE]:[Método Wappus]])</f>
        <v>65784.389812777197</v>
      </c>
      <c r="N20" s="65">
        <f t="shared" si="2"/>
        <v>158.70628465051533</v>
      </c>
      <c r="O20" s="65">
        <f t="shared" si="0"/>
        <v>206.31817004566994</v>
      </c>
      <c r="P20" s="65">
        <f t="shared" si="1"/>
        <v>330.10907207307196</v>
      </c>
    </row>
    <row r="21" spans="2:18" ht="15.75" x14ac:dyDescent="0.25">
      <c r="B21" s="49">
        <v>2027</v>
      </c>
      <c r="C21" s="53">
        <v>53385</v>
      </c>
      <c r="D21" s="52">
        <f>$C$6+Tabla25[[#Totals],[K Método Aritmético]]*(Tabla36[[#This Row],[Año Proyectado]]-$B$6)</f>
        <v>65953.679999999993</v>
      </c>
      <c r="E21" s="52">
        <f>$C$6*(1+Tabla25[[#Totals],[r Método Geométrico]])^(Tabla36[[#This Row],[Año Proyectado]]-$B$6)</f>
        <v>73089.26498512461</v>
      </c>
      <c r="F21" s="52">
        <f>$C$6*EXP(1)^(Tabla25[[#Totals],[K Método Exponencial]]*(Tabla36[[#This Row],[Año Proyectado]]-$B$6))</f>
        <v>67826.908399780761</v>
      </c>
      <c r="G21" s="52">
        <f>$C$6*((200+(Tabla25[[#Totals],[i Método Wappus]]*(Tabla36[[#This Row],[Año Proyectado]]-$B$6)))/(200-(Tabla25[[#Totals],[i Método Wappus]]*(Tabla36[[#This Row],[Año Proyectado]]-$B$6))))</f>
        <v>73311.958158208407</v>
      </c>
      <c r="H21" s="61">
        <f>AVERAGE(Tabla36[[#This Row],[Proyección del DANE]:[Método Wappus]])</f>
        <v>66713.36230862276</v>
      </c>
      <c r="K21" s="70" t="s">
        <v>68</v>
      </c>
      <c r="L21" s="63">
        <v>2027</v>
      </c>
      <c r="M21" s="64">
        <f>AVERAGE(Tabla36[[#This Row],[Proyección del DANE]:[Método Wappus]])</f>
        <v>66713.36230862276</v>
      </c>
      <c r="N21" s="65">
        <f t="shared" si="2"/>
        <v>160.94745119135825</v>
      </c>
      <c r="O21" s="65">
        <f t="shared" si="0"/>
        <v>209.23168654876574</v>
      </c>
      <c r="P21" s="65">
        <f t="shared" si="1"/>
        <v>334.77069847802522</v>
      </c>
    </row>
    <row r="22" spans="2:18" ht="15.75" x14ac:dyDescent="0.25">
      <c r="B22" s="49">
        <v>2028</v>
      </c>
      <c r="C22" s="53">
        <v>53436</v>
      </c>
      <c r="D22" s="52">
        <f>$C$6+Tabla25[[#Totals],[K Método Aritmético]]*(Tabla36[[#This Row],[Año Proyectado]]-$B$6)</f>
        <v>66743.62</v>
      </c>
      <c r="E22" s="52">
        <f>$C$6*(1+Tabla25[[#Totals],[r Método Geométrico]])^(Tabla36[[#This Row],[Año Proyectado]]-$B$6)</f>
        <v>74459.323257270793</v>
      </c>
      <c r="F22" s="52">
        <f>$C$6*EXP(1)^(Tabla25[[#Totals],[K Método Exponencial]]*(Tabla36[[#This Row],[Año Proyectado]]-$B$6))</f>
        <v>68864.031000117146</v>
      </c>
      <c r="G22" s="52">
        <f>$C$6*((200+(Tabla25[[#Totals],[i Método Wappus]]*(Tabla36[[#This Row],[Año Proyectado]]-$B$6)))/(200-(Tabla25[[#Totals],[i Método Wappus]]*(Tabla36[[#This Row],[Año Proyectado]]-$B$6))))</f>
        <v>74739.18779551296</v>
      </c>
      <c r="H22" s="61">
        <f>AVERAGE(Tabla36[[#This Row],[Proyección del DANE]:[Método Wappus]])</f>
        <v>67648.432410580179</v>
      </c>
      <c r="K22" s="76">
        <v>1.6</v>
      </c>
      <c r="L22" s="63">
        <v>2028</v>
      </c>
      <c r="M22" s="64">
        <f>AVERAGE(Tabla36[[#This Row],[Proyección del DANE]:[Método Wappus]])</f>
        <v>67648.432410580179</v>
      </c>
      <c r="N22" s="65">
        <f t="shared" si="2"/>
        <v>163.20332834081259</v>
      </c>
      <c r="O22" s="65">
        <f t="shared" si="0"/>
        <v>212.16432684305639</v>
      </c>
      <c r="P22" s="65">
        <f t="shared" si="1"/>
        <v>339.46292294889025</v>
      </c>
    </row>
    <row r="23" spans="2:18" ht="15.75" x14ac:dyDescent="0.25">
      <c r="B23" s="49">
        <v>2029</v>
      </c>
      <c r="C23" s="53">
        <v>53457</v>
      </c>
      <c r="D23" s="52">
        <f>$C$6+Tabla25[[#Totals],[K Método Aritmético]]*(Tabla36[[#This Row],[Año Proyectado]]-$B$6)</f>
        <v>67533.56</v>
      </c>
      <c r="E23" s="52">
        <f>$C$6*(1+Tabla25[[#Totals],[r Método Geométrico]])^(Tabla36[[#This Row],[Año Proyectado]]-$B$6)</f>
        <v>75855.063271728315</v>
      </c>
      <c r="F23" s="52">
        <f>$C$6*EXP(1)^(Tabla25[[#Totals],[K Método Exponencial]]*(Tabla36[[#This Row],[Año Proyectado]]-$B$6))</f>
        <v>69917.011956871458</v>
      </c>
      <c r="G23" s="52">
        <f>$C$6*((200+(Tabla25[[#Totals],[i Método Wappus]]*(Tabla36[[#This Row],[Año Proyectado]]-$B$6)))/(200-(Tabla25[[#Totals],[i Método Wappus]]*(Tabla36[[#This Row],[Año Proyectado]]-$B$6))))</f>
        <v>76200.237605959424</v>
      </c>
      <c r="H23" s="61">
        <f>AVERAGE(Tabla36[[#This Row],[Proyección del DANE]:[Método Wappus]])</f>
        <v>68592.574566911833</v>
      </c>
      <c r="L23" s="63">
        <v>2029</v>
      </c>
      <c r="M23" s="64">
        <f>AVERAGE(Tabla36[[#This Row],[Proyección del DANE]:[Método Wappus]])</f>
        <v>68592.574566911833</v>
      </c>
      <c r="N23" s="65">
        <f t="shared" si="2"/>
        <v>165.48109202061218</v>
      </c>
      <c r="O23" s="65">
        <f t="shared" si="0"/>
        <v>215.12541962679583</v>
      </c>
      <c r="P23" s="65">
        <f t="shared" si="1"/>
        <v>344.20067140287335</v>
      </c>
      <c r="R23" s="72"/>
    </row>
    <row r="24" spans="2:18" ht="15.75" x14ac:dyDescent="0.25">
      <c r="B24" s="49">
        <v>2030</v>
      </c>
      <c r="C24" s="53">
        <v>53486</v>
      </c>
      <c r="D24" s="52">
        <f>$C$6+Tabla25[[#Totals],[K Método Aritmético]]*(Tabla36[[#This Row],[Año Proyectado]]-$B$6)</f>
        <v>68323.5</v>
      </c>
      <c r="E24" s="52">
        <f>$C$6*(1+Tabla25[[#Totals],[r Método Geométrico]])^(Tabla36[[#This Row],[Año Proyectado]]-$B$6)</f>
        <v>77276.966432756875</v>
      </c>
      <c r="F24" s="52">
        <f>$C$6*EXP(1)^(Tabla25[[#Totals],[K Método Exponencial]]*(Tabla36[[#This Row],[Año Proyectado]]-$B$6))</f>
        <v>70986.093755809765</v>
      </c>
      <c r="G24" s="52">
        <f>$C$6*((200+(Tabla25[[#Totals],[i Método Wappus]]*(Tabla36[[#This Row],[Año Proyectado]]-$B$6)))/(200-(Tabla25[[#Totals],[i Método Wappus]]*(Tabla36[[#This Row],[Año Proyectado]]-$B$6))))</f>
        <v>77696.324126726249</v>
      </c>
      <c r="H24" s="61">
        <f>AVERAGE(Tabla36[[#This Row],[Proyección del DANE]:[Método Wappus]])</f>
        <v>69553.776863058578</v>
      </c>
      <c r="L24" s="63">
        <v>2030</v>
      </c>
      <c r="M24" s="64">
        <f>AVERAGE(Tabla36[[#This Row],[Proyección del DANE]:[Método Wappus]])</f>
        <v>69553.776863058578</v>
      </c>
      <c r="N24" s="65">
        <f t="shared" si="2"/>
        <v>167.80001366225315</v>
      </c>
      <c r="O24" s="65">
        <f t="shared" si="0"/>
        <v>218.14001776092911</v>
      </c>
      <c r="P24" s="65">
        <f t="shared" si="1"/>
        <v>349.02402841748659</v>
      </c>
    </row>
    <row r="25" spans="2:18" ht="15.75" x14ac:dyDescent="0.25">
      <c r="B25" s="49">
        <v>2031</v>
      </c>
      <c r="C25" s="53">
        <v>53505</v>
      </c>
      <c r="D25" s="52">
        <f>$C$6+Tabla25[[#Totals],[K Método Aritmético]]*(Tabla36[[#This Row],[Año Proyectado]]-$B$6)</f>
        <v>69113.440000000002</v>
      </c>
      <c r="E25" s="52">
        <f>$C$6*(1+Tabla25[[#Totals],[r Método Geométrico]])^(Tabla36[[#This Row],[Año Proyectado]]-$B$6)</f>
        <v>78725.523168538901</v>
      </c>
      <c r="F25" s="52">
        <f>$C$6*EXP(1)^(Tabla25[[#Totals],[K Método Exponencial]]*(Tabla36[[#This Row],[Año Proyectado]]-$B$6))</f>
        <v>72071.522590481312</v>
      </c>
      <c r="G25" s="52">
        <f>$C$6*((200+(Tabla25[[#Totals],[i Método Wappus]]*(Tabla36[[#This Row],[Año Proyectado]]-$B$6)))/(200-(Tabla25[[#Totals],[i Método Wappus]]*(Tabla36[[#This Row],[Año Proyectado]]-$B$6))))</f>
        <v>79228.722949417875</v>
      </c>
      <c r="H25" s="61">
        <f>AVERAGE(Tabla36[[#This Row],[Proyección del DANE]:[Método Wappus]])</f>
        <v>70528.841741687618</v>
      </c>
      <c r="L25" s="63">
        <v>2031</v>
      </c>
      <c r="M25" s="64">
        <f>AVERAGE(Tabla36[[#This Row],[Proyección del DANE]:[Método Wappus]])</f>
        <v>70528.841741687618</v>
      </c>
      <c r="N25" s="65">
        <f t="shared" si="2"/>
        <v>170.15237908847109</v>
      </c>
      <c r="O25" s="65">
        <f t="shared" si="0"/>
        <v>221.19809281501242</v>
      </c>
      <c r="P25" s="65">
        <f t="shared" si="1"/>
        <v>353.9169485040199</v>
      </c>
    </row>
    <row r="26" spans="2:18" ht="15.75" x14ac:dyDescent="0.25">
      <c r="B26" s="49">
        <v>2032</v>
      </c>
      <c r="C26" s="53">
        <v>53539</v>
      </c>
      <c r="D26" s="52">
        <f>$C$6+Tabla25[[#Totals],[K Método Aritmético]]*(Tabla36[[#This Row],[Año Proyectado]]-$B$6)</f>
        <v>69903.38</v>
      </c>
      <c r="E26" s="52">
        <f>$C$6*(1+Tabla25[[#Totals],[r Método Geométrico]])^(Tabla36[[#This Row],[Año Proyectado]]-$B$6)</f>
        <v>80201.233100333164</v>
      </c>
      <c r="F26" s="52">
        <f>$C$6*EXP(1)^(Tabla25[[#Totals],[K Método Exponencial]]*(Tabla36[[#This Row],[Año Proyectado]]-$B$6))</f>
        <v>73173.548418913211</v>
      </c>
      <c r="G26" s="52">
        <f>$C$6*((200+(Tabla25[[#Totals],[i Método Wappus]]*(Tabla36[[#This Row],[Año Proyectado]]-$B$6)))/(200-(Tabla25[[#Totals],[i Método Wappus]]*(Tabla36[[#This Row],[Año Proyectado]]-$B$6))))</f>
        <v>80798.772347438164</v>
      </c>
      <c r="H26" s="61">
        <f>AVERAGE(Tabla36[[#This Row],[Proyección del DANE]:[Método Wappus]])</f>
        <v>71523.186773336914</v>
      </c>
      <c r="L26" s="63">
        <v>2032</v>
      </c>
      <c r="M26" s="64">
        <f>AVERAGE(Tabla36[[#This Row],[Proyección del DANE]:[Método Wappus]])</f>
        <v>71523.186773336914</v>
      </c>
      <c r="N26" s="65">
        <f t="shared" si="2"/>
        <v>172.55125830712589</v>
      </c>
      <c r="O26" s="65">
        <f t="shared" si="0"/>
        <v>224.31663579926368</v>
      </c>
      <c r="P26" s="65">
        <f t="shared" si="1"/>
        <v>358.9066172788219</v>
      </c>
    </row>
    <row r="27" spans="2:18" ht="15.75" x14ac:dyDescent="0.25">
      <c r="B27" s="49">
        <v>2033</v>
      </c>
      <c r="C27" s="53">
        <v>53561</v>
      </c>
      <c r="D27" s="52">
        <f>$C$6+Tabla25[[#Totals],[K Método Aritmético]]*(Tabla36[[#This Row],[Año Proyectado]]-$B$6)</f>
        <v>70693.320000000007</v>
      </c>
      <c r="E27" s="52">
        <f>$C$6*(1+Tabla25[[#Totals],[r Método Geométrico]])^(Tabla36[[#This Row],[Año Proyectado]]-$B$6)</f>
        <v>81704.605214798896</v>
      </c>
      <c r="F27" s="52">
        <f>$C$6*EXP(1)^(Tabla25[[#Totals],[K Método Exponencial]]*(Tabla36[[#This Row],[Año Proyectado]]-$B$6))</f>
        <v>74292.425021172006</v>
      </c>
      <c r="G27" s="52">
        <f>$C$6*((200+(Tabla25[[#Totals],[i Método Wappus]]*(Tabla36[[#This Row],[Año Proyectado]]-$B$6)))/(200-(Tabla25[[#Totals],[i Método Wappus]]*(Tabla36[[#This Row],[Año Proyectado]]-$B$6))))</f>
        <v>82407.877174059598</v>
      </c>
      <c r="H27" s="61">
        <f>AVERAGE(Tabla36[[#This Row],[Proyección del DANE]:[Método Wappus]])</f>
        <v>72531.845482006116</v>
      </c>
      <c r="L27" s="63">
        <v>2033</v>
      </c>
      <c r="M27" s="64">
        <f>AVERAGE(Tabla36[[#This Row],[Proyección del DANE]:[Método Wappus]])</f>
        <v>72531.845482006116</v>
      </c>
      <c r="N27" s="65">
        <f t="shared" si="2"/>
        <v>174.98466958583299</v>
      </c>
      <c r="O27" s="65">
        <f t="shared" si="0"/>
        <v>227.4800704615829</v>
      </c>
      <c r="P27" s="65">
        <f t="shared" si="1"/>
        <v>363.96811273853268</v>
      </c>
    </row>
    <row r="28" spans="2:18" ht="15.75" x14ac:dyDescent="0.25">
      <c r="B28" s="49">
        <v>2034</v>
      </c>
      <c r="C28" s="53">
        <v>53539</v>
      </c>
      <c r="D28" s="52">
        <f>$C$6+Tabla25[[#Totals],[K Método Aritmético]]*(Tabla36[[#This Row],[Año Proyectado]]-$B$6)</f>
        <v>71483.260000000009</v>
      </c>
      <c r="E28" s="52">
        <f>$C$6*(1+Tabla25[[#Totals],[r Método Geométrico]])^(Tabla36[[#This Row],[Año Proyectado]]-$B$6)</f>
        <v>83236.158039550312</v>
      </c>
      <c r="F28" s="52">
        <f>$C$6*EXP(1)^(Tabla25[[#Totals],[K Método Exponencial]]*(Tabla36[[#This Row],[Año Proyectado]]-$B$6))</f>
        <v>75428.410057805377</v>
      </c>
      <c r="G28" s="52">
        <f>$C$6*((200+(Tabla25[[#Totals],[i Método Wappus]]*(Tabla36[[#This Row],[Año Proyectado]]-$B$6)))/(200-(Tabla25[[#Totals],[i Método Wappus]]*(Tabla36[[#This Row],[Año Proyectado]]-$B$6))))</f>
        <v>84057.513055053074</v>
      </c>
      <c r="H28" s="61">
        <f>AVERAGE(Tabla36[[#This Row],[Proyección del DANE]:[Método Wappus]])</f>
        <v>73548.868230481748</v>
      </c>
      <c r="L28" s="63">
        <v>2034</v>
      </c>
      <c r="M28" s="64">
        <f>AVERAGE(Tabla36[[#This Row],[Proyección del DANE]:[Método Wappus]])</f>
        <v>73548.868230481748</v>
      </c>
      <c r="N28" s="65">
        <f t="shared" si="2"/>
        <v>177.4382592941968</v>
      </c>
      <c r="O28" s="65">
        <f t="shared" si="0"/>
        <v>230.66973708245584</v>
      </c>
      <c r="P28" s="65">
        <f t="shared" si="1"/>
        <v>369.07157933192934</v>
      </c>
    </row>
    <row r="29" spans="2:18" ht="15.75" x14ac:dyDescent="0.25">
      <c r="B29" s="49">
        <v>2035</v>
      </c>
      <c r="C29" s="53">
        <v>53558</v>
      </c>
      <c r="D29" s="52">
        <f>$C$6+Tabla25[[#Totals],[K Método Aritmético]]*(Tabla36[[#This Row],[Año Proyectado]]-$B$6)</f>
        <v>72273.2</v>
      </c>
      <c r="E29" s="52">
        <f>$C$6*(1+Tabla25[[#Totals],[r Método Geométrico]])^(Tabla36[[#This Row],[Año Proyectado]]-$B$6)</f>
        <v>84796.41982200167</v>
      </c>
      <c r="F29" s="52">
        <f>$C$6*EXP(1)^(Tabla25[[#Totals],[K Método Exponencial]]*(Tabla36[[#This Row],[Año Proyectado]]-$B$6))</f>
        <v>76581.765129177686</v>
      </c>
      <c r="G29" s="52">
        <f>$C$6*((200+(Tabla25[[#Totals],[i Método Wappus]]*(Tabla36[[#This Row],[Año Proyectado]]-$B$6)))/(200-(Tabla25[[#Totals],[i Método Wappus]]*(Tabla36[[#This Row],[Año Proyectado]]-$B$6))))</f>
        <v>85749.23090217766</v>
      </c>
      <c r="H29" s="61">
        <f>AVERAGE(Tabla36[[#This Row],[Proyección del DANE]:[Método Wappus]])</f>
        <v>74591.723170671408</v>
      </c>
      <c r="L29" s="63">
        <v>2035</v>
      </c>
      <c r="M29" s="64">
        <f>AVERAGE(Tabla36[[#This Row],[Proyección del DANE]:[Método Wappus]])</f>
        <v>74591.723170671408</v>
      </c>
      <c r="N29" s="65">
        <f t="shared" si="2"/>
        <v>179.95416973218934</v>
      </c>
      <c r="O29" s="65">
        <f t="shared" si="0"/>
        <v>233.94042065184615</v>
      </c>
      <c r="P29" s="65">
        <f t="shared" si="1"/>
        <v>374.30467304295388</v>
      </c>
    </row>
  </sheetData>
  <mergeCells count="3">
    <mergeCell ref="D2:G2"/>
    <mergeCell ref="C11:G11"/>
    <mergeCell ref="K11:P11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606B3-5DE3-46B6-947E-D9E1818507AD}">
  <dimension ref="B1:U38"/>
  <sheetViews>
    <sheetView showGridLines="0" topLeftCell="A5" workbookViewId="0">
      <selection activeCell="U13" sqref="U13"/>
    </sheetView>
  </sheetViews>
  <sheetFormatPr baseColWidth="10" defaultRowHeight="15" x14ac:dyDescent="0.25"/>
  <cols>
    <col min="2" max="2" width="12.5703125" customWidth="1"/>
    <col min="3" max="3" width="13.140625" customWidth="1"/>
    <col min="4" max="4" width="11" style="43" bestFit="1" customWidth="1"/>
    <col min="5" max="5" width="13.7109375" customWidth="1"/>
    <col min="6" max="6" width="13.42578125" customWidth="1"/>
    <col min="8" max="8" width="11.85546875" bestFit="1" customWidth="1"/>
  </cols>
  <sheetData>
    <row r="1" spans="2:18" ht="15.75" thickBot="1" x14ac:dyDescent="0.3"/>
    <row r="2" spans="2:18" ht="16.5" thickBot="1" x14ac:dyDescent="0.3">
      <c r="B2" s="47"/>
      <c r="C2" s="47"/>
      <c r="D2" s="109" t="s">
        <v>61</v>
      </c>
      <c r="E2" s="110"/>
      <c r="F2" s="110"/>
      <c r="G2" s="111"/>
    </row>
    <row r="3" spans="2:18" s="45" customFormat="1" ht="31.5" x14ac:dyDescent="0.25">
      <c r="B3" s="48" t="s">
        <v>62</v>
      </c>
      <c r="C3" s="48" t="s">
        <v>50</v>
      </c>
      <c r="D3" s="48" t="s">
        <v>55</v>
      </c>
      <c r="E3" s="48" t="s">
        <v>56</v>
      </c>
      <c r="F3" s="48" t="s">
        <v>57</v>
      </c>
      <c r="G3" s="48" t="s">
        <v>60</v>
      </c>
    </row>
    <row r="4" spans="2:18" ht="15.75" x14ac:dyDescent="0.25">
      <c r="B4" s="55">
        <v>1985</v>
      </c>
      <c r="C4" s="56">
        <v>35058</v>
      </c>
      <c r="D4" s="55">
        <f>IF(Tabla2[[#This Row],[Año]]="","",IFERROR(ROUND((VLOOKUP(MAX(Tabla2[Año]),lineal[],2,FALSE)-Tabla2[[#This Row],[Población]])/(MAX(Tabla2[Año])-Tabla2[[#This Row],[Año]]),2),""))</f>
        <v>629.29999999999995</v>
      </c>
      <c r="E4" s="55">
        <f>IFERROR(ROUND((((VLOOKUP(MAX(Tabla2[Año]),Tabla2[#All],2,FALSE))/Tabla2[[#This Row],[Población]])^(1/(MAX(Tabla2[Año])-Tabla2[[#This Row],[Año]])))-1,5),"")</f>
        <v>5.2599999999999999E-3</v>
      </c>
      <c r="F4" s="55">
        <f>IFERROR(ROUND((LN(C5)-LN(Tabla2[[#This Row],[Población]]))/(B5-Tabla2[[#This Row],[Año]]),5),"")</f>
        <v>9.5099999999999994E-3</v>
      </c>
      <c r="G4" s="57">
        <f>IF(Tabla2[[#This Row],[Año]]=0,"",IFERROR(ROUND((200*(VLOOKUP(MAX(Tabla2[Año]),Tabla2[#All],2,FALSE)-Tabla2[[#This Row],[Población]]))/((MAX(Tabla2[Año])-Tabla2[[#This Row],[Año]])*(VLOOKUP(MAX(Tabla2[Año]),Tabla2[#All],2,FALSE)+Tabla2[[#This Row],[Población]])),2),""))</f>
        <v>0.52</v>
      </c>
    </row>
    <row r="5" spans="2:18" ht="15.75" x14ac:dyDescent="0.25">
      <c r="B5" s="55">
        <v>1993</v>
      </c>
      <c r="C5" s="56">
        <v>37829</v>
      </c>
      <c r="D5" s="55">
        <f>IF(Tabla2[[#This Row],[Año]]="","",IFERROR(ROUND((VLOOKUP(MAX(Tabla2[Año]),lineal[],2,FALSE)-Tabla2[[#This Row],[Población]])/(MAX(Tabla2[Año])-Tabla2[[#This Row],[Año]]),2),""))</f>
        <v>719.84</v>
      </c>
      <c r="E5" s="55">
        <f>IFERROR(ROUND((((VLOOKUP(MAX(Tabla2[Año]),Tabla2[#All],2,FALSE))/Tabla2[[#This Row],[Población]])^(1/(MAX(Tabla2[Año])-Tabla2[[#This Row],[Año]])))-1,5),"")</f>
        <v>3.8899999999999998E-3</v>
      </c>
      <c r="F5" s="55">
        <f>IFERROR(ROUND((LN(C6)-LN(Tabla2[[#This Row],[Población]]))/(B6-Tabla2[[#This Row],[Año]]),5),"")</f>
        <v>2.0840000000000001E-2</v>
      </c>
      <c r="G5" s="57">
        <f>IF(Tabla2[[#This Row],[Año]]=0,"",IFERROR(ROUND((200*(VLOOKUP(MAX(Tabla2[Año]),Tabla2[#All],2,FALSE)-Tabla2[[#This Row],[Población]]))/((MAX(Tabla2[Año])-Tabla2[[#This Row],[Año]])*(VLOOKUP(MAX(Tabla2[Año]),Tabla2[#All],2,FALSE)+Tabla2[[#This Row],[Población]])),2),""))</f>
        <v>0.39</v>
      </c>
    </row>
    <row r="6" spans="2:18" ht="15.75" x14ac:dyDescent="0.25">
      <c r="B6" s="55">
        <v>2005</v>
      </c>
      <c r="C6" s="56">
        <v>48575</v>
      </c>
      <c r="D6" s="55">
        <f>IF(Tabla2[[#This Row],[Año]]="","",IFERROR(ROUND((VLOOKUP(MAX(Tabla2[Año]),lineal[],2,FALSE)-Tabla2[[#This Row],[Población]])/(MAX(Tabla2[Año])-Tabla2[[#This Row],[Año]]),2),""))</f>
        <v>557.69000000000005</v>
      </c>
      <c r="E6" s="55">
        <f>IFERROR(ROUND((((VLOOKUP(MAX(Tabla2[Año]),Tabla2[#All],2,FALSE))/Tabla2[[#This Row],[Población]])^(1/(MAX(Tabla2[Año])-Tabla2[[#This Row],[Año]])))-1,5),"")</f>
        <v>-1.171E-2</v>
      </c>
      <c r="F6" s="55">
        <f>IFERROR(ROUND((LN(C7)-LN(Tabla2[[#This Row],[Población]]))/(B7-Tabla2[[#This Row],[Año]]),5),"")</f>
        <v>-1.1780000000000001E-2</v>
      </c>
      <c r="G6" s="57">
        <f>IF(Tabla2[[#This Row],[Año]]=0,"",IFERROR(ROUND((200*(VLOOKUP(MAX(Tabla2[Año]),Tabla2[#All],2,FALSE)-Tabla2[[#This Row],[Población]]))/((MAX(Tabla2[Año])-Tabla2[[#This Row],[Año]])*(VLOOKUP(MAX(Tabla2[Año]),Tabla2[#All],2,FALSE)+Tabla2[[#This Row],[Población]])),2),""))</f>
        <v>-1.18</v>
      </c>
    </row>
    <row r="7" spans="2:18" ht="15.75" x14ac:dyDescent="0.25">
      <c r="B7" s="55">
        <v>2018</v>
      </c>
      <c r="C7" s="56">
        <v>41680</v>
      </c>
      <c r="D7" s="55" t="str">
        <f>IF(Tabla2[[#This Row],[Año]]="","",IFERROR(ROUND((VLOOKUP(MAX(Tabla2[Año]),lineal[],2,FALSE)-Tabla2[[#This Row],[Población]])/(MAX(Tabla2[Año])-Tabla2[[#This Row],[Año]]),2),""))</f>
        <v/>
      </c>
      <c r="E7" s="55" t="str">
        <f>IFERROR(ROUND((((VLOOKUP(MAX(Tabla2[Año]),Tabla2[#All],2,FALSE))/Tabla2[[#This Row],[Población]])^(1/(MAX(Tabla2[Año])-Tabla2[[#This Row],[Año]])))-1,5),"")</f>
        <v/>
      </c>
      <c r="F7" s="55" t="str">
        <f>IFERROR(ROUND((LN(C8)-LN(Tabla2[[#This Row],[Población]]))/(B8-Tabla2[[#This Row],[Año]]),5),"")</f>
        <v/>
      </c>
      <c r="G7" s="57" t="str">
        <f>IF(Tabla2[[#This Row],[Año]]=0,"",IFERROR(ROUND((200*(VLOOKUP(MAX(Tabla2[Año]),Tabla2[#All],2,FALSE)-Tabla2[[#This Row],[Población]]))/((MAX(Tabla2[Año])-Tabla2[[#This Row],[Año]])*(VLOOKUP(MAX(Tabla2[Año]),Tabla2[#All],2,FALSE)+Tabla2[[#This Row],[Población]])),2),""))</f>
        <v/>
      </c>
    </row>
    <row r="8" spans="2:18" ht="15.75" x14ac:dyDescent="0.25">
      <c r="B8" s="49" t="s">
        <v>10</v>
      </c>
      <c r="C8" s="52"/>
      <c r="D8" s="49">
        <f>SUBTOTAL(101,Tabla2[K Método Aritmético])</f>
        <v>635.61</v>
      </c>
      <c r="E8" s="49">
        <f>SUBTOTAL(101,Tabla2[r Método Geométrico])</f>
        <v>-8.5333333333333322E-4</v>
      </c>
      <c r="F8" s="49">
        <f>SUBTOTAL(101,Tabla2[K Método Exponencial])</f>
        <v>6.1900000000000011E-3</v>
      </c>
      <c r="G8" s="51">
        <f>SUBTOTAL(101,Tabla2[i Método Wappus])</f>
        <v>-8.9999999999999969E-2</v>
      </c>
    </row>
    <row r="9" spans="2:18" x14ac:dyDescent="0.25">
      <c r="B9" s="43"/>
      <c r="C9" s="44"/>
    </row>
    <row r="10" spans="2:18" ht="15.75" thickBot="1" x14ac:dyDescent="0.3">
      <c r="B10" s="43"/>
      <c r="C10" s="44"/>
    </row>
    <row r="11" spans="2:18" ht="19.5" thickBot="1" x14ac:dyDescent="0.35">
      <c r="B11" s="47"/>
      <c r="C11" s="109" t="s">
        <v>63</v>
      </c>
      <c r="D11" s="110"/>
      <c r="E11" s="110"/>
      <c r="F11" s="110"/>
      <c r="G11" s="111"/>
      <c r="M11" s="112" t="s">
        <v>69</v>
      </c>
      <c r="N11" s="114"/>
      <c r="O11" s="114"/>
      <c r="P11" s="114"/>
      <c r="Q11" s="114"/>
      <c r="R11" s="114"/>
    </row>
    <row r="12" spans="2:18" s="46" customFormat="1" ht="35.25" customHeight="1" x14ac:dyDescent="0.25">
      <c r="B12" s="48" t="s">
        <v>52</v>
      </c>
      <c r="C12" s="48" t="s">
        <v>51</v>
      </c>
      <c r="D12" s="48" t="s">
        <v>53</v>
      </c>
      <c r="E12" s="48" t="s">
        <v>54</v>
      </c>
      <c r="F12" s="48" t="s">
        <v>58</v>
      </c>
      <c r="G12" s="48" t="s">
        <v>59</v>
      </c>
      <c r="H12" s="58" t="s">
        <v>64</v>
      </c>
      <c r="L12"/>
      <c r="M12" s="70" t="s">
        <v>65</v>
      </c>
      <c r="N12" s="71" t="s">
        <v>52</v>
      </c>
      <c r="O12" s="70" t="s">
        <v>66</v>
      </c>
      <c r="P12" s="70" t="s">
        <v>70</v>
      </c>
      <c r="Q12" s="70" t="s">
        <v>71</v>
      </c>
      <c r="R12" s="70" t="s">
        <v>72</v>
      </c>
    </row>
    <row r="13" spans="2:18" s="46" customFormat="1" ht="15.75" x14ac:dyDescent="0.25">
      <c r="B13" s="49">
        <v>2018</v>
      </c>
      <c r="C13" s="50">
        <v>41680</v>
      </c>
      <c r="D13" s="52">
        <f>$C$7+Tabla2[[#Totals],[K Método Aritmético]]*(Tabla3[[#This Row],[Año Proyectado]]-$B$7)</f>
        <v>41680</v>
      </c>
      <c r="E13" s="52">
        <f>$C$7*(1+Tabla2[[#Totals],[r Método Geométrico]])^(Tabla3[[#This Row],[Año Proyectado]]-$B$7)</f>
        <v>41680</v>
      </c>
      <c r="F13" s="52">
        <f>$C$7*EXP(1)^(Tabla2[[#Totals],[K Método Exponencial]]*(Tabla3[[#This Row],[Año Proyectado]]-$B$7))</f>
        <v>41680</v>
      </c>
      <c r="G13" s="52">
        <f>$C$7*((200+(Tabla2[[#Totals],[i Método Wappus]]*(Tabla3[[#This Row],[Año Proyectado]]-$B$7)))/(200-(Tabla2[[#Totals],[i Método Wappus]]*(Tabla3[[#This Row],[Año Proyectado]]-$B$7))))</f>
        <v>41680</v>
      </c>
      <c r="H13" s="59">
        <f>AVERAGE(Tabla3[[#This Row],[Proyección del DANE]:[Método Wappus]])</f>
        <v>41680</v>
      </c>
      <c r="M13" s="81">
        <f>120/(1-M16/100)</f>
        <v>208.44189682126108</v>
      </c>
      <c r="N13" s="67">
        <v>2005</v>
      </c>
      <c r="O13" s="68">
        <f>Tabla3[[#This Row],[Promedio]]</f>
        <v>41680</v>
      </c>
      <c r="P13" s="69">
        <f>(O13*$M$13)/86400</f>
        <v>100.55391504062686</v>
      </c>
      <c r="Q13" s="69">
        <f t="shared" ref="Q13:Q29" si="0">P13*$M$19</f>
        <v>130.72008955281493</v>
      </c>
      <c r="R13" s="69">
        <f t="shared" ref="R13:R29" si="1">Q13*$M$22</f>
        <v>209.15214328450389</v>
      </c>
    </row>
    <row r="14" spans="2:18" ht="15.75" x14ac:dyDescent="0.25">
      <c r="B14" s="49">
        <v>2020</v>
      </c>
      <c r="C14" s="53">
        <v>50086</v>
      </c>
      <c r="D14" s="52">
        <f>$C$7+Tabla2[[#Totals],[K Método Aritmético]]*(Tabla3[[#This Row],[Año Proyectado]]-$B$7)</f>
        <v>42951.22</v>
      </c>
      <c r="E14" s="54">
        <f>$C$7*(1+Tabla2[[#Totals],[r Método Geométrico]])^(Tabla3[[#This Row],[Año Proyectado]]-$B$7)</f>
        <v>41608.896483783108</v>
      </c>
      <c r="F14" s="52">
        <f>$C$7*EXP(1)^(Tabla2[[#Totals],[K Método Exponencial]]*(Tabla3[[#This Row],[Año Proyectado]]-$B$7))</f>
        <v>42199.205651689008</v>
      </c>
      <c r="G14" s="54">
        <f>$C$7*((200+(Tabla2[[#Totals],[i Método Wappus]]*(Tabla3[[#This Row],[Año Proyectado]]-$B$7)))/(200-(Tabla2[[#Totals],[i Método Wappus]]*(Tabla3[[#This Row],[Año Proyectado]]-$B$7))))</f>
        <v>41605.043460885201</v>
      </c>
      <c r="H14" s="59">
        <f>AVERAGE(Tabla3[[#This Row],[Proyección del DANE]:[Método Wappus]])</f>
        <v>43690.073119271467</v>
      </c>
      <c r="M14" s="80"/>
      <c r="N14" s="67">
        <v>2020</v>
      </c>
      <c r="O14" s="68">
        <f>Tabla3[[#This Row],[Promedio]]</f>
        <v>43690.073119271467</v>
      </c>
      <c r="P14" s="69">
        <f t="shared" ref="P14:P29" si="2">(O14*$M$13)/86400</f>
        <v>105.40326056991361</v>
      </c>
      <c r="Q14" s="69">
        <f t="shared" si="0"/>
        <v>137.02423874088771</v>
      </c>
      <c r="R14" s="69">
        <f t="shared" si="1"/>
        <v>219.23878198542036</v>
      </c>
    </row>
    <row r="15" spans="2:18" ht="15.75" x14ac:dyDescent="0.25">
      <c r="B15" s="49">
        <v>2021</v>
      </c>
      <c r="C15" s="53">
        <v>51128</v>
      </c>
      <c r="D15" s="52">
        <f>$C$7+Tabla2[[#Totals],[K Método Aritmético]]*(Tabla3[[#This Row],[Año Proyectado]]-$B$7)</f>
        <v>43586.83</v>
      </c>
      <c r="E15" s="54">
        <f>$C$7*(1+Tabla2[[#Totals],[r Método Geométrico]])^(Tabla3[[#This Row],[Año Proyectado]]-$B$7)</f>
        <v>41573.390225450275</v>
      </c>
      <c r="F15" s="52">
        <f>$C$7*EXP(1)^(Tabla2[[#Totals],[K Método Exponencial]]*(Tabla3[[#This Row],[Año Proyectado]]-$B$7))</f>
        <v>42461.228859860494</v>
      </c>
      <c r="G15" s="54">
        <f>$C$7*((200+(Tabla2[[#Totals],[i Método Wappus]]*(Tabla3[[#This Row],[Año Proyectado]]-$B$7)))/(200-(Tabla2[[#Totals],[i Método Wappus]]*(Tabla3[[#This Row],[Año Proyectado]]-$B$7))))</f>
        <v>41567.615718779642</v>
      </c>
      <c r="H15" s="59">
        <f>AVERAGE(Tabla3[[#This Row],[Proyección del DANE]:[Método Wappus]])</f>
        <v>44063.412960818088</v>
      </c>
      <c r="M15" s="70" t="s">
        <v>73</v>
      </c>
      <c r="N15" s="67">
        <v>2021</v>
      </c>
      <c r="O15" s="68">
        <f>Tabla3[[#This Row],[Promedio]]</f>
        <v>44063.412960818088</v>
      </c>
      <c r="P15" s="69">
        <f t="shared" si="2"/>
        <v>106.30395113392896</v>
      </c>
      <c r="Q15" s="69">
        <f t="shared" si="0"/>
        <v>138.19513647410764</v>
      </c>
      <c r="R15" s="69">
        <f t="shared" si="1"/>
        <v>221.11221835857225</v>
      </c>
    </row>
    <row r="16" spans="2:18" ht="15.75" x14ac:dyDescent="0.25">
      <c r="B16" s="49">
        <v>2022</v>
      </c>
      <c r="C16" s="53">
        <v>51909</v>
      </c>
      <c r="D16" s="52">
        <f>$C$7+Tabla2[[#Totals],[K Método Aritmético]]*(Tabla3[[#This Row],[Año Proyectado]]-$B$7)</f>
        <v>44222.44</v>
      </c>
      <c r="E16" s="54">
        <f>$C$7*(1+Tabla2[[#Totals],[r Método Geométrico]])^(Tabla3[[#This Row],[Año Proyectado]]-$B$7)</f>
        <v>41537.914265791223</v>
      </c>
      <c r="F16" s="52">
        <f>$C$7*EXP(1)^(Tabla2[[#Totals],[K Método Exponencial]]*(Tabla3[[#This Row],[Año Proyectado]]-$B$7))</f>
        <v>42724.879021917972</v>
      </c>
      <c r="G16" s="54">
        <f>$C$7*((200+(Tabla2[[#Totals],[i Método Wappus]]*(Tabla3[[#This Row],[Año Proyectado]]-$B$7)))/(200-(Tabla2[[#Totals],[i Método Wappus]]*(Tabla3[[#This Row],[Año Proyectado]]-$B$7))))</f>
        <v>41530.221601117984</v>
      </c>
      <c r="H16" s="59">
        <f>AVERAGE(Tabla3[[#This Row],[Proyección del DANE]:[Método Wappus]])</f>
        <v>44384.890977765433</v>
      </c>
      <c r="M16" s="79">
        <v>42.43</v>
      </c>
      <c r="N16" s="67">
        <v>2022</v>
      </c>
      <c r="O16" s="68">
        <f>Tabla3[[#This Row],[Promedio]]</f>
        <v>44384.890977765433</v>
      </c>
      <c r="P16" s="69">
        <f t="shared" si="2"/>
        <v>107.07952390752668</v>
      </c>
      <c r="Q16" s="69">
        <f t="shared" si="0"/>
        <v>139.20338107978469</v>
      </c>
      <c r="R16" s="69">
        <f t="shared" si="1"/>
        <v>222.72540972765552</v>
      </c>
    </row>
    <row r="17" spans="2:21" ht="15.75" x14ac:dyDescent="0.25">
      <c r="B17" s="49">
        <v>2023</v>
      </c>
      <c r="C17" s="53">
        <v>52472</v>
      </c>
      <c r="D17" s="52">
        <f>$C$7+Tabla2[[#Totals],[K Método Aritmético]]*(Tabla3[[#This Row],[Año Proyectado]]-$B$7)</f>
        <v>44858.05</v>
      </c>
      <c r="E17" s="54">
        <f>$C$7*(1+Tabla2[[#Totals],[r Método Geométrico]])^(Tabla3[[#This Row],[Año Proyectado]]-$B$7)</f>
        <v>41502.468578951077</v>
      </c>
      <c r="F17" s="52">
        <f>$C$7*EXP(1)^(Tabla2[[#Totals],[K Método Exponencial]]*(Tabla3[[#This Row],[Año Proyectado]]-$B$7))</f>
        <v>42990.166239939666</v>
      </c>
      <c r="G17" s="54">
        <f>$C$7*((200+(Tabla2[[#Totals],[i Método Wappus]]*(Tabla3[[#This Row],[Año Proyectado]]-$B$7)))/(200-(Tabla2[[#Totals],[i Método Wappus]]*(Tabla3[[#This Row],[Año Proyectado]]-$B$7))))</f>
        <v>41492.861062609132</v>
      </c>
      <c r="H17" s="59">
        <f>AVERAGE(Tabla3[[#This Row],[Proyección del DANE]:[Método Wappus]])</f>
        <v>44663.109176299971</v>
      </c>
      <c r="M17" s="80"/>
      <c r="N17" s="67">
        <v>2023</v>
      </c>
      <c r="O17" s="68">
        <f>Tabla3[[#This Row],[Promedio]]</f>
        <v>44663.109176299971</v>
      </c>
      <c r="P17" s="69">
        <f t="shared" si="2"/>
        <v>107.75073141947959</v>
      </c>
      <c r="Q17" s="69">
        <f t="shared" si="0"/>
        <v>140.07595084532346</v>
      </c>
      <c r="R17" s="69">
        <f t="shared" si="1"/>
        <v>224.12152135251756</v>
      </c>
    </row>
    <row r="18" spans="2:21" ht="15.75" x14ac:dyDescent="0.25">
      <c r="B18" s="49">
        <v>2024</v>
      </c>
      <c r="C18" s="53">
        <v>52877</v>
      </c>
      <c r="D18" s="52">
        <f>$C$7+Tabla2[[#Totals],[K Método Aritmético]]*(Tabla3[[#This Row],[Año Proyectado]]-$B$7)</f>
        <v>45493.66</v>
      </c>
      <c r="E18" s="54">
        <f>$C$7*(1+Tabla2[[#Totals],[r Método Geométrico]])^(Tabla3[[#This Row],[Año Proyectado]]-$B$7)</f>
        <v>41467.053139097035</v>
      </c>
      <c r="F18" s="52">
        <f>$C$7*EXP(1)^(Tabla2[[#Totals],[K Método Exponencial]]*(Tabla3[[#This Row],[Año Proyectado]]-$B$7))</f>
        <v>43257.100678729606</v>
      </c>
      <c r="G18" s="54">
        <f>$C$7*((200+(Tabla2[[#Totals],[i Método Wappus]]*(Tabla3[[#This Row],[Año Proyectado]]-$B$7)))/(200-(Tabla2[[#Totals],[i Método Wappus]]*(Tabla3[[#This Row],[Año Proyectado]]-$B$7))))</f>
        <v>41455.534058043289</v>
      </c>
      <c r="H18" s="59">
        <f>AVERAGE(Tabla3[[#This Row],[Proyección del DANE]:[Método Wappus]])</f>
        <v>44910.069575173984</v>
      </c>
      <c r="M18" s="70" t="s">
        <v>67</v>
      </c>
      <c r="N18" s="67">
        <v>2024</v>
      </c>
      <c r="O18" s="68">
        <f>Tabla3[[#This Row],[Promedio]]</f>
        <v>44910.069575173984</v>
      </c>
      <c r="P18" s="78">
        <f t="shared" si="2"/>
        <v>108.34652880351935</v>
      </c>
      <c r="Q18" s="69">
        <f t="shared" si="0"/>
        <v>140.85048744457515</v>
      </c>
      <c r="R18" s="69">
        <f t="shared" si="1"/>
        <v>225.36077991132026</v>
      </c>
    </row>
    <row r="19" spans="2:21" ht="15.75" x14ac:dyDescent="0.25">
      <c r="B19" s="49">
        <v>2025</v>
      </c>
      <c r="C19" s="53">
        <v>53141</v>
      </c>
      <c r="D19" s="52">
        <f>$C$7+Tabla2[[#Totals],[K Método Aritmético]]*(Tabla3[[#This Row],[Año Proyectado]]-$B$7)</f>
        <v>46129.270000000004</v>
      </c>
      <c r="E19" s="54">
        <f>$C$7*(1+Tabla2[[#Totals],[r Método Geométrico]])^(Tabla3[[#This Row],[Año Proyectado]]-$B$7)</f>
        <v>41431.667920418346</v>
      </c>
      <c r="F19" s="52">
        <f>$C$7*EXP(1)^(Tabla2[[#Totals],[K Método Exponencial]]*(Tabla3[[#This Row],[Año Proyectado]]-$B$7))</f>
        <v>43525.692566207101</v>
      </c>
      <c r="G19" s="54">
        <f>$C$7*((200+(Tabla2[[#Totals],[i Método Wappus]]*(Tabla3[[#This Row],[Año Proyectado]]-$B$7)))/(200-(Tabla2[[#Totals],[i Método Wappus]]*(Tabla3[[#This Row],[Año Proyectado]]-$B$7))))</f>
        <v>41418.24054229178</v>
      </c>
      <c r="H19" s="59">
        <f>AVERAGE(Tabla3[[#This Row],[Proyección del DANE]:[Método Wappus]])</f>
        <v>45129.174205783442</v>
      </c>
      <c r="M19" s="79">
        <v>1.3</v>
      </c>
      <c r="N19" s="67">
        <v>2025</v>
      </c>
      <c r="O19" s="68">
        <f>Tabla3[[#This Row],[Promedio]]</f>
        <v>45129.174205783442</v>
      </c>
      <c r="P19" s="69">
        <f t="shared" si="2"/>
        <v>108.87512353507672</v>
      </c>
      <c r="Q19" s="69">
        <f t="shared" si="0"/>
        <v>141.53766059559976</v>
      </c>
      <c r="R19" s="69">
        <f t="shared" si="1"/>
        <v>226.46025695295964</v>
      </c>
    </row>
    <row r="20" spans="2:21" ht="15.75" x14ac:dyDescent="0.25">
      <c r="B20" s="49">
        <v>2026</v>
      </c>
      <c r="C20" s="53">
        <v>53291</v>
      </c>
      <c r="D20" s="52">
        <f>$C$7+Tabla2[[#Totals],[K Método Aritmético]]*(Tabla3[[#This Row],[Año Proyectado]]-$B$7)</f>
        <v>46764.88</v>
      </c>
      <c r="E20" s="54">
        <f>$C$7*(1+Tabla2[[#Totals],[r Método Geométrico]])^(Tabla3[[#This Row],[Año Proyectado]]-$B$7)</f>
        <v>41396.312897126249</v>
      </c>
      <c r="F20" s="52">
        <f>$C$7*EXP(1)^(Tabla2[[#Totals],[K Método Exponencial]]*(Tabla3[[#This Row],[Año Proyectado]]-$B$7))</f>
        <v>43795.952193798621</v>
      </c>
      <c r="G20" s="54">
        <f>$C$7*((200+(Tabla2[[#Totals],[i Método Wappus]]*(Tabla3[[#This Row],[Año Proyectado]]-$B$7)))/(200-(Tabla2[[#Totals],[i Método Wappus]]*(Tabla3[[#This Row],[Año Proyectado]]-$B$7))))</f>
        <v>41380.980470306895</v>
      </c>
      <c r="H20" s="59">
        <f>AVERAGE(Tabla3[[#This Row],[Proyección del DANE]:[Método Wappus]])</f>
        <v>45325.825112246348</v>
      </c>
      <c r="M20" s="80"/>
      <c r="N20" s="67">
        <v>2026</v>
      </c>
      <c r="O20" s="68">
        <f>Tabla3[[#This Row],[Promedio]]</f>
        <v>45325.825112246348</v>
      </c>
      <c r="P20" s="69">
        <f t="shared" si="2"/>
        <v>109.34954816418262</v>
      </c>
      <c r="Q20" s="69">
        <f t="shared" si="0"/>
        <v>142.15441261343742</v>
      </c>
      <c r="R20" s="69">
        <f t="shared" si="1"/>
        <v>227.44706018149986</v>
      </c>
    </row>
    <row r="21" spans="2:21" ht="15.75" x14ac:dyDescent="0.25">
      <c r="B21" s="49">
        <v>2027</v>
      </c>
      <c r="C21" s="53">
        <v>53385</v>
      </c>
      <c r="D21" s="52">
        <f>$C$7+Tabla2[[#Totals],[K Método Aritmético]]*(Tabla3[[#This Row],[Año Proyectado]]-$B$7)</f>
        <v>47400.49</v>
      </c>
      <c r="E21" s="54">
        <f>$C$7*(1+Tabla2[[#Totals],[r Método Geométrico]])^(Tabla3[[#This Row],[Año Proyectado]]-$B$7)</f>
        <v>41360.988043454025</v>
      </c>
      <c r="F21" s="52">
        <f>$C$7*EXP(1)^(Tabla2[[#Totals],[K Método Exponencial]]*(Tabla3[[#This Row],[Año Proyectado]]-$B$7))</f>
        <v>44067.889916832166</v>
      </c>
      <c r="G21" s="54">
        <f>$C$7*((200+(Tabla2[[#Totals],[i Método Wappus]]*(Tabla3[[#This Row],[Año Proyectado]]-$B$7)))/(200-(Tabla2[[#Totals],[i Método Wappus]]*(Tabla3[[#This Row],[Año Proyectado]]-$B$7))))</f>
        <v>41343.753797121659</v>
      </c>
      <c r="H21" s="59">
        <f>AVERAGE(Tabla3[[#This Row],[Proyección del DANE]:[Método Wappus]])</f>
        <v>45511.624351481565</v>
      </c>
      <c r="M21" s="70" t="s">
        <v>68</v>
      </c>
      <c r="N21" s="67">
        <v>2027</v>
      </c>
      <c r="O21" s="68">
        <f>Tabla3[[#This Row],[Promedio]]</f>
        <v>45511.624351481565</v>
      </c>
      <c r="P21" s="69">
        <f t="shared" si="2"/>
        <v>109.79779290786475</v>
      </c>
      <c r="Q21" s="69">
        <f t="shared" si="0"/>
        <v>142.73713078022416</v>
      </c>
      <c r="R21" s="69">
        <f t="shared" si="1"/>
        <v>228.37940924835868</v>
      </c>
    </row>
    <row r="22" spans="2:21" ht="15.75" x14ac:dyDescent="0.25">
      <c r="B22" s="49">
        <v>2028</v>
      </c>
      <c r="C22" s="53">
        <v>53436</v>
      </c>
      <c r="D22" s="52">
        <f>$C$7+Tabla2[[#Totals],[K Método Aritmético]]*(Tabla3[[#This Row],[Año Proyectado]]-$B$7)</f>
        <v>48036.1</v>
      </c>
      <c r="E22" s="54">
        <f>$C$7*(1+Tabla2[[#Totals],[r Método Geométrico]])^(Tabla3[[#This Row],[Año Proyectado]]-$B$7)</f>
        <v>41325.693333656949</v>
      </c>
      <c r="F22" s="52">
        <f>$C$7*EXP(1)^(Tabla2[[#Totals],[K Método Exponencial]]*(Tabla3[[#This Row],[Año Proyectado]]-$B$7))</f>
        <v>44341.516154933983</v>
      </c>
      <c r="G22" s="54">
        <f>$C$7*((200+(Tabla2[[#Totals],[i Método Wappus]]*(Tabla3[[#This Row],[Año Proyectado]]-$B$7)))/(200-(Tabla2[[#Totals],[i Método Wappus]]*(Tabla3[[#This Row],[Año Proyectado]]-$B$7))))</f>
        <v>41306.560477849671</v>
      </c>
      <c r="H22" s="59">
        <f>AVERAGE(Tabla3[[#This Row],[Proyección del DANE]:[Método Wappus]])</f>
        <v>45689.173993288125</v>
      </c>
      <c r="M22" s="79">
        <v>1.6</v>
      </c>
      <c r="N22" s="67">
        <v>2028</v>
      </c>
      <c r="O22" s="68">
        <f>Tabla3[[#This Row],[Promedio]]</f>
        <v>45689.173993288125</v>
      </c>
      <c r="P22" s="69">
        <f t="shared" si="2"/>
        <v>110.226135316639</v>
      </c>
      <c r="Q22" s="69">
        <f t="shared" si="0"/>
        <v>143.2939759116307</v>
      </c>
      <c r="R22" s="69">
        <f t="shared" si="1"/>
        <v>229.27036145860913</v>
      </c>
    </row>
    <row r="23" spans="2:21" ht="15.75" x14ac:dyDescent="0.25">
      <c r="B23" s="49">
        <v>2029</v>
      </c>
      <c r="C23" s="53">
        <v>53457</v>
      </c>
      <c r="D23" s="52">
        <f>$C$7+Tabla2[[#Totals],[K Método Aritmético]]*(Tabla3[[#This Row],[Año Proyectado]]-$B$7)</f>
        <v>48671.71</v>
      </c>
      <c r="E23" s="54">
        <f>$C$7*(1+Tabla2[[#Totals],[r Método Geométrico]])^(Tabla3[[#This Row],[Año Proyectado]]-$B$7)</f>
        <v>41290.428742012227</v>
      </c>
      <c r="F23" s="52">
        <f>$C$7*EXP(1)^(Tabla2[[#Totals],[K Método Exponencial]]*(Tabla3[[#This Row],[Año Proyectado]]-$B$7))</f>
        <v>44616.841392427843</v>
      </c>
      <c r="G23" s="54">
        <f>$C$7*((200+(Tabla2[[#Totals],[i Método Wappus]]*(Tabla3[[#This Row],[Año Proyectado]]-$B$7)))/(200-(Tabla2[[#Totals],[i Método Wappus]]*(Tabla3[[#This Row],[Año Proyectado]]-$B$7))))</f>
        <v>41269.400467684958</v>
      </c>
      <c r="H23" s="59">
        <f>AVERAGE(Tabla3[[#This Row],[Proyección del DANE]:[Método Wappus]])</f>
        <v>45861.076120425001</v>
      </c>
      <c r="N23" s="67">
        <v>2029</v>
      </c>
      <c r="O23" s="68">
        <f>Tabla3[[#This Row],[Promedio]]</f>
        <v>45861.076120425001</v>
      </c>
      <c r="P23" s="69">
        <f t="shared" si="2"/>
        <v>110.64085297228736</v>
      </c>
      <c r="Q23" s="69">
        <f t="shared" si="0"/>
        <v>143.83310886397356</v>
      </c>
      <c r="R23" s="69">
        <f t="shared" si="1"/>
        <v>230.13297418235771</v>
      </c>
    </row>
    <row r="24" spans="2:21" ht="15.75" x14ac:dyDescent="0.25">
      <c r="B24" s="49">
        <v>2030</v>
      </c>
      <c r="C24" s="53">
        <v>53486</v>
      </c>
      <c r="D24" s="52">
        <f>$C$7+Tabla2[[#Totals],[K Método Aritmético]]*(Tabla3[[#This Row],[Año Proyectado]]-$B$7)</f>
        <v>49307.32</v>
      </c>
      <c r="E24" s="54">
        <f>$C$7*(1+Tabla2[[#Totals],[r Método Geométrico]])^(Tabla3[[#This Row],[Año Proyectado]]-$B$7)</f>
        <v>41255.194242819038</v>
      </c>
      <c r="F24" s="52">
        <f>$C$7*EXP(1)^(Tabla2[[#Totals],[K Método Exponencial]]*(Tabla3[[#This Row],[Año Proyectado]]-$B$7))</f>
        <v>44893.876178736784</v>
      </c>
      <c r="G24" s="54">
        <f>$C$7*((200+(Tabla2[[#Totals],[i Método Wappus]]*(Tabla3[[#This Row],[Año Proyectado]]-$B$7)))/(200-(Tabla2[[#Totals],[i Método Wappus]]*(Tabla3[[#This Row],[Año Proyectado]]-$B$7))))</f>
        <v>41232.273721901722</v>
      </c>
      <c r="H24" s="59">
        <f>AVERAGE(Tabla3[[#This Row],[Proyección del DANE]:[Método Wappus]])</f>
        <v>46034.932828691512</v>
      </c>
      <c r="N24" s="67">
        <v>2030</v>
      </c>
      <c r="O24" s="68">
        <f>Tabla3[[#This Row],[Promedio]]</f>
        <v>46034.932828691512</v>
      </c>
      <c r="P24" s="69">
        <f t="shared" si="2"/>
        <v>111.06028609782177</v>
      </c>
      <c r="Q24" s="69">
        <f t="shared" si="0"/>
        <v>144.3783719271683</v>
      </c>
      <c r="R24" s="69">
        <f t="shared" si="1"/>
        <v>231.0053950834693</v>
      </c>
    </row>
    <row r="25" spans="2:21" ht="15.75" x14ac:dyDescent="0.25">
      <c r="B25" s="49">
        <v>2031</v>
      </c>
      <c r="C25" s="53">
        <v>53505</v>
      </c>
      <c r="D25" s="52">
        <f>$C$7+Tabla2[[#Totals],[K Método Aritmético]]*(Tabla3[[#This Row],[Año Proyectado]]-$B$7)</f>
        <v>49942.93</v>
      </c>
      <c r="E25" s="54">
        <f>$C$7*(1+Tabla2[[#Totals],[r Método Geométrico]])^(Tabla3[[#This Row],[Año Proyectado]]-$B$7)</f>
        <v>41219.989810398496</v>
      </c>
      <c r="F25" s="52">
        <f>$C$7*EXP(1)^(Tabla2[[#Totals],[K Método Exponencial]]*(Tabla3[[#This Row],[Año Proyectado]]-$B$7))</f>
        <v>45172.63112878726</v>
      </c>
      <c r="G25" s="54">
        <f>$C$7*((200+(Tabla2[[#Totals],[i Método Wappus]]*(Tabla3[[#This Row],[Año Proyectado]]-$B$7)))/(200-(Tabla2[[#Totals],[i Método Wappus]]*(Tabla3[[#This Row],[Año Proyectado]]-$B$7))))</f>
        <v>41195.180195854256</v>
      </c>
      <c r="H25" s="59">
        <f>AVERAGE(Tabla3[[#This Row],[Proyección del DANE]:[Método Wappus]])</f>
        <v>46207.146227008001</v>
      </c>
      <c r="N25" s="67">
        <v>2031</v>
      </c>
      <c r="O25" s="68">
        <f>Tabla3[[#This Row],[Promedio]]</f>
        <v>46207.146227008001</v>
      </c>
      <c r="P25" s="69">
        <f t="shared" si="2"/>
        <v>111.4757547020246</v>
      </c>
      <c r="Q25" s="69">
        <f t="shared" si="0"/>
        <v>144.91848111263198</v>
      </c>
      <c r="R25" s="69">
        <f t="shared" si="1"/>
        <v>231.86956978021118</v>
      </c>
      <c r="U25" s="74">
        <v>132.46</v>
      </c>
    </row>
    <row r="26" spans="2:21" ht="15.75" x14ac:dyDescent="0.25">
      <c r="B26" s="49">
        <v>2032</v>
      </c>
      <c r="C26" s="53">
        <v>53539</v>
      </c>
      <c r="D26" s="52">
        <f>$C$7+Tabla2[[#Totals],[K Método Aritmético]]*(Tabla3[[#This Row],[Año Proyectado]]-$B$7)</f>
        <v>50578.54</v>
      </c>
      <c r="E26" s="54">
        <f>$C$7*(1+Tabla2[[#Totals],[r Método Geométrico]])^(Tabla3[[#This Row],[Año Proyectado]]-$B$7)</f>
        <v>41184.815419093618</v>
      </c>
      <c r="F26" s="52">
        <f>$C$7*EXP(1)^(Tabla2[[#Totals],[K Método Exponencial]]*(Tabla3[[#This Row],[Año Proyectado]]-$B$7))</f>
        <v>45453.116923415917</v>
      </c>
      <c r="G26" s="54">
        <f>$C$7*((200+(Tabla2[[#Totals],[i Método Wappus]]*(Tabla3[[#This Row],[Año Proyectado]]-$B$7)))/(200-(Tabla2[[#Totals],[i Método Wappus]]*(Tabla3[[#This Row],[Año Proyectado]]-$B$7))))</f>
        <v>41158.119844976653</v>
      </c>
      <c r="H26" s="59">
        <f>AVERAGE(Tabla3[[#This Row],[Proyección del DANE]:[Método Wappus]])</f>
        <v>46382.718437497235</v>
      </c>
      <c r="N26" s="67">
        <v>2032</v>
      </c>
      <c r="O26" s="68">
        <f>Tabla3[[#This Row],[Promedio]]</f>
        <v>46382.718437497235</v>
      </c>
      <c r="P26" s="69">
        <f t="shared" si="2"/>
        <v>111.89932651433337</v>
      </c>
      <c r="Q26" s="69">
        <f t="shared" si="0"/>
        <v>145.4691244686334</v>
      </c>
      <c r="R26" s="69">
        <f t="shared" si="1"/>
        <v>232.75059914981344</v>
      </c>
      <c r="U26" s="75">
        <f>+U25-P18</f>
        <v>24.11347119648066</v>
      </c>
    </row>
    <row r="27" spans="2:21" ht="15.75" x14ac:dyDescent="0.25">
      <c r="B27" s="49">
        <v>2033</v>
      </c>
      <c r="C27" s="53">
        <v>53561</v>
      </c>
      <c r="D27" s="52">
        <f>$C$7+Tabla2[[#Totals],[K Método Aritmético]]*(Tabla3[[#This Row],[Año Proyectado]]-$B$7)</f>
        <v>51214.15</v>
      </c>
      <c r="E27" s="54">
        <f>$C$7*(1+Tabla2[[#Totals],[r Método Geométrico]])^(Tabla3[[#This Row],[Año Proyectado]]-$B$7)</f>
        <v>41149.671043269329</v>
      </c>
      <c r="F27" s="52">
        <f>$C$7*EXP(1)^(Tabla2[[#Totals],[K Método Exponencial]]*(Tabla3[[#This Row],[Año Proyectado]]-$B$7))</f>
        <v>45735.34430977884</v>
      </c>
      <c r="G27" s="54">
        <f>$C$7*((200+(Tabla2[[#Totals],[i Método Wappus]]*(Tabla3[[#This Row],[Año Proyectado]]-$B$7)))/(200-(Tabla2[[#Totals],[i Método Wappus]]*(Tabla3[[#This Row],[Año Proyectado]]-$B$7))))</f>
        <v>41121.092624782716</v>
      </c>
      <c r="H27" s="59">
        <f>AVERAGE(Tabla3[[#This Row],[Proyección del DANE]:[Método Wappus]])</f>
        <v>46556.25159556618</v>
      </c>
      <c r="N27" s="67">
        <v>2033</v>
      </c>
      <c r="O27" s="68">
        <f>Tabla3[[#This Row],[Promedio]]</f>
        <v>46556.25159556618</v>
      </c>
      <c r="P27" s="69">
        <f t="shared" si="2"/>
        <v>112.31797906791293</v>
      </c>
      <c r="Q27" s="69">
        <f t="shared" si="0"/>
        <v>146.0133727882868</v>
      </c>
      <c r="R27" s="69">
        <f t="shared" si="1"/>
        <v>233.62139646125888</v>
      </c>
    </row>
    <row r="28" spans="2:21" ht="15.75" x14ac:dyDescent="0.25">
      <c r="B28" s="49">
        <v>2034</v>
      </c>
      <c r="C28" s="53">
        <v>53539</v>
      </c>
      <c r="D28" s="52">
        <f>$C$7+Tabla2[[#Totals],[K Método Aritmético]]*(Tabla3[[#This Row],[Año Proyectado]]-$B$7)</f>
        <v>51849.760000000002</v>
      </c>
      <c r="E28" s="54">
        <f>$C$7*(1+Tabla2[[#Totals],[r Método Geométrico]])^(Tabla3[[#This Row],[Año Proyectado]]-$B$7)</f>
        <v>41114.556657312394</v>
      </c>
      <c r="F28" s="52">
        <f>$C$7*EXP(1)^(Tabla2[[#Totals],[K Método Exponencial]]*(Tabla3[[#This Row],[Año Proyectado]]-$B$7))</f>
        <v>46019.324101763304</v>
      </c>
      <c r="G28" s="54">
        <f>$C$7*((200+(Tabla2[[#Totals],[i Método Wappus]]*(Tabla3[[#This Row],[Año Proyectado]]-$B$7)))/(200-(Tabla2[[#Totals],[i Método Wappus]]*(Tabla3[[#This Row],[Año Proyectado]]-$B$7))))</f>
        <v>41084.09849086577</v>
      </c>
      <c r="H28" s="59">
        <f>AVERAGE(Tabla3[[#This Row],[Proyección del DANE]:[Método Wappus]])</f>
        <v>46721.347849988299</v>
      </c>
      <c r="N28" s="67">
        <v>2034</v>
      </c>
      <c r="O28" s="68">
        <f>Tabla3[[#This Row],[Promedio]]</f>
        <v>46721.347849988299</v>
      </c>
      <c r="P28" s="69">
        <f t="shared" si="2"/>
        <v>112.71627740622117</v>
      </c>
      <c r="Q28" s="69">
        <f t="shared" si="0"/>
        <v>146.53116062808752</v>
      </c>
      <c r="R28" s="69">
        <f t="shared" si="1"/>
        <v>234.44985700494004</v>
      </c>
      <c r="T28" s="72"/>
    </row>
    <row r="29" spans="2:21" ht="15.75" x14ac:dyDescent="0.25">
      <c r="B29" s="49">
        <v>2035</v>
      </c>
      <c r="C29" s="53">
        <v>53558</v>
      </c>
      <c r="D29" s="52">
        <f>$C$7+Tabla2[[#Totals],[K Método Aritmético]]*(Tabla3[[#This Row],[Año Proyectado]]-$B$7)</f>
        <v>52485.37</v>
      </c>
      <c r="E29" s="54">
        <f>$C$7*(1+Tabla2[[#Totals],[r Método Geométrico]])^(Tabla3[[#This Row],[Año Proyectado]]-$B$7)</f>
        <v>41079.472235631489</v>
      </c>
      <c r="F29" s="52">
        <f>$C$7*EXP(1)^(Tabla2[[#Totals],[K Método Exponencial]]*(Tabla3[[#This Row],[Año Proyectado]]-$B$7))</f>
        <v>46305.067180402155</v>
      </c>
      <c r="G29" s="54">
        <f>$C$7*((200+(Tabla2[[#Totals],[i Método Wappus]]*(Tabla3[[#This Row],[Año Proyectado]]-$B$7)))/(200-(Tabla2[[#Totals],[i Método Wappus]]*(Tabla3[[#This Row],[Año Proyectado]]-$B$7))))</f>
        <v>41047.137398898427</v>
      </c>
      <c r="H29" s="59">
        <f>AVERAGE(Tabla3[[#This Row],[Proyección del DANE]:[Método Wappus]])</f>
        <v>46895.009362986413</v>
      </c>
      <c r="N29" s="67">
        <v>2035</v>
      </c>
      <c r="O29" s="68">
        <f>Tabla3[[#This Row],[Promedio]]</f>
        <v>46895.009362986413</v>
      </c>
      <c r="P29" s="69">
        <f t="shared" si="2"/>
        <v>113.13523961888525</v>
      </c>
      <c r="Q29" s="69">
        <f t="shared" si="0"/>
        <v>147.07581150455084</v>
      </c>
      <c r="R29" s="69">
        <f t="shared" si="1"/>
        <v>235.32129840728135</v>
      </c>
    </row>
    <row r="37" spans="15:15" ht="15.75" x14ac:dyDescent="0.25">
      <c r="O37" s="66" t="s">
        <v>73</v>
      </c>
    </row>
    <row r="38" spans="15:15" x14ac:dyDescent="0.25">
      <c r="O38" s="62">
        <v>52.91</v>
      </c>
    </row>
  </sheetData>
  <mergeCells count="3">
    <mergeCell ref="D2:G2"/>
    <mergeCell ref="C11:G11"/>
    <mergeCell ref="M11:R11"/>
  </mergeCells>
  <phoneticPr fontId="4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6A6DE-F7C3-451C-8062-ECB4A843C20E}">
  <dimension ref="B1:G29"/>
  <sheetViews>
    <sheetView showGridLines="0" topLeftCell="A22" workbookViewId="0">
      <selection activeCell="N35" sqref="N35"/>
    </sheetView>
  </sheetViews>
  <sheetFormatPr baseColWidth="10" defaultRowHeight="15" x14ac:dyDescent="0.25"/>
  <cols>
    <col min="2" max="2" width="12.5703125" customWidth="1"/>
    <col min="3" max="3" width="13.140625" customWidth="1"/>
    <col min="4" max="4" width="11" style="43" bestFit="1" customWidth="1"/>
    <col min="5" max="5" width="13.7109375" customWidth="1"/>
    <col min="6" max="6" width="13.42578125" customWidth="1"/>
  </cols>
  <sheetData>
    <row r="1" spans="2:7" ht="15.75" thickBot="1" x14ac:dyDescent="0.3"/>
    <row r="2" spans="2:7" ht="16.5" thickBot="1" x14ac:dyDescent="0.3">
      <c r="B2" s="47"/>
      <c r="C2" s="47"/>
      <c r="D2" s="109" t="s">
        <v>61</v>
      </c>
      <c r="E2" s="110"/>
      <c r="F2" s="110"/>
      <c r="G2" s="111"/>
    </row>
    <row r="3" spans="2:7" s="45" customFormat="1" ht="31.5" x14ac:dyDescent="0.25">
      <c r="B3" s="48" t="s">
        <v>62</v>
      </c>
      <c r="C3" s="48" t="s">
        <v>50</v>
      </c>
      <c r="D3" s="48" t="s">
        <v>55</v>
      </c>
      <c r="E3" s="48" t="s">
        <v>56</v>
      </c>
      <c r="F3" s="48" t="s">
        <v>57</v>
      </c>
      <c r="G3" s="48" t="s">
        <v>60</v>
      </c>
    </row>
    <row r="4" spans="2:7" ht="15.75" x14ac:dyDescent="0.25">
      <c r="B4" s="55">
        <v>1985</v>
      </c>
      <c r="C4" s="56">
        <v>35058</v>
      </c>
      <c r="D4" s="55">
        <f>IF(Tabla27[[#This Row],[Año]]="","",IFERROR(ROUND((VLOOKUP(MAX(Tabla27[Año]),lineal[],2,FALSE)-Tabla27[[#This Row],[Población]])/(MAX(Tabla27[Año])-Tabla27[[#This Row],[Año]]),2),""))</f>
        <v>629.29999999999995</v>
      </c>
      <c r="E4" s="55">
        <f>IFERROR(ROUND((((VLOOKUP(MAX(Tabla27[Año]),Tabla27[#All],2,FALSE))/Tabla27[[#This Row],[Población]])^(1/(MAX(Tabla27[Año])-Tabla27[[#This Row],[Año]])))-1,5),"")</f>
        <v>1.4200000000000001E-2</v>
      </c>
      <c r="F4" s="55">
        <f>IFERROR(ROUND((LN(C5)-LN(Tabla27[[#This Row],[Población]]))/(B5-Tabla27[[#This Row],[Año]]),5),"")</f>
        <v>9.5099999999999994E-3</v>
      </c>
      <c r="G4" s="57">
        <f>IF(Tabla27[[#This Row],[Año]]=0,"",IFERROR(ROUND((200*(VLOOKUP(MAX(Tabla27[Año]),Tabla27[#All],2,FALSE)-Tabla27[[#This Row],[Población]]))/((MAX(Tabla27[Año])-Tabla27[[#This Row],[Año]])*(VLOOKUP(MAX(Tabla27[Año]),Tabla27[#All],2,FALSE)+Tabla27[[#This Row],[Población]])),2),""))</f>
        <v>1.38</v>
      </c>
    </row>
    <row r="5" spans="2:7" ht="15.75" x14ac:dyDescent="0.25">
      <c r="B5" s="55">
        <v>1993</v>
      </c>
      <c r="C5" s="56">
        <v>37829</v>
      </c>
      <c r="D5" s="55">
        <f>IF(Tabla27[[#This Row],[Año]]="","",IFERROR(ROUND((VLOOKUP(MAX(Tabla27[Año]),lineal[],2,FALSE)-Tabla27[[#This Row],[Población]])/(MAX(Tabla27[Año])-Tabla27[[#This Row],[Año]]),2),""))</f>
        <v>719.84</v>
      </c>
      <c r="E5" s="55">
        <f>IFERROR(ROUND((((VLOOKUP(MAX(Tabla27[Año]),Tabla27[#All],2,FALSE))/Tabla27[[#This Row],[Población]])^(1/(MAX(Tabla27[Año])-Tabla27[[#This Row],[Año]])))-1,5),"")</f>
        <v>1.5689999999999999E-2</v>
      </c>
      <c r="F5" s="55">
        <f>IFERROR(ROUND((LN(C6)-LN(Tabla27[[#This Row],[Población]]))/(B6-Tabla27[[#This Row],[Año]]),5),"")</f>
        <v>2.0840000000000001E-2</v>
      </c>
      <c r="G5" s="57">
        <f>IF(Tabla27[[#This Row],[Año]]=0,"",IFERROR(ROUND((200*(VLOOKUP(MAX(Tabla27[Año]),Tabla27[#All],2,FALSE)-Tabla27[[#This Row],[Población]]))/((MAX(Tabla27[Año])-Tabla27[[#This Row],[Año]])*(VLOOKUP(MAX(Tabla27[Año]),Tabla27[#All],2,FALSE)+Tabla27[[#This Row],[Población]])),2),""))</f>
        <v>1.54</v>
      </c>
    </row>
    <row r="6" spans="2:7" ht="15.75" x14ac:dyDescent="0.25">
      <c r="B6" s="55">
        <v>2005</v>
      </c>
      <c r="C6" s="56">
        <v>48575</v>
      </c>
      <c r="D6" s="55">
        <f>IF(Tabla27[[#This Row],[Año]]="","",IFERROR(ROUND((VLOOKUP(MAX(Tabla27[Año]),lineal[],2,FALSE)-Tabla27[[#This Row],[Población]])/(MAX(Tabla27[Año])-Tabla27[[#This Row],[Año]]),2),""))</f>
        <v>557.69000000000005</v>
      </c>
      <c r="E6" s="55">
        <f>IFERROR(ROUND((((VLOOKUP(MAX(Tabla27[Año]),Tabla27[#All],2,FALSE))/Tabla27[[#This Row],[Población]])^(1/(MAX(Tabla27[Año])-Tabla27[[#This Row],[Año]])))-1,5),"")</f>
        <v>1.076E-2</v>
      </c>
      <c r="F6" s="55">
        <f>IFERROR(ROUND((LN(C7)-LN(Tabla27[[#This Row],[Población]]))/(B7-Tabla27[[#This Row],[Año]]),5),"")</f>
        <v>1.0699999999999999E-2</v>
      </c>
      <c r="G6" s="57">
        <f>IF(Tabla27[[#This Row],[Año]]=0,"",IFERROR(ROUND((200*(VLOOKUP(MAX(Tabla27[Año]),Tabla27[#All],2,FALSE)-Tabla27[[#This Row],[Población]]))/((MAX(Tabla27[Año])-Tabla27[[#This Row],[Año]])*(VLOOKUP(MAX(Tabla27[Año]),Tabla27[#All],2,FALSE)+Tabla27[[#This Row],[Población]])),2),""))</f>
        <v>1.07</v>
      </c>
    </row>
    <row r="7" spans="2:7" ht="15.75" x14ac:dyDescent="0.25">
      <c r="B7" s="55">
        <v>2018</v>
      </c>
      <c r="C7" s="56">
        <v>55825</v>
      </c>
      <c r="D7" s="55" t="str">
        <f>IF(Tabla27[[#This Row],[Año]]="","",IFERROR(ROUND((VLOOKUP(MAX(Tabla27[Año]),lineal[],2,FALSE)-Tabla27[[#This Row],[Población]])/(MAX(Tabla27[Año])-Tabla27[[#This Row],[Año]]),2),""))</f>
        <v/>
      </c>
      <c r="E7" s="55" t="str">
        <f>IFERROR(ROUND((((VLOOKUP(MAX(Tabla27[Año]),Tabla27[#All],2,FALSE))/Tabla27[[#This Row],[Población]])^(1/(MAX(Tabla27[Año])-Tabla27[[#This Row],[Año]])))-1,5),"")</f>
        <v/>
      </c>
      <c r="F7" s="55" t="str">
        <f>IFERROR(ROUND((LN(C8)-LN(Tabla27[[#This Row],[Población]]))/(B8-Tabla27[[#This Row],[Año]]),5),"")</f>
        <v/>
      </c>
      <c r="G7" s="57" t="str">
        <f>IF(Tabla27[[#This Row],[Año]]=0,"",IFERROR(ROUND((200*(VLOOKUP(MAX(Tabla27[Año]),Tabla27[#All],2,FALSE)-Tabla27[[#This Row],[Población]]))/((MAX(Tabla27[Año])-Tabla27[[#This Row],[Año]])*(VLOOKUP(MAX(Tabla27[Año]),Tabla27[#All],2,FALSE)+Tabla27[[#This Row],[Población]])),2),""))</f>
        <v/>
      </c>
    </row>
    <row r="8" spans="2:7" ht="15.75" x14ac:dyDescent="0.25">
      <c r="B8" s="49" t="s">
        <v>10</v>
      </c>
      <c r="C8" s="52"/>
      <c r="D8" s="49">
        <f>SUBTOTAL(101,Tabla27[K Método Aritmético])</f>
        <v>635.61</v>
      </c>
      <c r="E8" s="49">
        <f>SUBTOTAL(101,Tabla27[r Método Geométrico])</f>
        <v>1.355E-2</v>
      </c>
      <c r="F8" s="49">
        <f>SUBTOTAL(101,Tabla27[K Método Exponencial])</f>
        <v>1.3683333333333334E-2</v>
      </c>
      <c r="G8" s="51">
        <f>SUBTOTAL(101,Tabla27[i Método Wappus])</f>
        <v>1.33</v>
      </c>
    </row>
    <row r="9" spans="2:7" x14ac:dyDescent="0.25">
      <c r="B9" s="43"/>
      <c r="C9" s="44"/>
    </row>
    <row r="10" spans="2:7" ht="15.75" thickBot="1" x14ac:dyDescent="0.3">
      <c r="B10" s="43"/>
      <c r="C10" s="44"/>
    </row>
    <row r="11" spans="2:7" ht="16.5" thickBot="1" x14ac:dyDescent="0.3">
      <c r="B11" s="47"/>
      <c r="C11" s="109" t="s">
        <v>63</v>
      </c>
      <c r="D11" s="110"/>
      <c r="E11" s="110"/>
      <c r="F11" s="110"/>
      <c r="G11" s="111"/>
    </row>
    <row r="12" spans="2:7" s="46" customFormat="1" ht="35.25" customHeight="1" x14ac:dyDescent="0.25">
      <c r="B12" s="48" t="s">
        <v>52</v>
      </c>
      <c r="C12" s="48" t="s">
        <v>51</v>
      </c>
      <c r="D12" s="48" t="s">
        <v>53</v>
      </c>
      <c r="E12" s="48" t="s">
        <v>54</v>
      </c>
      <c r="F12" s="48" t="s">
        <v>58</v>
      </c>
      <c r="G12" s="48" t="s">
        <v>59</v>
      </c>
    </row>
    <row r="13" spans="2:7" s="46" customFormat="1" ht="15.75" x14ac:dyDescent="0.25">
      <c r="B13" s="49">
        <v>2018</v>
      </c>
      <c r="C13" s="50">
        <f>C7</f>
        <v>55825</v>
      </c>
      <c r="D13" s="52">
        <f>$C$7+Tabla27[[#Totals],[K Método Aritmético]]*(Tabla38[[#This Row],[Año Proyectado]]-$B$7)</f>
        <v>55825</v>
      </c>
      <c r="E13" s="52">
        <f>$C$7*(1+Tabla27[[#Totals],[r Método Geométrico]])^(Tabla38[[#This Row],[Año Proyectado]]-$B$7)</f>
        <v>55825</v>
      </c>
      <c r="F13" s="52">
        <f>$C$7*EXP(1)^(Tabla27[[#Totals],[K Método Exponencial]]*(Tabla38[[#This Row],[Año Proyectado]]-$B$7))</f>
        <v>55825</v>
      </c>
      <c r="G13" s="52">
        <f>$C$7*((200+(Tabla27[[#Totals],[i Método Wappus]]*(Tabla38[[#This Row],[Año Proyectado]]-$B$7)))/(200-(Tabla27[[#Totals],[i Método Wappus]]*(Tabla38[[#This Row],[Año Proyectado]]-$B$7))))</f>
        <v>55825</v>
      </c>
    </row>
    <row r="14" spans="2:7" ht="15.75" x14ac:dyDescent="0.25">
      <c r="B14" s="49">
        <v>2020</v>
      </c>
      <c r="C14" s="53">
        <v>50086</v>
      </c>
      <c r="D14" s="52">
        <f>$C$7+Tabla27[[#Totals],[K Método Aritmético]]*(Tabla38[[#This Row],[Año Proyectado]]-$B$7)</f>
        <v>57096.22</v>
      </c>
      <c r="E14" s="54">
        <f>$C$7*(1+Tabla27[[#Totals],[r Método Geométrico]])^(Tabla38[[#This Row],[Año Proyectado]]-$B$7)</f>
        <v>57348.107109562494</v>
      </c>
      <c r="F14" s="52">
        <f>$C$7*EXP(1)^(Tabla27[[#Totals],[K Método Exponencial]]*(Tabla38[[#This Row],[Año Proyectado]]-$B$7))</f>
        <v>57373.840807908964</v>
      </c>
      <c r="G14" s="54">
        <f>$C$7*((200+(Tabla27[[#Totals],[i Método Wappus]]*(Tabla38[[#This Row],[Año Proyectado]]-$B$7)))/(200-(Tabla27[[#Totals],[i Método Wappus]]*(Tabla38[[#This Row],[Año Proyectado]]-$B$7))))</f>
        <v>57329.960981047938</v>
      </c>
    </row>
    <row r="15" spans="2:7" ht="15.75" x14ac:dyDescent="0.25">
      <c r="B15" s="49">
        <v>2021</v>
      </c>
      <c r="C15" s="53">
        <v>51128</v>
      </c>
      <c r="D15" s="52">
        <f>$C$7+Tabla27[[#Totals],[K Método Aritmético]]*(Tabla38[[#This Row],[Año Proyectado]]-$B$7)</f>
        <v>57731.83</v>
      </c>
      <c r="E15" s="54">
        <f>$C$7*(1+Tabla27[[#Totals],[r Método Geométrico]])^(Tabla38[[#This Row],[Año Proyectado]]-$B$7)</f>
        <v>58125.17396089706</v>
      </c>
      <c r="F15" s="52">
        <f>$C$7*EXP(1)^(Tabla27[[#Totals],[K Método Exponencial]]*(Tabla38[[#This Row],[Año Proyectado]]-$B$7))</f>
        <v>58164.30193446896</v>
      </c>
      <c r="G15" s="54">
        <f>$C$7*((200+(Tabla27[[#Totals],[i Método Wappus]]*(Tabla38[[#This Row],[Año Proyectado]]-$B$7)))/(200-(Tabla27[[#Totals],[i Método Wappus]]*(Tabla38[[#This Row],[Año Proyectado]]-$B$7))))</f>
        <v>58097.759042905978</v>
      </c>
    </row>
    <row r="16" spans="2:7" ht="15.75" x14ac:dyDescent="0.25">
      <c r="B16" s="49">
        <v>2022</v>
      </c>
      <c r="C16" s="53">
        <v>51909</v>
      </c>
      <c r="D16" s="52">
        <f>$C$7+Tabla27[[#Totals],[K Método Aritmético]]*(Tabla38[[#This Row],[Año Proyectado]]-$B$7)</f>
        <v>58367.44</v>
      </c>
      <c r="E16" s="54">
        <f>$C$7*(1+Tabla27[[#Totals],[r Método Geométrico]])^(Tabla38[[#This Row],[Año Proyectado]]-$B$7)</f>
        <v>58912.770068067213</v>
      </c>
      <c r="F16" s="52">
        <f>$C$7*EXP(1)^(Tabla27[[#Totals],[K Método Exponencial]]*(Tabla38[[#This Row],[Año Proyectado]]-$B$7))</f>
        <v>58965.653543238332</v>
      </c>
      <c r="G16" s="54">
        <f>$C$7*((200+(Tabla27[[#Totals],[i Método Wappus]]*(Tabla38[[#This Row],[Año Proyectado]]-$B$7)))/(200-(Tabla27[[#Totals],[i Método Wappus]]*(Tabla38[[#This Row],[Año Proyectado]]-$B$7))))</f>
        <v>58876.04787343333</v>
      </c>
    </row>
    <row r="17" spans="2:7" ht="15.75" x14ac:dyDescent="0.25">
      <c r="B17" s="49">
        <v>2023</v>
      </c>
      <c r="C17" s="53">
        <v>52472</v>
      </c>
      <c r="D17" s="52">
        <f>$C$7+Tabla27[[#Totals],[K Método Aritmético]]*(Tabla38[[#This Row],[Año Proyectado]]-$B$7)</f>
        <v>59003.05</v>
      </c>
      <c r="E17" s="54">
        <f>$C$7*(1+Tabla27[[#Totals],[r Método Geométrico]])^(Tabla38[[#This Row],[Año Proyectado]]-$B$7)</f>
        <v>59711.038102489525</v>
      </c>
      <c r="F17" s="52">
        <f>$C$7*EXP(1)^(Tabla27[[#Totals],[K Método Exponencial]]*(Tabla38[[#This Row],[Año Proyectado]]-$B$7))</f>
        <v>59778.045676513626</v>
      </c>
      <c r="G17" s="54">
        <f>$C$7*((200+(Tabla27[[#Totals],[i Método Wappus]]*(Tabla38[[#This Row],[Año Proyectado]]-$B$7)))/(200-(Tabla27[[#Totals],[i Método Wappus]]*(Tabla38[[#This Row],[Año Proyectado]]-$B$7))))</f>
        <v>59665.043961727439</v>
      </c>
    </row>
    <row r="18" spans="2:7" ht="15.75" x14ac:dyDescent="0.25">
      <c r="B18" s="49">
        <v>2024</v>
      </c>
      <c r="C18" s="53">
        <v>52877</v>
      </c>
      <c r="D18" s="52">
        <f>$C$7+Tabla27[[#Totals],[K Método Aritmético]]*(Tabla38[[#This Row],[Año Proyectado]]-$B$7)</f>
        <v>59638.66</v>
      </c>
      <c r="E18" s="54">
        <f>$C$7*(1+Tabla27[[#Totals],[r Método Geométrico]])^(Tabla38[[#This Row],[Año Proyectado]]-$B$7)</f>
        <v>60520.12266877824</v>
      </c>
      <c r="F18" s="52">
        <f>$C$7*EXP(1)^(Tabla27[[#Totals],[K Método Exponencial]]*(Tabla38[[#This Row],[Año Proyectado]]-$B$7))</f>
        <v>60601.630443780901</v>
      </c>
      <c r="G18" s="54">
        <f>$C$7*((200+(Tabla27[[#Totals],[i Método Wappus]]*(Tabla38[[#This Row],[Año Proyectado]]-$B$7)))/(200-(Tabla27[[#Totals],[i Método Wappus]]*(Tabla38[[#This Row],[Año Proyectado]]-$B$7))))</f>
        <v>60464.969794813034</v>
      </c>
    </row>
    <row r="19" spans="2:7" ht="15.75" x14ac:dyDescent="0.25">
      <c r="B19" s="49">
        <v>2025</v>
      </c>
      <c r="C19" s="53">
        <v>53141</v>
      </c>
      <c r="D19" s="52">
        <f>$C$7+Tabla27[[#Totals],[K Método Aritmético]]*(Tabla38[[#This Row],[Año Proyectado]]-$B$7)</f>
        <v>60274.270000000004</v>
      </c>
      <c r="E19" s="54">
        <f>$C$7*(1+Tabla27[[#Totals],[r Método Geométrico]])^(Tabla38[[#This Row],[Año Proyectado]]-$B$7)</f>
        <v>61340.170330940186</v>
      </c>
      <c r="F19" s="52">
        <f>$C$7*EXP(1)^(Tabla27[[#Totals],[K Método Exponencial]]*(Tabla38[[#This Row],[Año Proyectado]]-$B$7))</f>
        <v>61436.562050196204</v>
      </c>
      <c r="G19" s="54">
        <f>$C$7*((200+(Tabla27[[#Totals],[i Método Wappus]]*(Tabla38[[#This Row],[Año Proyectado]]-$B$7)))/(200-(Tabla27[[#Totals],[i Método Wappus]]*(Tabla38[[#This Row],[Año Proyectado]]-$B$7))))</f>
        <v>61276.05406681</v>
      </c>
    </row>
    <row r="20" spans="2:7" ht="15.75" x14ac:dyDescent="0.25">
      <c r="B20" s="49">
        <v>2026</v>
      </c>
      <c r="C20" s="53">
        <v>53291</v>
      </c>
      <c r="D20" s="52">
        <f>$C$7+Tabla27[[#Totals],[K Método Aritmético]]*(Tabla38[[#This Row],[Año Proyectado]]-$B$7)</f>
        <v>60909.88</v>
      </c>
      <c r="E20" s="54">
        <f>$C$7*(1+Tabla27[[#Totals],[r Método Geométrico]])^(Tabla38[[#This Row],[Año Proyectado]]-$B$7)</f>
        <v>62171.329638924428</v>
      </c>
      <c r="F20" s="52">
        <f>$C$7*EXP(1)^(Tabla27[[#Totals],[K Método Exponencial]]*(Tabla38[[#This Row],[Año Proyectado]]-$B$7))</f>
        <v>62282.996825458395</v>
      </c>
      <c r="G20" s="54">
        <f>$C$7*((200+(Tabla27[[#Totals],[i Método Wappus]]*(Tabla38[[#This Row],[Año Proyectado]]-$B$7)))/(200-(Tabla27[[#Totals],[i Método Wappus]]*(Tabla38[[#This Row],[Año Proyectado]]-$B$7))))</f>
        <v>62098.53189691592</v>
      </c>
    </row>
    <row r="21" spans="2:7" ht="15.75" x14ac:dyDescent="0.25">
      <c r="B21" s="49">
        <v>2027</v>
      </c>
      <c r="C21" s="53">
        <v>53385</v>
      </c>
      <c r="D21" s="52">
        <f>$C$7+Tabla27[[#Totals],[K Método Aritmético]]*(Tabla38[[#This Row],[Año Proyectado]]-$B$7)</f>
        <v>61545.49</v>
      </c>
      <c r="E21" s="54">
        <f>$C$7*(1+Tabla27[[#Totals],[r Método Geométrico]])^(Tabla38[[#This Row],[Año Proyectado]]-$B$7)</f>
        <v>63013.751155531849</v>
      </c>
      <c r="F21" s="52">
        <f>$C$7*EXP(1)^(Tabla27[[#Totals],[K Método Exponencial]]*(Tabla38[[#This Row],[Año Proyectado]]-$B$7))</f>
        <v>63141.093253079773</v>
      </c>
      <c r="G21" s="54">
        <f>$C$7*((200+(Tabla27[[#Totals],[i Método Wappus]]*(Tabla38[[#This Row],[Año Proyectado]]-$B$7)))/(200-(Tabla27[[#Totals],[i Método Wappus]]*(Tabla38[[#This Row],[Año Proyectado]]-$B$7))))</f>
        <v>62932.6450566399</v>
      </c>
    </row>
    <row r="22" spans="2:7" ht="15.75" x14ac:dyDescent="0.25">
      <c r="B22" s="49">
        <v>2028</v>
      </c>
      <c r="C22" s="53">
        <v>53436</v>
      </c>
      <c r="D22" s="52">
        <f>$C$7+Tabla27[[#Totals],[K Método Aritmético]]*(Tabla38[[#This Row],[Año Proyectado]]-$B$7)</f>
        <v>62181.1</v>
      </c>
      <c r="E22" s="54">
        <f>$C$7*(1+Tabla27[[#Totals],[r Método Geométrico]])^(Tabla38[[#This Row],[Año Proyectado]]-$B$7)</f>
        <v>63867.587483689298</v>
      </c>
      <c r="F22" s="52">
        <f>$C$7*EXP(1)^(Tabla27[[#Totals],[K Método Exponencial]]*(Tabla38[[#This Row],[Año Proyectado]]-$B$7))</f>
        <v>64011.012000059993</v>
      </c>
      <c r="G22" s="54">
        <f>$C$7*((200+(Tabla27[[#Totals],[i Método Wappus]]*(Tabla38[[#This Row],[Año Proyectado]]-$B$7)))/(200-(Tabla27[[#Totals],[i Método Wappus]]*(Tabla38[[#This Row],[Año Proyectado]]-$B$7))))</f>
        <v>63778.642206748802</v>
      </c>
    </row>
    <row r="23" spans="2:7" ht="15.75" x14ac:dyDescent="0.25">
      <c r="B23" s="49">
        <v>2029</v>
      </c>
      <c r="C23" s="53">
        <v>53457</v>
      </c>
      <c r="D23" s="52">
        <f>$C$7+Tabla27[[#Totals],[K Método Aritmético]]*(Tabla38[[#This Row],[Año Proyectado]]-$B$7)</f>
        <v>62816.71</v>
      </c>
      <c r="E23" s="54">
        <f>$C$7*(1+Tabla27[[#Totals],[r Método Geométrico]])^(Tabla38[[#This Row],[Año Proyectado]]-$B$7)</f>
        <v>64732.993294093278</v>
      </c>
      <c r="F23" s="52">
        <f>$C$7*EXP(1)^(Tabla27[[#Totals],[K Método Exponencial]]*(Tabla38[[#This Row],[Año Proyectado]]-$B$7))</f>
        <v>64892.915946968802</v>
      </c>
      <c r="G23" s="54">
        <f>$C$7*((200+(Tabla27[[#Totals],[i Método Wappus]]*(Tabla38[[#This Row],[Año Proyectado]]-$B$7)))/(200-(Tabla27[[#Totals],[i Método Wappus]]*(Tabla38[[#This Row],[Año Proyectado]]-$B$7))))</f>
        <v>64636.779144413871</v>
      </c>
    </row>
    <row r="24" spans="2:7" ht="15.75" x14ac:dyDescent="0.25">
      <c r="B24" s="49">
        <v>2030</v>
      </c>
      <c r="C24" s="53">
        <v>53486</v>
      </c>
      <c r="D24" s="52">
        <f>$C$7+Tabla27[[#Totals],[K Método Aritmético]]*(Tabla38[[#This Row],[Año Proyectado]]-$B$7)</f>
        <v>63452.32</v>
      </c>
      <c r="E24" s="54">
        <f>$C$7*(1+Tabla27[[#Totals],[r Método Geométrico]])^(Tabla38[[#This Row],[Año Proyectado]]-$B$7)</f>
        <v>65610.125353228243</v>
      </c>
      <c r="F24" s="52">
        <f>$C$7*EXP(1)^(Tabla27[[#Totals],[K Método Exponencial]]*(Tabla38[[#This Row],[Año Proyectado]]-$B$7))</f>
        <v>65786.97021844321</v>
      </c>
      <c r="G24" s="54">
        <f>$C$7*((200+(Tabla27[[#Totals],[i Método Wappus]]*(Tabla38[[#This Row],[Año Proyectado]]-$B$7)))/(200-(Tabla27[[#Totals],[i Método Wappus]]*(Tabla38[[#This Row],[Año Proyectado]]-$B$7))))</f>
        <v>65507.319061073686</v>
      </c>
    </row>
    <row r="25" spans="2:7" ht="15.75" x14ac:dyDescent="0.25">
      <c r="B25" s="49">
        <v>2031</v>
      </c>
      <c r="C25" s="53">
        <v>53505</v>
      </c>
      <c r="D25" s="52">
        <f>$C$7+Tabla27[[#Totals],[K Método Aritmético]]*(Tabla38[[#This Row],[Año Proyectado]]-$B$7)</f>
        <v>64087.93</v>
      </c>
      <c r="E25" s="54">
        <f>$C$7*(1+Tabla27[[#Totals],[r Método Geométrico]])^(Tabla38[[#This Row],[Año Proyectado]]-$B$7)</f>
        <v>66499.142551764482</v>
      </c>
      <c r="F25" s="52">
        <f>$C$7*EXP(1)^(Tabla27[[#Totals],[K Método Exponencial]]*(Tabla38[[#This Row],[Año Proyectado]]-$B$7))</f>
        <v>66693.34221410488</v>
      </c>
      <c r="G25" s="54">
        <f>$C$7*((200+(Tabla27[[#Totals],[i Método Wappus]]*(Tabla38[[#This Row],[Año Proyectado]]-$B$7)))/(200-(Tabla27[[#Totals],[i Método Wappus]]*(Tabla38[[#This Row],[Año Proyectado]]-$B$7))))</f>
        <v>66390.532811559286</v>
      </c>
    </row>
    <row r="26" spans="2:7" ht="15.75" x14ac:dyDescent="0.25">
      <c r="B26" s="49">
        <v>2032</v>
      </c>
      <c r="C26" s="53">
        <v>53539</v>
      </c>
      <c r="D26" s="52">
        <f>$C$7+Tabla27[[#Totals],[K Método Aritmético]]*(Tabla38[[#This Row],[Año Proyectado]]-$B$7)</f>
        <v>64723.54</v>
      </c>
      <c r="E26" s="54">
        <f>$C$7*(1+Tabla27[[#Totals],[r Método Geométrico]])^(Tabla38[[#This Row],[Año Proyectado]]-$B$7)</f>
        <v>67400.205933340883</v>
      </c>
      <c r="F26" s="52">
        <f>$C$7*EXP(1)^(Tabla27[[#Totals],[K Método Exponencial]]*(Tabla38[[#This Row],[Año Proyectado]]-$B$7))</f>
        <v>67612.201639903418</v>
      </c>
      <c r="G26" s="54">
        <f>$C$7*((200+(Tabla27[[#Totals],[i Método Wappus]]*(Tabla38[[#This Row],[Año Proyectado]]-$B$7)))/(200-(Tabla27[[#Totals],[i Método Wappus]]*(Tabla38[[#This Row],[Año Proyectado]]-$B$7))))</f>
        <v>67286.699195060108</v>
      </c>
    </row>
    <row r="27" spans="2:7" ht="15.75" x14ac:dyDescent="0.25">
      <c r="B27" s="49">
        <v>2033</v>
      </c>
      <c r="C27" s="53">
        <v>53561</v>
      </c>
      <c r="D27" s="52">
        <f>$C$7+Tabla27[[#Totals],[K Método Aritmético]]*(Tabla38[[#This Row],[Año Proyectado]]-$B$7)</f>
        <v>65359.15</v>
      </c>
      <c r="E27" s="54">
        <f>$C$7*(1+Tabla27[[#Totals],[r Método Geométrico]])^(Tabla38[[#This Row],[Año Proyectado]]-$B$7)</f>
        <v>68313.478723737644</v>
      </c>
      <c r="F27" s="52">
        <f>$C$7*EXP(1)^(Tabla27[[#Totals],[K Método Exponencial]]*(Tabla38[[#This Row],[Año Proyectado]]-$B$7))</f>
        <v>68543.720539891583</v>
      </c>
      <c r="G27" s="54">
        <f>$C$7*((200+(Tabla27[[#Totals],[i Método Wappus]]*(Tabla38[[#This Row],[Año Proyectado]]-$B$7)))/(200-(Tabla27[[#Totals],[i Método Wappus]]*(Tabla38[[#This Row],[Año Proyectado]]-$B$7))))</f>
        <v>68196.105248542066</v>
      </c>
    </row>
    <row r="28" spans="2:7" ht="15.75" x14ac:dyDescent="0.25">
      <c r="B28" s="49">
        <v>2034</v>
      </c>
      <c r="C28" s="53">
        <v>53539</v>
      </c>
      <c r="D28" s="52">
        <f>$C$7+Tabla27[[#Totals],[K Método Aritmético]]*(Tabla38[[#This Row],[Año Proyectado]]-$B$7)</f>
        <v>65994.759999999995</v>
      </c>
      <c r="E28" s="54">
        <f>$C$7*(1+Tabla27[[#Totals],[r Método Geométrico]])^(Tabla38[[#This Row],[Año Proyectado]]-$B$7)</f>
        <v>69239.126360444294</v>
      </c>
      <c r="F28" s="52">
        <f>$C$7*EXP(1)^(Tabla27[[#Totals],[K Método Exponencial]]*(Tabla38[[#This Row],[Año Proyectado]]-$B$7))</f>
        <v>69488.073328438157</v>
      </c>
      <c r="G28" s="54">
        <f>$C$7*((200+(Tabla27[[#Totals],[i Método Wappus]]*(Tabla38[[#This Row],[Año Proyectado]]-$B$7)))/(200-(Tabla27[[#Totals],[i Método Wappus]]*(Tabla38[[#This Row],[Año Proyectado]]-$B$7))))</f>
        <v>69119.04655326769</v>
      </c>
    </row>
    <row r="29" spans="2:7" ht="15.75" x14ac:dyDescent="0.25">
      <c r="B29" s="49">
        <v>2035</v>
      </c>
      <c r="C29" s="53">
        <v>53558</v>
      </c>
      <c r="D29" s="52">
        <f>$C$7+Tabla27[[#Totals],[K Método Aritmético]]*(Tabla38[[#This Row],[Año Proyectado]]-$B$7)</f>
        <v>66630.37</v>
      </c>
      <c r="E29" s="54">
        <f>$C$7*(1+Tabla27[[#Totals],[r Método Geométrico]])^(Tabla38[[#This Row],[Año Proyectado]]-$B$7)</f>
        <v>70177.316522628316</v>
      </c>
      <c r="F29" s="52">
        <f>$C$7*EXP(1)^(Tabla27[[#Totals],[K Método Exponencial]]*(Tabla38[[#This Row],[Año Proyectado]]-$B$7))</f>
        <v>70445.436822884716</v>
      </c>
      <c r="G29" s="54">
        <f>$C$7*((200+(Tabla27[[#Totals],[i Método Wappus]]*(Tabla38[[#This Row],[Año Proyectado]]-$B$7)))/(200-(Tabla27[[#Totals],[i Método Wappus]]*(Tabla38[[#This Row],[Año Proyectado]]-$B$7))))</f>
        <v>70055.827555104581</v>
      </c>
    </row>
  </sheetData>
  <mergeCells count="2">
    <mergeCell ref="D2:G2"/>
    <mergeCell ref="C11:G11"/>
  </mergeCells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METODOS</vt:lpstr>
      <vt:lpstr>GRAFICA</vt:lpstr>
      <vt:lpstr>PROY1</vt:lpstr>
      <vt:lpstr>PROY2</vt:lpstr>
      <vt:lpstr>PROY3</vt:lpstr>
      <vt:lpstr>GRAFICA!Área_de_impresión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Aramirezp</dc:creator>
  <cp:lastModifiedBy>Nicolás González</cp:lastModifiedBy>
  <cp:lastPrinted>2023-06-22T19:04:35Z</cp:lastPrinted>
  <dcterms:created xsi:type="dcterms:W3CDTF">2022-06-08T12:42:41Z</dcterms:created>
  <dcterms:modified xsi:type="dcterms:W3CDTF">2024-09-14T22:25:46Z</dcterms:modified>
</cp:coreProperties>
</file>