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rabajos U\TESIS\Docs Tesis\Apéndices\"/>
    </mc:Choice>
  </mc:AlternateContent>
  <xr:revisionPtr revIDLastSave="0" documentId="13_ncr:1_{80C4BE86-17F3-4FDC-9FFD-100EA35BDD0C}" xr6:coauthVersionLast="47" xr6:coauthVersionMax="47" xr10:uidLastSave="{00000000-0000-0000-0000-000000000000}"/>
  <bookViews>
    <workbookView xWindow="-120" yWindow="-120" windowWidth="29040" windowHeight="15720" xr2:uid="{63FA2705-B01E-41A5-85EB-1D9D957A57A3}"/>
  </bookViews>
  <sheets>
    <sheet name="Caud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1" l="1"/>
  <c r="F99" i="1"/>
  <c r="W15" i="1" s="1"/>
  <c r="G37" i="1"/>
  <c r="L37" i="1" s="1"/>
  <c r="G27" i="1"/>
  <c r="L27" i="1" s="1"/>
  <c r="G26" i="1"/>
  <c r="L26" i="1" s="1"/>
  <c r="G57" i="1"/>
  <c r="L57" i="1" s="1"/>
  <c r="G96" i="1"/>
  <c r="L96" i="1" s="1"/>
  <c r="G97" i="1"/>
  <c r="L97" i="1" s="1"/>
  <c r="G30" i="1"/>
  <c r="L30" i="1" s="1"/>
  <c r="G10" i="1"/>
  <c r="L10" i="1" s="1"/>
  <c r="G98" i="1"/>
  <c r="G95" i="1"/>
  <c r="L95" i="1" s="1"/>
  <c r="G53" i="1"/>
  <c r="L53" i="1" s="1"/>
  <c r="G54" i="1"/>
  <c r="L54" i="1" s="1"/>
  <c r="G55" i="1"/>
  <c r="L55" i="1" s="1"/>
  <c r="G56" i="1"/>
  <c r="L56" i="1" s="1"/>
  <c r="G52" i="1"/>
  <c r="L52" i="1" s="1"/>
  <c r="G102" i="1"/>
  <c r="F100" i="1" l="1"/>
  <c r="L98" i="1"/>
  <c r="G62" i="1" l="1"/>
  <c r="L62" i="1" s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L91" i="1" s="1"/>
  <c r="G92" i="1"/>
  <c r="G93" i="1"/>
  <c r="G94" i="1"/>
  <c r="G61" i="1"/>
  <c r="G5" i="1"/>
  <c r="G6" i="1"/>
  <c r="G7" i="1"/>
  <c r="G8" i="1"/>
  <c r="G9" i="1"/>
  <c r="G11" i="1"/>
  <c r="G12" i="1"/>
  <c r="G13" i="1"/>
  <c r="G14" i="1"/>
  <c r="G15" i="1"/>
  <c r="L15" i="1" s="1"/>
  <c r="G16" i="1"/>
  <c r="G17" i="1"/>
  <c r="G18" i="1"/>
  <c r="G19" i="1"/>
  <c r="G20" i="1"/>
  <c r="G21" i="1"/>
  <c r="G22" i="1"/>
  <c r="G23" i="1"/>
  <c r="G24" i="1"/>
  <c r="G25" i="1"/>
  <c r="G28" i="1"/>
  <c r="G29" i="1"/>
  <c r="G31" i="1"/>
  <c r="G32" i="1"/>
  <c r="G33" i="1"/>
  <c r="G34" i="1"/>
  <c r="L34" i="1" s="1"/>
  <c r="G35" i="1"/>
  <c r="G36" i="1"/>
  <c r="G38" i="1"/>
  <c r="G39" i="1"/>
  <c r="G40" i="1"/>
  <c r="G41" i="1"/>
  <c r="G42" i="1"/>
  <c r="G43" i="1"/>
  <c r="G44" i="1"/>
  <c r="L44" i="1" s="1"/>
  <c r="G45" i="1"/>
  <c r="G46" i="1"/>
  <c r="G47" i="1"/>
  <c r="L47" i="1" s="1"/>
  <c r="G48" i="1"/>
  <c r="L48" i="1" s="1"/>
  <c r="G49" i="1"/>
  <c r="G50" i="1"/>
  <c r="G51" i="1"/>
  <c r="G4" i="1"/>
  <c r="G99" i="1" l="1"/>
  <c r="G103" i="1" s="1"/>
  <c r="L16" i="1"/>
  <c r="L63" i="1"/>
  <c r="L64" i="1"/>
  <c r="N90" i="1" s="1"/>
  <c r="O91" i="1" s="1"/>
  <c r="M93" i="1" s="1"/>
  <c r="M94" i="1" s="1"/>
  <c r="L65" i="1"/>
  <c r="N86" i="1" s="1"/>
  <c r="O87" i="1" s="1"/>
  <c r="L66" i="1"/>
  <c r="L67" i="1"/>
  <c r="L68" i="1"/>
  <c r="O83" i="1" s="1"/>
  <c r="M85" i="1" s="1"/>
  <c r="L88" i="1" s="1"/>
  <c r="L69" i="1"/>
  <c r="L70" i="1" s="1"/>
  <c r="N83" i="1" s="1"/>
  <c r="M88" i="1" s="1"/>
  <c r="L71" i="1"/>
  <c r="L72" i="1"/>
  <c r="L73" i="1"/>
  <c r="L74" i="1"/>
  <c r="L76" i="1"/>
  <c r="M80" i="1"/>
  <c r="O85" i="1"/>
  <c r="L86" i="1" s="1"/>
  <c r="L61" i="1"/>
  <c r="N92" i="1" s="1"/>
  <c r="O93" i="1" s="1"/>
  <c r="L5" i="1"/>
  <c r="L6" i="1"/>
  <c r="L7" i="1"/>
  <c r="L8" i="1"/>
  <c r="L9" i="1"/>
  <c r="L11" i="1"/>
  <c r="L12" i="1"/>
  <c r="L13" i="1"/>
  <c r="L14" i="1"/>
  <c r="L17" i="1"/>
  <c r="L18" i="1"/>
  <c r="O90" i="1" s="1"/>
  <c r="L92" i="1" s="1"/>
  <c r="L93" i="1" s="1"/>
  <c r="L19" i="1"/>
  <c r="L40" i="1" s="1"/>
  <c r="O84" i="1" s="1"/>
  <c r="L89" i="1" s="1"/>
  <c r="L20" i="1"/>
  <c r="L77" i="1" s="1"/>
  <c r="L21" i="1"/>
  <c r="L22" i="1"/>
  <c r="L23" i="1"/>
  <c r="L24" i="1"/>
  <c r="L25" i="1"/>
  <c r="L29" i="1"/>
  <c r="L31" i="1"/>
  <c r="L32" i="1"/>
  <c r="L33" i="1"/>
  <c r="L78" i="1" s="1"/>
  <c r="N80" i="1" s="1"/>
  <c r="O81" i="1" s="1"/>
  <c r="L83" i="1" s="1"/>
  <c r="L35" i="1"/>
  <c r="L36" i="1"/>
  <c r="M79" i="1" s="1"/>
  <c r="L38" i="1"/>
  <c r="L39" i="1"/>
  <c r="L41" i="1"/>
  <c r="L42" i="1"/>
  <c r="L43" i="1"/>
  <c r="N81" i="1" s="1"/>
  <c r="M83" i="1" s="1"/>
  <c r="M81" i="1"/>
  <c r="L45" i="1"/>
  <c r="L46" i="1"/>
  <c r="O82" i="1"/>
  <c r="L84" i="1" s="1"/>
  <c r="L49" i="1"/>
  <c r="L50" i="1"/>
  <c r="L75" i="1" s="1"/>
  <c r="O79" i="1" s="1"/>
  <c r="L82" i="1" s="1"/>
  <c r="L51" i="1"/>
  <c r="L4" i="1"/>
  <c r="E99" i="1"/>
  <c r="C99" i="1"/>
  <c r="D99" i="1"/>
  <c r="C100" i="1" l="1"/>
  <c r="W13" i="1"/>
  <c r="W14" i="1"/>
  <c r="E100" i="1"/>
  <c r="L81" i="1"/>
  <c r="L85" i="1"/>
  <c r="N82" i="1"/>
  <c r="M84" i="1" s="1"/>
  <c r="L80" i="1"/>
  <c r="N87" i="1"/>
  <c r="O88" i="1" s="1"/>
  <c r="M90" i="1" s="1"/>
  <c r="N91" i="1"/>
  <c r="N94" i="1" s="1"/>
  <c r="N79" i="1"/>
  <c r="O80" i="1" s="1"/>
  <c r="M82" i="1" s="1"/>
  <c r="M86" i="1"/>
  <c r="L87" i="1" s="1"/>
  <c r="N84" i="1"/>
  <c r="O86" i="1" s="1"/>
  <c r="N89" i="1" s="1"/>
  <c r="L90" i="1" s="1"/>
  <c r="N88" i="1"/>
  <c r="M91" i="1" s="1"/>
  <c r="L79" i="1"/>
  <c r="N93" i="1"/>
  <c r="L94" i="1"/>
  <c r="N85" i="1"/>
  <c r="M87" i="1" s="1"/>
</calcChain>
</file>

<file path=xl/sharedStrings.xml><?xml version="1.0" encoding="utf-8"?>
<sst xmlns="http://schemas.openxmlformats.org/spreadsheetml/2006/main" count="233" uniqueCount="128">
  <si>
    <t>Áreas del Casco Urbano de Pamplona, Norte de Santander</t>
  </si>
  <si>
    <t>Universidad de Pamplona - campus principal</t>
  </si>
  <si>
    <t>UP  - Sede La Casona</t>
  </si>
  <si>
    <t>A. Recreacional (Km2)</t>
  </si>
  <si>
    <t>UP - Sede Virgen del Rosario</t>
  </si>
  <si>
    <t>UP - Sede Club de Comercio</t>
  </si>
  <si>
    <t>UP - Sede Luis Carlos Galán</t>
  </si>
  <si>
    <t>Instituto Superior de Educación Rural</t>
  </si>
  <si>
    <t>Universidad Nacional Abierta a Distancia</t>
  </si>
  <si>
    <t>Policia</t>
  </si>
  <si>
    <t>Hospital</t>
  </si>
  <si>
    <t>Alcaldía</t>
  </si>
  <si>
    <t>Parque Águeda Gallardo</t>
  </si>
  <si>
    <t>Plazuela Almeyda</t>
  </si>
  <si>
    <t>Parque Los Enamorados</t>
  </si>
  <si>
    <t>La Feria</t>
  </si>
  <si>
    <t>Coliseo</t>
  </si>
  <si>
    <t>Los Tanques</t>
  </si>
  <si>
    <t>Hotel Cariongo</t>
  </si>
  <si>
    <t>Plaza de Mercado</t>
  </si>
  <si>
    <t>Terminal de Transporte</t>
  </si>
  <si>
    <t>Plaza Real</t>
  </si>
  <si>
    <t>Movistar</t>
  </si>
  <si>
    <t>Centro de Acopio</t>
  </si>
  <si>
    <t>Escuela Normal Superior</t>
  </si>
  <si>
    <t>Institución Educativa José Antonio Galán</t>
  </si>
  <si>
    <t>Institución Educativa New Cambridge Primaria</t>
  </si>
  <si>
    <t>Institución Educativa Sagrado Corazón</t>
  </si>
  <si>
    <t>Institución Educativa Técnico La Presentación</t>
  </si>
  <si>
    <t>Institución Educativa Bethlemitas</t>
  </si>
  <si>
    <t>Institución Educativa Brigthon</t>
  </si>
  <si>
    <t>Institución Educativa Cambridge Secundaria</t>
  </si>
  <si>
    <t>Institución Educativa Bethlemitas Secundaria</t>
  </si>
  <si>
    <t>Institución Educativa Jose Rafael Faría</t>
  </si>
  <si>
    <t>Institución Educativa Provincial - Sede Gabriela</t>
  </si>
  <si>
    <t>Institución Educativa Provincial - Sede La Salle</t>
  </si>
  <si>
    <t>Institución Educativa Provincial San José</t>
  </si>
  <si>
    <t>Institución Educativa Águeda Gallardo de Villamizar</t>
  </si>
  <si>
    <t>Institución Educativa Seminario Menor</t>
  </si>
  <si>
    <t>Batallón</t>
  </si>
  <si>
    <t>Carcel</t>
  </si>
  <si>
    <t>SENA</t>
  </si>
  <si>
    <t>Ocupación</t>
  </si>
  <si>
    <t>Hotel Úrsua y Comercio</t>
  </si>
  <si>
    <t>Bancos</t>
  </si>
  <si>
    <t>Ticos, Teatro Cecilia y Pipers</t>
  </si>
  <si>
    <t>D1 - centro</t>
  </si>
  <si>
    <t>D1 - Curva</t>
  </si>
  <si>
    <t>Ara - Chapinero</t>
  </si>
  <si>
    <t>D1 - Feria</t>
  </si>
  <si>
    <t>Ísimo - Almeyda</t>
  </si>
  <si>
    <t>Ísimo - Frente Casona</t>
  </si>
  <si>
    <t>El Recreo</t>
  </si>
  <si>
    <t>CENS</t>
  </si>
  <si>
    <t>EMPOPAMPLONA</t>
  </si>
  <si>
    <t>Seminario Mayor</t>
  </si>
  <si>
    <t>Corponor</t>
  </si>
  <si>
    <t>Iglesia Santa Clara</t>
  </si>
  <si>
    <t>Iglesia San Juan de Dios</t>
  </si>
  <si>
    <t>Iglesia El Carmen</t>
  </si>
  <si>
    <t>Iglesia San Fransisco</t>
  </si>
  <si>
    <t>Iglesia Las Nieves</t>
  </si>
  <si>
    <t>Iglesia San José</t>
  </si>
  <si>
    <t>Iglesia Santa Marta</t>
  </si>
  <si>
    <t>Iglesia del Humilladero</t>
  </si>
  <si>
    <t>Iglesia Divino Niño</t>
  </si>
  <si>
    <t>Iglesia del Niño Huérfano</t>
  </si>
  <si>
    <t>Iglesia Cristiana Cuadrangular</t>
  </si>
  <si>
    <t>Iglesia Pentecostal Unida</t>
  </si>
  <si>
    <t>Iglesia Centro Cristiano</t>
  </si>
  <si>
    <t>Manzana Comercial 1</t>
  </si>
  <si>
    <t>Manzana Comercial 2</t>
  </si>
  <si>
    <t>Manzana Comercial 3</t>
  </si>
  <si>
    <t>Manzana Comercial 4</t>
  </si>
  <si>
    <t>Manzana Comercial 5</t>
  </si>
  <si>
    <t>Manzana Comercial 6</t>
  </si>
  <si>
    <t>Manzana Comercial 7 - 1</t>
  </si>
  <si>
    <t>Manzana Comercial 7 - 2</t>
  </si>
  <si>
    <t>Manzana Comercial 7 - 3</t>
  </si>
  <si>
    <t>Manzana Comercial 8</t>
  </si>
  <si>
    <t>Manzana Comercial 9</t>
  </si>
  <si>
    <t>Manzana Comercial 10</t>
  </si>
  <si>
    <t>Manzana Comercial 11</t>
  </si>
  <si>
    <t>Manzana Comercial 12</t>
  </si>
  <si>
    <t>Manzana Comercial 13</t>
  </si>
  <si>
    <t>Manzana Comercial 14</t>
  </si>
  <si>
    <t>TIPO DE USO DEL SUELO</t>
  </si>
  <si>
    <t>OCUPACUÓN</t>
  </si>
  <si>
    <t>Residencial</t>
  </si>
  <si>
    <t>Institucional</t>
  </si>
  <si>
    <t>Comercial</t>
  </si>
  <si>
    <t>Casas o edificaciones que son utilizadas para fines residenciales.</t>
  </si>
  <si>
    <t>Universidad de Pamplona y sus sedes, colegios, alcaldía, SENA, ISER, Corponor, batallón, policía, hospital, iglesias, entre otros.</t>
  </si>
  <si>
    <t>Hoteles, plaza de mercado, terminal de transporte, bancos y zonas de comercio, entre otros.</t>
  </si>
  <si>
    <t>Caudal (l/s)</t>
  </si>
  <si>
    <t>Total Área Urb. Pamplona</t>
  </si>
  <si>
    <t>Null</t>
  </si>
  <si>
    <t>Caudal Nodo (l/s)</t>
  </si>
  <si>
    <t>Nodo Cargado (ID)</t>
  </si>
  <si>
    <t>no</t>
  </si>
  <si>
    <t>si</t>
  </si>
  <si>
    <t>Si</t>
  </si>
  <si>
    <t>repite</t>
  </si>
  <si>
    <t>SI</t>
  </si>
  <si>
    <t>AREA</t>
  </si>
  <si>
    <t>L/S/HA</t>
  </si>
  <si>
    <t>Coliseo Simón Bolivar</t>
  </si>
  <si>
    <t>Patinódromo y Escuela</t>
  </si>
  <si>
    <r>
      <t>A. Comercial (Km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</si>
  <si>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r>
      <t>A. Institucional (Km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</si>
  <si>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t>Salsamentaria Alemana LTDA</t>
  </si>
  <si>
    <t>Babaria</t>
  </si>
  <si>
    <t>Granja Experimental ISER</t>
  </si>
  <si>
    <t>Colegio San Fransisco de Asís</t>
  </si>
  <si>
    <t>Ferretería Peñaloza</t>
  </si>
  <si>
    <t>Hipinto y Molinera</t>
  </si>
  <si>
    <t>Casa de Encuentros Nazareth</t>
  </si>
  <si>
    <t>Escuela Santa Marta</t>
  </si>
  <si>
    <t>Escuela Cristo Rey</t>
  </si>
  <si>
    <t>Palacio de Justicia</t>
  </si>
  <si>
    <t>Industrial</t>
  </si>
  <si>
    <t>Babaria, Hipinto, La Molinera, Salsamentaria Alemana LTDA, Distribuidora y Fabricaciones Peñaloza.</t>
  </si>
  <si>
    <t>Total Caudal</t>
  </si>
  <si>
    <t>Total Área</t>
  </si>
  <si>
    <t>Caudal Residencial</t>
  </si>
  <si>
    <t>Caudal medio diario</t>
  </si>
  <si>
    <t>A. Industrial (Km2)</t>
  </si>
  <si>
    <r>
      <t xml:space="preserve">ÁREA TOTAL </t>
    </r>
    <r>
      <rPr>
        <b/>
        <sz val="10"/>
        <color theme="1"/>
        <rFont val="Times New Roman"/>
        <family val="1"/>
      </rPr>
      <t>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</si>
</sst>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0000"/>
    <numFmt numFmtId="166" formatCode="0.000000000000000"/>
    <numFmt numFmtId="172" formatCode="0.0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Aptos Narrow"/>
      <family val="2"/>
      <scheme val="minor"/>
    </font>
    <font>
      <b/>
      <sz val="10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Aptos Narrow"/>
      <family val="2"/>
      <scheme val="minor"/>
    </font>
    <font>
      <b/>
      <vertAlign val="superscript"/>
      <sz val="10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 tint="0.79998168889431442"/>
        <bgColor indexed="65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9" borderId="4" xfId="1" applyFont="1" applyFill="1" applyBorder="1" applyAlignment="1">
      <alignment horizontal="center" vertical="center" wrapText="1"/>
    </xf>
    <xf numFmtId="0" fontId="4" fillId="9" borderId="5" xfId="1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2" fillId="9" borderId="1" xfId="2" applyFont="1" applyFill="1" applyBorder="1" applyAlignment="1">
      <alignment horizontal="center" vertical="center" wrapText="1"/>
    </xf>
    <xf numFmtId="0" fontId="2" fillId="6" borderId="1" xfId="2" applyFont="1" applyFill="1" applyBorder="1" applyAlignment="1">
      <alignment horizontal="center" vertical="center" wrapText="1"/>
    </xf>
    <xf numFmtId="0" fontId="2" fillId="5" borderId="1" xfId="2" applyFont="1" applyFill="1" applyBorder="1" applyAlignment="1">
      <alignment horizontal="center" vertical="center" wrapText="1"/>
    </xf>
    <xf numFmtId="0" fontId="2" fillId="7" borderId="1" xfId="2" applyFont="1" applyFill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13" borderId="14" xfId="7" applyFont="1" applyBorder="1" applyAlignment="1">
      <alignment horizontal="center" vertical="center"/>
    </xf>
    <xf numFmtId="0" fontId="4" fillId="13" borderId="6" xfId="7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2" fillId="14" borderId="1" xfId="8" applyFont="1" applyBorder="1" applyAlignment="1">
      <alignment horizontal="center" vertical="center" wrapText="1"/>
    </xf>
    <xf numFmtId="0" fontId="4" fillId="9" borderId="32" xfId="0" applyFont="1" applyFill="1" applyBorder="1" applyAlignment="1">
      <alignment horizontal="center" vertical="center" wrapText="1"/>
    </xf>
    <xf numFmtId="0" fontId="4" fillId="6" borderId="32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13" borderId="33" xfId="7" applyFont="1" applyBorder="1" applyAlignment="1">
      <alignment horizontal="center" vertical="center"/>
    </xf>
    <xf numFmtId="0" fontId="4" fillId="13" borderId="34" xfId="7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13" borderId="15" xfId="7" applyFont="1" applyBorder="1" applyAlignment="1">
      <alignment horizontal="center" vertical="center"/>
    </xf>
    <xf numFmtId="164" fontId="4" fillId="11" borderId="14" xfId="5" applyNumberFormat="1" applyFont="1" applyBorder="1" applyAlignment="1">
      <alignment horizontal="center" vertical="center"/>
    </xf>
    <xf numFmtId="164" fontId="4" fillId="11" borderId="6" xfId="5" applyNumberFormat="1" applyFont="1" applyBorder="1" applyAlignment="1">
      <alignment horizontal="center" vertical="center"/>
    </xf>
    <xf numFmtId="164" fontId="4" fillId="11" borderId="15" xfId="5" applyNumberFormat="1" applyFont="1" applyBorder="1" applyAlignment="1">
      <alignment horizontal="center" vertical="center"/>
    </xf>
    <xf numFmtId="164" fontId="4" fillId="11" borderId="33" xfId="5" applyNumberFormat="1" applyFont="1" applyBorder="1" applyAlignment="1">
      <alignment horizontal="center" vertical="center"/>
    </xf>
    <xf numFmtId="164" fontId="4" fillId="11" borderId="34" xfId="5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4" borderId="1" xfId="8" applyFont="1" applyBorder="1" applyAlignment="1">
      <alignment horizontal="center" vertical="center"/>
    </xf>
    <xf numFmtId="164" fontId="4" fillId="15" borderId="1" xfId="9" applyNumberFormat="1" applyFont="1" applyBorder="1" applyAlignment="1">
      <alignment horizontal="center" vertical="center"/>
    </xf>
    <xf numFmtId="0" fontId="4" fillId="8" borderId="37" xfId="0" applyFont="1" applyFill="1" applyBorder="1" applyAlignment="1">
      <alignment horizontal="center" vertical="center" wrapText="1"/>
    </xf>
    <xf numFmtId="0" fontId="4" fillId="6" borderId="37" xfId="0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14" borderId="37" xfId="8" applyFont="1" applyBorder="1" applyAlignment="1">
      <alignment horizontal="center" vertical="center"/>
    </xf>
    <xf numFmtId="164" fontId="4" fillId="10" borderId="4" xfId="4" applyNumberFormat="1" applyFont="1" applyBorder="1" applyAlignment="1">
      <alignment horizontal="center" vertical="center" wrapText="1"/>
    </xf>
    <xf numFmtId="164" fontId="4" fillId="10" borderId="5" xfId="4" applyNumberFormat="1" applyFont="1" applyBorder="1" applyAlignment="1">
      <alignment horizontal="center" vertical="center" wrapText="1"/>
    </xf>
    <xf numFmtId="164" fontId="7" fillId="10" borderId="5" xfId="4" applyNumberFormat="1" applyFont="1" applyBorder="1" applyAlignment="1">
      <alignment horizontal="center" vertical="center"/>
    </xf>
    <xf numFmtId="164" fontId="4" fillId="10" borderId="5" xfId="4" applyNumberFormat="1" applyFont="1" applyBorder="1" applyAlignment="1">
      <alignment horizontal="center" vertical="center"/>
    </xf>
    <xf numFmtId="164" fontId="4" fillId="10" borderId="32" xfId="4" applyNumberFormat="1" applyFont="1" applyBorder="1" applyAlignment="1">
      <alignment horizontal="center" vertical="center"/>
    </xf>
    <xf numFmtId="0" fontId="4" fillId="14" borderId="4" xfId="8" applyFont="1" applyBorder="1" applyAlignment="1">
      <alignment horizontal="center" vertical="center"/>
    </xf>
    <xf numFmtId="0" fontId="4" fillId="14" borderId="38" xfId="8" applyFont="1" applyBorder="1" applyAlignment="1">
      <alignment horizontal="center" vertical="center"/>
    </xf>
    <xf numFmtId="0" fontId="4" fillId="14" borderId="5" xfId="8" applyFont="1" applyBorder="1" applyAlignment="1">
      <alignment horizontal="center" vertical="center"/>
    </xf>
    <xf numFmtId="0" fontId="4" fillId="14" borderId="32" xfId="8" applyFont="1" applyBorder="1" applyAlignment="1">
      <alignment horizontal="center" vertical="center"/>
    </xf>
    <xf numFmtId="0" fontId="2" fillId="4" borderId="19" xfId="3" applyFont="1" applyBorder="1" applyAlignment="1">
      <alignment horizontal="center" vertical="center"/>
    </xf>
    <xf numFmtId="0" fontId="2" fillId="4" borderId="20" xfId="3" applyFont="1" applyBorder="1" applyAlignment="1">
      <alignment horizontal="center" vertical="center"/>
    </xf>
    <xf numFmtId="0" fontId="2" fillId="4" borderId="29" xfId="3" applyFont="1" applyBorder="1" applyAlignment="1">
      <alignment horizontal="center" vertical="center"/>
    </xf>
    <xf numFmtId="166" fontId="4" fillId="11" borderId="10" xfId="5" applyNumberFormat="1" applyFont="1" applyBorder="1" applyAlignment="1">
      <alignment horizontal="center" vertical="center"/>
    </xf>
    <xf numFmtId="166" fontId="4" fillId="11" borderId="23" xfId="5" applyNumberFormat="1" applyFont="1" applyBorder="1" applyAlignment="1">
      <alignment horizontal="center" vertical="center"/>
    </xf>
    <xf numFmtId="166" fontId="4" fillId="11" borderId="24" xfId="5" applyNumberFormat="1" applyFont="1" applyBorder="1" applyAlignment="1">
      <alignment horizontal="center" vertical="center"/>
    </xf>
    <xf numFmtId="0" fontId="4" fillId="13" borderId="10" xfId="7" applyFont="1" applyBorder="1" applyAlignment="1">
      <alignment horizontal="center" vertical="center"/>
    </xf>
    <xf numFmtId="0" fontId="4" fillId="13" borderId="23" xfId="7" applyFont="1" applyBorder="1" applyAlignment="1">
      <alignment horizontal="center" vertical="center"/>
    </xf>
    <xf numFmtId="0" fontId="4" fillId="13" borderId="24" xfId="7" applyFont="1" applyBorder="1" applyAlignment="1">
      <alignment horizontal="center" vertical="center"/>
    </xf>
    <xf numFmtId="0" fontId="4" fillId="13" borderId="40" xfId="7" applyFont="1" applyBorder="1" applyAlignment="1">
      <alignment horizontal="center" vertical="center"/>
    </xf>
    <xf numFmtId="0" fontId="4" fillId="13" borderId="41" xfId="7" applyFont="1" applyBorder="1" applyAlignment="1">
      <alignment horizontal="center" vertical="center"/>
    </xf>
    <xf numFmtId="0" fontId="4" fillId="13" borderId="27" xfId="7" applyFont="1" applyBorder="1" applyAlignment="1">
      <alignment horizontal="center" vertical="center"/>
    </xf>
    <xf numFmtId="164" fontId="4" fillId="11" borderId="10" xfId="5" applyNumberFormat="1" applyFont="1" applyBorder="1" applyAlignment="1">
      <alignment horizontal="center" vertical="center"/>
    </xf>
    <xf numFmtId="164" fontId="4" fillId="11" borderId="23" xfId="5" applyNumberFormat="1" applyFont="1" applyBorder="1" applyAlignment="1">
      <alignment horizontal="center" vertical="center"/>
    </xf>
    <xf numFmtId="164" fontId="4" fillId="11" borderId="24" xfId="5" applyNumberFormat="1" applyFont="1" applyBorder="1" applyAlignment="1">
      <alignment horizontal="center" vertical="center"/>
    </xf>
    <xf numFmtId="164" fontId="4" fillId="11" borderId="40" xfId="5" applyNumberFormat="1" applyFont="1" applyBorder="1" applyAlignment="1">
      <alignment horizontal="center" vertical="center"/>
    </xf>
    <xf numFmtId="164" fontId="4" fillId="11" borderId="41" xfId="5" applyNumberFormat="1" applyFont="1" applyBorder="1" applyAlignment="1">
      <alignment horizontal="center" vertical="center"/>
    </xf>
    <xf numFmtId="164" fontId="4" fillId="11" borderId="27" xfId="5" applyNumberFormat="1" applyFont="1" applyBorder="1" applyAlignment="1">
      <alignment horizontal="center" vertical="center"/>
    </xf>
    <xf numFmtId="166" fontId="4" fillId="11" borderId="14" xfId="5" applyNumberFormat="1" applyFont="1" applyBorder="1" applyAlignment="1">
      <alignment horizontal="center" vertical="center"/>
    </xf>
    <xf numFmtId="166" fontId="4" fillId="11" borderId="6" xfId="5" applyNumberFormat="1" applyFont="1" applyBorder="1" applyAlignment="1">
      <alignment horizontal="center" vertical="center"/>
    </xf>
    <xf numFmtId="166" fontId="4" fillId="11" borderId="15" xfId="5" applyNumberFormat="1" applyFont="1" applyBorder="1" applyAlignment="1">
      <alignment horizontal="center" vertical="center"/>
    </xf>
    <xf numFmtId="0" fontId="4" fillId="13" borderId="28" xfId="7" applyFont="1" applyBorder="1" applyAlignment="1">
      <alignment horizontal="center" vertical="center"/>
    </xf>
    <xf numFmtId="164" fontId="4" fillId="11" borderId="28" xfId="5" applyNumberFormat="1" applyFont="1" applyBorder="1" applyAlignment="1">
      <alignment horizontal="center" vertical="center"/>
    </xf>
    <xf numFmtId="0" fontId="4" fillId="13" borderId="25" xfId="7" applyFont="1" applyBorder="1" applyAlignment="1">
      <alignment horizontal="center" vertical="center"/>
    </xf>
    <xf numFmtId="164" fontId="4" fillId="11" borderId="25" xfId="5" applyNumberFormat="1" applyFont="1" applyBorder="1" applyAlignment="1">
      <alignment horizontal="center" vertical="center"/>
    </xf>
    <xf numFmtId="0" fontId="4" fillId="13" borderId="35" xfId="7" applyFont="1" applyBorder="1" applyAlignment="1">
      <alignment horizontal="center" vertical="center"/>
    </xf>
    <xf numFmtId="0" fontId="4" fillId="13" borderId="36" xfId="7" applyFont="1" applyBorder="1" applyAlignment="1">
      <alignment horizontal="center" vertical="center"/>
    </xf>
    <xf numFmtId="164" fontId="4" fillId="11" borderId="35" xfId="5" applyNumberFormat="1" applyFont="1" applyBorder="1" applyAlignment="1">
      <alignment horizontal="center" vertical="center"/>
    </xf>
    <xf numFmtId="164" fontId="4" fillId="11" borderId="36" xfId="5" applyNumberFormat="1" applyFont="1" applyBorder="1" applyAlignment="1">
      <alignment horizontal="center" vertical="center"/>
    </xf>
    <xf numFmtId="166" fontId="7" fillId="11" borderId="14" xfId="5" applyNumberFormat="1" applyFont="1" applyBorder="1" applyAlignment="1">
      <alignment horizontal="center" vertical="center"/>
    </xf>
    <xf numFmtId="166" fontId="4" fillId="12" borderId="19" xfId="6" applyNumberFormat="1" applyFont="1" applyBorder="1" applyAlignment="1">
      <alignment horizontal="center" vertical="center" wrapText="1"/>
    </xf>
    <xf numFmtId="166" fontId="4" fillId="12" borderId="20" xfId="6" applyNumberFormat="1" applyFont="1" applyBorder="1" applyAlignment="1">
      <alignment horizontal="center" vertical="center" wrapText="1"/>
    </xf>
    <xf numFmtId="166" fontId="4" fillId="12" borderId="29" xfId="6" applyNumberFormat="1" applyFont="1" applyBorder="1" applyAlignment="1">
      <alignment horizontal="center" vertical="center" wrapText="1"/>
    </xf>
    <xf numFmtId="166" fontId="4" fillId="12" borderId="21" xfId="6" applyNumberFormat="1" applyFont="1" applyBorder="1" applyAlignment="1">
      <alignment horizontal="center" vertical="center" wrapText="1"/>
    </xf>
    <xf numFmtId="166" fontId="4" fillId="12" borderId="22" xfId="6" applyNumberFormat="1" applyFont="1" applyBorder="1" applyAlignment="1">
      <alignment horizontal="center" vertical="center" wrapText="1"/>
    </xf>
    <xf numFmtId="166" fontId="4" fillId="12" borderId="30" xfId="6" applyNumberFormat="1" applyFont="1" applyBorder="1" applyAlignment="1">
      <alignment horizontal="center" vertical="center" wrapText="1"/>
    </xf>
    <xf numFmtId="0" fontId="4" fillId="13" borderId="9" xfId="7" applyFont="1" applyBorder="1" applyAlignment="1">
      <alignment horizontal="center" vertical="center"/>
    </xf>
    <xf numFmtId="0" fontId="4" fillId="13" borderId="26" xfId="7" applyFont="1" applyBorder="1" applyAlignment="1">
      <alignment horizontal="center" vertical="center"/>
    </xf>
    <xf numFmtId="0" fontId="4" fillId="13" borderId="39" xfId="7" applyFont="1" applyBorder="1" applyAlignment="1">
      <alignment horizontal="center" vertical="center"/>
    </xf>
    <xf numFmtId="166" fontId="4" fillId="11" borderId="11" xfId="5" applyNumberFormat="1" applyFont="1" applyBorder="1" applyAlignment="1">
      <alignment horizontal="center" vertical="center"/>
    </xf>
    <xf numFmtId="166" fontId="4" fillId="11" borderId="12" xfId="5" applyNumberFormat="1" applyFont="1" applyBorder="1" applyAlignment="1">
      <alignment horizontal="center" vertical="center"/>
    </xf>
    <xf numFmtId="166" fontId="4" fillId="11" borderId="13" xfId="5" applyNumberFormat="1" applyFont="1" applyBorder="1" applyAlignment="1">
      <alignment horizontal="center" vertical="center"/>
    </xf>
    <xf numFmtId="0" fontId="7" fillId="13" borderId="10" xfId="7" applyFont="1" applyBorder="1" applyAlignment="1">
      <alignment horizontal="center" vertical="center"/>
    </xf>
    <xf numFmtId="0" fontId="7" fillId="13" borderId="23" xfId="7" applyFont="1" applyBorder="1" applyAlignment="1">
      <alignment horizontal="center" vertical="center"/>
    </xf>
    <xf numFmtId="0" fontId="7" fillId="13" borderId="24" xfId="7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 wrapText="1"/>
    </xf>
    <xf numFmtId="0" fontId="4" fillId="13" borderId="19" xfId="7" applyFont="1" applyBorder="1" applyAlignment="1">
      <alignment horizontal="center" vertical="center" wrapText="1"/>
    </xf>
    <xf numFmtId="0" fontId="4" fillId="13" borderId="20" xfId="7" applyFont="1" applyBorder="1" applyAlignment="1">
      <alignment horizontal="center" vertical="center" wrapText="1"/>
    </xf>
    <xf numFmtId="0" fontId="4" fillId="13" borderId="21" xfId="7" applyFont="1" applyBorder="1" applyAlignment="1">
      <alignment horizontal="center" vertical="center" wrapText="1"/>
    </xf>
    <xf numFmtId="0" fontId="4" fillId="13" borderId="22" xfId="7" applyFont="1" applyBorder="1" applyAlignment="1">
      <alignment horizontal="center" vertical="center" wrapText="1"/>
    </xf>
    <xf numFmtId="0" fontId="0" fillId="0" borderId="0" xfId="0"/>
    <xf numFmtId="1" fontId="0" fillId="0" borderId="3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2" fontId="1" fillId="11" borderId="6" xfId="5" applyNumberFormat="1" applyBorder="1" applyAlignment="1">
      <alignment horizontal="center" vertical="center"/>
    </xf>
    <xf numFmtId="2" fontId="1" fillId="11" borderId="6" xfId="5" applyNumberFormat="1" applyBorder="1" applyAlignment="1">
      <alignment horizontal="center" vertical="center"/>
    </xf>
    <xf numFmtId="0" fontId="8" fillId="11" borderId="6" xfId="5" applyFont="1" applyBorder="1" applyAlignment="1">
      <alignment horizontal="center" vertical="center" wrapText="1"/>
    </xf>
    <xf numFmtId="0" fontId="0" fillId="0" borderId="0" xfId="0" applyAlignment="1"/>
  </cellXfs>
  <cellStyles count="10">
    <cellStyle name="20% - Énfasis1" xfId="4" builtinId="30"/>
    <cellStyle name="20% - Énfasis2" xfId="5" builtinId="34"/>
    <cellStyle name="20% - Énfasis4" xfId="9" builtinId="42"/>
    <cellStyle name="20% - Énfasis5" xfId="7" builtinId="46"/>
    <cellStyle name="40% - Énfasis1" xfId="1" builtinId="31"/>
    <cellStyle name="40% - Énfasis2" xfId="6" builtinId="35"/>
    <cellStyle name="40% - Énfasis5" xfId="8" builtinId="47"/>
    <cellStyle name="40% - Énfasis6" xfId="2" builtinId="51"/>
    <cellStyle name="60% - Énfasis6" xfId="3" builtinId="52"/>
    <cellStyle name="Normal" xfId="0" builtinId="0"/>
  </cellStyles>
  <dxfs count="0"/>
  <tableStyles count="0" defaultTableStyle="TableStyleMedium2" defaultPivotStyle="PivotStyleLight16"/>
  <colors>
    <mruColors>
      <color rgb="FFFF8F8F"/>
      <color rgb="FF3402EC"/>
      <color rgb="FFFB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ECA33-DC3C-4A24-A06B-9F610027D56D}">
  <dimension ref="B1:AC119"/>
  <sheetViews>
    <sheetView tabSelected="1" zoomScaleNormal="100" workbookViewId="0">
      <pane ySplit="3" topLeftCell="A4" activePane="bottomLeft" state="frozen"/>
      <selection pane="bottomLeft" activeCell="U13" sqref="U13"/>
    </sheetView>
  </sheetViews>
  <sheetFormatPr baseColWidth="10" defaultRowHeight="15.75" x14ac:dyDescent="0.25"/>
  <cols>
    <col min="1" max="1" width="3.28515625" customWidth="1"/>
    <col min="2" max="2" width="26.85546875" style="2" customWidth="1"/>
    <col min="3" max="3" width="17.28515625" style="1" customWidth="1"/>
    <col min="4" max="4" width="17.28515625" style="1" bestFit="1" customWidth="1"/>
    <col min="5" max="5" width="14.28515625" style="1" bestFit="1" customWidth="1"/>
    <col min="6" max="6" width="14.28515625" style="25" customWidth="1"/>
    <col min="7" max="7" width="11.85546875" bestFit="1" customWidth="1"/>
    <col min="8" max="11" width="6.28515625" style="25" customWidth="1"/>
    <col min="12" max="15" width="8.7109375" style="29" customWidth="1"/>
    <col min="16" max="16" width="17.85546875" style="30" hidden="1" customWidth="1"/>
    <col min="17" max="17" width="23.42578125" style="30" hidden="1" customWidth="1"/>
    <col min="18" max="19" width="17.85546875" style="30" hidden="1" customWidth="1"/>
    <col min="20" max="20" width="17.85546875" style="28" hidden="1" customWidth="1"/>
    <col min="21" max="21" width="17.85546875" style="28" customWidth="1"/>
    <col min="22" max="22" width="28.42578125" bestFit="1" customWidth="1"/>
    <col min="23" max="23" width="15.7109375" bestFit="1" customWidth="1"/>
    <col min="24" max="24" width="28.42578125" bestFit="1" customWidth="1"/>
  </cols>
  <sheetData>
    <row r="1" spans="2:24" ht="16.5" thickBot="1" x14ac:dyDescent="0.3"/>
    <row r="2" spans="2:24" ht="16.5" customHeight="1" thickBot="1" x14ac:dyDescent="0.3">
      <c r="B2" s="67" t="s">
        <v>0</v>
      </c>
      <c r="C2" s="68"/>
      <c r="D2" s="68"/>
      <c r="E2" s="68"/>
      <c r="F2" s="69"/>
      <c r="G2" s="112" t="s">
        <v>94</v>
      </c>
      <c r="H2" s="114" t="s">
        <v>98</v>
      </c>
      <c r="I2" s="115"/>
      <c r="J2" s="115"/>
      <c r="K2" s="115"/>
      <c r="L2" s="97" t="s">
        <v>97</v>
      </c>
      <c r="M2" s="98"/>
      <c r="N2" s="98"/>
      <c r="O2" s="99"/>
      <c r="P2" s="119" t="s">
        <v>102</v>
      </c>
    </row>
    <row r="3" spans="2:24" ht="35.25" thickBot="1" x14ac:dyDescent="0.3">
      <c r="B3" s="10" t="s">
        <v>42</v>
      </c>
      <c r="C3" s="11" t="s">
        <v>109</v>
      </c>
      <c r="D3" s="12" t="s">
        <v>3</v>
      </c>
      <c r="E3" s="13" t="s">
        <v>108</v>
      </c>
      <c r="F3" s="32" t="s">
        <v>126</v>
      </c>
      <c r="G3" s="113"/>
      <c r="H3" s="116"/>
      <c r="I3" s="117"/>
      <c r="J3" s="117"/>
      <c r="K3" s="117"/>
      <c r="L3" s="100"/>
      <c r="M3" s="101"/>
      <c r="N3" s="101"/>
      <c r="O3" s="102"/>
      <c r="P3" s="119"/>
    </row>
    <row r="4" spans="2:24" ht="31.5" x14ac:dyDescent="0.25">
      <c r="B4" s="3" t="s">
        <v>1</v>
      </c>
      <c r="C4" s="6">
        <v>0.12</v>
      </c>
      <c r="D4" s="8"/>
      <c r="E4" s="38"/>
      <c r="F4" s="63"/>
      <c r="G4" s="58">
        <f>+(C4*100)*0.5</f>
        <v>6</v>
      </c>
      <c r="H4" s="103">
        <v>824</v>
      </c>
      <c r="I4" s="104"/>
      <c r="J4" s="104"/>
      <c r="K4" s="105"/>
      <c r="L4" s="106">
        <f>0.192412730221815+G4</f>
        <v>6.1924127302218146</v>
      </c>
      <c r="M4" s="107"/>
      <c r="N4" s="107"/>
      <c r="O4" s="108"/>
      <c r="P4" s="30" t="s">
        <v>99</v>
      </c>
      <c r="Q4" s="30">
        <v>6.1924127302218102</v>
      </c>
    </row>
    <row r="5" spans="2:24" x14ac:dyDescent="0.25">
      <c r="B5" s="4" t="s">
        <v>2</v>
      </c>
      <c r="C5" s="7">
        <v>5.8310000000000002E-3</v>
      </c>
      <c r="D5" s="9"/>
      <c r="E5" s="39"/>
      <c r="F5" s="64"/>
      <c r="G5" s="59">
        <f t="shared" ref="G5:G57" si="0">+(C5*100)*0.5</f>
        <v>0.29155000000000003</v>
      </c>
      <c r="H5" s="73">
        <v>629</v>
      </c>
      <c r="I5" s="74"/>
      <c r="J5" s="74"/>
      <c r="K5" s="75"/>
      <c r="L5" s="85">
        <f>0.182723693982476+G5</f>
        <v>0.47427369398247604</v>
      </c>
      <c r="M5" s="86"/>
      <c r="N5" s="86"/>
      <c r="O5" s="87"/>
      <c r="P5" s="30" t="s">
        <v>100</v>
      </c>
    </row>
    <row r="6" spans="2:24" ht="31.5" x14ac:dyDescent="0.25">
      <c r="B6" s="4" t="s">
        <v>4</v>
      </c>
      <c r="C6" s="7">
        <v>7.2379999999999996E-3</v>
      </c>
      <c r="D6" s="9"/>
      <c r="E6" s="39"/>
      <c r="F6" s="64"/>
      <c r="G6" s="59">
        <f t="shared" si="0"/>
        <v>0.3619</v>
      </c>
      <c r="H6" s="73">
        <v>633</v>
      </c>
      <c r="I6" s="74"/>
      <c r="J6" s="74"/>
      <c r="K6" s="75"/>
      <c r="L6" s="85">
        <f>0.213761661702357+G6</f>
        <v>0.575661661702357</v>
      </c>
      <c r="M6" s="86"/>
      <c r="N6" s="86"/>
      <c r="O6" s="87"/>
      <c r="P6" s="30" t="s">
        <v>99</v>
      </c>
      <c r="Q6" s="30">
        <v>0.575661661702357</v>
      </c>
    </row>
    <row r="7" spans="2:24" ht="31.5" x14ac:dyDescent="0.25">
      <c r="B7" s="4" t="s">
        <v>5</v>
      </c>
      <c r="C7" s="7">
        <v>1.096E-3</v>
      </c>
      <c r="D7" s="9"/>
      <c r="E7" s="39"/>
      <c r="F7" s="64"/>
      <c r="G7" s="59">
        <f t="shared" si="0"/>
        <v>5.4800000000000001E-2</v>
      </c>
      <c r="H7" s="73">
        <v>639</v>
      </c>
      <c r="I7" s="74"/>
      <c r="J7" s="74"/>
      <c r="K7" s="75"/>
      <c r="L7" s="85">
        <f>0.084331098427352+G7</f>
        <v>0.139131098427352</v>
      </c>
      <c r="M7" s="86"/>
      <c r="N7" s="86"/>
      <c r="O7" s="87"/>
      <c r="P7" s="30" t="s">
        <v>100</v>
      </c>
    </row>
    <row r="8" spans="2:24" x14ac:dyDescent="0.25">
      <c r="B8" s="4" t="s">
        <v>6</v>
      </c>
      <c r="C8" s="7">
        <v>1.8200000000000001E-4</v>
      </c>
      <c r="D8" s="9"/>
      <c r="E8" s="39"/>
      <c r="F8" s="64"/>
      <c r="G8" s="59">
        <f t="shared" si="0"/>
        <v>9.1000000000000004E-3</v>
      </c>
      <c r="H8" s="73">
        <v>640</v>
      </c>
      <c r="I8" s="74"/>
      <c r="J8" s="74"/>
      <c r="K8" s="75"/>
      <c r="L8" s="85">
        <f>0.082916740395914+G8</f>
        <v>9.2016740395913996E-2</v>
      </c>
      <c r="M8" s="86"/>
      <c r="N8" s="86"/>
      <c r="O8" s="87"/>
      <c r="P8" s="30" t="s">
        <v>100</v>
      </c>
    </row>
    <row r="9" spans="2:24" ht="31.5" x14ac:dyDescent="0.25">
      <c r="B9" s="4" t="s">
        <v>7</v>
      </c>
      <c r="C9" s="7">
        <v>7.2167999999999996E-2</v>
      </c>
      <c r="D9" s="9"/>
      <c r="E9" s="39"/>
      <c r="F9" s="64"/>
      <c r="G9" s="59">
        <f t="shared" si="0"/>
        <v>3.6083999999999996</v>
      </c>
      <c r="H9" s="73">
        <v>373</v>
      </c>
      <c r="I9" s="74"/>
      <c r="J9" s="74"/>
      <c r="K9" s="75"/>
      <c r="L9" s="85">
        <f>0.196552584993733+G9</f>
        <v>3.8049525849937327</v>
      </c>
      <c r="M9" s="86"/>
      <c r="N9" s="86"/>
      <c r="O9" s="87"/>
      <c r="P9" s="30" t="s">
        <v>99</v>
      </c>
      <c r="Q9" s="30">
        <v>3.80495258499373</v>
      </c>
    </row>
    <row r="10" spans="2:24" ht="16.5" thickBot="1" x14ac:dyDescent="0.3">
      <c r="B10" s="4" t="s">
        <v>112</v>
      </c>
      <c r="C10" s="7">
        <v>6.7590000000000003E-3</v>
      </c>
      <c r="D10" s="9"/>
      <c r="E10" s="39"/>
      <c r="F10" s="64"/>
      <c r="G10" s="59">
        <f t="shared" si="0"/>
        <v>0.33795000000000003</v>
      </c>
      <c r="H10" s="73">
        <v>402</v>
      </c>
      <c r="I10" s="74"/>
      <c r="J10" s="74"/>
      <c r="K10" s="75"/>
      <c r="L10" s="70">
        <f>0.216684599965281+G10</f>
        <v>0.55463459996528108</v>
      </c>
      <c r="M10" s="71"/>
      <c r="N10" s="71"/>
      <c r="O10" s="72"/>
      <c r="P10" s="30" t="s">
        <v>99</v>
      </c>
      <c r="Q10" s="30">
        <v>0.55463459996528097</v>
      </c>
    </row>
    <row r="11" spans="2:24" ht="40.5" customHeight="1" x14ac:dyDescent="0.25">
      <c r="B11" s="4" t="s">
        <v>8</v>
      </c>
      <c r="C11" s="7">
        <v>8.3600000000000005E-4</v>
      </c>
      <c r="D11" s="9"/>
      <c r="E11" s="39"/>
      <c r="F11" s="64"/>
      <c r="G11" s="59">
        <f t="shared" si="0"/>
        <v>4.1800000000000004E-2</v>
      </c>
      <c r="H11" s="73">
        <v>536</v>
      </c>
      <c r="I11" s="74"/>
      <c r="J11" s="74"/>
      <c r="K11" s="75"/>
      <c r="L11" s="85">
        <f>0.211380623688676+G11</f>
        <v>0.253180623688676</v>
      </c>
      <c r="M11" s="86"/>
      <c r="N11" s="86"/>
      <c r="O11" s="87"/>
      <c r="P11" s="30" t="s">
        <v>100</v>
      </c>
      <c r="V11" s="17" t="s">
        <v>86</v>
      </c>
      <c r="W11" s="18" t="s">
        <v>127</v>
      </c>
      <c r="X11" s="19" t="s">
        <v>87</v>
      </c>
    </row>
    <row r="12" spans="2:24" ht="63" customHeight="1" x14ac:dyDescent="0.25">
      <c r="B12" s="4" t="s">
        <v>25</v>
      </c>
      <c r="C12" s="7">
        <v>8.0000000000000002E-3</v>
      </c>
      <c r="D12" s="9"/>
      <c r="E12" s="39"/>
      <c r="F12" s="64"/>
      <c r="G12" s="59">
        <f t="shared" si="0"/>
        <v>0.4</v>
      </c>
      <c r="H12" s="73">
        <v>728</v>
      </c>
      <c r="I12" s="74"/>
      <c r="J12" s="74"/>
      <c r="K12" s="75"/>
      <c r="L12" s="85">
        <f>0.104742442670386+G12</f>
        <v>0.50474244267038604</v>
      </c>
      <c r="M12" s="86"/>
      <c r="N12" s="86"/>
      <c r="O12" s="87"/>
      <c r="P12" s="30" t="s">
        <v>99</v>
      </c>
      <c r="Q12" s="30">
        <v>0.50474244267038604</v>
      </c>
      <c r="V12" s="20" t="s">
        <v>88</v>
      </c>
      <c r="W12" s="14">
        <f>+(W17-W13-W14-W15-D99)</f>
        <v>4.5690999999999997</v>
      </c>
      <c r="X12" s="21" t="s">
        <v>91</v>
      </c>
    </row>
    <row r="13" spans="2:24" ht="78.75" x14ac:dyDescent="0.25">
      <c r="B13" s="4" t="s">
        <v>26</v>
      </c>
      <c r="C13" s="7">
        <v>3.0299999999999999E-4</v>
      </c>
      <c r="D13" s="9"/>
      <c r="E13" s="39"/>
      <c r="F13" s="64"/>
      <c r="G13" s="59">
        <f t="shared" si="0"/>
        <v>1.515E-2</v>
      </c>
      <c r="H13" s="73">
        <v>729</v>
      </c>
      <c r="I13" s="74"/>
      <c r="J13" s="74"/>
      <c r="K13" s="75"/>
      <c r="L13" s="85">
        <f>0.0925044487773+G13</f>
        <v>0.1076544487773</v>
      </c>
      <c r="M13" s="86"/>
      <c r="N13" s="86"/>
      <c r="O13" s="87"/>
      <c r="P13" s="30" t="s">
        <v>99</v>
      </c>
      <c r="Q13" s="30">
        <v>0.1076544487773</v>
      </c>
      <c r="V13" s="20" t="s">
        <v>89</v>
      </c>
      <c r="W13" s="14">
        <f>+C99</f>
        <v>1.21271</v>
      </c>
      <c r="X13" s="21" t="s">
        <v>92</v>
      </c>
    </row>
    <row r="14" spans="2:24" ht="63.75" thickBot="1" x14ac:dyDescent="0.3">
      <c r="B14" s="4" t="s">
        <v>27</v>
      </c>
      <c r="C14" s="7">
        <v>4.6309999999999997E-3</v>
      </c>
      <c r="D14" s="9"/>
      <c r="E14" s="39"/>
      <c r="F14" s="64"/>
      <c r="G14" s="59">
        <f t="shared" si="0"/>
        <v>0.23154999999999998</v>
      </c>
      <c r="H14" s="73">
        <v>534</v>
      </c>
      <c r="I14" s="74"/>
      <c r="J14" s="74"/>
      <c r="K14" s="75"/>
      <c r="L14" s="85">
        <f>0.076890151458239+G14</f>
        <v>0.308440151458239</v>
      </c>
      <c r="M14" s="86"/>
      <c r="N14" s="86"/>
      <c r="O14" s="87"/>
      <c r="P14" s="30" t="s">
        <v>99</v>
      </c>
      <c r="Q14" s="30">
        <v>0.308440151458239</v>
      </c>
      <c r="V14" s="22" t="s">
        <v>90</v>
      </c>
      <c r="W14" s="23">
        <f>+E99</f>
        <v>9.6103999999999995E-2</v>
      </c>
      <c r="X14" s="24" t="s">
        <v>93</v>
      </c>
    </row>
    <row r="15" spans="2:24" ht="63.75" thickBot="1" x14ac:dyDescent="0.3">
      <c r="B15" s="4" t="s">
        <v>28</v>
      </c>
      <c r="C15" s="7">
        <v>3.9449999999999997E-3</v>
      </c>
      <c r="D15" s="9"/>
      <c r="E15" s="39"/>
      <c r="F15" s="64"/>
      <c r="G15" s="59">
        <f t="shared" si="0"/>
        <v>0.19724999999999998</v>
      </c>
      <c r="H15" s="73">
        <v>493</v>
      </c>
      <c r="I15" s="74"/>
      <c r="J15" s="74"/>
      <c r="K15" s="75"/>
      <c r="L15" s="85">
        <f>0.243994015794502+G15</f>
        <v>0.44124401579450201</v>
      </c>
      <c r="M15" s="86"/>
      <c r="N15" s="86"/>
      <c r="O15" s="87"/>
      <c r="P15" s="30" t="s">
        <v>100</v>
      </c>
      <c r="V15" s="22" t="s">
        <v>120</v>
      </c>
      <c r="W15" s="23">
        <f>+F99</f>
        <v>1.9046E-2</v>
      </c>
      <c r="X15" s="24" t="s">
        <v>121</v>
      </c>
    </row>
    <row r="16" spans="2:24" ht="32.25" thickBot="1" x14ac:dyDescent="0.3">
      <c r="B16" s="4" t="s">
        <v>29</v>
      </c>
      <c r="C16" s="7">
        <v>3.3149999999999998E-3</v>
      </c>
      <c r="D16" s="9"/>
      <c r="E16" s="39"/>
      <c r="F16" s="64"/>
      <c r="G16" s="59">
        <f t="shared" si="0"/>
        <v>0.16574999999999998</v>
      </c>
      <c r="H16" s="73">
        <v>493</v>
      </c>
      <c r="I16" s="74"/>
      <c r="J16" s="74"/>
      <c r="K16" s="75"/>
      <c r="L16" s="85">
        <f>L15+G16</f>
        <v>0.60699401579450196</v>
      </c>
      <c r="M16" s="86"/>
      <c r="N16" s="86"/>
      <c r="O16" s="87"/>
      <c r="P16" s="30">
        <v>493</v>
      </c>
      <c r="Q16" s="30">
        <v>0.60699401579450196</v>
      </c>
    </row>
    <row r="17" spans="2:23" ht="19.5" customHeight="1" thickBot="1" x14ac:dyDescent="0.3">
      <c r="B17" s="4" t="s">
        <v>30</v>
      </c>
      <c r="C17" s="7">
        <v>4.0959999999999998E-3</v>
      </c>
      <c r="D17" s="9"/>
      <c r="E17" s="39"/>
      <c r="F17" s="64"/>
      <c r="G17" s="59">
        <f t="shared" si="0"/>
        <v>0.20479999999999998</v>
      </c>
      <c r="H17" s="73">
        <v>483</v>
      </c>
      <c r="I17" s="74"/>
      <c r="J17" s="74"/>
      <c r="K17" s="75"/>
      <c r="L17" s="85">
        <f>0.247939015794502+G17</f>
        <v>0.45273901579450199</v>
      </c>
      <c r="M17" s="86"/>
      <c r="N17" s="86"/>
      <c r="O17" s="87"/>
      <c r="P17" s="30" t="s">
        <v>99</v>
      </c>
      <c r="Q17" s="30">
        <v>0.45273901579450199</v>
      </c>
      <c r="V17" s="16" t="s">
        <v>95</v>
      </c>
      <c r="W17" s="15">
        <v>5.9160000000000004</v>
      </c>
    </row>
    <row r="18" spans="2:23" ht="31.5" x14ac:dyDescent="0.25">
      <c r="B18" s="4" t="s">
        <v>31</v>
      </c>
      <c r="C18" s="7">
        <v>1.9580000000000001E-3</v>
      </c>
      <c r="D18" s="9"/>
      <c r="E18" s="39"/>
      <c r="F18" s="64"/>
      <c r="G18" s="59">
        <f t="shared" si="0"/>
        <v>9.7900000000000001E-2</v>
      </c>
      <c r="H18" s="73">
        <v>443</v>
      </c>
      <c r="I18" s="74"/>
      <c r="J18" s="74"/>
      <c r="K18" s="75"/>
      <c r="L18" s="85">
        <f>0.226641017000782+G18</f>
        <v>0.32454101700078203</v>
      </c>
      <c r="M18" s="86"/>
      <c r="N18" s="86"/>
      <c r="O18" s="87"/>
      <c r="P18" s="30" t="s">
        <v>100</v>
      </c>
    </row>
    <row r="19" spans="2:23" ht="31.5" x14ac:dyDescent="0.25">
      <c r="B19" s="4" t="s">
        <v>32</v>
      </c>
      <c r="C19" s="7">
        <v>2.4269999999999999E-3</v>
      </c>
      <c r="D19" s="9"/>
      <c r="E19" s="39"/>
      <c r="F19" s="64"/>
      <c r="G19" s="59">
        <f t="shared" si="0"/>
        <v>0.12135</v>
      </c>
      <c r="H19" s="73">
        <v>214</v>
      </c>
      <c r="I19" s="74"/>
      <c r="J19" s="74"/>
      <c r="K19" s="75"/>
      <c r="L19" s="85">
        <f>0.370133788190862+G19</f>
        <v>0.49148378819086203</v>
      </c>
      <c r="M19" s="86"/>
      <c r="N19" s="86"/>
      <c r="O19" s="87"/>
      <c r="P19" s="30" t="s">
        <v>100</v>
      </c>
    </row>
    <row r="20" spans="2:23" ht="31.5" x14ac:dyDescent="0.25">
      <c r="B20" s="4" t="s">
        <v>33</v>
      </c>
      <c r="C20" s="7">
        <v>1.116E-3</v>
      </c>
      <c r="D20" s="9"/>
      <c r="E20" s="39"/>
      <c r="F20" s="64"/>
      <c r="G20" s="59">
        <f t="shared" si="0"/>
        <v>5.5800000000000002E-2</v>
      </c>
      <c r="H20" s="73">
        <v>439</v>
      </c>
      <c r="I20" s="74"/>
      <c r="J20" s="74"/>
      <c r="K20" s="75"/>
      <c r="L20" s="85">
        <f>0.125053279845273+G20</f>
        <v>0.180853279845273</v>
      </c>
      <c r="M20" s="86"/>
      <c r="N20" s="86"/>
      <c r="O20" s="87"/>
      <c r="P20" s="30" t="s">
        <v>100</v>
      </c>
    </row>
    <row r="21" spans="2:23" ht="31.5" x14ac:dyDescent="0.25">
      <c r="B21" s="4" t="s">
        <v>34</v>
      </c>
      <c r="C21" s="7">
        <v>3.0230000000000001E-3</v>
      </c>
      <c r="D21" s="9"/>
      <c r="E21" s="39"/>
      <c r="F21" s="64"/>
      <c r="G21" s="59">
        <f t="shared" si="0"/>
        <v>0.15115000000000001</v>
      </c>
      <c r="H21" s="73">
        <v>182</v>
      </c>
      <c r="I21" s="74"/>
      <c r="J21" s="74"/>
      <c r="K21" s="75"/>
      <c r="L21" s="85">
        <f>0.213489718813568+G21</f>
        <v>0.36463971881356805</v>
      </c>
      <c r="M21" s="86"/>
      <c r="N21" s="86"/>
      <c r="O21" s="87"/>
      <c r="P21" s="30" t="s">
        <v>99</v>
      </c>
      <c r="Q21" s="30">
        <v>0.36463971881356799</v>
      </c>
    </row>
    <row r="22" spans="2:23" ht="31.5" x14ac:dyDescent="0.25">
      <c r="B22" s="4" t="s">
        <v>35</v>
      </c>
      <c r="C22" s="7">
        <v>3.4629999999999999E-3</v>
      </c>
      <c r="D22" s="9"/>
      <c r="E22" s="39"/>
      <c r="F22" s="64"/>
      <c r="G22" s="59">
        <f t="shared" si="0"/>
        <v>0.17315</v>
      </c>
      <c r="H22" s="73">
        <v>179</v>
      </c>
      <c r="I22" s="74"/>
      <c r="J22" s="74"/>
      <c r="K22" s="75"/>
      <c r="L22" s="85">
        <f>0.114410930146095+G22</f>
        <v>0.28756093014609502</v>
      </c>
      <c r="M22" s="86"/>
      <c r="N22" s="86"/>
      <c r="O22" s="87"/>
      <c r="P22" s="30" t="s">
        <v>99</v>
      </c>
      <c r="Q22" s="30">
        <v>0.28756093014609502</v>
      </c>
    </row>
    <row r="23" spans="2:23" ht="31.5" x14ac:dyDescent="0.25">
      <c r="B23" s="4" t="s">
        <v>36</v>
      </c>
      <c r="C23" s="7">
        <v>2.5583000000000002E-2</v>
      </c>
      <c r="D23" s="9"/>
      <c r="E23" s="39"/>
      <c r="F23" s="64"/>
      <c r="G23" s="59">
        <f t="shared" si="0"/>
        <v>1.27915</v>
      </c>
      <c r="H23" s="73">
        <v>152</v>
      </c>
      <c r="I23" s="74"/>
      <c r="J23" s="74"/>
      <c r="K23" s="75"/>
      <c r="L23" s="85">
        <f>0.524374534127576+G23</f>
        <v>1.8035245341275759</v>
      </c>
      <c r="M23" s="86"/>
      <c r="N23" s="86"/>
      <c r="O23" s="87"/>
      <c r="P23" s="30" t="s">
        <v>99</v>
      </c>
      <c r="Q23" s="30">
        <v>1.8035245341275801</v>
      </c>
    </row>
    <row r="24" spans="2:23" ht="31.5" x14ac:dyDescent="0.25">
      <c r="B24" s="4" t="s">
        <v>37</v>
      </c>
      <c r="C24" s="7">
        <v>4.3319999999999999E-3</v>
      </c>
      <c r="D24" s="9"/>
      <c r="E24" s="39"/>
      <c r="F24" s="64"/>
      <c r="G24" s="59">
        <f t="shared" si="0"/>
        <v>0.21659999999999999</v>
      </c>
      <c r="H24" s="73">
        <v>329</v>
      </c>
      <c r="I24" s="74"/>
      <c r="J24" s="74"/>
      <c r="K24" s="75"/>
      <c r="L24" s="85">
        <f>0.210278128545903+G24</f>
        <v>0.42687812854590301</v>
      </c>
      <c r="M24" s="86"/>
      <c r="N24" s="86"/>
      <c r="O24" s="87"/>
      <c r="P24" s="30" t="s">
        <v>99</v>
      </c>
      <c r="Q24" s="30">
        <v>0.42687812854590301</v>
      </c>
    </row>
    <row r="25" spans="2:23" ht="31.5" x14ac:dyDescent="0.25">
      <c r="B25" s="4" t="s">
        <v>38</v>
      </c>
      <c r="C25" s="7">
        <v>2.3262999999999999E-2</v>
      </c>
      <c r="D25" s="9"/>
      <c r="E25" s="39"/>
      <c r="F25" s="64"/>
      <c r="G25" s="59">
        <f t="shared" si="0"/>
        <v>1.1631499999999999</v>
      </c>
      <c r="H25" s="73">
        <v>401</v>
      </c>
      <c r="I25" s="74"/>
      <c r="J25" s="74"/>
      <c r="K25" s="75"/>
      <c r="L25" s="85">
        <f>0.141230721720325+G25</f>
        <v>1.3043807217203249</v>
      </c>
      <c r="M25" s="86"/>
      <c r="N25" s="86"/>
      <c r="O25" s="87"/>
      <c r="P25" s="30" t="s">
        <v>99</v>
      </c>
      <c r="Q25" s="30">
        <v>1.30438072172032</v>
      </c>
    </row>
    <row r="26" spans="2:23" x14ac:dyDescent="0.25">
      <c r="B26" s="4" t="s">
        <v>117</v>
      </c>
      <c r="C26" s="7">
        <v>1.16E-3</v>
      </c>
      <c r="D26" s="9"/>
      <c r="E26" s="39"/>
      <c r="F26" s="64"/>
      <c r="G26" s="59">
        <f t="shared" si="0"/>
        <v>5.8000000000000003E-2</v>
      </c>
      <c r="H26" s="73">
        <v>570</v>
      </c>
      <c r="I26" s="74"/>
      <c r="J26" s="74"/>
      <c r="K26" s="75"/>
      <c r="L26" s="70">
        <f>0.038879332895686+G26</f>
        <v>9.687933289568601E-2</v>
      </c>
      <c r="M26" s="71"/>
      <c r="N26" s="71"/>
      <c r="O26" s="72"/>
    </row>
    <row r="27" spans="2:23" x14ac:dyDescent="0.25">
      <c r="B27" s="4" t="s">
        <v>118</v>
      </c>
      <c r="C27" s="7">
        <v>3.5720000000000001E-3</v>
      </c>
      <c r="D27" s="9"/>
      <c r="E27" s="39"/>
      <c r="F27" s="64"/>
      <c r="G27" s="59">
        <f t="shared" si="0"/>
        <v>0.17860000000000001</v>
      </c>
      <c r="H27" s="73">
        <v>1004</v>
      </c>
      <c r="I27" s="74"/>
      <c r="J27" s="74"/>
      <c r="K27" s="75"/>
      <c r="L27" s="70">
        <f>0.068884409590892+G27</f>
        <v>0.24748440959089202</v>
      </c>
      <c r="M27" s="71"/>
      <c r="N27" s="71"/>
      <c r="O27" s="72"/>
    </row>
    <row r="28" spans="2:23" x14ac:dyDescent="0.25">
      <c r="B28" s="4" t="s">
        <v>55</v>
      </c>
      <c r="C28" s="7">
        <v>3.6865000000000002E-2</v>
      </c>
      <c r="D28" s="9"/>
      <c r="E28" s="39"/>
      <c r="F28" s="64"/>
      <c r="G28" s="59">
        <f t="shared" si="0"/>
        <v>1.8432500000000001</v>
      </c>
      <c r="H28" s="73">
        <v>262</v>
      </c>
      <c r="I28" s="74"/>
      <c r="J28" s="74"/>
      <c r="K28" s="75"/>
      <c r="L28" s="85">
        <v>0.14104349069977501</v>
      </c>
      <c r="M28" s="86"/>
      <c r="N28" s="86"/>
      <c r="O28" s="87"/>
      <c r="P28" s="30" t="s">
        <v>99</v>
      </c>
      <c r="Q28" s="30">
        <v>0.14104349069977501</v>
      </c>
    </row>
    <row r="29" spans="2:23" x14ac:dyDescent="0.25">
      <c r="B29" s="4" t="s">
        <v>24</v>
      </c>
      <c r="C29" s="7">
        <v>0.11</v>
      </c>
      <c r="D29" s="9"/>
      <c r="E29" s="39"/>
      <c r="F29" s="64"/>
      <c r="G29" s="59">
        <f t="shared" si="0"/>
        <v>5.5</v>
      </c>
      <c r="H29" s="73">
        <v>62</v>
      </c>
      <c r="I29" s="74"/>
      <c r="J29" s="74"/>
      <c r="K29" s="75"/>
      <c r="L29" s="85">
        <f>0.039468241247966+G29</f>
        <v>5.5394682412479659</v>
      </c>
      <c r="M29" s="86"/>
      <c r="N29" s="86"/>
      <c r="O29" s="87"/>
      <c r="P29" s="30" t="s">
        <v>99</v>
      </c>
      <c r="Q29" s="30">
        <v>5.5394682412479703</v>
      </c>
    </row>
    <row r="30" spans="2:23" ht="31.5" x14ac:dyDescent="0.25">
      <c r="B30" s="4" t="s">
        <v>113</v>
      </c>
      <c r="C30" s="7">
        <v>6.3480000000000003E-3</v>
      </c>
      <c r="D30" s="9"/>
      <c r="E30" s="39"/>
      <c r="F30" s="64"/>
      <c r="G30" s="59">
        <f t="shared" si="0"/>
        <v>0.31740000000000002</v>
      </c>
      <c r="H30" s="73">
        <v>719</v>
      </c>
      <c r="I30" s="74"/>
      <c r="J30" s="74"/>
      <c r="K30" s="75"/>
      <c r="L30" s="70">
        <f>0.060680350588425+G30</f>
        <v>0.37808035058842504</v>
      </c>
      <c r="M30" s="71"/>
      <c r="N30" s="71"/>
      <c r="O30" s="72"/>
      <c r="P30" s="30" t="s">
        <v>99</v>
      </c>
      <c r="Q30" s="28">
        <v>0.37808035058842498</v>
      </c>
    </row>
    <row r="31" spans="2:23" x14ac:dyDescent="0.25">
      <c r="B31" s="4" t="s">
        <v>9</v>
      </c>
      <c r="C31" s="7">
        <v>7.4729999999999996E-3</v>
      </c>
      <c r="D31" s="9"/>
      <c r="E31" s="39"/>
      <c r="F31" s="64"/>
      <c r="G31" s="59">
        <f t="shared" si="0"/>
        <v>0.37364999999999998</v>
      </c>
      <c r="H31" s="73">
        <v>666</v>
      </c>
      <c r="I31" s="74"/>
      <c r="J31" s="74"/>
      <c r="K31" s="75"/>
      <c r="L31" s="85">
        <f>0.143200969250648+G31</f>
        <v>0.516850969250648</v>
      </c>
      <c r="M31" s="86"/>
      <c r="N31" s="86"/>
      <c r="O31" s="87"/>
      <c r="P31" s="30" t="s">
        <v>99</v>
      </c>
      <c r="Q31" s="30">
        <v>0.516850969250648</v>
      </c>
    </row>
    <row r="32" spans="2:23" x14ac:dyDescent="0.25">
      <c r="B32" s="4" t="s">
        <v>10</v>
      </c>
      <c r="C32" s="7">
        <v>1.5332E-2</v>
      </c>
      <c r="D32" s="9"/>
      <c r="E32" s="39"/>
      <c r="F32" s="64"/>
      <c r="G32" s="59">
        <f t="shared" si="0"/>
        <v>0.76660000000000006</v>
      </c>
      <c r="H32" s="73">
        <v>519</v>
      </c>
      <c r="I32" s="74"/>
      <c r="J32" s="74"/>
      <c r="K32" s="75"/>
      <c r="L32" s="85">
        <f>0.016385348536326+G32</f>
        <v>0.78298534853632606</v>
      </c>
      <c r="M32" s="86"/>
      <c r="N32" s="86"/>
      <c r="O32" s="87"/>
      <c r="P32" s="30" t="s">
        <v>99</v>
      </c>
      <c r="Q32" s="30">
        <v>0.78298534853632595</v>
      </c>
    </row>
    <row r="33" spans="2:17" x14ac:dyDescent="0.25">
      <c r="B33" s="4" t="s">
        <v>11</v>
      </c>
      <c r="C33" s="7">
        <v>1.338E-3</v>
      </c>
      <c r="D33" s="9"/>
      <c r="E33" s="39"/>
      <c r="F33" s="64"/>
      <c r="G33" s="59">
        <f t="shared" si="0"/>
        <v>6.6900000000000001E-2</v>
      </c>
      <c r="H33" s="73">
        <v>528</v>
      </c>
      <c r="I33" s="74"/>
      <c r="J33" s="74"/>
      <c r="K33" s="75"/>
      <c r="L33" s="85">
        <f>0.163863965553388+G33</f>
        <v>0.23076396555338802</v>
      </c>
      <c r="M33" s="86"/>
      <c r="N33" s="86"/>
      <c r="O33" s="87"/>
      <c r="P33" s="30" t="s">
        <v>100</v>
      </c>
    </row>
    <row r="34" spans="2:17" x14ac:dyDescent="0.25">
      <c r="B34" s="4" t="s">
        <v>39</v>
      </c>
      <c r="C34" s="7">
        <v>0.56000000000000005</v>
      </c>
      <c r="D34" s="9"/>
      <c r="E34" s="39"/>
      <c r="F34" s="64"/>
      <c r="G34" s="59">
        <f t="shared" si="0"/>
        <v>28.000000000000004</v>
      </c>
      <c r="H34" s="73">
        <v>93</v>
      </c>
      <c r="I34" s="74"/>
      <c r="J34" s="74"/>
      <c r="K34" s="75"/>
      <c r="L34" s="85">
        <f>0.029380197997892+G34</f>
        <v>28.029380197997895</v>
      </c>
      <c r="M34" s="86"/>
      <c r="N34" s="86"/>
      <c r="O34" s="87"/>
      <c r="P34" s="30" t="s">
        <v>99</v>
      </c>
      <c r="Q34" s="30">
        <v>28.029380197997899</v>
      </c>
    </row>
    <row r="35" spans="2:17" x14ac:dyDescent="0.25">
      <c r="B35" s="4" t="s">
        <v>40</v>
      </c>
      <c r="C35" s="7">
        <v>1.7814E-2</v>
      </c>
      <c r="D35" s="9"/>
      <c r="E35" s="39"/>
      <c r="F35" s="64"/>
      <c r="G35" s="59">
        <f t="shared" si="0"/>
        <v>0.89070000000000005</v>
      </c>
      <c r="H35" s="73">
        <v>92</v>
      </c>
      <c r="I35" s="74"/>
      <c r="J35" s="74"/>
      <c r="K35" s="75"/>
      <c r="L35" s="85">
        <f>0.108537568321449+G35</f>
        <v>0.99923756832144905</v>
      </c>
      <c r="M35" s="86"/>
      <c r="N35" s="86"/>
      <c r="O35" s="87"/>
      <c r="P35" s="30" t="s">
        <v>99</v>
      </c>
      <c r="Q35" s="30">
        <v>0.99923756832144905</v>
      </c>
    </row>
    <row r="36" spans="2:17" x14ac:dyDescent="0.25">
      <c r="B36" s="4" t="s">
        <v>41</v>
      </c>
      <c r="C36" s="7">
        <v>1.526E-3</v>
      </c>
      <c r="D36" s="9"/>
      <c r="E36" s="39"/>
      <c r="F36" s="64"/>
      <c r="G36" s="59">
        <f t="shared" si="0"/>
        <v>7.6300000000000007E-2</v>
      </c>
      <c r="H36" s="73">
        <v>634</v>
      </c>
      <c r="I36" s="74"/>
      <c r="J36" s="74"/>
      <c r="K36" s="75"/>
      <c r="L36" s="85">
        <f>0.270721737469168+G36</f>
        <v>0.34702173746916798</v>
      </c>
      <c r="M36" s="86"/>
      <c r="N36" s="86"/>
      <c r="O36" s="87"/>
      <c r="P36" s="30" t="s">
        <v>100</v>
      </c>
    </row>
    <row r="37" spans="2:17" x14ac:dyDescent="0.25">
      <c r="B37" s="4" t="s">
        <v>119</v>
      </c>
      <c r="C37" s="7">
        <v>1.64E-3</v>
      </c>
      <c r="D37" s="9"/>
      <c r="E37" s="39"/>
      <c r="F37" s="64"/>
      <c r="G37" s="59">
        <f t="shared" si="0"/>
        <v>8.2000000000000003E-2</v>
      </c>
      <c r="H37" s="73">
        <v>638</v>
      </c>
      <c r="I37" s="74"/>
      <c r="J37" s="74"/>
      <c r="K37" s="75"/>
      <c r="L37" s="70">
        <f>0.258181118163364+G37</f>
        <v>0.34018111816336399</v>
      </c>
      <c r="M37" s="71"/>
      <c r="N37" s="71"/>
      <c r="O37" s="72"/>
      <c r="P37" s="30" t="s">
        <v>100</v>
      </c>
    </row>
    <row r="38" spans="2:17" x14ac:dyDescent="0.25">
      <c r="B38" s="4" t="s">
        <v>56</v>
      </c>
      <c r="C38" s="7">
        <v>2.4000000000000001E-4</v>
      </c>
      <c r="D38" s="9"/>
      <c r="E38" s="39"/>
      <c r="F38" s="64"/>
      <c r="G38" s="59">
        <f t="shared" si="0"/>
        <v>1.2E-2</v>
      </c>
      <c r="H38" s="73">
        <v>511</v>
      </c>
      <c r="I38" s="74"/>
      <c r="J38" s="74"/>
      <c r="K38" s="75"/>
      <c r="L38" s="85">
        <f>0.206755416425298+G38</f>
        <v>0.218755416425298</v>
      </c>
      <c r="M38" s="86"/>
      <c r="N38" s="86"/>
      <c r="O38" s="87"/>
      <c r="P38" s="30" t="s">
        <v>99</v>
      </c>
      <c r="Q38" s="30">
        <v>0.218755416425298</v>
      </c>
    </row>
    <row r="39" spans="2:17" x14ac:dyDescent="0.25">
      <c r="B39" s="4" t="s">
        <v>57</v>
      </c>
      <c r="C39" s="7">
        <v>1.3630000000000001E-3</v>
      </c>
      <c r="D39" s="9"/>
      <c r="E39" s="39"/>
      <c r="F39" s="64"/>
      <c r="G39" s="59">
        <f t="shared" si="0"/>
        <v>6.8150000000000002E-2</v>
      </c>
      <c r="H39" s="73">
        <v>507</v>
      </c>
      <c r="I39" s="74"/>
      <c r="J39" s="74"/>
      <c r="K39" s="75"/>
      <c r="L39" s="85">
        <f>0.059679765341224+G39</f>
        <v>0.12782976534122401</v>
      </c>
      <c r="M39" s="86"/>
      <c r="N39" s="86"/>
      <c r="O39" s="87"/>
      <c r="P39" s="30" t="s">
        <v>99</v>
      </c>
      <c r="Q39" s="30">
        <v>0.12782976534122401</v>
      </c>
    </row>
    <row r="40" spans="2:17" x14ac:dyDescent="0.25">
      <c r="B40" s="4" t="s">
        <v>58</v>
      </c>
      <c r="C40" s="7">
        <v>3.1700000000000001E-4</v>
      </c>
      <c r="D40" s="9"/>
      <c r="E40" s="39"/>
      <c r="F40" s="64"/>
      <c r="G40" s="59">
        <f t="shared" si="0"/>
        <v>1.585E-2</v>
      </c>
      <c r="H40" s="73">
        <v>214</v>
      </c>
      <c r="I40" s="74"/>
      <c r="J40" s="74"/>
      <c r="K40" s="75"/>
      <c r="L40" s="85">
        <f>L19+G40</f>
        <v>0.50733378819086206</v>
      </c>
      <c r="M40" s="86"/>
      <c r="N40" s="86"/>
      <c r="O40" s="87"/>
      <c r="P40" s="30" t="s">
        <v>100</v>
      </c>
    </row>
    <row r="41" spans="2:17" x14ac:dyDescent="0.25">
      <c r="B41" s="4" t="s">
        <v>59</v>
      </c>
      <c r="C41" s="7">
        <v>1.9859999999999999E-3</v>
      </c>
      <c r="D41" s="9"/>
      <c r="E41" s="39"/>
      <c r="F41" s="64"/>
      <c r="G41" s="59">
        <f t="shared" si="0"/>
        <v>9.9299999999999999E-2</v>
      </c>
      <c r="H41" s="73">
        <v>536</v>
      </c>
      <c r="I41" s="74"/>
      <c r="J41" s="74"/>
      <c r="K41" s="75"/>
      <c r="L41" s="85">
        <f>0.211798623688676+G41</f>
        <v>0.31109862368867602</v>
      </c>
      <c r="M41" s="86"/>
      <c r="N41" s="86"/>
      <c r="O41" s="87"/>
      <c r="P41" s="30">
        <v>536</v>
      </c>
      <c r="Q41" s="30">
        <v>0.31109862368867602</v>
      </c>
    </row>
    <row r="42" spans="2:17" x14ac:dyDescent="0.25">
      <c r="B42" s="4" t="s">
        <v>60</v>
      </c>
      <c r="C42" s="7">
        <v>7.4899999999999999E-4</v>
      </c>
      <c r="D42" s="9"/>
      <c r="E42" s="39"/>
      <c r="F42" s="64"/>
      <c r="G42" s="59">
        <f t="shared" si="0"/>
        <v>3.7449999999999997E-2</v>
      </c>
      <c r="H42" s="73">
        <v>184</v>
      </c>
      <c r="I42" s="74"/>
      <c r="J42" s="74"/>
      <c r="K42" s="75"/>
      <c r="L42" s="85">
        <f>0.08959097247477+G42</f>
        <v>0.12704097247477</v>
      </c>
      <c r="M42" s="86"/>
      <c r="N42" s="86"/>
      <c r="O42" s="87"/>
      <c r="P42" s="30" t="s">
        <v>99</v>
      </c>
      <c r="Q42" s="30">
        <v>0.12704097247477</v>
      </c>
    </row>
    <row r="43" spans="2:17" x14ac:dyDescent="0.25">
      <c r="B43" s="4" t="s">
        <v>61</v>
      </c>
      <c r="C43" s="7">
        <v>1.0629999999999999E-3</v>
      </c>
      <c r="D43" s="9"/>
      <c r="E43" s="39"/>
      <c r="F43" s="64"/>
      <c r="G43" s="59">
        <f t="shared" si="0"/>
        <v>5.3149999999999996E-2</v>
      </c>
      <c r="H43" s="73">
        <v>525</v>
      </c>
      <c r="I43" s="74"/>
      <c r="J43" s="74"/>
      <c r="K43" s="75"/>
      <c r="L43" s="85">
        <f>0.207097884185781+G43</f>
        <v>0.26024788418578099</v>
      </c>
      <c r="M43" s="86"/>
      <c r="N43" s="86"/>
      <c r="O43" s="87"/>
      <c r="P43" s="30" t="s">
        <v>100</v>
      </c>
    </row>
    <row r="44" spans="2:17" x14ac:dyDescent="0.25">
      <c r="B44" s="4" t="s">
        <v>62</v>
      </c>
      <c r="C44" s="7">
        <v>4.0200000000000001E-4</v>
      </c>
      <c r="D44" s="9"/>
      <c r="E44" s="39"/>
      <c r="F44" s="64"/>
      <c r="G44" s="59">
        <f t="shared" si="0"/>
        <v>2.01E-2</v>
      </c>
      <c r="H44" s="73">
        <v>638</v>
      </c>
      <c r="I44" s="74"/>
      <c r="J44" s="74"/>
      <c r="K44" s="75"/>
      <c r="L44" s="85">
        <f>L37+G44</f>
        <v>0.360281118163364</v>
      </c>
      <c r="M44" s="86"/>
      <c r="N44" s="86"/>
      <c r="O44" s="87"/>
      <c r="P44" s="30" t="s">
        <v>100</v>
      </c>
    </row>
    <row r="45" spans="2:17" x14ac:dyDescent="0.25">
      <c r="B45" s="4" t="s">
        <v>63</v>
      </c>
      <c r="C45" s="7">
        <v>5.3799999999999996E-4</v>
      </c>
      <c r="D45" s="9"/>
      <c r="E45" s="39"/>
      <c r="F45" s="64"/>
      <c r="G45" s="59">
        <f t="shared" si="0"/>
        <v>2.6899999999999997E-2</v>
      </c>
      <c r="H45" s="73">
        <v>581</v>
      </c>
      <c r="I45" s="74"/>
      <c r="J45" s="74"/>
      <c r="K45" s="75"/>
      <c r="L45" s="85">
        <f>0.076114969680632+G45</f>
        <v>0.10301496968063199</v>
      </c>
      <c r="M45" s="86"/>
      <c r="N45" s="86"/>
      <c r="O45" s="87"/>
      <c r="P45" s="30" t="s">
        <v>99</v>
      </c>
      <c r="Q45" s="30">
        <v>0.10301496968063199</v>
      </c>
    </row>
    <row r="46" spans="2:17" x14ac:dyDescent="0.25">
      <c r="B46" s="4" t="s">
        <v>64</v>
      </c>
      <c r="C46" s="7">
        <v>1.1693E-2</v>
      </c>
      <c r="D46" s="9"/>
      <c r="E46" s="39"/>
      <c r="F46" s="64"/>
      <c r="G46" s="59">
        <f t="shared" si="0"/>
        <v>0.58465</v>
      </c>
      <c r="H46" s="73">
        <v>726</v>
      </c>
      <c r="I46" s="74"/>
      <c r="J46" s="74"/>
      <c r="K46" s="75"/>
      <c r="L46" s="85">
        <f>0.067950346205261+G46</f>
        <v>0.65260034620526097</v>
      </c>
      <c r="M46" s="86"/>
      <c r="N46" s="86"/>
      <c r="O46" s="87"/>
      <c r="P46" s="30" t="s">
        <v>99</v>
      </c>
      <c r="Q46" s="30">
        <v>0.65260034620526097</v>
      </c>
    </row>
    <row r="47" spans="2:17" x14ac:dyDescent="0.25">
      <c r="B47" s="4" t="s">
        <v>65</v>
      </c>
      <c r="C47" s="7">
        <v>4.3300000000000001E-4</v>
      </c>
      <c r="D47" s="9"/>
      <c r="E47" s="39"/>
      <c r="F47" s="64"/>
      <c r="G47" s="59">
        <f t="shared" si="0"/>
        <v>2.1649999999999999E-2</v>
      </c>
      <c r="H47" s="73">
        <v>1092</v>
      </c>
      <c r="I47" s="74"/>
      <c r="J47" s="74"/>
      <c r="K47" s="75"/>
      <c r="L47" s="85">
        <f>0.067950346205261+G47</f>
        <v>8.9600346205261E-2</v>
      </c>
      <c r="M47" s="86"/>
      <c r="N47" s="86"/>
      <c r="O47" s="87"/>
      <c r="P47" s="30" t="s">
        <v>99</v>
      </c>
      <c r="Q47" s="30">
        <v>8.9600346205261E-2</v>
      </c>
    </row>
    <row r="48" spans="2:17" x14ac:dyDescent="0.25">
      <c r="B48" s="4" t="s">
        <v>66</v>
      </c>
      <c r="C48" s="7">
        <v>5.1199999999999998E-4</v>
      </c>
      <c r="D48" s="9"/>
      <c r="E48" s="39"/>
      <c r="F48" s="64"/>
      <c r="G48" s="59">
        <f t="shared" si="0"/>
        <v>2.5599999999999998E-2</v>
      </c>
      <c r="H48" s="73">
        <v>494</v>
      </c>
      <c r="I48" s="74"/>
      <c r="J48" s="74"/>
      <c r="K48" s="75"/>
      <c r="L48" s="85">
        <f>0.240068186925399+G48</f>
        <v>0.26566818692539901</v>
      </c>
      <c r="M48" s="86"/>
      <c r="N48" s="86"/>
      <c r="O48" s="87"/>
      <c r="P48" s="30" t="s">
        <v>100</v>
      </c>
    </row>
    <row r="49" spans="2:17" ht="31.5" x14ac:dyDescent="0.25">
      <c r="B49" s="4" t="s">
        <v>67</v>
      </c>
      <c r="C49" s="7">
        <v>2.4899999999999998E-4</v>
      </c>
      <c r="D49" s="9"/>
      <c r="E49" s="39"/>
      <c r="F49" s="64"/>
      <c r="G49" s="59">
        <f t="shared" si="0"/>
        <v>1.2449999999999999E-2</v>
      </c>
      <c r="H49" s="73">
        <v>653</v>
      </c>
      <c r="I49" s="74"/>
      <c r="J49" s="74"/>
      <c r="K49" s="75"/>
      <c r="L49" s="85">
        <f>0.06087427212096+G49</f>
        <v>7.3324272120960002E-2</v>
      </c>
      <c r="M49" s="86"/>
      <c r="N49" s="86"/>
      <c r="O49" s="87"/>
      <c r="P49" s="30" t="s">
        <v>99</v>
      </c>
      <c r="Q49" s="30">
        <v>7.3324272120960002E-2</v>
      </c>
    </row>
    <row r="50" spans="2:17" x14ac:dyDescent="0.25">
      <c r="B50" s="4" t="s">
        <v>69</v>
      </c>
      <c r="C50" s="7">
        <v>1.9100000000000001E-4</v>
      </c>
      <c r="D50" s="9"/>
      <c r="E50" s="39"/>
      <c r="F50" s="64"/>
      <c r="G50" s="59">
        <f t="shared" si="0"/>
        <v>9.5500000000000012E-3</v>
      </c>
      <c r="H50" s="73">
        <v>533</v>
      </c>
      <c r="I50" s="74"/>
      <c r="J50" s="74"/>
      <c r="K50" s="75"/>
      <c r="L50" s="85">
        <f>0.191658312806806+G50</f>
        <v>0.20120831280680601</v>
      </c>
      <c r="M50" s="86"/>
      <c r="N50" s="86"/>
      <c r="O50" s="87"/>
      <c r="P50" s="30" t="s">
        <v>100</v>
      </c>
    </row>
    <row r="51" spans="2:17" x14ac:dyDescent="0.25">
      <c r="B51" s="4" t="s">
        <v>68</v>
      </c>
      <c r="C51" s="7">
        <v>2.3900000000000001E-4</v>
      </c>
      <c r="D51" s="9"/>
      <c r="E51" s="39"/>
      <c r="F51" s="64"/>
      <c r="G51" s="59">
        <f t="shared" si="0"/>
        <v>1.1950000000000001E-2</v>
      </c>
      <c r="H51" s="73">
        <v>631</v>
      </c>
      <c r="I51" s="74"/>
      <c r="J51" s="74"/>
      <c r="K51" s="75"/>
      <c r="L51" s="85">
        <f>0.144236678006125+G51</f>
        <v>0.15618667800612498</v>
      </c>
      <c r="M51" s="86"/>
      <c r="N51" s="86"/>
      <c r="O51" s="87"/>
      <c r="P51" s="30" t="s">
        <v>99</v>
      </c>
      <c r="Q51" s="30">
        <v>0.15618667800612501</v>
      </c>
    </row>
    <row r="52" spans="2:17" x14ac:dyDescent="0.25">
      <c r="B52" s="4" t="s">
        <v>106</v>
      </c>
      <c r="C52" s="7">
        <v>2.4160000000000002E-3</v>
      </c>
      <c r="D52" s="9"/>
      <c r="E52" s="39"/>
      <c r="F52" s="64"/>
      <c r="G52" s="59">
        <f t="shared" si="0"/>
        <v>0.1208</v>
      </c>
      <c r="H52" s="73">
        <v>1076</v>
      </c>
      <c r="I52" s="74"/>
      <c r="J52" s="74"/>
      <c r="K52" s="75"/>
      <c r="L52" s="70">
        <f>0.068326908483229+G52</f>
        <v>0.18912690848322899</v>
      </c>
      <c r="M52" s="71"/>
      <c r="N52" s="71"/>
      <c r="O52" s="72"/>
      <c r="P52" s="30" t="s">
        <v>99</v>
      </c>
      <c r="Q52" s="28">
        <v>0.18912690848322899</v>
      </c>
    </row>
    <row r="53" spans="2:17" x14ac:dyDescent="0.25">
      <c r="B53" s="5" t="s">
        <v>15</v>
      </c>
      <c r="C53" s="7">
        <v>1.3232000000000001E-2</v>
      </c>
      <c r="D53" s="9"/>
      <c r="E53" s="39"/>
      <c r="F53" s="64"/>
      <c r="G53" s="59">
        <f t="shared" si="0"/>
        <v>0.66160000000000008</v>
      </c>
      <c r="H53" s="73">
        <v>364</v>
      </c>
      <c r="I53" s="74"/>
      <c r="J53" s="74"/>
      <c r="K53" s="75"/>
      <c r="L53" s="85">
        <f>0.091509548172289+G53</f>
        <v>0.75310954817228903</v>
      </c>
      <c r="M53" s="86"/>
      <c r="N53" s="86"/>
      <c r="O53" s="87"/>
      <c r="P53" s="30" t="s">
        <v>99</v>
      </c>
      <c r="Q53" s="28">
        <v>0.75310954817228903</v>
      </c>
    </row>
    <row r="54" spans="2:17" x14ac:dyDescent="0.25">
      <c r="B54" s="5" t="s">
        <v>16</v>
      </c>
      <c r="C54" s="7">
        <v>2.1874999999999999E-2</v>
      </c>
      <c r="D54" s="9"/>
      <c r="E54" s="39"/>
      <c r="F54" s="64"/>
      <c r="G54" s="59">
        <f t="shared" si="0"/>
        <v>1.09375</v>
      </c>
      <c r="H54" s="73">
        <v>98</v>
      </c>
      <c r="I54" s="74"/>
      <c r="J54" s="74"/>
      <c r="K54" s="75"/>
      <c r="L54" s="85">
        <f>0.280943021648908+G54</f>
        <v>1.3746930216489079</v>
      </c>
      <c r="M54" s="86"/>
      <c r="N54" s="86"/>
      <c r="O54" s="87"/>
      <c r="P54" s="30" t="s">
        <v>99</v>
      </c>
      <c r="Q54" s="28">
        <v>1.3746930216489099</v>
      </c>
    </row>
    <row r="55" spans="2:17" x14ac:dyDescent="0.25">
      <c r="B55" s="5" t="s">
        <v>17</v>
      </c>
      <c r="C55" s="7">
        <v>1.1904E-2</v>
      </c>
      <c r="D55" s="9"/>
      <c r="E55" s="39"/>
      <c r="F55" s="64"/>
      <c r="G55" s="59">
        <f t="shared" si="0"/>
        <v>0.59519999999999995</v>
      </c>
      <c r="H55" s="73">
        <v>22</v>
      </c>
      <c r="I55" s="74"/>
      <c r="J55" s="74"/>
      <c r="K55" s="75"/>
      <c r="L55" s="85">
        <f>0.788297887132514+G55</f>
        <v>1.3834978871325139</v>
      </c>
      <c r="M55" s="86"/>
      <c r="N55" s="86"/>
      <c r="O55" s="87"/>
      <c r="P55" s="30" t="s">
        <v>99</v>
      </c>
      <c r="Q55" s="28">
        <v>1.3834978871325101</v>
      </c>
    </row>
    <row r="56" spans="2:17" x14ac:dyDescent="0.25">
      <c r="B56" s="5" t="s">
        <v>107</v>
      </c>
      <c r="C56" s="7">
        <v>4.1000000000000002E-2</v>
      </c>
      <c r="D56" s="9"/>
      <c r="E56" s="39"/>
      <c r="F56" s="64"/>
      <c r="G56" s="59">
        <f t="shared" si="0"/>
        <v>2.0500000000000003</v>
      </c>
      <c r="H56" s="73">
        <v>17</v>
      </c>
      <c r="I56" s="74"/>
      <c r="J56" s="74"/>
      <c r="K56" s="75"/>
      <c r="L56" s="85">
        <f>0.459727943702857+G56</f>
        <v>2.5097279437028575</v>
      </c>
      <c r="M56" s="86"/>
      <c r="N56" s="86"/>
      <c r="O56" s="87"/>
      <c r="P56" s="30" t="s">
        <v>99</v>
      </c>
      <c r="Q56" s="28">
        <v>2.5097279437028601</v>
      </c>
    </row>
    <row r="57" spans="2:17" ht="31.5" x14ac:dyDescent="0.25">
      <c r="B57" s="5" t="s">
        <v>116</v>
      </c>
      <c r="C57" s="7">
        <v>3.5674999999999998E-2</v>
      </c>
      <c r="D57" s="9"/>
      <c r="E57" s="39"/>
      <c r="F57" s="64"/>
      <c r="G57" s="59">
        <f t="shared" si="0"/>
        <v>1.7837499999999999</v>
      </c>
      <c r="H57" s="73">
        <v>321</v>
      </c>
      <c r="I57" s="74"/>
      <c r="J57" s="74"/>
      <c r="K57" s="75"/>
      <c r="L57" s="70">
        <f>0.060489110147274+G57</f>
        <v>1.8442391101472739</v>
      </c>
      <c r="M57" s="71"/>
      <c r="N57" s="71"/>
      <c r="O57" s="72"/>
      <c r="Q57" s="28"/>
    </row>
    <row r="58" spans="2:17" x14ac:dyDescent="0.25">
      <c r="B58" s="5" t="s">
        <v>12</v>
      </c>
      <c r="C58" s="7"/>
      <c r="D58" s="9">
        <v>1.1686E-2</v>
      </c>
      <c r="E58" s="39"/>
      <c r="F58" s="65"/>
      <c r="G58" s="60" t="s">
        <v>96</v>
      </c>
      <c r="H58" s="109" t="s">
        <v>96</v>
      </c>
      <c r="I58" s="110"/>
      <c r="J58" s="110"/>
      <c r="K58" s="111"/>
      <c r="L58" s="96" t="s">
        <v>96</v>
      </c>
      <c r="M58" s="86"/>
      <c r="N58" s="86"/>
      <c r="O58" s="87"/>
    </row>
    <row r="59" spans="2:17" x14ac:dyDescent="0.25">
      <c r="B59" s="5" t="s">
        <v>13</v>
      </c>
      <c r="C59" s="7"/>
      <c r="D59" s="9">
        <v>5.4730000000000004E-3</v>
      </c>
      <c r="E59" s="39"/>
      <c r="F59" s="65"/>
      <c r="G59" s="60" t="s">
        <v>96</v>
      </c>
      <c r="H59" s="109" t="s">
        <v>96</v>
      </c>
      <c r="I59" s="110"/>
      <c r="J59" s="110"/>
      <c r="K59" s="111"/>
      <c r="L59" s="96" t="s">
        <v>96</v>
      </c>
      <c r="M59" s="86"/>
      <c r="N59" s="86"/>
      <c r="O59" s="87"/>
    </row>
    <row r="60" spans="2:17" x14ac:dyDescent="0.25">
      <c r="B60" s="5" t="s">
        <v>14</v>
      </c>
      <c r="C60" s="7"/>
      <c r="D60" s="9">
        <v>1.8810000000000001E-3</v>
      </c>
      <c r="E60" s="39"/>
      <c r="F60" s="65"/>
      <c r="G60" s="60" t="s">
        <v>96</v>
      </c>
      <c r="H60" s="109" t="s">
        <v>96</v>
      </c>
      <c r="I60" s="110"/>
      <c r="J60" s="110"/>
      <c r="K60" s="111"/>
      <c r="L60" s="96" t="s">
        <v>96</v>
      </c>
      <c r="M60" s="86"/>
      <c r="N60" s="86"/>
      <c r="O60" s="87"/>
    </row>
    <row r="61" spans="2:17" x14ac:dyDescent="0.25">
      <c r="B61" s="5" t="s">
        <v>18</v>
      </c>
      <c r="C61" s="7"/>
      <c r="D61" s="9"/>
      <c r="E61" s="39">
        <v>9.5910000000000006E-3</v>
      </c>
      <c r="F61" s="65"/>
      <c r="G61" s="61">
        <f>+(E61*100)*0.5</f>
        <v>0.47955000000000003</v>
      </c>
      <c r="H61" s="73">
        <v>199</v>
      </c>
      <c r="I61" s="74"/>
      <c r="J61" s="74"/>
      <c r="K61" s="75"/>
      <c r="L61" s="85">
        <f>0.087832731235849+G61</f>
        <v>0.56738273123584904</v>
      </c>
      <c r="M61" s="86"/>
      <c r="N61" s="86"/>
      <c r="O61" s="87"/>
      <c r="P61" s="30" t="s">
        <v>100</v>
      </c>
    </row>
    <row r="62" spans="2:17" x14ac:dyDescent="0.25">
      <c r="B62" s="5" t="s">
        <v>19</v>
      </c>
      <c r="C62" s="7"/>
      <c r="D62" s="9"/>
      <c r="E62" s="39">
        <v>6.1980000000000004E-3</v>
      </c>
      <c r="F62" s="65"/>
      <c r="G62" s="61">
        <f t="shared" ref="G62:G94" si="1">+(E62*100)*0.5</f>
        <v>0.30990000000000001</v>
      </c>
      <c r="H62" s="73">
        <v>499</v>
      </c>
      <c r="I62" s="74"/>
      <c r="J62" s="74"/>
      <c r="K62" s="75"/>
      <c r="L62" s="85">
        <f>0.028419997871329+G62</f>
        <v>0.33831999787132899</v>
      </c>
      <c r="M62" s="86"/>
      <c r="N62" s="86"/>
      <c r="O62" s="87"/>
      <c r="P62" s="30" t="s">
        <v>99</v>
      </c>
      <c r="Q62" s="30">
        <v>0.33831999787132899</v>
      </c>
    </row>
    <row r="63" spans="2:17" x14ac:dyDescent="0.25">
      <c r="B63" s="5" t="s">
        <v>20</v>
      </c>
      <c r="C63" s="7"/>
      <c r="D63" s="9"/>
      <c r="E63" s="39">
        <v>8.94E-3</v>
      </c>
      <c r="F63" s="65"/>
      <c r="G63" s="61">
        <f t="shared" si="1"/>
        <v>0.44700000000000001</v>
      </c>
      <c r="H63" s="73">
        <v>523</v>
      </c>
      <c r="I63" s="74"/>
      <c r="J63" s="74"/>
      <c r="K63" s="75"/>
      <c r="L63" s="85">
        <f>0.013583670092995+G63</f>
        <v>0.460583670092995</v>
      </c>
      <c r="M63" s="86"/>
      <c r="N63" s="86"/>
      <c r="O63" s="87"/>
      <c r="P63" s="30" t="s">
        <v>99</v>
      </c>
      <c r="Q63" s="30">
        <v>0.460583670092995</v>
      </c>
    </row>
    <row r="64" spans="2:17" x14ac:dyDescent="0.25">
      <c r="B64" s="5" t="s">
        <v>21</v>
      </c>
      <c r="C64" s="7"/>
      <c r="D64" s="9"/>
      <c r="E64" s="39">
        <v>5.4600000000000004E-4</v>
      </c>
      <c r="F64" s="65"/>
      <c r="G64" s="61">
        <f t="shared" si="1"/>
        <v>2.7300000000000001E-2</v>
      </c>
      <c r="H64" s="73">
        <v>434</v>
      </c>
      <c r="I64" s="74"/>
      <c r="J64" s="74"/>
      <c r="K64" s="75"/>
      <c r="L64" s="85">
        <f>0.180185241363186+G64</f>
        <v>0.207485241363186</v>
      </c>
      <c r="M64" s="86"/>
      <c r="N64" s="86"/>
      <c r="O64" s="87"/>
      <c r="P64" s="30" t="s">
        <v>100</v>
      </c>
    </row>
    <row r="65" spans="2:29" x14ac:dyDescent="0.25">
      <c r="B65" s="5" t="s">
        <v>22</v>
      </c>
      <c r="C65" s="7"/>
      <c r="D65" s="9"/>
      <c r="E65" s="39">
        <v>3.0600000000000001E-4</v>
      </c>
      <c r="F65" s="65"/>
      <c r="G65" s="61">
        <f t="shared" si="1"/>
        <v>1.5300000000000001E-2</v>
      </c>
      <c r="H65" s="73">
        <v>503</v>
      </c>
      <c r="I65" s="74"/>
      <c r="J65" s="74"/>
      <c r="K65" s="75"/>
      <c r="L65" s="85">
        <f>0.020636737388065+G65</f>
        <v>3.5936737388065E-2</v>
      </c>
      <c r="M65" s="86"/>
      <c r="N65" s="86"/>
      <c r="O65" s="87"/>
      <c r="P65" s="30" t="s">
        <v>100</v>
      </c>
    </row>
    <row r="66" spans="2:29" x14ac:dyDescent="0.25">
      <c r="B66" s="5" t="s">
        <v>23</v>
      </c>
      <c r="C66" s="7"/>
      <c r="D66" s="9"/>
      <c r="E66" s="39">
        <v>6.3720000000000001E-3</v>
      </c>
      <c r="F66" s="65"/>
      <c r="G66" s="61">
        <f t="shared" si="1"/>
        <v>0.31859999999999999</v>
      </c>
      <c r="H66" s="73">
        <v>405</v>
      </c>
      <c r="I66" s="74"/>
      <c r="J66" s="74"/>
      <c r="K66" s="75"/>
      <c r="L66" s="85">
        <f>0.143467128330437+G66</f>
        <v>0.462067128330437</v>
      </c>
      <c r="M66" s="86"/>
      <c r="N66" s="86"/>
      <c r="O66" s="87"/>
      <c r="P66" s="30" t="s">
        <v>99</v>
      </c>
      <c r="Q66" s="30">
        <v>0.462067128330437</v>
      </c>
      <c r="X66" s="118"/>
      <c r="Y66" s="118"/>
      <c r="Z66" s="118"/>
      <c r="AA66" s="118"/>
    </row>
    <row r="67" spans="2:29" x14ac:dyDescent="0.25">
      <c r="B67" s="5" t="s">
        <v>43</v>
      </c>
      <c r="C67" s="7"/>
      <c r="D67" s="9"/>
      <c r="E67" s="39">
        <v>1.6869999999999999E-3</v>
      </c>
      <c r="F67" s="65"/>
      <c r="G67" s="61">
        <f t="shared" si="1"/>
        <v>8.4349999999999994E-2</v>
      </c>
      <c r="H67" s="73">
        <v>529</v>
      </c>
      <c r="I67" s="74"/>
      <c r="J67" s="74"/>
      <c r="K67" s="75"/>
      <c r="L67" s="85">
        <f>0.060621990386294+G67</f>
        <v>0.14497199038629399</v>
      </c>
      <c r="M67" s="86"/>
      <c r="N67" s="86"/>
      <c r="O67" s="87"/>
      <c r="P67" s="30" t="s">
        <v>99</v>
      </c>
      <c r="Q67" s="30">
        <v>0.14497199038629399</v>
      </c>
      <c r="X67" s="118"/>
      <c r="Y67" s="118"/>
      <c r="Z67" s="118"/>
      <c r="AA67" s="118"/>
    </row>
    <row r="68" spans="2:29" x14ac:dyDescent="0.25">
      <c r="B68" s="5" t="s">
        <v>44</v>
      </c>
      <c r="C68" s="7"/>
      <c r="D68" s="9"/>
      <c r="E68" s="39">
        <v>5.71E-4</v>
      </c>
      <c r="F68" s="65"/>
      <c r="G68" s="61">
        <f t="shared" si="1"/>
        <v>2.8549999999999999E-2</v>
      </c>
      <c r="H68" s="73">
        <v>508</v>
      </c>
      <c r="I68" s="74"/>
      <c r="J68" s="74"/>
      <c r="K68" s="75"/>
      <c r="L68" s="85">
        <f>0.131929665163857+G68</f>
        <v>0.160479665163857</v>
      </c>
      <c r="M68" s="86"/>
      <c r="N68" s="86"/>
      <c r="O68" s="87"/>
      <c r="P68" s="30" t="s">
        <v>100</v>
      </c>
      <c r="X68" s="118"/>
      <c r="Y68" s="118"/>
      <c r="Z68" s="118"/>
      <c r="AA68" s="118"/>
    </row>
    <row r="69" spans="2:29" ht="31.5" x14ac:dyDescent="0.25">
      <c r="B69" s="5" t="s">
        <v>45</v>
      </c>
      <c r="C69" s="7"/>
      <c r="D69" s="9"/>
      <c r="E69" s="39">
        <v>2.0430000000000001E-3</v>
      </c>
      <c r="F69" s="65"/>
      <c r="G69" s="61">
        <f t="shared" si="1"/>
        <v>0.10215</v>
      </c>
      <c r="H69" s="73">
        <v>510</v>
      </c>
      <c r="I69" s="74"/>
      <c r="J69" s="74"/>
      <c r="K69" s="75"/>
      <c r="L69" s="85">
        <f>0.220775443561379+G69</f>
        <v>0.32292544356137898</v>
      </c>
      <c r="M69" s="86"/>
      <c r="N69" s="86"/>
      <c r="O69" s="87"/>
      <c r="P69" s="30" t="s">
        <v>100</v>
      </c>
      <c r="X69" s="118"/>
      <c r="Y69" s="118"/>
      <c r="Z69" s="118"/>
      <c r="AA69" s="118"/>
    </row>
    <row r="70" spans="2:29" x14ac:dyDescent="0.25">
      <c r="B70" s="5" t="s">
        <v>46</v>
      </c>
      <c r="C70" s="7"/>
      <c r="D70" s="9"/>
      <c r="E70" s="39">
        <v>2.5500000000000002E-4</v>
      </c>
      <c r="F70" s="65"/>
      <c r="G70" s="61">
        <f t="shared" si="1"/>
        <v>1.2750000000000001E-2</v>
      </c>
      <c r="H70" s="73">
        <v>510</v>
      </c>
      <c r="I70" s="74"/>
      <c r="J70" s="74"/>
      <c r="K70" s="75"/>
      <c r="L70" s="85">
        <f>L69+G70</f>
        <v>0.33567544356137896</v>
      </c>
      <c r="M70" s="86"/>
      <c r="N70" s="86"/>
      <c r="O70" s="87"/>
      <c r="P70" s="30" t="s">
        <v>100</v>
      </c>
      <c r="X70" s="118"/>
      <c r="Y70" s="118"/>
      <c r="Z70" s="118"/>
      <c r="AA70" s="118"/>
    </row>
    <row r="71" spans="2:29" x14ac:dyDescent="0.25">
      <c r="B71" s="5" t="s">
        <v>47</v>
      </c>
      <c r="C71" s="7"/>
      <c r="D71" s="9"/>
      <c r="E71" s="39">
        <v>6.2000000000000003E-5</v>
      </c>
      <c r="F71" s="65"/>
      <c r="G71" s="61">
        <f t="shared" si="1"/>
        <v>3.1000000000000003E-3</v>
      </c>
      <c r="H71" s="73">
        <v>620</v>
      </c>
      <c r="I71" s="74"/>
      <c r="J71" s="74"/>
      <c r="K71" s="75"/>
      <c r="L71" s="85">
        <f>0.03824155118105+G71</f>
        <v>4.1341551181049999E-2</v>
      </c>
      <c r="M71" s="86"/>
      <c r="N71" s="86"/>
      <c r="O71" s="87"/>
      <c r="P71" s="30" t="s">
        <v>99</v>
      </c>
      <c r="Q71" s="30">
        <v>4.1341551181049999E-2</v>
      </c>
      <c r="X71" s="118"/>
      <c r="Y71" s="118"/>
      <c r="Z71" s="118"/>
      <c r="AA71" s="118"/>
    </row>
    <row r="72" spans="2:29" x14ac:dyDescent="0.25">
      <c r="B72" s="5" t="s">
        <v>49</v>
      </c>
      <c r="C72" s="7"/>
      <c r="D72" s="9"/>
      <c r="E72" s="39">
        <v>2.0599999999999999E-4</v>
      </c>
      <c r="F72" s="65"/>
      <c r="G72" s="61">
        <f t="shared" si="1"/>
        <v>1.03E-2</v>
      </c>
      <c r="H72" s="73">
        <v>364</v>
      </c>
      <c r="I72" s="74"/>
      <c r="J72" s="74"/>
      <c r="K72" s="75"/>
      <c r="L72" s="85">
        <f>0.119221178694946+G72</f>
        <v>0.129521178694946</v>
      </c>
      <c r="M72" s="86"/>
      <c r="N72" s="86"/>
      <c r="O72" s="87"/>
      <c r="P72" s="30" t="s">
        <v>99</v>
      </c>
      <c r="Q72" s="30">
        <v>0.129521178694946</v>
      </c>
      <c r="X72" s="118"/>
      <c r="Y72" s="118"/>
      <c r="Z72" s="118"/>
      <c r="AA72" s="118"/>
    </row>
    <row r="73" spans="2:29" x14ac:dyDescent="0.25">
      <c r="B73" s="5" t="s">
        <v>48</v>
      </c>
      <c r="C73" s="7"/>
      <c r="D73" s="9"/>
      <c r="E73" s="39">
        <v>4.37E-4</v>
      </c>
      <c r="F73" s="65"/>
      <c r="G73" s="61">
        <f t="shared" si="1"/>
        <v>2.1850000000000001E-2</v>
      </c>
      <c r="H73" s="73">
        <v>400</v>
      </c>
      <c r="I73" s="74"/>
      <c r="J73" s="74"/>
      <c r="K73" s="75"/>
      <c r="L73" s="85">
        <f>0.111257283874073+G73</f>
        <v>0.133107283874073</v>
      </c>
      <c r="M73" s="86"/>
      <c r="N73" s="86"/>
      <c r="O73" s="87"/>
      <c r="P73" s="30" t="s">
        <v>99</v>
      </c>
      <c r="Q73" s="30">
        <v>0.133107283874073</v>
      </c>
      <c r="X73" s="118"/>
      <c r="Y73" s="118"/>
      <c r="Z73" s="118"/>
      <c r="AA73" s="118"/>
    </row>
    <row r="74" spans="2:29" x14ac:dyDescent="0.25">
      <c r="B74" s="5" t="s">
        <v>50</v>
      </c>
      <c r="C74" s="7"/>
      <c r="D74" s="9"/>
      <c r="E74" s="39">
        <v>3.6600000000000001E-4</v>
      </c>
      <c r="F74" s="65"/>
      <c r="G74" s="61">
        <f t="shared" si="1"/>
        <v>1.83E-2</v>
      </c>
      <c r="H74" s="73">
        <v>385</v>
      </c>
      <c r="I74" s="74"/>
      <c r="J74" s="74"/>
      <c r="K74" s="75"/>
      <c r="L74" s="85">
        <f>0.05004360156132+G74</f>
        <v>6.8343601561319994E-2</v>
      </c>
      <c r="M74" s="86"/>
      <c r="N74" s="86"/>
      <c r="O74" s="87"/>
      <c r="P74" s="30" t="s">
        <v>99</v>
      </c>
      <c r="Q74" s="30">
        <v>6.8343601561319994E-2</v>
      </c>
      <c r="X74" s="118"/>
      <c r="Y74" s="118"/>
      <c r="Z74" s="118"/>
      <c r="AA74" s="118"/>
    </row>
    <row r="75" spans="2:29" x14ac:dyDescent="0.25">
      <c r="B75" s="5" t="s">
        <v>51</v>
      </c>
      <c r="C75" s="7"/>
      <c r="D75" s="9"/>
      <c r="E75" s="39">
        <v>3.57E-4</v>
      </c>
      <c r="F75" s="65"/>
      <c r="G75" s="61">
        <f t="shared" si="1"/>
        <v>1.7850000000000001E-2</v>
      </c>
      <c r="H75" s="73">
        <v>533</v>
      </c>
      <c r="I75" s="74"/>
      <c r="J75" s="74"/>
      <c r="K75" s="75"/>
      <c r="L75" s="85">
        <f>L50+G75</f>
        <v>0.21905831280680602</v>
      </c>
      <c r="M75" s="86"/>
      <c r="N75" s="86"/>
      <c r="O75" s="87"/>
      <c r="P75" s="30" t="s">
        <v>100</v>
      </c>
      <c r="AB75" t="s">
        <v>104</v>
      </c>
      <c r="AC75" t="s">
        <v>105</v>
      </c>
    </row>
    <row r="76" spans="2:29" x14ac:dyDescent="0.25">
      <c r="B76" s="5" t="s">
        <v>52</v>
      </c>
      <c r="C76" s="7"/>
      <c r="D76" s="9"/>
      <c r="E76" s="39">
        <v>1.0640000000000001E-3</v>
      </c>
      <c r="F76" s="65"/>
      <c r="G76" s="61">
        <f t="shared" si="1"/>
        <v>5.3200000000000004E-2</v>
      </c>
      <c r="H76" s="73">
        <v>197</v>
      </c>
      <c r="I76" s="74"/>
      <c r="J76" s="74"/>
      <c r="K76" s="75"/>
      <c r="L76" s="85">
        <f>0.008886226979461+G76</f>
        <v>6.2086226979461007E-2</v>
      </c>
      <c r="M76" s="86"/>
      <c r="N76" s="86"/>
      <c r="O76" s="87"/>
      <c r="P76" s="30" t="s">
        <v>99</v>
      </c>
      <c r="Q76" s="30">
        <v>6.2086226979461E-2</v>
      </c>
    </row>
    <row r="77" spans="2:29" x14ac:dyDescent="0.25">
      <c r="B77" s="5" t="s">
        <v>53</v>
      </c>
      <c r="C77" s="7"/>
      <c r="D77" s="9"/>
      <c r="E77" s="39">
        <v>1.8200000000000001E-4</v>
      </c>
      <c r="F77" s="65"/>
      <c r="G77" s="61">
        <f t="shared" si="1"/>
        <v>9.1000000000000004E-3</v>
      </c>
      <c r="H77" s="73">
        <v>439</v>
      </c>
      <c r="I77" s="74"/>
      <c r="J77" s="74"/>
      <c r="K77" s="75"/>
      <c r="L77" s="85">
        <f>L20+G77</f>
        <v>0.18995327984527299</v>
      </c>
      <c r="M77" s="86"/>
      <c r="N77" s="86"/>
      <c r="O77" s="87"/>
      <c r="P77" s="30">
        <v>439</v>
      </c>
      <c r="Q77" s="30">
        <v>0.18995327984527299</v>
      </c>
    </row>
    <row r="78" spans="2:29" x14ac:dyDescent="0.25">
      <c r="B78" s="5" t="s">
        <v>54</v>
      </c>
      <c r="C78" s="7"/>
      <c r="D78" s="9"/>
      <c r="E78" s="39">
        <v>1.0859999999999999E-3</v>
      </c>
      <c r="F78" s="65"/>
      <c r="G78" s="61">
        <f t="shared" si="1"/>
        <v>5.4299999999999994E-2</v>
      </c>
      <c r="H78" s="73">
        <v>528</v>
      </c>
      <c r="I78" s="74"/>
      <c r="J78" s="74"/>
      <c r="K78" s="75"/>
      <c r="L78" s="85">
        <f>L33+G78</f>
        <v>0.28506396555338803</v>
      </c>
      <c r="M78" s="86"/>
      <c r="N78" s="86"/>
      <c r="O78" s="87"/>
      <c r="P78" s="30" t="s">
        <v>100</v>
      </c>
    </row>
    <row r="79" spans="2:29" x14ac:dyDescent="0.25">
      <c r="B79" s="5" t="s">
        <v>70</v>
      </c>
      <c r="C79" s="7"/>
      <c r="D79" s="9"/>
      <c r="E79" s="39">
        <v>3.2339999999999999E-3</v>
      </c>
      <c r="F79" s="65"/>
      <c r="G79" s="61">
        <f t="shared" si="1"/>
        <v>0.16169999999999998</v>
      </c>
      <c r="H79" s="26">
        <v>629</v>
      </c>
      <c r="I79" s="27">
        <v>634</v>
      </c>
      <c r="J79" s="27">
        <v>530</v>
      </c>
      <c r="K79" s="41">
        <v>533</v>
      </c>
      <c r="L79" s="42">
        <f>+(0.185639193982+G79/4)</f>
        <v>0.22606419398199998</v>
      </c>
      <c r="M79" s="43">
        <f>+(L36+G79/4)</f>
        <v>0.38744673746916797</v>
      </c>
      <c r="N79" s="43">
        <f>+(0.201967538606456+G79/4)</f>
        <v>0.24239253860645599</v>
      </c>
      <c r="O79" s="44">
        <f>+(L75+$G$79/4)</f>
        <v>0.25948331280680603</v>
      </c>
      <c r="P79" s="30">
        <v>629</v>
      </c>
      <c r="Q79" s="30" t="s">
        <v>100</v>
      </c>
      <c r="R79" s="30" t="s">
        <v>100</v>
      </c>
      <c r="S79" s="30" t="s">
        <v>100</v>
      </c>
      <c r="T79" s="28">
        <v>0.22606419398200001</v>
      </c>
    </row>
    <row r="80" spans="2:29" x14ac:dyDescent="0.25">
      <c r="B80" s="5" t="s">
        <v>71</v>
      </c>
      <c r="C80" s="7"/>
      <c r="D80" s="9"/>
      <c r="E80" s="39">
        <v>1.72E-2</v>
      </c>
      <c r="F80" s="65"/>
      <c r="G80" s="61">
        <f t="shared" si="1"/>
        <v>0.86</v>
      </c>
      <c r="H80" s="26">
        <v>634</v>
      </c>
      <c r="I80" s="27">
        <v>640</v>
      </c>
      <c r="J80" s="27">
        <v>528</v>
      </c>
      <c r="K80" s="41">
        <v>530</v>
      </c>
      <c r="L80" s="42">
        <f>+M79+(G80/4)</f>
        <v>0.60244673746916799</v>
      </c>
      <c r="M80" s="43">
        <f>+(0.084879098427352+G80/4)</f>
        <v>0.299879098427352</v>
      </c>
      <c r="N80" s="43">
        <f>+(L78+G80/4)</f>
        <v>0.50006396555338806</v>
      </c>
      <c r="O80" s="44">
        <f>+(N79+(G80/4))</f>
        <v>0.45739253860645601</v>
      </c>
      <c r="P80" s="30">
        <v>634</v>
      </c>
      <c r="Q80" s="30">
        <v>640</v>
      </c>
      <c r="R80" s="30" t="s">
        <v>100</v>
      </c>
      <c r="S80" s="30" t="s">
        <v>100</v>
      </c>
      <c r="T80" s="28">
        <v>0.299879098427352</v>
      </c>
    </row>
    <row r="81" spans="2:27" x14ac:dyDescent="0.25">
      <c r="B81" s="5" t="s">
        <v>72</v>
      </c>
      <c r="C81" s="7"/>
      <c r="D81" s="9"/>
      <c r="E81" s="39">
        <v>2.5630000000000002E-3</v>
      </c>
      <c r="F81" s="65"/>
      <c r="G81" s="61">
        <f t="shared" si="1"/>
        <v>0.12815000000000001</v>
      </c>
      <c r="H81" s="26">
        <v>639</v>
      </c>
      <c r="I81" s="27">
        <v>638</v>
      </c>
      <c r="J81" s="27">
        <v>525</v>
      </c>
      <c r="K81" s="41">
        <v>528</v>
      </c>
      <c r="L81" s="42">
        <f>+(0.087029098427352+G81/4)</f>
        <v>0.11906659842735201</v>
      </c>
      <c r="M81" s="43">
        <f>+(L44+G81/4)</f>
        <v>0.392318618163364</v>
      </c>
      <c r="N81" s="43">
        <f>+(L43+G81/4)</f>
        <v>0.29228538418578098</v>
      </c>
      <c r="O81" s="44">
        <f>+(N80+G81/4)</f>
        <v>0.53210146555338811</v>
      </c>
      <c r="P81" s="30">
        <v>639</v>
      </c>
      <c r="Q81" s="30">
        <v>638</v>
      </c>
      <c r="R81" s="30" t="s">
        <v>100</v>
      </c>
      <c r="S81" s="30" t="s">
        <v>100</v>
      </c>
      <c r="T81" s="28">
        <v>0.392318618163364</v>
      </c>
      <c r="X81" s="118"/>
      <c r="Y81" s="118"/>
      <c r="Z81" s="118"/>
      <c r="AA81" s="118"/>
    </row>
    <row r="82" spans="2:27" x14ac:dyDescent="0.25">
      <c r="B82" s="5" t="s">
        <v>73</v>
      </c>
      <c r="C82" s="7"/>
      <c r="D82" s="9"/>
      <c r="E82" s="39">
        <v>4.0220000000000004E-3</v>
      </c>
      <c r="F82" s="65"/>
      <c r="G82" s="61">
        <f t="shared" si="1"/>
        <v>0.20110000000000003</v>
      </c>
      <c r="H82" s="26">
        <v>533</v>
      </c>
      <c r="I82" s="27">
        <v>530</v>
      </c>
      <c r="J82" s="27">
        <v>496</v>
      </c>
      <c r="K82" s="41">
        <v>494</v>
      </c>
      <c r="L82" s="42">
        <f>+(O79+G82/4)</f>
        <v>0.30975831280680605</v>
      </c>
      <c r="M82" s="43">
        <f>+(O80+G82/4)</f>
        <v>0.50766753860645597</v>
      </c>
      <c r="N82" s="43">
        <f>+(0.123248061548899+G82/4)</f>
        <v>0.17352306154889902</v>
      </c>
      <c r="O82" s="44">
        <f>+(L48+G82/4)</f>
        <v>0.31594318692539902</v>
      </c>
      <c r="P82" s="30">
        <v>533</v>
      </c>
      <c r="Q82" s="30">
        <v>530</v>
      </c>
      <c r="R82" s="30" t="s">
        <v>100</v>
      </c>
      <c r="S82" s="30" t="s">
        <v>100</v>
      </c>
      <c r="T82" s="28">
        <v>0.50766753860645597</v>
      </c>
      <c r="X82" s="118"/>
      <c r="Y82" s="118"/>
      <c r="Z82" s="118"/>
      <c r="AA82" s="118"/>
    </row>
    <row r="83" spans="2:27" x14ac:dyDescent="0.25">
      <c r="B83" s="5" t="s">
        <v>74</v>
      </c>
      <c r="C83" s="7"/>
      <c r="D83" s="9"/>
      <c r="E83" s="39">
        <v>2.885E-3</v>
      </c>
      <c r="F83" s="65"/>
      <c r="G83" s="61">
        <f t="shared" si="1"/>
        <v>0.14424999999999999</v>
      </c>
      <c r="H83" s="26">
        <v>528</v>
      </c>
      <c r="I83" s="27">
        <v>525</v>
      </c>
      <c r="J83" s="27">
        <v>510</v>
      </c>
      <c r="K83" s="41">
        <v>508</v>
      </c>
      <c r="L83" s="42">
        <f>+(O81+(G83/4))</f>
        <v>0.56816396555338811</v>
      </c>
      <c r="M83" s="43">
        <f>+(N81+G83/4)</f>
        <v>0.32834788418578098</v>
      </c>
      <c r="N83" s="43">
        <f>+(L70+G83/4)</f>
        <v>0.37173794356137896</v>
      </c>
      <c r="O83" s="44">
        <f>+(L68+G83/4)</f>
        <v>0.196542165163857</v>
      </c>
      <c r="P83" s="30">
        <v>528</v>
      </c>
      <c r="Q83" s="30">
        <v>525</v>
      </c>
      <c r="R83" s="30" t="s">
        <v>100</v>
      </c>
      <c r="S83" s="30" t="s">
        <v>100</v>
      </c>
      <c r="T83" s="28">
        <v>0.32834788418578098</v>
      </c>
      <c r="X83" s="118"/>
      <c r="Y83" s="118"/>
      <c r="Z83" s="118"/>
      <c r="AA83" s="118"/>
    </row>
    <row r="84" spans="2:27" x14ac:dyDescent="0.25">
      <c r="B84" s="5" t="s">
        <v>75</v>
      </c>
      <c r="C84" s="7"/>
      <c r="D84" s="9"/>
      <c r="E84" s="39">
        <v>2.2279999999999999E-3</v>
      </c>
      <c r="F84" s="65"/>
      <c r="G84" s="61">
        <f t="shared" si="1"/>
        <v>0.1114</v>
      </c>
      <c r="H84" s="26">
        <v>494</v>
      </c>
      <c r="I84" s="27">
        <v>496</v>
      </c>
      <c r="J84" s="27">
        <v>442</v>
      </c>
      <c r="K84" s="41">
        <v>214</v>
      </c>
      <c r="L84" s="42">
        <f>+(O82+G84/4)</f>
        <v>0.34379318692539901</v>
      </c>
      <c r="M84" s="43">
        <f>+(N82+G84/4)</f>
        <v>0.201373061548899</v>
      </c>
      <c r="N84" s="43">
        <f>+(0.205320664984038+G84/4)</f>
        <v>0.23317066498403799</v>
      </c>
      <c r="O84" s="44">
        <f>+(L40+G84/4)</f>
        <v>0.5351837881908621</v>
      </c>
      <c r="P84" s="30">
        <v>494</v>
      </c>
      <c r="Q84" s="30">
        <v>496</v>
      </c>
      <c r="R84" s="30" t="s">
        <v>100</v>
      </c>
      <c r="S84" s="30" t="s">
        <v>103</v>
      </c>
      <c r="T84" s="28">
        <v>0.201373061548899</v>
      </c>
      <c r="X84" s="118"/>
      <c r="Y84" s="118"/>
      <c r="Z84" s="118"/>
      <c r="AA84" s="118"/>
    </row>
    <row r="85" spans="2:27" x14ac:dyDescent="0.25">
      <c r="B85" s="5" t="s">
        <v>76</v>
      </c>
      <c r="C85" s="7"/>
      <c r="D85" s="9"/>
      <c r="E85" s="39">
        <v>2.7460000000000002E-3</v>
      </c>
      <c r="F85" s="65"/>
      <c r="G85" s="61">
        <f t="shared" si="1"/>
        <v>0.13730000000000001</v>
      </c>
      <c r="H85" s="26">
        <v>498</v>
      </c>
      <c r="I85" s="27">
        <v>508</v>
      </c>
      <c r="J85" s="27">
        <v>506</v>
      </c>
      <c r="K85" s="41">
        <v>500</v>
      </c>
      <c r="L85" s="42">
        <f>+(0.124029311548899+G85/4)</f>
        <v>0.15835431154889901</v>
      </c>
      <c r="M85" s="43">
        <f>+(O83+G85/4)</f>
        <v>0.230867165163857</v>
      </c>
      <c r="N85" s="43">
        <f>+(0.01686079703996+G85/4)</f>
        <v>5.1185797039959999E-2</v>
      </c>
      <c r="O85" s="44">
        <f>+(0.035337762407344+G85/4)</f>
        <v>6.9662762407344009E-2</v>
      </c>
      <c r="P85" s="30" t="s">
        <v>99</v>
      </c>
      <c r="Q85" s="30" t="s">
        <v>100</v>
      </c>
      <c r="R85" s="30" t="s">
        <v>100</v>
      </c>
      <c r="S85" s="30" t="s">
        <v>100</v>
      </c>
      <c r="T85" s="28">
        <v>0.15835431154889901</v>
      </c>
      <c r="X85" s="118"/>
      <c r="Y85" s="118"/>
      <c r="Z85" s="118"/>
      <c r="AA85" s="118"/>
    </row>
    <row r="86" spans="2:27" x14ac:dyDescent="0.25">
      <c r="B86" s="5" t="s">
        <v>77</v>
      </c>
      <c r="C86" s="7"/>
      <c r="D86" s="9"/>
      <c r="E86" s="39">
        <v>9.8999999999999999E-4</v>
      </c>
      <c r="F86" s="65"/>
      <c r="G86" s="61">
        <f t="shared" si="1"/>
        <v>4.9500000000000002E-2</v>
      </c>
      <c r="H86" s="26">
        <v>500</v>
      </c>
      <c r="I86" s="27">
        <v>502</v>
      </c>
      <c r="J86" s="27">
        <v>503</v>
      </c>
      <c r="K86" s="41">
        <v>442</v>
      </c>
      <c r="L86" s="42">
        <f>+(O85+G86/4)</f>
        <v>8.2037762407344006E-2</v>
      </c>
      <c r="M86" s="43">
        <f>+(0.054706929878773+G86/4)</f>
        <v>6.7081929878772997E-2</v>
      </c>
      <c r="N86" s="43">
        <f>+(L65+G86/4)</f>
        <v>4.8311737388065004E-2</v>
      </c>
      <c r="O86" s="44">
        <f>+(N84+G86/4)</f>
        <v>0.24554566498403799</v>
      </c>
      <c r="P86" s="30">
        <v>500</v>
      </c>
      <c r="Q86" s="30" t="s">
        <v>100</v>
      </c>
      <c r="R86" s="30" t="s">
        <v>100</v>
      </c>
      <c r="S86" s="30" t="s">
        <v>101</v>
      </c>
      <c r="T86" s="28">
        <v>8.2037762407344006E-2</v>
      </c>
      <c r="X86" s="118"/>
      <c r="Y86" s="118"/>
      <c r="Z86" s="118"/>
      <c r="AA86" s="118"/>
    </row>
    <row r="87" spans="2:27" x14ac:dyDescent="0.25">
      <c r="B87" s="5" t="s">
        <v>78</v>
      </c>
      <c r="C87" s="7"/>
      <c r="D87" s="9"/>
      <c r="E87" s="39">
        <v>7.94E-4</v>
      </c>
      <c r="F87" s="65"/>
      <c r="G87" s="61">
        <f t="shared" si="1"/>
        <v>3.9699999999999999E-2</v>
      </c>
      <c r="H87" s="26">
        <v>502</v>
      </c>
      <c r="I87" s="27">
        <v>506</v>
      </c>
      <c r="J87" s="27">
        <v>441</v>
      </c>
      <c r="K87" s="41">
        <v>503</v>
      </c>
      <c r="L87" s="42">
        <f>+(M86+G87/4)</f>
        <v>7.7006929878773001E-2</v>
      </c>
      <c r="M87" s="43">
        <f>+(N85+G87/4)</f>
        <v>6.1110797039960002E-2</v>
      </c>
      <c r="N87" s="43">
        <f>+(0.171235258543713+G87/4)</f>
        <v>0.18116025854371298</v>
      </c>
      <c r="O87" s="44">
        <f>+(N86+G87/4)</f>
        <v>5.8236737388065007E-2</v>
      </c>
      <c r="P87" s="30">
        <v>502</v>
      </c>
      <c r="Q87" s="30">
        <v>506</v>
      </c>
      <c r="R87" s="30" t="s">
        <v>100</v>
      </c>
      <c r="S87" s="30">
        <v>503</v>
      </c>
      <c r="T87" s="28">
        <v>5.8236737388065E-2</v>
      </c>
      <c r="X87" s="118"/>
      <c r="Y87" s="118"/>
      <c r="Z87" s="118"/>
      <c r="AA87" s="118"/>
    </row>
    <row r="88" spans="2:27" x14ac:dyDescent="0.25">
      <c r="B88" s="5" t="s">
        <v>79</v>
      </c>
      <c r="C88" s="7"/>
      <c r="D88" s="9"/>
      <c r="E88" s="39">
        <v>3.797E-3</v>
      </c>
      <c r="F88" s="65"/>
      <c r="G88" s="61">
        <f t="shared" si="1"/>
        <v>0.18984999999999999</v>
      </c>
      <c r="H88" s="26">
        <v>508</v>
      </c>
      <c r="I88" s="27">
        <v>510</v>
      </c>
      <c r="J88" s="27">
        <v>437</v>
      </c>
      <c r="K88" s="41">
        <v>441</v>
      </c>
      <c r="L88" s="42">
        <f>+(M85+G88/4)</f>
        <v>0.27832966516385699</v>
      </c>
      <c r="M88" s="43">
        <f>+(N83+G88/4)</f>
        <v>0.41920044356137898</v>
      </c>
      <c r="N88" s="43">
        <f>+(0.185680656914302+G88/4)</f>
        <v>0.23314315691430199</v>
      </c>
      <c r="O88" s="44">
        <f>+(N87+G88/4)</f>
        <v>0.22862275854371297</v>
      </c>
      <c r="P88" s="30">
        <v>508</v>
      </c>
      <c r="Q88" s="30">
        <v>510</v>
      </c>
      <c r="R88" s="30" t="s">
        <v>100</v>
      </c>
      <c r="S88" s="30" t="s">
        <v>100</v>
      </c>
      <c r="X88" s="118"/>
      <c r="Y88" s="118"/>
      <c r="Z88" s="118"/>
      <c r="AA88" s="118"/>
    </row>
    <row r="89" spans="2:27" x14ac:dyDescent="0.25">
      <c r="B89" s="5" t="s">
        <v>80</v>
      </c>
      <c r="C89" s="7"/>
      <c r="D89" s="9"/>
      <c r="E89" s="39">
        <v>1.7489999999999999E-3</v>
      </c>
      <c r="F89" s="65"/>
      <c r="G89" s="61">
        <f t="shared" si="1"/>
        <v>8.745E-2</v>
      </c>
      <c r="H89" s="73">
        <v>214</v>
      </c>
      <c r="I89" s="88"/>
      <c r="J89" s="90">
        <v>442</v>
      </c>
      <c r="K89" s="75"/>
      <c r="L89" s="79">
        <f>+(O84+G89/2)</f>
        <v>0.57890878819086211</v>
      </c>
      <c r="M89" s="89"/>
      <c r="N89" s="91">
        <f>+(O86+G89/4)</f>
        <v>0.26740816498403797</v>
      </c>
      <c r="O89" s="81"/>
      <c r="P89" s="120">
        <v>214</v>
      </c>
      <c r="Q89" s="120"/>
      <c r="R89" s="120" t="s">
        <v>101</v>
      </c>
      <c r="S89" s="120"/>
      <c r="T89" s="28">
        <v>0.578908788190862</v>
      </c>
      <c r="X89" s="118"/>
      <c r="Y89" s="118"/>
      <c r="Z89" s="118"/>
      <c r="AA89" s="118"/>
    </row>
    <row r="90" spans="2:27" x14ac:dyDescent="0.25">
      <c r="B90" s="5" t="s">
        <v>81</v>
      </c>
      <c r="C90" s="7"/>
      <c r="D90" s="9"/>
      <c r="E90" s="39">
        <v>4.006E-3</v>
      </c>
      <c r="F90" s="65"/>
      <c r="G90" s="61">
        <f t="shared" si="1"/>
        <v>0.20030000000000001</v>
      </c>
      <c r="H90" s="26">
        <v>442</v>
      </c>
      <c r="I90" s="27">
        <v>441</v>
      </c>
      <c r="J90" s="27">
        <v>434</v>
      </c>
      <c r="K90" s="41">
        <v>443</v>
      </c>
      <c r="L90" s="42">
        <f>+(N89+G90/4)</f>
        <v>0.31748316498403795</v>
      </c>
      <c r="M90" s="43">
        <f>+(O88+G90/4)</f>
        <v>0.27869775854371298</v>
      </c>
      <c r="N90" s="43">
        <f>+(L64+G90/4)</f>
        <v>0.257560241363186</v>
      </c>
      <c r="O90" s="44">
        <f>+(L18+G90/4)</f>
        <v>0.37461601700078201</v>
      </c>
      <c r="P90" s="30">
        <v>442</v>
      </c>
      <c r="Q90" s="30" t="s">
        <v>100</v>
      </c>
      <c r="R90" s="30" t="s">
        <v>101</v>
      </c>
      <c r="S90" s="30" t="s">
        <v>100</v>
      </c>
      <c r="T90" s="28">
        <v>0.317483164984038</v>
      </c>
      <c r="X90" s="118"/>
      <c r="Y90" s="118"/>
      <c r="Z90" s="118"/>
      <c r="AA90" s="118"/>
    </row>
    <row r="91" spans="2:27" x14ac:dyDescent="0.25">
      <c r="B91" s="5" t="s">
        <v>82</v>
      </c>
      <c r="C91" s="7"/>
      <c r="D91" s="9"/>
      <c r="E91" s="39">
        <v>3.5720000000000001E-3</v>
      </c>
      <c r="F91" s="65"/>
      <c r="G91" s="61">
        <f t="shared" si="1"/>
        <v>0.17860000000000001</v>
      </c>
      <c r="H91" s="26">
        <v>441</v>
      </c>
      <c r="I91" s="27">
        <v>437</v>
      </c>
      <c r="J91" s="27">
        <v>435</v>
      </c>
      <c r="K91" s="41">
        <v>434</v>
      </c>
      <c r="L91" s="42">
        <f>+(0.172309883543713+G91/4)</f>
        <v>0.21695988354371298</v>
      </c>
      <c r="M91" s="43">
        <f>+(N88+G91/4)</f>
        <v>0.27779315691430201</v>
      </c>
      <c r="N91" s="43">
        <f>+(0.113446401386947+G91/4)</f>
        <v>0.158096401386947</v>
      </c>
      <c r="O91" s="44">
        <f>+(N90+G91/4)</f>
        <v>0.30221024136318603</v>
      </c>
      <c r="P91" s="30">
        <v>441</v>
      </c>
      <c r="Q91" s="30">
        <v>437</v>
      </c>
      <c r="R91" s="30" t="s">
        <v>100</v>
      </c>
      <c r="S91" s="30" t="s">
        <v>101</v>
      </c>
      <c r="T91" s="28">
        <v>0.27779315691430201</v>
      </c>
      <c r="X91" s="118"/>
      <c r="Y91" s="118"/>
      <c r="Z91" s="118"/>
      <c r="AA91" s="118"/>
    </row>
    <row r="92" spans="2:27" x14ac:dyDescent="0.25">
      <c r="B92" s="5" t="s">
        <v>83</v>
      </c>
      <c r="C92" s="7"/>
      <c r="D92" s="9"/>
      <c r="E92" s="39">
        <v>1.2869999999999999E-3</v>
      </c>
      <c r="F92" s="65"/>
      <c r="G92" s="61">
        <f t="shared" si="1"/>
        <v>6.4349999999999991E-2</v>
      </c>
      <c r="H92" s="73">
        <v>443</v>
      </c>
      <c r="I92" s="88"/>
      <c r="J92" s="90">
        <v>199</v>
      </c>
      <c r="K92" s="75"/>
      <c r="L92" s="79">
        <f>+(O90+G92/2)</f>
        <v>0.40679101700078202</v>
      </c>
      <c r="M92" s="89"/>
      <c r="N92" s="91">
        <f>+(L61+G92/2)</f>
        <v>0.59955773123584899</v>
      </c>
      <c r="O92" s="81"/>
      <c r="P92" s="120" t="s">
        <v>101</v>
      </c>
      <c r="Q92" s="120"/>
      <c r="R92" s="120" t="s">
        <v>101</v>
      </c>
      <c r="S92" s="120"/>
      <c r="X92" s="118"/>
      <c r="Y92" s="118"/>
      <c r="Z92" s="118"/>
      <c r="AA92" s="118"/>
    </row>
    <row r="93" spans="2:27" x14ac:dyDescent="0.25">
      <c r="B93" s="5" t="s">
        <v>84</v>
      </c>
      <c r="C93" s="7"/>
      <c r="D93" s="9"/>
      <c r="E93" s="39">
        <v>2.8830000000000001E-3</v>
      </c>
      <c r="F93" s="65"/>
      <c r="G93" s="61">
        <f t="shared" si="1"/>
        <v>0.14415</v>
      </c>
      <c r="H93" s="26">
        <v>443</v>
      </c>
      <c r="I93" s="27">
        <v>434</v>
      </c>
      <c r="J93" s="27">
        <v>195</v>
      </c>
      <c r="K93" s="41">
        <v>199</v>
      </c>
      <c r="L93" s="42">
        <f>+(L92+G93/4)</f>
        <v>0.44282851700078202</v>
      </c>
      <c r="M93" s="43">
        <f>+(O91+G93/4)</f>
        <v>0.33824774136318603</v>
      </c>
      <c r="N93" s="43">
        <f>+(0.066536879102561+G93/4)</f>
        <v>0.10257437910256099</v>
      </c>
      <c r="O93" s="44">
        <f>+(N92+G93/4)</f>
        <v>0.63559523123584905</v>
      </c>
      <c r="P93" s="30">
        <v>443</v>
      </c>
      <c r="Q93" s="30" t="s">
        <v>101</v>
      </c>
      <c r="R93" s="30" t="s">
        <v>99</v>
      </c>
      <c r="S93" s="30">
        <v>199</v>
      </c>
      <c r="T93" s="28">
        <v>0.63559523123584905</v>
      </c>
      <c r="X93" s="118"/>
      <c r="Y93" s="118"/>
      <c r="Z93" s="118"/>
      <c r="AA93" s="118"/>
    </row>
    <row r="94" spans="2:27" x14ac:dyDescent="0.25">
      <c r="B94" s="33" t="s">
        <v>85</v>
      </c>
      <c r="C94" s="34"/>
      <c r="D94" s="35"/>
      <c r="E94" s="40">
        <v>1.879E-3</v>
      </c>
      <c r="F94" s="66"/>
      <c r="G94" s="61">
        <f t="shared" si="1"/>
        <v>9.3950000000000006E-2</v>
      </c>
      <c r="H94" s="36">
        <v>194</v>
      </c>
      <c r="I94" s="37">
        <v>434</v>
      </c>
      <c r="J94" s="92">
        <v>435</v>
      </c>
      <c r="K94" s="93"/>
      <c r="L94" s="45">
        <f>+(0.0234747404917792+G94/3)</f>
        <v>5.4791407158445868E-2</v>
      </c>
      <c r="M94" s="46">
        <f>+(M93+G94/4)</f>
        <v>0.36173524136318602</v>
      </c>
      <c r="N94" s="94">
        <f>+(N91+G94/3)</f>
        <v>0.18941306805361366</v>
      </c>
      <c r="O94" s="95"/>
      <c r="P94" s="30" t="s">
        <v>99</v>
      </c>
      <c r="Q94" s="30">
        <v>434</v>
      </c>
      <c r="R94" s="120">
        <v>435</v>
      </c>
      <c r="S94" s="120"/>
      <c r="T94" s="28">
        <v>0.18941306805361399</v>
      </c>
      <c r="X94" s="118"/>
      <c r="Y94" s="118"/>
      <c r="Z94" s="118"/>
      <c r="AA94" s="118"/>
    </row>
    <row r="95" spans="2:27" ht="31.5" x14ac:dyDescent="0.25">
      <c r="B95" s="5" t="s">
        <v>110</v>
      </c>
      <c r="C95" s="7"/>
      <c r="D95" s="9"/>
      <c r="E95" s="39"/>
      <c r="F95" s="65">
        <v>8.3699999999999996E-4</v>
      </c>
      <c r="G95" s="61">
        <f>+(F95*100)*1.5</f>
        <v>0.12554999999999999</v>
      </c>
      <c r="H95" s="73">
        <v>395</v>
      </c>
      <c r="I95" s="74"/>
      <c r="J95" s="74"/>
      <c r="K95" s="75"/>
      <c r="L95" s="79">
        <f>0.086939700198009+G95</f>
        <v>0.212489700198009</v>
      </c>
      <c r="M95" s="80"/>
      <c r="N95" s="80"/>
      <c r="O95" s="81"/>
      <c r="T95" s="28">
        <v>0.212489700198009</v>
      </c>
    </row>
    <row r="96" spans="2:27" x14ac:dyDescent="0.25">
      <c r="B96" s="5" t="s">
        <v>115</v>
      </c>
      <c r="C96" s="7"/>
      <c r="D96" s="9"/>
      <c r="E96" s="39"/>
      <c r="F96" s="65">
        <v>3.6240000000000001E-3</v>
      </c>
      <c r="G96" s="61">
        <f>+(F96*100)*1.5</f>
        <v>0.54359999999999997</v>
      </c>
      <c r="H96" s="73">
        <v>69</v>
      </c>
      <c r="I96" s="74"/>
      <c r="J96" s="74"/>
      <c r="K96" s="75"/>
      <c r="L96" s="79">
        <f>0.092643107047836+G96</f>
        <v>0.63624310704783593</v>
      </c>
      <c r="M96" s="80"/>
      <c r="N96" s="80"/>
      <c r="O96" s="81"/>
    </row>
    <row r="97" spans="2:27" x14ac:dyDescent="0.25">
      <c r="B97" s="5" t="s">
        <v>114</v>
      </c>
      <c r="C97" s="7"/>
      <c r="D97" s="9"/>
      <c r="E97" s="39"/>
      <c r="F97" s="65">
        <v>3.68E-4</v>
      </c>
      <c r="G97" s="61">
        <f>+(F97*100)*1.5</f>
        <v>5.5199999999999999E-2</v>
      </c>
      <c r="H97" s="73">
        <v>150</v>
      </c>
      <c r="I97" s="74"/>
      <c r="J97" s="74"/>
      <c r="K97" s="75"/>
      <c r="L97" s="79">
        <f>0.035242538494752+G97</f>
        <v>9.0442538494752006E-2</v>
      </c>
      <c r="M97" s="80"/>
      <c r="N97" s="80"/>
      <c r="O97" s="81"/>
    </row>
    <row r="98" spans="2:27" ht="16.5" thickBot="1" x14ac:dyDescent="0.3">
      <c r="B98" s="33" t="s">
        <v>111</v>
      </c>
      <c r="C98" s="34"/>
      <c r="D98" s="35"/>
      <c r="E98" s="40"/>
      <c r="F98" s="66">
        <v>1.4217E-2</v>
      </c>
      <c r="G98" s="62">
        <f>+(F98*100)*1.5</f>
        <v>2.1325500000000002</v>
      </c>
      <c r="H98" s="76">
        <v>150</v>
      </c>
      <c r="I98" s="77"/>
      <c r="J98" s="77"/>
      <c r="K98" s="78"/>
      <c r="L98" s="82">
        <f>L97+G98</f>
        <v>2.222992538494752</v>
      </c>
      <c r="M98" s="83"/>
      <c r="N98" s="83"/>
      <c r="O98" s="84"/>
      <c r="T98" s="28">
        <v>2.1677925384947501</v>
      </c>
    </row>
    <row r="99" spans="2:27" ht="16.5" thickBot="1" x14ac:dyDescent="0.3">
      <c r="B99" s="47" t="s">
        <v>123</v>
      </c>
      <c r="C99" s="48">
        <f>+SUM(C4:C94)</f>
        <v>1.21271</v>
      </c>
      <c r="D99" s="49">
        <f>+SUM(D4:D94)</f>
        <v>1.9040000000000001E-2</v>
      </c>
      <c r="E99" s="50">
        <f>+SUM(E4:E94)</f>
        <v>9.6103999999999995E-2</v>
      </c>
      <c r="F99" s="51">
        <f>+SUM(F95:F98)</f>
        <v>1.9046E-2</v>
      </c>
      <c r="G99" s="52">
        <f>+SUM(G4:G98)</f>
        <v>68.297600000000017</v>
      </c>
      <c r="X99" s="118"/>
      <c r="Y99" s="118"/>
      <c r="Z99" s="118"/>
      <c r="AA99" s="118"/>
    </row>
    <row r="100" spans="2:27" ht="16.5" thickBot="1" x14ac:dyDescent="0.3">
      <c r="B100" s="53" t="s">
        <v>122</v>
      </c>
      <c r="C100" s="54">
        <f>+(C99*100)*0.5</f>
        <v>60.6355</v>
      </c>
      <c r="D100" s="55" t="s">
        <v>96</v>
      </c>
      <c r="E100" s="56">
        <f>+(E99*100)*0.5</f>
        <v>4.8052000000000001</v>
      </c>
      <c r="F100" s="57">
        <f>+(F99*100)*1.5</f>
        <v>2.8569</v>
      </c>
    </row>
    <row r="101" spans="2:27" x14ac:dyDescent="0.25">
      <c r="G101" s="31"/>
      <c r="X101" s="118"/>
      <c r="Y101" s="118"/>
      <c r="Z101" s="118"/>
      <c r="AA101" s="118"/>
    </row>
    <row r="102" spans="2:27" ht="30" x14ac:dyDescent="0.25">
      <c r="F102" s="123" t="s">
        <v>124</v>
      </c>
      <c r="G102" s="121">
        <f>45000*(120/0.75)/86400</f>
        <v>83.333333333333329</v>
      </c>
      <c r="X102" s="118"/>
      <c r="Y102" s="118"/>
      <c r="Z102" s="118"/>
      <c r="AA102" s="118"/>
    </row>
    <row r="103" spans="2:27" ht="30" x14ac:dyDescent="0.25">
      <c r="F103" s="123" t="s">
        <v>125</v>
      </c>
      <c r="G103" s="122">
        <f>SUM(G102+G99)</f>
        <v>151.63093333333336</v>
      </c>
      <c r="X103" s="118"/>
      <c r="Y103" s="118"/>
      <c r="Z103" s="118"/>
      <c r="AA103" s="118"/>
    </row>
    <row r="104" spans="2:27" x14ac:dyDescent="0.25">
      <c r="X104" s="118"/>
      <c r="Y104" s="118"/>
      <c r="Z104" s="118"/>
      <c r="AA104" s="118"/>
    </row>
    <row r="105" spans="2:27" x14ac:dyDescent="0.25">
      <c r="C105"/>
      <c r="D105"/>
      <c r="E105"/>
      <c r="F105"/>
      <c r="H105" s="124"/>
      <c r="I105" s="124"/>
      <c r="J105" s="124"/>
      <c r="K105"/>
      <c r="L105"/>
      <c r="M105"/>
      <c r="X105" s="118"/>
      <c r="Y105" s="118"/>
      <c r="Z105" s="118"/>
      <c r="AA105" s="118"/>
    </row>
    <row r="106" spans="2:27" x14ac:dyDescent="0.25">
      <c r="C106"/>
      <c r="D106"/>
      <c r="E106"/>
      <c r="F106"/>
      <c r="H106" s="124"/>
      <c r="I106" s="124"/>
      <c r="J106" s="124"/>
      <c r="K106"/>
      <c r="L106"/>
      <c r="M106"/>
      <c r="X106" s="118"/>
      <c r="Y106" s="118"/>
      <c r="Z106" s="118"/>
      <c r="AA106" s="118"/>
    </row>
    <row r="107" spans="2:27" x14ac:dyDescent="0.25">
      <c r="C107"/>
      <c r="D107"/>
      <c r="E107"/>
      <c r="F107"/>
      <c r="H107" s="124"/>
      <c r="I107" s="124"/>
      <c r="J107" s="124"/>
      <c r="K107"/>
      <c r="L107"/>
      <c r="M107"/>
      <c r="X107" s="118"/>
      <c r="Y107" s="118"/>
      <c r="Z107" s="118"/>
      <c r="AA107" s="118"/>
    </row>
    <row r="108" spans="2:27" x14ac:dyDescent="0.25">
      <c r="C108"/>
      <c r="D108"/>
      <c r="E108"/>
      <c r="F108"/>
      <c r="H108"/>
      <c r="I108"/>
      <c r="J108"/>
      <c r="K108"/>
      <c r="L108"/>
      <c r="M108"/>
      <c r="X108" s="118"/>
      <c r="Y108" s="118"/>
      <c r="Z108" s="118"/>
      <c r="AA108" s="118"/>
    </row>
    <row r="109" spans="2:27" x14ac:dyDescent="0.25">
      <c r="C109"/>
      <c r="D109"/>
      <c r="E109"/>
      <c r="F109"/>
      <c r="H109"/>
      <c r="I109"/>
      <c r="J109"/>
      <c r="K109"/>
      <c r="L109"/>
      <c r="M109"/>
      <c r="X109" s="118"/>
      <c r="Y109" s="118"/>
      <c r="Z109" s="118"/>
      <c r="AA109" s="118"/>
    </row>
    <row r="110" spans="2:27" x14ac:dyDescent="0.25">
      <c r="C110"/>
      <c r="D110" s="124"/>
      <c r="E110" s="124"/>
      <c r="F110" s="124"/>
      <c r="G110" s="124"/>
      <c r="H110"/>
      <c r="I110"/>
      <c r="J110"/>
      <c r="K110"/>
      <c r="L110"/>
      <c r="M110"/>
    </row>
    <row r="111" spans="2:27" x14ac:dyDescent="0.25">
      <c r="C111"/>
      <c r="D111" s="124"/>
      <c r="E111" s="124"/>
      <c r="F111"/>
      <c r="H111"/>
      <c r="I111"/>
      <c r="J111"/>
      <c r="K111"/>
      <c r="L111"/>
      <c r="M111"/>
    </row>
    <row r="112" spans="2:27" x14ac:dyDescent="0.25">
      <c r="C112"/>
      <c r="D112"/>
      <c r="E112"/>
      <c r="F112"/>
      <c r="H112"/>
      <c r="I112"/>
      <c r="J112"/>
      <c r="K112"/>
      <c r="L112"/>
      <c r="M112"/>
    </row>
    <row r="113" spans="3:13" x14ac:dyDescent="0.25">
      <c r="C113"/>
      <c r="D113"/>
      <c r="E113"/>
      <c r="F113"/>
      <c r="H113"/>
      <c r="I113"/>
      <c r="J113"/>
      <c r="K113"/>
      <c r="L113"/>
      <c r="M113"/>
    </row>
    <row r="114" spans="3:13" x14ac:dyDescent="0.25">
      <c r="C114"/>
      <c r="D114"/>
      <c r="E114"/>
      <c r="F114"/>
      <c r="H114"/>
      <c r="I114"/>
      <c r="J114"/>
      <c r="K114"/>
      <c r="L114"/>
      <c r="M114"/>
    </row>
    <row r="115" spans="3:13" x14ac:dyDescent="0.25">
      <c r="C115"/>
      <c r="D115"/>
      <c r="E115"/>
      <c r="F115"/>
      <c r="H115"/>
      <c r="I115"/>
      <c r="J115"/>
      <c r="K115"/>
      <c r="L115"/>
      <c r="M115"/>
    </row>
    <row r="116" spans="3:13" x14ac:dyDescent="0.25">
      <c r="C116"/>
      <c r="D116"/>
      <c r="E116"/>
      <c r="F116"/>
      <c r="H116"/>
      <c r="I116"/>
      <c r="J116"/>
      <c r="K116"/>
      <c r="L116"/>
      <c r="M116"/>
    </row>
    <row r="117" spans="3:13" x14ac:dyDescent="0.25">
      <c r="C117"/>
      <c r="D117"/>
      <c r="E117"/>
      <c r="F117"/>
      <c r="H117"/>
      <c r="I117"/>
      <c r="J117"/>
      <c r="K117"/>
      <c r="L117"/>
      <c r="M117"/>
    </row>
    <row r="118" spans="3:13" x14ac:dyDescent="0.25">
      <c r="C118"/>
      <c r="D118"/>
      <c r="E118"/>
      <c r="F118"/>
      <c r="H118"/>
      <c r="I118"/>
      <c r="J118"/>
      <c r="K118"/>
      <c r="L118"/>
      <c r="M118"/>
    </row>
    <row r="119" spans="3:13" x14ac:dyDescent="0.25">
      <c r="C119"/>
      <c r="D119"/>
      <c r="E119"/>
      <c r="F119"/>
      <c r="H119"/>
      <c r="I119"/>
      <c r="J119"/>
      <c r="K119"/>
      <c r="L119"/>
      <c r="M119"/>
    </row>
  </sheetData>
  <mergeCells count="211">
    <mergeCell ref="H97:K97"/>
    <mergeCell ref="L97:O97"/>
    <mergeCell ref="H96:K96"/>
    <mergeCell ref="L96:O96"/>
    <mergeCell ref="L57:O57"/>
    <mergeCell ref="H57:K57"/>
    <mergeCell ref="H26:K26"/>
    <mergeCell ref="L26:O26"/>
    <mergeCell ref="H27:K27"/>
    <mergeCell ref="L27:O27"/>
    <mergeCell ref="H37:K37"/>
    <mergeCell ref="L37:O37"/>
    <mergeCell ref="H62:K62"/>
    <mergeCell ref="H63:K63"/>
    <mergeCell ref="H64:K64"/>
    <mergeCell ref="H65:K65"/>
    <mergeCell ref="H66:K66"/>
    <mergeCell ref="H67:K67"/>
    <mergeCell ref="H68:K68"/>
    <mergeCell ref="H69:K69"/>
    <mergeCell ref="H45:K45"/>
    <mergeCell ref="H35:K35"/>
    <mergeCell ref="H36:K36"/>
    <mergeCell ref="H38:K38"/>
    <mergeCell ref="P2:P3"/>
    <mergeCell ref="P89:Q89"/>
    <mergeCell ref="R89:S89"/>
    <mergeCell ref="P92:Q92"/>
    <mergeCell ref="R92:S92"/>
    <mergeCell ref="R94:S94"/>
    <mergeCell ref="X106:AA106"/>
    <mergeCell ref="X107:AA107"/>
    <mergeCell ref="X108:AA108"/>
    <mergeCell ref="X84:AA84"/>
    <mergeCell ref="X85:AA85"/>
    <mergeCell ref="X86:AA86"/>
    <mergeCell ref="X87:AA87"/>
    <mergeCell ref="X88:AA88"/>
    <mergeCell ref="X89:AA89"/>
    <mergeCell ref="X90:AA90"/>
    <mergeCell ref="X91:AA91"/>
    <mergeCell ref="X92:AA92"/>
    <mergeCell ref="X109:AA109"/>
    <mergeCell ref="X93:AA93"/>
    <mergeCell ref="X94:AA94"/>
    <mergeCell ref="X99:AA99"/>
    <mergeCell ref="X101:AA101"/>
    <mergeCell ref="X102:AA102"/>
    <mergeCell ref="X103:AA103"/>
    <mergeCell ref="X104:AA104"/>
    <mergeCell ref="X105:AA105"/>
    <mergeCell ref="X81:AA81"/>
    <mergeCell ref="X82:AA82"/>
    <mergeCell ref="X83:AA83"/>
    <mergeCell ref="X66:AA66"/>
    <mergeCell ref="X67:AA67"/>
    <mergeCell ref="X68:AA68"/>
    <mergeCell ref="X69:AA69"/>
    <mergeCell ref="X70:AA70"/>
    <mergeCell ref="X71:AA71"/>
    <mergeCell ref="X72:AA72"/>
    <mergeCell ref="X73:AA73"/>
    <mergeCell ref="X74:AA74"/>
    <mergeCell ref="G2:G3"/>
    <mergeCell ref="H2:K3"/>
    <mergeCell ref="H58:K58"/>
    <mergeCell ref="H7:K7"/>
    <mergeCell ref="H22:K22"/>
    <mergeCell ref="H23:K23"/>
    <mergeCell ref="H24:K24"/>
    <mergeCell ref="H25:K25"/>
    <mergeCell ref="H28:K28"/>
    <mergeCell ref="H29:K29"/>
    <mergeCell ref="H31:K31"/>
    <mergeCell ref="H32:K32"/>
    <mergeCell ref="H33:K33"/>
    <mergeCell ref="H34:K34"/>
    <mergeCell ref="H51:K51"/>
    <mergeCell ref="H8:K8"/>
    <mergeCell ref="H54:K54"/>
    <mergeCell ref="H55:K55"/>
    <mergeCell ref="H56:K56"/>
    <mergeCell ref="H50:K50"/>
    <mergeCell ref="H41:K41"/>
    <mergeCell ref="H42:K42"/>
    <mergeCell ref="H43:K43"/>
    <mergeCell ref="H44:K44"/>
    <mergeCell ref="L2:O3"/>
    <mergeCell ref="H4:K4"/>
    <mergeCell ref="L4:O4"/>
    <mergeCell ref="H5:K5"/>
    <mergeCell ref="L5:O5"/>
    <mergeCell ref="H6:K6"/>
    <mergeCell ref="L6:O6"/>
    <mergeCell ref="L58:O58"/>
    <mergeCell ref="H61:K61"/>
    <mergeCell ref="H9:K9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  <mergeCell ref="H20:K20"/>
    <mergeCell ref="H21:K21"/>
    <mergeCell ref="H59:K59"/>
    <mergeCell ref="H60:K60"/>
    <mergeCell ref="H53:K53"/>
    <mergeCell ref="H39:K39"/>
    <mergeCell ref="H40:K40"/>
    <mergeCell ref="H52:K52"/>
    <mergeCell ref="L7:O7"/>
    <mergeCell ref="L8:O8"/>
    <mergeCell ref="L9:O9"/>
    <mergeCell ref="L11:O11"/>
    <mergeCell ref="L12:O12"/>
    <mergeCell ref="H46:K46"/>
    <mergeCell ref="H47:K47"/>
    <mergeCell ref="H48:K48"/>
    <mergeCell ref="H49:K49"/>
    <mergeCell ref="L18:O18"/>
    <mergeCell ref="L19:O19"/>
    <mergeCell ref="L20:O20"/>
    <mergeCell ref="L21:O21"/>
    <mergeCell ref="L22:O22"/>
    <mergeCell ref="L13:O13"/>
    <mergeCell ref="L14:O14"/>
    <mergeCell ref="L15:O15"/>
    <mergeCell ref="L16:O16"/>
    <mergeCell ref="L17:O17"/>
    <mergeCell ref="L31:O31"/>
    <mergeCell ref="L32:O32"/>
    <mergeCell ref="L33:O33"/>
    <mergeCell ref="L34:O34"/>
    <mergeCell ref="L35:O35"/>
    <mergeCell ref="L23:O23"/>
    <mergeCell ref="L24:O24"/>
    <mergeCell ref="L25:O25"/>
    <mergeCell ref="L28:O28"/>
    <mergeCell ref="L29:O29"/>
    <mergeCell ref="L42:O42"/>
    <mergeCell ref="L43:O43"/>
    <mergeCell ref="L44:O44"/>
    <mergeCell ref="L45:O45"/>
    <mergeCell ref="L46:O46"/>
    <mergeCell ref="L36:O36"/>
    <mergeCell ref="L38:O38"/>
    <mergeCell ref="L39:O39"/>
    <mergeCell ref="L40:O40"/>
    <mergeCell ref="L41:O41"/>
    <mergeCell ref="L61:O61"/>
    <mergeCell ref="L62:O62"/>
    <mergeCell ref="L63:O63"/>
    <mergeCell ref="L64:O64"/>
    <mergeCell ref="L65:O65"/>
    <mergeCell ref="L47:O47"/>
    <mergeCell ref="L48:O48"/>
    <mergeCell ref="L49:O49"/>
    <mergeCell ref="L50:O50"/>
    <mergeCell ref="L51:O51"/>
    <mergeCell ref="L56:O56"/>
    <mergeCell ref="L59:O59"/>
    <mergeCell ref="L60:O60"/>
    <mergeCell ref="L53:O53"/>
    <mergeCell ref="L54:O54"/>
    <mergeCell ref="L55:O55"/>
    <mergeCell ref="L52:O52"/>
    <mergeCell ref="J89:K89"/>
    <mergeCell ref="N89:O89"/>
    <mergeCell ref="H92:I92"/>
    <mergeCell ref="J92:K92"/>
    <mergeCell ref="L92:M92"/>
    <mergeCell ref="N92:O92"/>
    <mergeCell ref="J94:K94"/>
    <mergeCell ref="N94:O94"/>
    <mergeCell ref="L66:O66"/>
    <mergeCell ref="L67:O67"/>
    <mergeCell ref="L68:O68"/>
    <mergeCell ref="L69:O69"/>
    <mergeCell ref="L70:O70"/>
    <mergeCell ref="H70:K70"/>
    <mergeCell ref="H71:K71"/>
    <mergeCell ref="H72:K72"/>
    <mergeCell ref="H73:K73"/>
    <mergeCell ref="H74:K74"/>
    <mergeCell ref="H75:K75"/>
    <mergeCell ref="H76:K76"/>
    <mergeCell ref="B2:F2"/>
    <mergeCell ref="L10:O10"/>
    <mergeCell ref="L30:O30"/>
    <mergeCell ref="H30:K30"/>
    <mergeCell ref="H95:K95"/>
    <mergeCell ref="H98:K98"/>
    <mergeCell ref="L95:O95"/>
    <mergeCell ref="L98:O98"/>
    <mergeCell ref="H10:K10"/>
    <mergeCell ref="L76:O76"/>
    <mergeCell ref="L77:O77"/>
    <mergeCell ref="L78:O78"/>
    <mergeCell ref="L71:O71"/>
    <mergeCell ref="L72:O72"/>
    <mergeCell ref="L73:O73"/>
    <mergeCell ref="L74:O74"/>
    <mergeCell ref="L75:O75"/>
    <mergeCell ref="H78:K78"/>
    <mergeCell ref="H77:K77"/>
    <mergeCell ref="H89:I89"/>
    <mergeCell ref="L89:M89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Caudales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González</dc:creator>
  <cp:lastModifiedBy>Nicolás González</cp:lastModifiedBy>
  <dcterms:created xsi:type="dcterms:W3CDTF">2024-07-27T14:39:44Z</dcterms:created>
  <dcterms:modified xsi:type="dcterms:W3CDTF">2024-08-14T14:42:53Z</dcterms:modified>
</cp:coreProperties>
</file>