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U:\9 - INGENIERÍA ELECTRÓNICA\FORMULACIÓN Y EVALUAVIÓN DE PROYECTOS\TALLER 5\"/>
    </mc:Choice>
  </mc:AlternateContent>
  <xr:revisionPtr revIDLastSave="0" documentId="13_ncr:1_{86B8B25F-4ACA-4F3B-925E-C2E9419662D6}" xr6:coauthVersionLast="47" xr6:coauthVersionMax="47" xr10:uidLastSave="{00000000-0000-0000-0000-000000000000}"/>
  <bookViews>
    <workbookView xWindow="-108" yWindow="-108" windowWidth="23256" windowHeight="13176" activeTab="3" xr2:uid="{00000000-000D-0000-FFFF-FFFF00000000}"/>
  </bookViews>
  <sheets>
    <sheet name="ICETEX (100%)" sheetId="4" r:id="rId1"/>
    <sheet name="ICETEX (40%)" sheetId="13" r:id="rId2"/>
    <sheet name="CORTO PLAZO" sheetId="11" r:id="rId3"/>
    <sheet name="LARGO PLAZO" sheetId="12" r:id="rId4"/>
    <sheet name="CÁLCULOS" sheetId="7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90" i="13" l="1"/>
  <c r="M90" i="13"/>
  <c r="L90" i="13"/>
  <c r="K90" i="13"/>
  <c r="J90" i="13"/>
  <c r="I90" i="13"/>
  <c r="H90" i="13"/>
  <c r="G90" i="13"/>
  <c r="F90" i="13"/>
  <c r="E90" i="13"/>
  <c r="D90" i="13"/>
  <c r="D91" i="13" s="1"/>
  <c r="C90" i="13"/>
  <c r="O90" i="13" s="1"/>
  <c r="N85" i="13"/>
  <c r="M85" i="13"/>
  <c r="L85" i="13"/>
  <c r="K85" i="13"/>
  <c r="J85" i="13"/>
  <c r="I85" i="13"/>
  <c r="H85" i="13"/>
  <c r="G85" i="13"/>
  <c r="F85" i="13"/>
  <c r="E85" i="13"/>
  <c r="D85" i="13"/>
  <c r="C85" i="13"/>
  <c r="O85" i="13" s="1"/>
  <c r="N80" i="13"/>
  <c r="M80" i="13"/>
  <c r="L80" i="13"/>
  <c r="K80" i="13"/>
  <c r="J80" i="13"/>
  <c r="I80" i="13"/>
  <c r="H80" i="13"/>
  <c r="G80" i="13"/>
  <c r="F80" i="13"/>
  <c r="E80" i="13"/>
  <c r="D80" i="13"/>
  <c r="C80" i="13"/>
  <c r="N75" i="13"/>
  <c r="M75" i="13"/>
  <c r="L75" i="13"/>
  <c r="K75" i="13"/>
  <c r="J75" i="13"/>
  <c r="I75" i="13"/>
  <c r="H75" i="13"/>
  <c r="G75" i="13"/>
  <c r="F75" i="13"/>
  <c r="E75" i="13"/>
  <c r="D75" i="13"/>
  <c r="C75" i="13"/>
  <c r="N70" i="13"/>
  <c r="M70" i="13"/>
  <c r="L70" i="13"/>
  <c r="K70" i="13"/>
  <c r="J70" i="13"/>
  <c r="I70" i="13"/>
  <c r="H70" i="13"/>
  <c r="G70" i="13"/>
  <c r="F70" i="13"/>
  <c r="E70" i="13"/>
  <c r="D70" i="13"/>
  <c r="C70" i="13"/>
  <c r="N65" i="13"/>
  <c r="M65" i="13"/>
  <c r="L65" i="13"/>
  <c r="K65" i="13"/>
  <c r="J65" i="13"/>
  <c r="I65" i="13"/>
  <c r="H65" i="13"/>
  <c r="G65" i="13"/>
  <c r="F65" i="13"/>
  <c r="E65" i="13"/>
  <c r="D65" i="13"/>
  <c r="C65" i="13"/>
  <c r="N60" i="13"/>
  <c r="M60" i="13"/>
  <c r="L60" i="13"/>
  <c r="K60" i="13"/>
  <c r="J60" i="13"/>
  <c r="I60" i="13"/>
  <c r="H60" i="13"/>
  <c r="G60" i="13"/>
  <c r="F60" i="13"/>
  <c r="E60" i="13"/>
  <c r="D60" i="13"/>
  <c r="C60" i="13"/>
  <c r="O60" i="13" s="1"/>
  <c r="N55" i="13"/>
  <c r="M55" i="13"/>
  <c r="L55" i="13"/>
  <c r="K55" i="13"/>
  <c r="J55" i="13"/>
  <c r="I55" i="13"/>
  <c r="H55" i="13"/>
  <c r="G55" i="13"/>
  <c r="F55" i="13"/>
  <c r="E55" i="13"/>
  <c r="D55" i="13"/>
  <c r="C55" i="13"/>
  <c r="O55" i="13" s="1"/>
  <c r="N50" i="13"/>
  <c r="M50" i="13"/>
  <c r="L50" i="13"/>
  <c r="K50" i="13"/>
  <c r="J50" i="13"/>
  <c r="I50" i="13"/>
  <c r="H50" i="13"/>
  <c r="G50" i="13"/>
  <c r="F50" i="13"/>
  <c r="E50" i="13"/>
  <c r="D50" i="13"/>
  <c r="C50" i="13"/>
  <c r="Q45" i="13"/>
  <c r="N45" i="13"/>
  <c r="M45" i="13"/>
  <c r="L45" i="13"/>
  <c r="K45" i="13"/>
  <c r="J45" i="13"/>
  <c r="I45" i="13"/>
  <c r="H45" i="13"/>
  <c r="G45" i="13"/>
  <c r="F45" i="13"/>
  <c r="E45" i="13"/>
  <c r="D45" i="13"/>
  <c r="C45" i="13"/>
  <c r="O45" i="13" s="1"/>
  <c r="N40" i="13"/>
  <c r="M40" i="13"/>
  <c r="L40" i="13"/>
  <c r="K40" i="13"/>
  <c r="J40" i="13"/>
  <c r="I40" i="13"/>
  <c r="H40" i="13"/>
  <c r="G40" i="13"/>
  <c r="F40" i="13"/>
  <c r="E40" i="13"/>
  <c r="D40" i="13"/>
  <c r="C40" i="13"/>
  <c r="S39" i="13"/>
  <c r="S38" i="13"/>
  <c r="S44" i="13" s="1"/>
  <c r="T36" i="13"/>
  <c r="D89" i="13" s="1"/>
  <c r="N35" i="13"/>
  <c r="M35" i="13"/>
  <c r="L35" i="13"/>
  <c r="K35" i="13"/>
  <c r="J35" i="13"/>
  <c r="I35" i="13"/>
  <c r="H35" i="13"/>
  <c r="G35" i="13"/>
  <c r="F35" i="13"/>
  <c r="E35" i="13"/>
  <c r="E36" i="13" s="1"/>
  <c r="D35" i="13"/>
  <c r="C35" i="13"/>
  <c r="O35" i="13" s="1"/>
  <c r="H4" i="13" s="1"/>
  <c r="E34" i="13"/>
  <c r="N30" i="13"/>
  <c r="M30" i="13"/>
  <c r="L30" i="13"/>
  <c r="K30" i="13"/>
  <c r="J30" i="13"/>
  <c r="I30" i="13"/>
  <c r="H30" i="13"/>
  <c r="G30" i="13"/>
  <c r="F30" i="13"/>
  <c r="E30" i="13"/>
  <c r="D30" i="13"/>
  <c r="C30" i="13"/>
  <c r="D29" i="13"/>
  <c r="D31" i="13" s="1"/>
  <c r="N25" i="13"/>
  <c r="M25" i="13"/>
  <c r="L25" i="13"/>
  <c r="K25" i="13"/>
  <c r="J25" i="13"/>
  <c r="I25" i="13"/>
  <c r="H25" i="13"/>
  <c r="G25" i="13"/>
  <c r="F25" i="13"/>
  <c r="E25" i="13"/>
  <c r="D25" i="13"/>
  <c r="C25" i="13"/>
  <c r="O25" i="13" s="1"/>
  <c r="F4" i="13" s="1"/>
  <c r="N20" i="13"/>
  <c r="M20" i="13"/>
  <c r="L20" i="13"/>
  <c r="K20" i="13"/>
  <c r="J20" i="13"/>
  <c r="I20" i="13"/>
  <c r="H20" i="13"/>
  <c r="G20" i="13"/>
  <c r="F20" i="13"/>
  <c r="E20" i="13"/>
  <c r="D20" i="13"/>
  <c r="C20" i="13"/>
  <c r="O20" i="13" s="1"/>
  <c r="E4" i="13" s="1"/>
  <c r="R18" i="13"/>
  <c r="R19" i="13" s="1"/>
  <c r="R15" i="13"/>
  <c r="N15" i="13"/>
  <c r="M15" i="13"/>
  <c r="L15" i="13"/>
  <c r="K15" i="13"/>
  <c r="J15" i="13"/>
  <c r="I15" i="13"/>
  <c r="H15" i="13"/>
  <c r="G15" i="13"/>
  <c r="F15" i="13"/>
  <c r="E15" i="13"/>
  <c r="D15" i="13"/>
  <c r="C15" i="13"/>
  <c r="Z14" i="13"/>
  <c r="Z13" i="13"/>
  <c r="Z12" i="13"/>
  <c r="Z11" i="13"/>
  <c r="Z10" i="13"/>
  <c r="Z9" i="13"/>
  <c r="Z8" i="13"/>
  <c r="Y8" i="13"/>
  <c r="Z7" i="13"/>
  <c r="Y7" i="13"/>
  <c r="Z6" i="13"/>
  <c r="Y6" i="13"/>
  <c r="Z5" i="13"/>
  <c r="Y5" i="13"/>
  <c r="Z4" i="13"/>
  <c r="Y4" i="13"/>
  <c r="Z3" i="13"/>
  <c r="Z15" i="13" s="1"/>
  <c r="Y3" i="13"/>
  <c r="Y15" i="13" s="1"/>
  <c r="Y22" i="13" s="1"/>
  <c r="P3" i="12"/>
  <c r="Q3" i="12"/>
  <c r="R3" i="12"/>
  <c r="S3" i="12"/>
  <c r="O3" i="12"/>
  <c r="C90" i="12"/>
  <c r="D90" i="12"/>
  <c r="E90" i="12"/>
  <c r="F90" i="12"/>
  <c r="G90" i="12"/>
  <c r="H90" i="12"/>
  <c r="I90" i="12"/>
  <c r="J90" i="12"/>
  <c r="K90" i="12"/>
  <c r="L90" i="12"/>
  <c r="M90" i="12"/>
  <c r="N90" i="12"/>
  <c r="N85" i="12"/>
  <c r="M85" i="12"/>
  <c r="L85" i="12"/>
  <c r="K85" i="12"/>
  <c r="J85" i="12"/>
  <c r="I85" i="12"/>
  <c r="H85" i="12"/>
  <c r="G85" i="12"/>
  <c r="F85" i="12"/>
  <c r="E85" i="12"/>
  <c r="D85" i="12"/>
  <c r="C85" i="12"/>
  <c r="C80" i="12"/>
  <c r="D80" i="12"/>
  <c r="E80" i="12"/>
  <c r="F80" i="12"/>
  <c r="G80" i="12"/>
  <c r="H80" i="12"/>
  <c r="I80" i="12"/>
  <c r="J80" i="12"/>
  <c r="K80" i="12"/>
  <c r="L80" i="12"/>
  <c r="M80" i="12"/>
  <c r="N80" i="12"/>
  <c r="N75" i="12"/>
  <c r="M75" i="12"/>
  <c r="L75" i="12"/>
  <c r="K75" i="12"/>
  <c r="J75" i="12"/>
  <c r="I75" i="12"/>
  <c r="H75" i="12"/>
  <c r="G75" i="12"/>
  <c r="F75" i="12"/>
  <c r="E75" i="12"/>
  <c r="D75" i="12"/>
  <c r="C75" i="12"/>
  <c r="C70" i="12"/>
  <c r="D70" i="12"/>
  <c r="E70" i="12"/>
  <c r="F70" i="12"/>
  <c r="G70" i="12"/>
  <c r="H70" i="12"/>
  <c r="I70" i="12"/>
  <c r="J70" i="12"/>
  <c r="K70" i="12"/>
  <c r="L70" i="12"/>
  <c r="M70" i="12"/>
  <c r="N70" i="12"/>
  <c r="N65" i="12"/>
  <c r="M65" i="12"/>
  <c r="L65" i="12"/>
  <c r="K65" i="12"/>
  <c r="J65" i="12"/>
  <c r="I65" i="12"/>
  <c r="H65" i="12"/>
  <c r="G65" i="12"/>
  <c r="F65" i="12"/>
  <c r="E65" i="12"/>
  <c r="D65" i="12"/>
  <c r="C65" i="12"/>
  <c r="C60" i="12"/>
  <c r="D60" i="12"/>
  <c r="E60" i="12"/>
  <c r="F60" i="12"/>
  <c r="G60" i="12"/>
  <c r="H60" i="12"/>
  <c r="I60" i="12"/>
  <c r="J60" i="12"/>
  <c r="K60" i="12"/>
  <c r="L60" i="12"/>
  <c r="M60" i="12"/>
  <c r="N60" i="12"/>
  <c r="N55" i="12"/>
  <c r="M55" i="12"/>
  <c r="L55" i="12"/>
  <c r="K55" i="12"/>
  <c r="J55" i="12"/>
  <c r="I55" i="12"/>
  <c r="H55" i="12"/>
  <c r="G55" i="12"/>
  <c r="F55" i="12"/>
  <c r="E55" i="12"/>
  <c r="D55" i="12"/>
  <c r="C55" i="12"/>
  <c r="C50" i="12"/>
  <c r="D50" i="12"/>
  <c r="E50" i="12"/>
  <c r="F50" i="12"/>
  <c r="G50" i="12"/>
  <c r="H50" i="12"/>
  <c r="I50" i="12"/>
  <c r="J50" i="12"/>
  <c r="K50" i="12"/>
  <c r="L50" i="12"/>
  <c r="M50" i="12"/>
  <c r="N50" i="12"/>
  <c r="N45" i="12"/>
  <c r="M45" i="12"/>
  <c r="L45" i="12"/>
  <c r="K45" i="12"/>
  <c r="J45" i="12"/>
  <c r="I45" i="12"/>
  <c r="H45" i="12"/>
  <c r="G45" i="12"/>
  <c r="N64" i="12"/>
  <c r="M64" i="12"/>
  <c r="L64" i="12"/>
  <c r="K64" i="12"/>
  <c r="J64" i="12"/>
  <c r="I64" i="12"/>
  <c r="H64" i="12"/>
  <c r="G64" i="12"/>
  <c r="F64" i="12"/>
  <c r="E64" i="12"/>
  <c r="D64" i="12"/>
  <c r="C64" i="12"/>
  <c r="C59" i="12"/>
  <c r="D59" i="12"/>
  <c r="E59" i="12"/>
  <c r="F59" i="12"/>
  <c r="G59" i="12"/>
  <c r="H59" i="12"/>
  <c r="I59" i="12"/>
  <c r="J59" i="12"/>
  <c r="K59" i="12"/>
  <c r="L59" i="12"/>
  <c r="M59" i="12"/>
  <c r="N59" i="12"/>
  <c r="N54" i="12"/>
  <c r="M54" i="12"/>
  <c r="L54" i="12"/>
  <c r="K54" i="12"/>
  <c r="J54" i="12"/>
  <c r="I54" i="12"/>
  <c r="H54" i="12"/>
  <c r="G54" i="12"/>
  <c r="F54" i="12"/>
  <c r="E54" i="12"/>
  <c r="D54" i="12"/>
  <c r="C54" i="12"/>
  <c r="C49" i="12"/>
  <c r="D49" i="12"/>
  <c r="E49" i="12"/>
  <c r="F49" i="12"/>
  <c r="G49" i="12"/>
  <c r="H49" i="12"/>
  <c r="I49" i="12"/>
  <c r="J49" i="12"/>
  <c r="K49" i="12"/>
  <c r="L49" i="12"/>
  <c r="M49" i="12"/>
  <c r="N49" i="12"/>
  <c r="N44" i="12"/>
  <c r="M44" i="12"/>
  <c r="L44" i="12"/>
  <c r="K44" i="12"/>
  <c r="J44" i="12"/>
  <c r="I44" i="12"/>
  <c r="H44" i="12"/>
  <c r="G44" i="12"/>
  <c r="F44" i="12"/>
  <c r="E44" i="12"/>
  <c r="D44" i="12"/>
  <c r="C44" i="12"/>
  <c r="K3" i="11"/>
  <c r="M4" i="11"/>
  <c r="C60" i="11"/>
  <c r="C49" i="11"/>
  <c r="O90" i="12"/>
  <c r="O85" i="12"/>
  <c r="O80" i="12"/>
  <c r="O75" i="12"/>
  <c r="O70" i="12"/>
  <c r="O65" i="12"/>
  <c r="O60" i="12"/>
  <c r="O55" i="12"/>
  <c r="O50" i="12"/>
  <c r="C35" i="12"/>
  <c r="D35" i="12"/>
  <c r="E35" i="12"/>
  <c r="F35" i="12"/>
  <c r="G35" i="12"/>
  <c r="H35" i="12"/>
  <c r="I35" i="12"/>
  <c r="J35" i="12"/>
  <c r="K35" i="12"/>
  <c r="L35" i="12"/>
  <c r="M35" i="12"/>
  <c r="N35" i="12"/>
  <c r="O35" i="12"/>
  <c r="T36" i="12"/>
  <c r="S38" i="12"/>
  <c r="T38" i="12"/>
  <c r="C39" i="12"/>
  <c r="D39" i="12"/>
  <c r="E39" i="12"/>
  <c r="F39" i="12"/>
  <c r="G39" i="12"/>
  <c r="H39" i="12"/>
  <c r="I39" i="12"/>
  <c r="J39" i="12"/>
  <c r="K39" i="12"/>
  <c r="L39" i="12"/>
  <c r="M39" i="12"/>
  <c r="N39" i="12"/>
  <c r="O39" i="12"/>
  <c r="S39" i="12"/>
  <c r="C40" i="12"/>
  <c r="D40" i="12"/>
  <c r="E40" i="12"/>
  <c r="F40" i="12"/>
  <c r="G40" i="12"/>
  <c r="H40" i="12"/>
  <c r="I40" i="12"/>
  <c r="J40" i="12"/>
  <c r="K40" i="12"/>
  <c r="L40" i="12"/>
  <c r="M40" i="12"/>
  <c r="N40" i="12"/>
  <c r="O40" i="12"/>
  <c r="S40" i="12"/>
  <c r="C41" i="12"/>
  <c r="D41" i="12"/>
  <c r="E41" i="12"/>
  <c r="F41" i="12"/>
  <c r="G41" i="12"/>
  <c r="H41" i="12"/>
  <c r="I41" i="12"/>
  <c r="J41" i="12"/>
  <c r="K41" i="12"/>
  <c r="L41" i="12"/>
  <c r="M41" i="12"/>
  <c r="N41" i="12"/>
  <c r="S44" i="12"/>
  <c r="C45" i="12"/>
  <c r="D45" i="12"/>
  <c r="E45" i="12"/>
  <c r="F45" i="12"/>
  <c r="O45" i="12"/>
  <c r="Q45" i="12"/>
  <c r="I3" i="12"/>
  <c r="Y3" i="12"/>
  <c r="Z3" i="12"/>
  <c r="H4" i="12"/>
  <c r="I4" i="12"/>
  <c r="J4" i="12"/>
  <c r="K4" i="12"/>
  <c r="L4" i="12"/>
  <c r="M4" i="12"/>
  <c r="N4" i="12"/>
  <c r="O4" i="12"/>
  <c r="P4" i="12"/>
  <c r="Q4" i="12"/>
  <c r="R4" i="12"/>
  <c r="S4" i="12"/>
  <c r="Y4" i="12"/>
  <c r="Z4" i="12"/>
  <c r="I5" i="12"/>
  <c r="Y5" i="12"/>
  <c r="Z5" i="12"/>
  <c r="Y6" i="12"/>
  <c r="Z6" i="12"/>
  <c r="Y7" i="12"/>
  <c r="Z7" i="12"/>
  <c r="I8" i="12"/>
  <c r="AG38" i="12" s="1"/>
  <c r="Y8" i="12"/>
  <c r="Z8" i="12"/>
  <c r="Z9" i="12"/>
  <c r="Z10" i="12"/>
  <c r="Z11" i="12"/>
  <c r="Z12" i="12"/>
  <c r="Z13" i="12"/>
  <c r="C14" i="12"/>
  <c r="D14" i="12"/>
  <c r="E14" i="12"/>
  <c r="F14" i="12"/>
  <c r="G14" i="12"/>
  <c r="H14" i="12"/>
  <c r="I14" i="12"/>
  <c r="J14" i="12"/>
  <c r="K14" i="12"/>
  <c r="L14" i="12"/>
  <c r="M14" i="12"/>
  <c r="N14" i="12"/>
  <c r="O14" i="12"/>
  <c r="D3" i="12" s="1"/>
  <c r="Z14" i="12"/>
  <c r="C15" i="12"/>
  <c r="D15" i="12"/>
  <c r="E15" i="12"/>
  <c r="F15" i="12"/>
  <c r="G15" i="12"/>
  <c r="H15" i="12"/>
  <c r="I15" i="12"/>
  <c r="J15" i="12"/>
  <c r="K15" i="12"/>
  <c r="L15" i="12"/>
  <c r="M15" i="12"/>
  <c r="N15" i="12"/>
  <c r="O15" i="12"/>
  <c r="D4" i="12" s="1"/>
  <c r="R15" i="12"/>
  <c r="Y15" i="12"/>
  <c r="Z15" i="12"/>
  <c r="C16" i="12"/>
  <c r="D16" i="12"/>
  <c r="E16" i="12"/>
  <c r="F16" i="12"/>
  <c r="G16" i="12"/>
  <c r="H16" i="12"/>
  <c r="I16" i="12"/>
  <c r="J16" i="12"/>
  <c r="K16" i="12"/>
  <c r="L16" i="12"/>
  <c r="M16" i="12"/>
  <c r="N16" i="12"/>
  <c r="R18" i="12"/>
  <c r="C19" i="12"/>
  <c r="D19" i="12"/>
  <c r="E19" i="12"/>
  <c r="F19" i="12"/>
  <c r="G19" i="12"/>
  <c r="H19" i="12"/>
  <c r="I19" i="12"/>
  <c r="J19" i="12"/>
  <c r="K19" i="12"/>
  <c r="L19" i="12"/>
  <c r="M19" i="12"/>
  <c r="N19" i="12"/>
  <c r="O19" i="12"/>
  <c r="E3" i="12" s="1"/>
  <c r="R19" i="12"/>
  <c r="C20" i="12"/>
  <c r="D20" i="12"/>
  <c r="E20" i="12"/>
  <c r="F20" i="12"/>
  <c r="G20" i="12"/>
  <c r="H20" i="12"/>
  <c r="I20" i="12"/>
  <c r="J20" i="12"/>
  <c r="K20" i="12"/>
  <c r="L20" i="12"/>
  <c r="M20" i="12"/>
  <c r="N20" i="12"/>
  <c r="O20" i="12"/>
  <c r="E4" i="12" s="1"/>
  <c r="E5" i="12" s="1"/>
  <c r="E8" i="12" s="1"/>
  <c r="AC38" i="12" s="1"/>
  <c r="C21" i="12"/>
  <c r="D21" i="12"/>
  <c r="E21" i="12"/>
  <c r="F21" i="12"/>
  <c r="G21" i="12"/>
  <c r="H21" i="12"/>
  <c r="I21" i="12"/>
  <c r="J21" i="12"/>
  <c r="K21" i="12"/>
  <c r="L21" i="12"/>
  <c r="M21" i="12"/>
  <c r="N21" i="12"/>
  <c r="Y22" i="12"/>
  <c r="C24" i="12"/>
  <c r="D24" i="12"/>
  <c r="E24" i="12"/>
  <c r="F24" i="12"/>
  <c r="G24" i="12"/>
  <c r="H24" i="12"/>
  <c r="I24" i="12"/>
  <c r="J24" i="12"/>
  <c r="K24" i="12"/>
  <c r="L24" i="12"/>
  <c r="M24" i="12"/>
  <c r="N24" i="12"/>
  <c r="O24" i="12"/>
  <c r="F3" i="12" s="1"/>
  <c r="C25" i="12"/>
  <c r="D25" i="12"/>
  <c r="E25" i="12"/>
  <c r="F25" i="12"/>
  <c r="G25" i="12"/>
  <c r="H25" i="12"/>
  <c r="I25" i="12"/>
  <c r="J25" i="12"/>
  <c r="K25" i="12"/>
  <c r="L25" i="12"/>
  <c r="M25" i="12"/>
  <c r="N25" i="12"/>
  <c r="O25" i="12"/>
  <c r="F4" i="12" s="1"/>
  <c r="F5" i="12" s="1"/>
  <c r="F8" i="12" s="1"/>
  <c r="AD38" i="12" s="1"/>
  <c r="C26" i="12"/>
  <c r="D26" i="12"/>
  <c r="E26" i="12"/>
  <c r="F26" i="12"/>
  <c r="G26" i="12"/>
  <c r="H26" i="12"/>
  <c r="I26" i="12"/>
  <c r="J26" i="12"/>
  <c r="K26" i="12"/>
  <c r="L26" i="12"/>
  <c r="M26" i="12"/>
  <c r="N26" i="12"/>
  <c r="C29" i="12"/>
  <c r="D29" i="12"/>
  <c r="E29" i="12"/>
  <c r="F29" i="12"/>
  <c r="G29" i="12"/>
  <c r="H29" i="12"/>
  <c r="I29" i="12"/>
  <c r="J29" i="12"/>
  <c r="K29" i="12"/>
  <c r="L29" i="12"/>
  <c r="M29" i="12"/>
  <c r="N29" i="12"/>
  <c r="O29" i="12"/>
  <c r="G3" i="12" s="1"/>
  <c r="C30" i="12"/>
  <c r="D30" i="12"/>
  <c r="E30" i="12"/>
  <c r="F30" i="12"/>
  <c r="G30" i="12"/>
  <c r="H30" i="12"/>
  <c r="I30" i="12"/>
  <c r="J30" i="12"/>
  <c r="K30" i="12"/>
  <c r="L30" i="12"/>
  <c r="M30" i="12"/>
  <c r="N30" i="12"/>
  <c r="O30" i="12"/>
  <c r="G4" i="12" s="1"/>
  <c r="G5" i="12" s="1"/>
  <c r="G8" i="12" s="1"/>
  <c r="AE38" i="12" s="1"/>
  <c r="C31" i="12"/>
  <c r="D31" i="12"/>
  <c r="E31" i="12"/>
  <c r="F31" i="12"/>
  <c r="G31" i="12"/>
  <c r="H31" i="12"/>
  <c r="I31" i="12"/>
  <c r="J31" i="12"/>
  <c r="K31" i="12"/>
  <c r="L31" i="12"/>
  <c r="M31" i="12"/>
  <c r="N31" i="12"/>
  <c r="C90" i="11"/>
  <c r="D90" i="11"/>
  <c r="E90" i="11"/>
  <c r="F90" i="11"/>
  <c r="G90" i="11"/>
  <c r="H90" i="11"/>
  <c r="I90" i="11"/>
  <c r="J90" i="11"/>
  <c r="K90" i="11"/>
  <c r="L90" i="11"/>
  <c r="M90" i="11"/>
  <c r="N90" i="11"/>
  <c r="O90" i="11"/>
  <c r="C85" i="11"/>
  <c r="D85" i="11"/>
  <c r="E85" i="11"/>
  <c r="F85" i="11"/>
  <c r="G85" i="11"/>
  <c r="H85" i="11"/>
  <c r="I85" i="11"/>
  <c r="J85" i="11"/>
  <c r="K85" i="11"/>
  <c r="L85" i="11"/>
  <c r="M85" i="11"/>
  <c r="N85" i="11"/>
  <c r="O85" i="11"/>
  <c r="C80" i="11"/>
  <c r="D80" i="11"/>
  <c r="E80" i="11"/>
  <c r="F80" i="11"/>
  <c r="G80" i="11"/>
  <c r="H80" i="11"/>
  <c r="I80" i="11"/>
  <c r="J80" i="11"/>
  <c r="K80" i="11"/>
  <c r="L80" i="11"/>
  <c r="M80" i="11"/>
  <c r="N80" i="11"/>
  <c r="O80" i="11"/>
  <c r="C75" i="11"/>
  <c r="D75" i="11"/>
  <c r="E75" i="11"/>
  <c r="F75" i="11"/>
  <c r="G75" i="11"/>
  <c r="H75" i="11"/>
  <c r="I75" i="11"/>
  <c r="J75" i="11"/>
  <c r="K75" i="11"/>
  <c r="L75" i="11"/>
  <c r="M75" i="11"/>
  <c r="N75" i="11"/>
  <c r="O75" i="11"/>
  <c r="C70" i="11"/>
  <c r="D70" i="11"/>
  <c r="E70" i="11"/>
  <c r="F70" i="11"/>
  <c r="G70" i="11"/>
  <c r="H70" i="11"/>
  <c r="I70" i="11"/>
  <c r="J70" i="11"/>
  <c r="K70" i="11"/>
  <c r="L70" i="11"/>
  <c r="M70" i="11"/>
  <c r="N70" i="11"/>
  <c r="O70" i="11"/>
  <c r="C65" i="11"/>
  <c r="D65" i="11"/>
  <c r="E65" i="11"/>
  <c r="F65" i="11"/>
  <c r="G65" i="11"/>
  <c r="H65" i="11"/>
  <c r="I65" i="11"/>
  <c r="J65" i="11"/>
  <c r="K65" i="11"/>
  <c r="L65" i="11"/>
  <c r="M65" i="11"/>
  <c r="N65" i="11"/>
  <c r="O65" i="11"/>
  <c r="D60" i="11"/>
  <c r="E60" i="11"/>
  <c r="F60" i="11"/>
  <c r="G60" i="11"/>
  <c r="H60" i="11"/>
  <c r="I60" i="11"/>
  <c r="J60" i="11"/>
  <c r="K60" i="11"/>
  <c r="L60" i="11"/>
  <c r="M60" i="11"/>
  <c r="N60" i="11"/>
  <c r="O60" i="11"/>
  <c r="C55" i="11"/>
  <c r="D55" i="11"/>
  <c r="E55" i="11"/>
  <c r="F55" i="11"/>
  <c r="G55" i="11"/>
  <c r="H55" i="11"/>
  <c r="I55" i="11"/>
  <c r="J55" i="11"/>
  <c r="K55" i="11"/>
  <c r="L55" i="11"/>
  <c r="M55" i="11"/>
  <c r="N55" i="11"/>
  <c r="O55" i="11"/>
  <c r="C50" i="11"/>
  <c r="D50" i="11"/>
  <c r="E50" i="11"/>
  <c r="F50" i="11"/>
  <c r="G50" i="11"/>
  <c r="H50" i="11"/>
  <c r="I50" i="11"/>
  <c r="J50" i="11"/>
  <c r="K50" i="11"/>
  <c r="L50" i="11"/>
  <c r="M50" i="11"/>
  <c r="N50" i="11"/>
  <c r="O50" i="11"/>
  <c r="C35" i="11"/>
  <c r="D35" i="11"/>
  <c r="E35" i="11"/>
  <c r="F35" i="11"/>
  <c r="G35" i="11"/>
  <c r="H35" i="11"/>
  <c r="I35" i="11"/>
  <c r="J35" i="11"/>
  <c r="K35" i="11"/>
  <c r="L35" i="11"/>
  <c r="M35" i="11"/>
  <c r="N35" i="11"/>
  <c r="O35" i="11"/>
  <c r="T36" i="11"/>
  <c r="S38" i="11"/>
  <c r="T38" i="11"/>
  <c r="C39" i="11"/>
  <c r="D39" i="11"/>
  <c r="E39" i="11"/>
  <c r="F39" i="11"/>
  <c r="G39" i="11"/>
  <c r="H39" i="11"/>
  <c r="I39" i="11"/>
  <c r="J39" i="11"/>
  <c r="K39" i="11"/>
  <c r="L39" i="11"/>
  <c r="M39" i="11"/>
  <c r="N39" i="11"/>
  <c r="O39" i="11"/>
  <c r="S39" i="11"/>
  <c r="C40" i="11"/>
  <c r="D40" i="11"/>
  <c r="E40" i="11"/>
  <c r="F40" i="11"/>
  <c r="G40" i="11"/>
  <c r="H40" i="11"/>
  <c r="I40" i="11"/>
  <c r="J40" i="11"/>
  <c r="K40" i="11"/>
  <c r="L40" i="11"/>
  <c r="M40" i="11"/>
  <c r="N40" i="11"/>
  <c r="O40" i="11"/>
  <c r="S40" i="11"/>
  <c r="C41" i="11"/>
  <c r="D41" i="11"/>
  <c r="E41" i="11"/>
  <c r="F41" i="11"/>
  <c r="G41" i="11"/>
  <c r="H41" i="11"/>
  <c r="I41" i="11"/>
  <c r="J41" i="11"/>
  <c r="K41" i="11"/>
  <c r="L41" i="11"/>
  <c r="M41" i="11"/>
  <c r="N41" i="11"/>
  <c r="S44" i="11"/>
  <c r="C45" i="11"/>
  <c r="D45" i="11"/>
  <c r="E45" i="11"/>
  <c r="F45" i="11"/>
  <c r="G45" i="11"/>
  <c r="H45" i="11"/>
  <c r="I45" i="11"/>
  <c r="J45" i="11"/>
  <c r="K45" i="11"/>
  <c r="L45" i="11"/>
  <c r="M45" i="11"/>
  <c r="N45" i="11"/>
  <c r="O45" i="11"/>
  <c r="Q45" i="11"/>
  <c r="I3" i="11"/>
  <c r="Y3" i="11"/>
  <c r="Z3" i="11"/>
  <c r="H4" i="11"/>
  <c r="I4" i="11"/>
  <c r="J4" i="11"/>
  <c r="K4" i="11"/>
  <c r="L4" i="11"/>
  <c r="N4" i="11"/>
  <c r="O4" i="11"/>
  <c r="P4" i="11"/>
  <c r="Q4" i="11"/>
  <c r="R4" i="11"/>
  <c r="S4" i="11"/>
  <c r="Y4" i="11"/>
  <c r="Z4" i="11"/>
  <c r="I5" i="11"/>
  <c r="Y5" i="11"/>
  <c r="Z5" i="11"/>
  <c r="Y6" i="11"/>
  <c r="Z6" i="11"/>
  <c r="Y7" i="11"/>
  <c r="Z7" i="11"/>
  <c r="I8" i="11"/>
  <c r="AG38" i="11" s="1"/>
  <c r="Y8" i="11"/>
  <c r="Z8" i="11"/>
  <c r="Z9" i="11"/>
  <c r="Z10" i="11"/>
  <c r="Z11" i="11"/>
  <c r="Z12" i="11"/>
  <c r="Z13" i="11"/>
  <c r="C14" i="11"/>
  <c r="D14" i="11"/>
  <c r="E14" i="11"/>
  <c r="F14" i="11"/>
  <c r="G14" i="11"/>
  <c r="H14" i="11"/>
  <c r="I14" i="11"/>
  <c r="J14" i="11"/>
  <c r="K14" i="11"/>
  <c r="L14" i="11"/>
  <c r="M14" i="11"/>
  <c r="N14" i="11"/>
  <c r="O14" i="11"/>
  <c r="D3" i="11" s="1"/>
  <c r="Z14" i="11"/>
  <c r="C15" i="11"/>
  <c r="D15" i="11"/>
  <c r="E15" i="11"/>
  <c r="F15" i="11"/>
  <c r="G15" i="11"/>
  <c r="H15" i="11"/>
  <c r="I15" i="11"/>
  <c r="J15" i="11"/>
  <c r="K15" i="11"/>
  <c r="L15" i="11"/>
  <c r="M15" i="11"/>
  <c r="N15" i="11"/>
  <c r="O15" i="11"/>
  <c r="D4" i="11" s="1"/>
  <c r="R15" i="11"/>
  <c r="Y15" i="11"/>
  <c r="Z15" i="11"/>
  <c r="C16" i="11"/>
  <c r="D16" i="11"/>
  <c r="E16" i="11"/>
  <c r="F16" i="11"/>
  <c r="G16" i="11"/>
  <c r="H16" i="11"/>
  <c r="I16" i="11"/>
  <c r="J16" i="11"/>
  <c r="K16" i="11"/>
  <c r="L16" i="11"/>
  <c r="M16" i="11"/>
  <c r="N16" i="11"/>
  <c r="R18" i="11"/>
  <c r="C19" i="11"/>
  <c r="D19" i="11"/>
  <c r="E19" i="11"/>
  <c r="F19" i="11"/>
  <c r="G19" i="11"/>
  <c r="H19" i="11"/>
  <c r="I19" i="11"/>
  <c r="J19" i="11"/>
  <c r="K19" i="11"/>
  <c r="L19" i="11"/>
  <c r="M19" i="11"/>
  <c r="N19" i="11"/>
  <c r="O19" i="11"/>
  <c r="E3" i="11" s="1"/>
  <c r="R19" i="11"/>
  <c r="C20" i="11"/>
  <c r="D20" i="11"/>
  <c r="E20" i="11"/>
  <c r="F20" i="11"/>
  <c r="G20" i="11"/>
  <c r="H20" i="11"/>
  <c r="I20" i="11"/>
  <c r="J20" i="11"/>
  <c r="K20" i="11"/>
  <c r="L20" i="11"/>
  <c r="M20" i="11"/>
  <c r="N20" i="11"/>
  <c r="O20" i="11"/>
  <c r="E4" i="11" s="1"/>
  <c r="E5" i="11" s="1"/>
  <c r="E8" i="11" s="1"/>
  <c r="AC38" i="11" s="1"/>
  <c r="C21" i="11"/>
  <c r="D21" i="11"/>
  <c r="E21" i="11"/>
  <c r="F21" i="11"/>
  <c r="G21" i="11"/>
  <c r="H21" i="11"/>
  <c r="I21" i="11"/>
  <c r="J21" i="11"/>
  <c r="K21" i="11"/>
  <c r="L21" i="11"/>
  <c r="M21" i="11"/>
  <c r="N21" i="11"/>
  <c r="Y22" i="11"/>
  <c r="C24" i="11"/>
  <c r="D24" i="11"/>
  <c r="E24" i="11"/>
  <c r="F24" i="11"/>
  <c r="G24" i="11"/>
  <c r="H24" i="11"/>
  <c r="I24" i="11"/>
  <c r="J24" i="11"/>
  <c r="K24" i="11"/>
  <c r="L24" i="11"/>
  <c r="M24" i="11"/>
  <c r="N24" i="11"/>
  <c r="O24" i="11"/>
  <c r="F3" i="11" s="1"/>
  <c r="C25" i="11"/>
  <c r="D25" i="11"/>
  <c r="E25" i="11"/>
  <c r="F25" i="11"/>
  <c r="G25" i="11"/>
  <c r="H25" i="11"/>
  <c r="I25" i="11"/>
  <c r="J25" i="11"/>
  <c r="K25" i="11"/>
  <c r="L25" i="11"/>
  <c r="M25" i="11"/>
  <c r="N25" i="11"/>
  <c r="O25" i="11"/>
  <c r="F4" i="11" s="1"/>
  <c r="F5" i="11" s="1"/>
  <c r="F8" i="11" s="1"/>
  <c r="AD38" i="11" s="1"/>
  <c r="C26" i="11"/>
  <c r="D26" i="11"/>
  <c r="E26" i="11"/>
  <c r="F26" i="11"/>
  <c r="G26" i="11"/>
  <c r="H26" i="11"/>
  <c r="I26" i="11"/>
  <c r="J26" i="11"/>
  <c r="K26" i="11"/>
  <c r="L26" i="11"/>
  <c r="M26" i="11"/>
  <c r="N26" i="11"/>
  <c r="C29" i="11"/>
  <c r="D29" i="11"/>
  <c r="E29" i="11"/>
  <c r="F29" i="11"/>
  <c r="G29" i="11"/>
  <c r="H29" i="11"/>
  <c r="I29" i="11"/>
  <c r="J29" i="11"/>
  <c r="K29" i="11"/>
  <c r="L29" i="11"/>
  <c r="M29" i="11"/>
  <c r="N29" i="11"/>
  <c r="O29" i="11"/>
  <c r="G3" i="11" s="1"/>
  <c r="C30" i="11"/>
  <c r="D30" i="11"/>
  <c r="E30" i="11"/>
  <c r="F30" i="11"/>
  <c r="G30" i="11"/>
  <c r="H30" i="11"/>
  <c r="I30" i="11"/>
  <c r="J30" i="11"/>
  <c r="K30" i="11"/>
  <c r="L30" i="11"/>
  <c r="M30" i="11"/>
  <c r="N30" i="11"/>
  <c r="O30" i="11"/>
  <c r="G4" i="11" s="1"/>
  <c r="G5" i="11" s="1"/>
  <c r="G8" i="11" s="1"/>
  <c r="AE38" i="11" s="1"/>
  <c r="C31" i="11"/>
  <c r="D31" i="11"/>
  <c r="E31" i="11"/>
  <c r="F31" i="11"/>
  <c r="G31" i="11"/>
  <c r="H31" i="11"/>
  <c r="I31" i="11"/>
  <c r="J31" i="11"/>
  <c r="K31" i="11"/>
  <c r="L31" i="11"/>
  <c r="M31" i="11"/>
  <c r="N31" i="11"/>
  <c r="I8" i="4"/>
  <c r="D8" i="4"/>
  <c r="E8" i="4"/>
  <c r="F8" i="4"/>
  <c r="G8" i="4"/>
  <c r="H8" i="4"/>
  <c r="J4" i="4"/>
  <c r="Y15" i="4"/>
  <c r="D3" i="4"/>
  <c r="O89" i="4"/>
  <c r="O84" i="4"/>
  <c r="O79" i="4"/>
  <c r="D74" i="4"/>
  <c r="C74" i="4"/>
  <c r="N90" i="4"/>
  <c r="M90" i="4"/>
  <c r="L90" i="4"/>
  <c r="K90" i="4"/>
  <c r="J90" i="4"/>
  <c r="I90" i="4"/>
  <c r="H90" i="4"/>
  <c r="G90" i="4"/>
  <c r="F90" i="4"/>
  <c r="E90" i="4"/>
  <c r="D90" i="4"/>
  <c r="C90" i="4"/>
  <c r="N85" i="4"/>
  <c r="M85" i="4"/>
  <c r="L85" i="4"/>
  <c r="K85" i="4"/>
  <c r="J85" i="4"/>
  <c r="I85" i="4"/>
  <c r="H85" i="4"/>
  <c r="G85" i="4"/>
  <c r="F85" i="4"/>
  <c r="E85" i="4"/>
  <c r="D85" i="4"/>
  <c r="C85" i="4"/>
  <c r="C55" i="4"/>
  <c r="C80" i="4"/>
  <c r="N89" i="4"/>
  <c r="M89" i="4"/>
  <c r="L89" i="4"/>
  <c r="K89" i="4"/>
  <c r="J89" i="4"/>
  <c r="I89" i="4"/>
  <c r="H89" i="4"/>
  <c r="G89" i="4"/>
  <c r="F89" i="4"/>
  <c r="E89" i="4"/>
  <c r="D89" i="4"/>
  <c r="C89" i="4"/>
  <c r="C84" i="4"/>
  <c r="O90" i="4"/>
  <c r="C91" i="4"/>
  <c r="D91" i="4"/>
  <c r="E91" i="4"/>
  <c r="F91" i="4"/>
  <c r="G91" i="4"/>
  <c r="H91" i="4"/>
  <c r="I91" i="4"/>
  <c r="J91" i="4"/>
  <c r="K91" i="4"/>
  <c r="L91" i="4"/>
  <c r="M91" i="4"/>
  <c r="N91" i="4"/>
  <c r="C45" i="4"/>
  <c r="N84" i="4"/>
  <c r="M84" i="4"/>
  <c r="L84" i="4"/>
  <c r="K84" i="4"/>
  <c r="J84" i="4"/>
  <c r="I84" i="4"/>
  <c r="H84" i="4"/>
  <c r="G84" i="4"/>
  <c r="F84" i="4"/>
  <c r="E84" i="4"/>
  <c r="D84" i="4"/>
  <c r="N79" i="4"/>
  <c r="M79" i="4"/>
  <c r="L79" i="4"/>
  <c r="K79" i="4"/>
  <c r="J79" i="4"/>
  <c r="I79" i="4"/>
  <c r="H79" i="4"/>
  <c r="G79" i="4"/>
  <c r="F79" i="4"/>
  <c r="E79" i="4"/>
  <c r="D79" i="4"/>
  <c r="C79" i="4"/>
  <c r="J74" i="4"/>
  <c r="J69" i="4"/>
  <c r="J39" i="4"/>
  <c r="I39" i="4"/>
  <c r="D39" i="4"/>
  <c r="D34" i="4"/>
  <c r="J34" i="4"/>
  <c r="J29" i="4"/>
  <c r="D29" i="4"/>
  <c r="J24" i="4"/>
  <c r="D24" i="4"/>
  <c r="J19" i="4"/>
  <c r="D19" i="4"/>
  <c r="J14" i="4"/>
  <c r="D14" i="4"/>
  <c r="D80" i="4"/>
  <c r="E80" i="4"/>
  <c r="F80" i="4"/>
  <c r="G80" i="4"/>
  <c r="H80" i="4"/>
  <c r="I80" i="4"/>
  <c r="J80" i="4"/>
  <c r="K80" i="4"/>
  <c r="L80" i="4"/>
  <c r="M80" i="4"/>
  <c r="N80" i="4"/>
  <c r="O80" i="4"/>
  <c r="C81" i="4"/>
  <c r="D81" i="4"/>
  <c r="E81" i="4"/>
  <c r="F81" i="4"/>
  <c r="G81" i="4"/>
  <c r="H81" i="4"/>
  <c r="I81" i="4"/>
  <c r="J81" i="4"/>
  <c r="K81" i="4"/>
  <c r="L81" i="4"/>
  <c r="M81" i="4"/>
  <c r="N81" i="4"/>
  <c r="O85" i="4"/>
  <c r="C86" i="4"/>
  <c r="D86" i="4"/>
  <c r="E86" i="4"/>
  <c r="F86" i="4"/>
  <c r="G86" i="4"/>
  <c r="H86" i="4"/>
  <c r="I86" i="4"/>
  <c r="J86" i="4"/>
  <c r="K86" i="4"/>
  <c r="L86" i="4"/>
  <c r="M86" i="4"/>
  <c r="N86" i="4"/>
  <c r="E74" i="4"/>
  <c r="F74" i="4"/>
  <c r="G74" i="4"/>
  <c r="H74" i="4"/>
  <c r="I74" i="4"/>
  <c r="K74" i="4"/>
  <c r="L74" i="4"/>
  <c r="M74" i="4"/>
  <c r="N74" i="4"/>
  <c r="N69" i="4"/>
  <c r="M69" i="4"/>
  <c r="L69" i="4"/>
  <c r="K69" i="4"/>
  <c r="I69" i="4"/>
  <c r="H69" i="4"/>
  <c r="G69" i="4"/>
  <c r="F69" i="4"/>
  <c r="E69" i="4"/>
  <c r="D69" i="4"/>
  <c r="C69" i="4"/>
  <c r="N39" i="4"/>
  <c r="M39" i="4"/>
  <c r="L39" i="4"/>
  <c r="K39" i="4"/>
  <c r="N34" i="4"/>
  <c r="M34" i="4"/>
  <c r="L34" i="4"/>
  <c r="H39" i="4"/>
  <c r="G39" i="4"/>
  <c r="K34" i="4"/>
  <c r="F39" i="4"/>
  <c r="E39" i="4"/>
  <c r="I34" i="4"/>
  <c r="C39" i="4"/>
  <c r="H34" i="4"/>
  <c r="G34" i="4"/>
  <c r="F34" i="4"/>
  <c r="E34" i="4"/>
  <c r="C34" i="4"/>
  <c r="N29" i="4"/>
  <c r="M29" i="4"/>
  <c r="L29" i="4"/>
  <c r="K29" i="4"/>
  <c r="I29" i="4"/>
  <c r="N24" i="4"/>
  <c r="M24" i="4"/>
  <c r="L24" i="4"/>
  <c r="K24" i="4"/>
  <c r="H29" i="4"/>
  <c r="G29" i="4"/>
  <c r="F29" i="4"/>
  <c r="E29" i="4"/>
  <c r="I24" i="4"/>
  <c r="H24" i="4"/>
  <c r="G24" i="4"/>
  <c r="F24" i="4"/>
  <c r="E24" i="4"/>
  <c r="C29" i="4"/>
  <c r="C24" i="4"/>
  <c r="N19" i="4"/>
  <c r="M19" i="4"/>
  <c r="L19" i="4"/>
  <c r="K19" i="4"/>
  <c r="I19" i="4"/>
  <c r="H19" i="4"/>
  <c r="G19" i="4"/>
  <c r="F19" i="4"/>
  <c r="E19" i="4"/>
  <c r="C19" i="4"/>
  <c r="C14" i="4"/>
  <c r="N14" i="4"/>
  <c r="M14" i="4"/>
  <c r="L14" i="4"/>
  <c r="K14" i="4"/>
  <c r="I14" i="4"/>
  <c r="H14" i="4"/>
  <c r="G14" i="4"/>
  <c r="F14" i="4"/>
  <c r="E14" i="4"/>
  <c r="E15" i="4"/>
  <c r="Q45" i="4"/>
  <c r="S39" i="4"/>
  <c r="S38" i="4"/>
  <c r="T36" i="4"/>
  <c r="T38" i="4" s="1"/>
  <c r="Z14" i="4"/>
  <c r="Z13" i="4"/>
  <c r="Z12" i="4"/>
  <c r="Z11" i="4"/>
  <c r="Z6" i="4"/>
  <c r="Z10" i="4"/>
  <c r="Z9" i="4"/>
  <c r="Z8" i="4"/>
  <c r="Z7" i="4"/>
  <c r="Z3" i="4"/>
  <c r="C13" i="7"/>
  <c r="D7" i="7"/>
  <c r="D5" i="7"/>
  <c r="H5" i="7"/>
  <c r="F5" i="7"/>
  <c r="C9" i="7"/>
  <c r="Z5" i="4"/>
  <c r="Z4" i="4"/>
  <c r="Z15" i="4"/>
  <c r="Y5" i="4"/>
  <c r="C8" i="7"/>
  <c r="C7" i="7"/>
  <c r="A14" i="7"/>
  <c r="Y8" i="4"/>
  <c r="Y7" i="4"/>
  <c r="Y6" i="4"/>
  <c r="Y4" i="4"/>
  <c r="Y3" i="4"/>
  <c r="Y22" i="4" s="1"/>
  <c r="L4" i="13" l="1"/>
  <c r="K4" i="13"/>
  <c r="J4" i="13"/>
  <c r="M4" i="13"/>
  <c r="N71" i="13"/>
  <c r="N76" i="13"/>
  <c r="I16" i="13"/>
  <c r="F26" i="13"/>
  <c r="H29" i="13"/>
  <c r="H31" i="13" s="1"/>
  <c r="C24" i="13"/>
  <c r="L19" i="13"/>
  <c r="L21" i="13" s="1"/>
  <c r="G29" i="13"/>
  <c r="G31" i="13" s="1"/>
  <c r="N24" i="13"/>
  <c r="N26" i="13" s="1"/>
  <c r="K19" i="13"/>
  <c r="K21" i="13" s="1"/>
  <c r="L14" i="13"/>
  <c r="L16" i="13" s="1"/>
  <c r="G19" i="13"/>
  <c r="G21" i="13" s="1"/>
  <c r="H14" i="13"/>
  <c r="H16" i="13" s="1"/>
  <c r="I24" i="13"/>
  <c r="F19" i="13"/>
  <c r="F21" i="13" s="1"/>
  <c r="G14" i="13"/>
  <c r="G16" i="13" s="1"/>
  <c r="F29" i="13"/>
  <c r="F31" i="13" s="1"/>
  <c r="M24" i="13"/>
  <c r="M26" i="13" s="1"/>
  <c r="J19" i="13"/>
  <c r="K14" i="13"/>
  <c r="K16" i="13" s="1"/>
  <c r="E29" i="13"/>
  <c r="E31" i="13" s="1"/>
  <c r="L24" i="13"/>
  <c r="L26" i="13" s="1"/>
  <c r="H24" i="13"/>
  <c r="H26" i="13" s="1"/>
  <c r="E19" i="13"/>
  <c r="E21" i="13" s="1"/>
  <c r="F14" i="13"/>
  <c r="F16" i="13" s="1"/>
  <c r="F24" i="13"/>
  <c r="D24" i="13"/>
  <c r="M19" i="13"/>
  <c r="M21" i="13" s="1"/>
  <c r="I19" i="13"/>
  <c r="J14" i="13"/>
  <c r="J16" i="13" s="1"/>
  <c r="K24" i="13"/>
  <c r="K26" i="13" s="1"/>
  <c r="H19" i="13"/>
  <c r="H21" i="13" s="1"/>
  <c r="I14" i="13"/>
  <c r="C29" i="13"/>
  <c r="O29" i="13" s="1"/>
  <c r="G3" i="13" s="1"/>
  <c r="J24" i="13"/>
  <c r="J26" i="13" s="1"/>
  <c r="C19" i="13"/>
  <c r="O19" i="13" s="1"/>
  <c r="E3" i="13" s="1"/>
  <c r="E5" i="13" s="1"/>
  <c r="E8" i="13" s="1"/>
  <c r="AC38" i="13" s="1"/>
  <c r="D14" i="13"/>
  <c r="D16" i="13" s="1"/>
  <c r="C14" i="13"/>
  <c r="N29" i="13"/>
  <c r="M14" i="13"/>
  <c r="M29" i="13"/>
  <c r="M31" i="13" s="1"/>
  <c r="L29" i="13"/>
  <c r="L31" i="13" s="1"/>
  <c r="G24" i="13"/>
  <c r="G26" i="13" s="1"/>
  <c r="D19" i="13"/>
  <c r="E14" i="13"/>
  <c r="E16" i="13" s="1"/>
  <c r="K29" i="13"/>
  <c r="K31" i="13" s="1"/>
  <c r="E24" i="13"/>
  <c r="E26" i="13" s="1"/>
  <c r="N19" i="13"/>
  <c r="N21" i="13" s="1"/>
  <c r="N14" i="13"/>
  <c r="N16" i="13" s="1"/>
  <c r="I29" i="13"/>
  <c r="L76" i="13"/>
  <c r="L81" i="13"/>
  <c r="M56" i="13"/>
  <c r="M66" i="13"/>
  <c r="N56" i="13"/>
  <c r="I21" i="13"/>
  <c r="I26" i="13"/>
  <c r="G36" i="13"/>
  <c r="S4" i="13"/>
  <c r="R4" i="13"/>
  <c r="J21" i="13"/>
  <c r="I31" i="13"/>
  <c r="D51" i="13"/>
  <c r="D86" i="13"/>
  <c r="M16" i="13"/>
  <c r="E66" i="13"/>
  <c r="E71" i="13"/>
  <c r="E76" i="13"/>
  <c r="F71" i="13"/>
  <c r="F86" i="13"/>
  <c r="F91" i="13"/>
  <c r="C16" i="13"/>
  <c r="G61" i="13"/>
  <c r="G66" i="13"/>
  <c r="G81" i="13"/>
  <c r="Y12" i="13"/>
  <c r="Y11" i="13"/>
  <c r="Y9" i="13"/>
  <c r="Y13" i="13"/>
  <c r="Y14" i="13"/>
  <c r="Y10" i="13"/>
  <c r="I41" i="13"/>
  <c r="I46" i="13"/>
  <c r="H71" i="13"/>
  <c r="H86" i="13"/>
  <c r="H91" i="13"/>
  <c r="N31" i="13"/>
  <c r="I51" i="13"/>
  <c r="I56" i="13"/>
  <c r="I61" i="13"/>
  <c r="D21" i="13"/>
  <c r="D26" i="13"/>
  <c r="K56" i="13"/>
  <c r="F34" i="13"/>
  <c r="F36" i="13" s="1"/>
  <c r="I39" i="13"/>
  <c r="O40" i="13"/>
  <c r="I4" i="13" s="1"/>
  <c r="M44" i="13"/>
  <c r="M46" i="13" s="1"/>
  <c r="I49" i="13"/>
  <c r="G54" i="13"/>
  <c r="G56" i="13" s="1"/>
  <c r="E59" i="13"/>
  <c r="E61" i="13" s="1"/>
  <c r="C64" i="13"/>
  <c r="M69" i="13"/>
  <c r="M71" i="13" s="1"/>
  <c r="K74" i="13"/>
  <c r="K76" i="13" s="1"/>
  <c r="I79" i="13"/>
  <c r="I81" i="13" s="1"/>
  <c r="G84" i="13"/>
  <c r="G86" i="13" s="1"/>
  <c r="E89" i="13"/>
  <c r="E91" i="13" s="1"/>
  <c r="J29" i="13"/>
  <c r="J31" i="13" s="1"/>
  <c r="G34" i="13"/>
  <c r="T38" i="13"/>
  <c r="J39" i="13"/>
  <c r="J41" i="13" s="1"/>
  <c r="S40" i="13"/>
  <c r="N44" i="13"/>
  <c r="N46" i="13" s="1"/>
  <c r="J49" i="13"/>
  <c r="J51" i="13" s="1"/>
  <c r="H54" i="13"/>
  <c r="H56" i="13" s="1"/>
  <c r="F59" i="13"/>
  <c r="F61" i="13" s="1"/>
  <c r="D64" i="13"/>
  <c r="D66" i="13" s="1"/>
  <c r="O65" i="13"/>
  <c r="N69" i="13"/>
  <c r="L74" i="13"/>
  <c r="J79" i="13"/>
  <c r="J81" i="13" s="1"/>
  <c r="H84" i="13"/>
  <c r="F89" i="13"/>
  <c r="H34" i="13"/>
  <c r="H36" i="13" s="1"/>
  <c r="K39" i="13"/>
  <c r="K41" i="13" s="1"/>
  <c r="C44" i="13"/>
  <c r="K49" i="13"/>
  <c r="K51" i="13" s="1"/>
  <c r="I54" i="13"/>
  <c r="G59" i="13"/>
  <c r="E64" i="13"/>
  <c r="C69" i="13"/>
  <c r="M74" i="13"/>
  <c r="M76" i="13" s="1"/>
  <c r="K79" i="13"/>
  <c r="K81" i="13" s="1"/>
  <c r="I84" i="13"/>
  <c r="I86" i="13" s="1"/>
  <c r="G89" i="13"/>
  <c r="G91" i="13" s="1"/>
  <c r="I34" i="13"/>
  <c r="I36" i="13" s="1"/>
  <c r="L39" i="13"/>
  <c r="L41" i="13" s="1"/>
  <c r="D44" i="13"/>
  <c r="D46" i="13" s="1"/>
  <c r="L49" i="13"/>
  <c r="L51" i="13" s="1"/>
  <c r="J54" i="13"/>
  <c r="J56" i="13" s="1"/>
  <c r="H59" i="13"/>
  <c r="H61" i="13" s="1"/>
  <c r="F64" i="13"/>
  <c r="F66" i="13" s="1"/>
  <c r="D69" i="13"/>
  <c r="D71" i="13" s="1"/>
  <c r="O70" i="13"/>
  <c r="N74" i="13"/>
  <c r="L79" i="13"/>
  <c r="J84" i="13"/>
  <c r="J86" i="13" s="1"/>
  <c r="H89" i="13"/>
  <c r="J34" i="13"/>
  <c r="J36" i="13" s="1"/>
  <c r="M39" i="13"/>
  <c r="M41" i="13" s="1"/>
  <c r="E44" i="13"/>
  <c r="E46" i="13" s="1"/>
  <c r="M49" i="13"/>
  <c r="M51" i="13" s="1"/>
  <c r="K54" i="13"/>
  <c r="I59" i="13"/>
  <c r="G64" i="13"/>
  <c r="E69" i="13"/>
  <c r="C74" i="13"/>
  <c r="C76" i="13" s="1"/>
  <c r="M79" i="13"/>
  <c r="M81" i="13" s="1"/>
  <c r="K84" i="13"/>
  <c r="K86" i="13" s="1"/>
  <c r="I89" i="13"/>
  <c r="I91" i="13" s="1"/>
  <c r="K34" i="13"/>
  <c r="K36" i="13" s="1"/>
  <c r="N39" i="13"/>
  <c r="N41" i="13" s="1"/>
  <c r="F44" i="13"/>
  <c r="F46" i="13" s="1"/>
  <c r="N49" i="13"/>
  <c r="N51" i="13" s="1"/>
  <c r="L54" i="13"/>
  <c r="L56" i="13" s="1"/>
  <c r="J59" i="13"/>
  <c r="J61" i="13" s="1"/>
  <c r="H64" i="13"/>
  <c r="H66" i="13" s="1"/>
  <c r="F69" i="13"/>
  <c r="D74" i="13"/>
  <c r="D76" i="13" s="1"/>
  <c r="O75" i="13"/>
  <c r="N79" i="13"/>
  <c r="N81" i="13" s="1"/>
  <c r="L84" i="13"/>
  <c r="L86" i="13" s="1"/>
  <c r="J89" i="13"/>
  <c r="J91" i="13" s="1"/>
  <c r="L34" i="13"/>
  <c r="L36" i="13" s="1"/>
  <c r="C39" i="13"/>
  <c r="C41" i="13" s="1"/>
  <c r="G44" i="13"/>
  <c r="G46" i="13" s="1"/>
  <c r="C49" i="13"/>
  <c r="M54" i="13"/>
  <c r="K59" i="13"/>
  <c r="K61" i="13" s="1"/>
  <c r="I64" i="13"/>
  <c r="I66" i="13" s="1"/>
  <c r="G69" i="13"/>
  <c r="G71" i="13" s="1"/>
  <c r="E74" i="13"/>
  <c r="C79" i="13"/>
  <c r="C81" i="13" s="1"/>
  <c r="M84" i="13"/>
  <c r="M86" i="13" s="1"/>
  <c r="K89" i="13"/>
  <c r="K91" i="13" s="1"/>
  <c r="M34" i="13"/>
  <c r="M36" i="13" s="1"/>
  <c r="D39" i="13"/>
  <c r="D41" i="13" s="1"/>
  <c r="H44" i="13"/>
  <c r="H46" i="13" s="1"/>
  <c r="D49" i="13"/>
  <c r="O50" i="13"/>
  <c r="N54" i="13"/>
  <c r="L59" i="13"/>
  <c r="L61" i="13" s="1"/>
  <c r="J64" i="13"/>
  <c r="J66" i="13" s="1"/>
  <c r="H69" i="13"/>
  <c r="F74" i="13"/>
  <c r="F76" i="13" s="1"/>
  <c r="D79" i="13"/>
  <c r="D81" i="13" s="1"/>
  <c r="O80" i="13"/>
  <c r="N84" i="13"/>
  <c r="N86" i="13" s="1"/>
  <c r="L89" i="13"/>
  <c r="L91" i="13" s="1"/>
  <c r="I44" i="13"/>
  <c r="E49" i="13"/>
  <c r="E51" i="13" s="1"/>
  <c r="C54" i="13"/>
  <c r="M59" i="13"/>
  <c r="M61" i="13" s="1"/>
  <c r="K64" i="13"/>
  <c r="K66" i="13" s="1"/>
  <c r="I69" i="13"/>
  <c r="I71" i="13" s="1"/>
  <c r="G74" i="13"/>
  <c r="G76" i="13" s="1"/>
  <c r="E79" i="13"/>
  <c r="E81" i="13" s="1"/>
  <c r="C84" i="13"/>
  <c r="M89" i="13"/>
  <c r="M91" i="13" s="1"/>
  <c r="O30" i="13"/>
  <c r="G4" i="13" s="1"/>
  <c r="G5" i="13" s="1"/>
  <c r="G8" i="13" s="1"/>
  <c r="AE38" i="13" s="1"/>
  <c r="N34" i="13"/>
  <c r="N36" i="13" s="1"/>
  <c r="E39" i="13"/>
  <c r="E41" i="13" s="1"/>
  <c r="C34" i="13"/>
  <c r="F39" i="13"/>
  <c r="F41" i="13" s="1"/>
  <c r="J44" i="13"/>
  <c r="J46" i="13" s="1"/>
  <c r="F49" i="13"/>
  <c r="F51" i="13" s="1"/>
  <c r="D54" i="13"/>
  <c r="D56" i="13" s="1"/>
  <c r="N59" i="13"/>
  <c r="N61" i="13" s="1"/>
  <c r="L64" i="13"/>
  <c r="L66" i="13" s="1"/>
  <c r="J69" i="13"/>
  <c r="J71" i="13" s="1"/>
  <c r="H74" i="13"/>
  <c r="H76" i="13" s="1"/>
  <c r="F79" i="13"/>
  <c r="F81" i="13" s="1"/>
  <c r="D84" i="13"/>
  <c r="N89" i="13"/>
  <c r="N91" i="13" s="1"/>
  <c r="O15" i="13"/>
  <c r="D4" i="13" s="1"/>
  <c r="D34" i="13"/>
  <c r="D36" i="13" s="1"/>
  <c r="G39" i="13"/>
  <c r="G41" i="13" s="1"/>
  <c r="K44" i="13"/>
  <c r="K46" i="13" s="1"/>
  <c r="G49" i="13"/>
  <c r="G51" i="13" s="1"/>
  <c r="E54" i="13"/>
  <c r="E56" i="13" s="1"/>
  <c r="C59" i="13"/>
  <c r="M64" i="13"/>
  <c r="K69" i="13"/>
  <c r="K71" i="13" s="1"/>
  <c r="I74" i="13"/>
  <c r="I76" i="13" s="1"/>
  <c r="G79" i="13"/>
  <c r="E84" i="13"/>
  <c r="E86" i="13" s="1"/>
  <c r="C89" i="13"/>
  <c r="C91" i="13" s="1"/>
  <c r="H39" i="13"/>
  <c r="H41" i="13" s="1"/>
  <c r="L44" i="13"/>
  <c r="L46" i="13" s="1"/>
  <c r="H49" i="13"/>
  <c r="H51" i="13" s="1"/>
  <c r="F54" i="13"/>
  <c r="F56" i="13" s="1"/>
  <c r="D59" i="13"/>
  <c r="D61" i="13" s="1"/>
  <c r="N64" i="13"/>
  <c r="N66" i="13" s="1"/>
  <c r="L69" i="13"/>
  <c r="L71" i="13" s="1"/>
  <c r="J74" i="13"/>
  <c r="J76" i="13" s="1"/>
  <c r="H79" i="13"/>
  <c r="H81" i="13" s="1"/>
  <c r="F84" i="13"/>
  <c r="Y9" i="12"/>
  <c r="Y10" i="12"/>
  <c r="Y11" i="12"/>
  <c r="Y12" i="12"/>
  <c r="Y13" i="12"/>
  <c r="Y14" i="12"/>
  <c r="D46" i="12"/>
  <c r="E46" i="12"/>
  <c r="F46" i="12"/>
  <c r="G46" i="12"/>
  <c r="H46" i="12"/>
  <c r="I46" i="12"/>
  <c r="J46" i="12"/>
  <c r="K46" i="12"/>
  <c r="L46" i="12"/>
  <c r="M46" i="12"/>
  <c r="N46" i="12"/>
  <c r="U3" i="12"/>
  <c r="D5" i="12"/>
  <c r="D8" i="12" s="1"/>
  <c r="C89" i="12"/>
  <c r="D89" i="12"/>
  <c r="D91" i="12" s="1"/>
  <c r="E89" i="12"/>
  <c r="E91" i="12" s="1"/>
  <c r="F89" i="12"/>
  <c r="F91" i="12" s="1"/>
  <c r="G89" i="12"/>
  <c r="G91" i="12" s="1"/>
  <c r="H89" i="12"/>
  <c r="H91" i="12" s="1"/>
  <c r="I89" i="12"/>
  <c r="I91" i="12" s="1"/>
  <c r="J89" i="12"/>
  <c r="J91" i="12" s="1"/>
  <c r="K89" i="12"/>
  <c r="K91" i="12" s="1"/>
  <c r="L89" i="12"/>
  <c r="L91" i="12" s="1"/>
  <c r="M89" i="12"/>
  <c r="M91" i="12" s="1"/>
  <c r="N89" i="12"/>
  <c r="N91" i="12" s="1"/>
  <c r="C84" i="12"/>
  <c r="D84" i="12"/>
  <c r="D86" i="12" s="1"/>
  <c r="E84" i="12"/>
  <c r="E86" i="12" s="1"/>
  <c r="F84" i="12"/>
  <c r="F86" i="12" s="1"/>
  <c r="G84" i="12"/>
  <c r="G86" i="12" s="1"/>
  <c r="H84" i="12"/>
  <c r="H86" i="12" s="1"/>
  <c r="I84" i="12"/>
  <c r="I86" i="12" s="1"/>
  <c r="J84" i="12"/>
  <c r="J86" i="12" s="1"/>
  <c r="K84" i="12"/>
  <c r="K86" i="12" s="1"/>
  <c r="L84" i="12"/>
  <c r="L86" i="12" s="1"/>
  <c r="M84" i="12"/>
  <c r="M86" i="12" s="1"/>
  <c r="N84" i="12"/>
  <c r="N86" i="12" s="1"/>
  <c r="C79" i="12"/>
  <c r="D79" i="12"/>
  <c r="D81" i="12" s="1"/>
  <c r="E79" i="12"/>
  <c r="E81" i="12" s="1"/>
  <c r="F79" i="12"/>
  <c r="F81" i="12" s="1"/>
  <c r="G79" i="12"/>
  <c r="G81" i="12" s="1"/>
  <c r="H79" i="12"/>
  <c r="H81" i="12" s="1"/>
  <c r="I79" i="12"/>
  <c r="I81" i="12" s="1"/>
  <c r="J79" i="12"/>
  <c r="J81" i="12" s="1"/>
  <c r="K79" i="12"/>
  <c r="K81" i="12" s="1"/>
  <c r="L79" i="12"/>
  <c r="L81" i="12" s="1"/>
  <c r="M79" i="12"/>
  <c r="M81" i="12" s="1"/>
  <c r="N79" i="12"/>
  <c r="N81" i="12" s="1"/>
  <c r="C74" i="12"/>
  <c r="D74" i="12"/>
  <c r="D76" i="12" s="1"/>
  <c r="E74" i="12"/>
  <c r="E76" i="12" s="1"/>
  <c r="F74" i="12"/>
  <c r="F76" i="12" s="1"/>
  <c r="G74" i="12"/>
  <c r="G76" i="12" s="1"/>
  <c r="H74" i="12"/>
  <c r="H76" i="12" s="1"/>
  <c r="I74" i="12"/>
  <c r="I76" i="12" s="1"/>
  <c r="J74" i="12"/>
  <c r="J76" i="12" s="1"/>
  <c r="K74" i="12"/>
  <c r="K76" i="12" s="1"/>
  <c r="L74" i="12"/>
  <c r="L76" i="12" s="1"/>
  <c r="M74" i="12"/>
  <c r="M76" i="12" s="1"/>
  <c r="N74" i="12"/>
  <c r="N76" i="12" s="1"/>
  <c r="C69" i="12"/>
  <c r="D69" i="12"/>
  <c r="D71" i="12" s="1"/>
  <c r="E69" i="12"/>
  <c r="E71" i="12" s="1"/>
  <c r="F69" i="12"/>
  <c r="F71" i="12" s="1"/>
  <c r="G69" i="12"/>
  <c r="G71" i="12" s="1"/>
  <c r="H69" i="12"/>
  <c r="H71" i="12" s="1"/>
  <c r="I69" i="12"/>
  <c r="I71" i="12" s="1"/>
  <c r="J69" i="12"/>
  <c r="J71" i="12" s="1"/>
  <c r="K69" i="12"/>
  <c r="K71" i="12" s="1"/>
  <c r="L69" i="12"/>
  <c r="L71" i="12" s="1"/>
  <c r="M69" i="12"/>
  <c r="M71" i="12" s="1"/>
  <c r="N69" i="12"/>
  <c r="N71" i="12" s="1"/>
  <c r="D66" i="12"/>
  <c r="E66" i="12"/>
  <c r="F66" i="12"/>
  <c r="G66" i="12"/>
  <c r="H66" i="12"/>
  <c r="I66" i="12"/>
  <c r="J66" i="12"/>
  <c r="K66" i="12"/>
  <c r="L66" i="12"/>
  <c r="M66" i="12"/>
  <c r="N66" i="12"/>
  <c r="D61" i="12"/>
  <c r="E61" i="12"/>
  <c r="F61" i="12"/>
  <c r="G61" i="12"/>
  <c r="H61" i="12"/>
  <c r="I61" i="12"/>
  <c r="J61" i="12"/>
  <c r="K61" i="12"/>
  <c r="L61" i="12"/>
  <c r="M61" i="12"/>
  <c r="N61" i="12"/>
  <c r="D56" i="12"/>
  <c r="E56" i="12"/>
  <c r="F56" i="12"/>
  <c r="G56" i="12"/>
  <c r="H56" i="12"/>
  <c r="I56" i="12"/>
  <c r="J56" i="12"/>
  <c r="K56" i="12"/>
  <c r="L56" i="12"/>
  <c r="M56" i="12"/>
  <c r="N56" i="12"/>
  <c r="D51" i="12"/>
  <c r="E51" i="12"/>
  <c r="F51" i="12"/>
  <c r="G51" i="12"/>
  <c r="H51" i="12"/>
  <c r="I51" i="12"/>
  <c r="J51" i="12"/>
  <c r="K51" i="12"/>
  <c r="L51" i="12"/>
  <c r="M51" i="12"/>
  <c r="N51" i="12"/>
  <c r="C34" i="12"/>
  <c r="D34" i="12"/>
  <c r="D36" i="12" s="1"/>
  <c r="E34" i="12"/>
  <c r="E36" i="12" s="1"/>
  <c r="F34" i="12"/>
  <c r="F36" i="12" s="1"/>
  <c r="G34" i="12"/>
  <c r="G36" i="12" s="1"/>
  <c r="H34" i="12"/>
  <c r="H36" i="12" s="1"/>
  <c r="I34" i="12"/>
  <c r="I36" i="12" s="1"/>
  <c r="J34" i="12"/>
  <c r="J36" i="12" s="1"/>
  <c r="K34" i="12"/>
  <c r="K36" i="12" s="1"/>
  <c r="L34" i="12"/>
  <c r="L36" i="12" s="1"/>
  <c r="M34" i="12"/>
  <c r="M36" i="12" s="1"/>
  <c r="N34" i="12"/>
  <c r="N36" i="12" s="1"/>
  <c r="Y9" i="11"/>
  <c r="Y10" i="11"/>
  <c r="Y11" i="11"/>
  <c r="Y12" i="11"/>
  <c r="Y13" i="11"/>
  <c r="Y14" i="11"/>
  <c r="C44" i="11"/>
  <c r="D44" i="11"/>
  <c r="D46" i="11" s="1"/>
  <c r="E44" i="11"/>
  <c r="E46" i="11" s="1"/>
  <c r="F44" i="11"/>
  <c r="F46" i="11" s="1"/>
  <c r="G44" i="11"/>
  <c r="G46" i="11" s="1"/>
  <c r="H44" i="11"/>
  <c r="H46" i="11" s="1"/>
  <c r="I44" i="11"/>
  <c r="I46" i="11" s="1"/>
  <c r="J44" i="11"/>
  <c r="J46" i="11" s="1"/>
  <c r="K44" i="11"/>
  <c r="K46" i="11" s="1"/>
  <c r="L44" i="11"/>
  <c r="L46" i="11" s="1"/>
  <c r="M44" i="11"/>
  <c r="M46" i="11" s="1"/>
  <c r="N44" i="11"/>
  <c r="N46" i="11" s="1"/>
  <c r="U3" i="11"/>
  <c r="D5" i="11"/>
  <c r="D8" i="11" s="1"/>
  <c r="C89" i="11"/>
  <c r="D89" i="11"/>
  <c r="D91" i="11" s="1"/>
  <c r="E89" i="11"/>
  <c r="E91" i="11" s="1"/>
  <c r="F89" i="11"/>
  <c r="F91" i="11" s="1"/>
  <c r="G89" i="11"/>
  <c r="G91" i="11" s="1"/>
  <c r="H89" i="11"/>
  <c r="H91" i="11" s="1"/>
  <c r="I89" i="11"/>
  <c r="I91" i="11" s="1"/>
  <c r="J89" i="11"/>
  <c r="J91" i="11" s="1"/>
  <c r="K89" i="11"/>
  <c r="K91" i="11" s="1"/>
  <c r="L89" i="11"/>
  <c r="L91" i="11" s="1"/>
  <c r="M89" i="11"/>
  <c r="M91" i="11" s="1"/>
  <c r="N89" i="11"/>
  <c r="N91" i="11" s="1"/>
  <c r="C84" i="11"/>
  <c r="D84" i="11"/>
  <c r="D86" i="11" s="1"/>
  <c r="E84" i="11"/>
  <c r="E86" i="11" s="1"/>
  <c r="F84" i="11"/>
  <c r="F86" i="11" s="1"/>
  <c r="G84" i="11"/>
  <c r="G86" i="11" s="1"/>
  <c r="H84" i="11"/>
  <c r="H86" i="11" s="1"/>
  <c r="I84" i="11"/>
  <c r="I86" i="11" s="1"/>
  <c r="J84" i="11"/>
  <c r="J86" i="11" s="1"/>
  <c r="K84" i="11"/>
  <c r="K86" i="11" s="1"/>
  <c r="L84" i="11"/>
  <c r="L86" i="11" s="1"/>
  <c r="M84" i="11"/>
  <c r="M86" i="11" s="1"/>
  <c r="N84" i="11"/>
  <c r="N86" i="11" s="1"/>
  <c r="C79" i="11"/>
  <c r="D79" i="11"/>
  <c r="D81" i="11" s="1"/>
  <c r="E79" i="11"/>
  <c r="E81" i="11" s="1"/>
  <c r="F79" i="11"/>
  <c r="F81" i="11" s="1"/>
  <c r="G79" i="11"/>
  <c r="G81" i="11" s="1"/>
  <c r="H79" i="11"/>
  <c r="H81" i="11" s="1"/>
  <c r="I79" i="11"/>
  <c r="I81" i="11" s="1"/>
  <c r="J79" i="11"/>
  <c r="J81" i="11" s="1"/>
  <c r="K79" i="11"/>
  <c r="K81" i="11" s="1"/>
  <c r="L79" i="11"/>
  <c r="L81" i="11" s="1"/>
  <c r="M79" i="11"/>
  <c r="M81" i="11" s="1"/>
  <c r="N79" i="11"/>
  <c r="N81" i="11" s="1"/>
  <c r="C74" i="11"/>
  <c r="D74" i="11"/>
  <c r="D76" i="11" s="1"/>
  <c r="E74" i="11"/>
  <c r="E76" i="11" s="1"/>
  <c r="F74" i="11"/>
  <c r="F76" i="11" s="1"/>
  <c r="G74" i="11"/>
  <c r="G76" i="11" s="1"/>
  <c r="H74" i="11"/>
  <c r="H76" i="11" s="1"/>
  <c r="I74" i="11"/>
  <c r="I76" i="11" s="1"/>
  <c r="J74" i="11"/>
  <c r="J76" i="11" s="1"/>
  <c r="K74" i="11"/>
  <c r="K76" i="11" s="1"/>
  <c r="L74" i="11"/>
  <c r="L76" i="11" s="1"/>
  <c r="M74" i="11"/>
  <c r="M76" i="11" s="1"/>
  <c r="N74" i="11"/>
  <c r="N76" i="11" s="1"/>
  <c r="C69" i="11"/>
  <c r="D69" i="11"/>
  <c r="D71" i="11" s="1"/>
  <c r="E69" i="11"/>
  <c r="E71" i="11" s="1"/>
  <c r="F69" i="11"/>
  <c r="F71" i="11" s="1"/>
  <c r="G69" i="11"/>
  <c r="G71" i="11" s="1"/>
  <c r="H69" i="11"/>
  <c r="H71" i="11" s="1"/>
  <c r="I69" i="11"/>
  <c r="I71" i="11" s="1"/>
  <c r="J69" i="11"/>
  <c r="J71" i="11" s="1"/>
  <c r="K69" i="11"/>
  <c r="K71" i="11" s="1"/>
  <c r="L69" i="11"/>
  <c r="L71" i="11" s="1"/>
  <c r="M69" i="11"/>
  <c r="M71" i="11" s="1"/>
  <c r="N69" i="11"/>
  <c r="N71" i="11" s="1"/>
  <c r="C64" i="11"/>
  <c r="D64" i="11"/>
  <c r="D66" i="11" s="1"/>
  <c r="E64" i="11"/>
  <c r="E66" i="11" s="1"/>
  <c r="F64" i="11"/>
  <c r="F66" i="11" s="1"/>
  <c r="G64" i="11"/>
  <c r="G66" i="11" s="1"/>
  <c r="H64" i="11"/>
  <c r="H66" i="11" s="1"/>
  <c r="I64" i="11"/>
  <c r="I66" i="11" s="1"/>
  <c r="J64" i="11"/>
  <c r="J66" i="11" s="1"/>
  <c r="K64" i="11"/>
  <c r="K66" i="11" s="1"/>
  <c r="L64" i="11"/>
  <c r="L66" i="11" s="1"/>
  <c r="M64" i="11"/>
  <c r="M66" i="11" s="1"/>
  <c r="N64" i="11"/>
  <c r="N66" i="11" s="1"/>
  <c r="C59" i="11"/>
  <c r="D59" i="11"/>
  <c r="D61" i="11" s="1"/>
  <c r="E59" i="11"/>
  <c r="E61" i="11" s="1"/>
  <c r="F59" i="11"/>
  <c r="F61" i="11" s="1"/>
  <c r="G59" i="11"/>
  <c r="G61" i="11" s="1"/>
  <c r="H59" i="11"/>
  <c r="H61" i="11" s="1"/>
  <c r="I59" i="11"/>
  <c r="I61" i="11" s="1"/>
  <c r="J59" i="11"/>
  <c r="J61" i="11" s="1"/>
  <c r="K59" i="11"/>
  <c r="K61" i="11" s="1"/>
  <c r="L59" i="11"/>
  <c r="L61" i="11" s="1"/>
  <c r="M59" i="11"/>
  <c r="M61" i="11" s="1"/>
  <c r="N59" i="11"/>
  <c r="N61" i="11" s="1"/>
  <c r="C54" i="11"/>
  <c r="D54" i="11"/>
  <c r="D56" i="11" s="1"/>
  <c r="E54" i="11"/>
  <c r="E56" i="11" s="1"/>
  <c r="F54" i="11"/>
  <c r="F56" i="11" s="1"/>
  <c r="G54" i="11"/>
  <c r="G56" i="11" s="1"/>
  <c r="H54" i="11"/>
  <c r="H56" i="11" s="1"/>
  <c r="I54" i="11"/>
  <c r="I56" i="11" s="1"/>
  <c r="J54" i="11"/>
  <c r="J56" i="11" s="1"/>
  <c r="K54" i="11"/>
  <c r="K56" i="11" s="1"/>
  <c r="L54" i="11"/>
  <c r="L56" i="11" s="1"/>
  <c r="M54" i="11"/>
  <c r="M56" i="11" s="1"/>
  <c r="N54" i="11"/>
  <c r="N56" i="11" s="1"/>
  <c r="D49" i="11"/>
  <c r="D51" i="11" s="1"/>
  <c r="E49" i="11"/>
  <c r="E51" i="11" s="1"/>
  <c r="F49" i="11"/>
  <c r="F51" i="11" s="1"/>
  <c r="G49" i="11"/>
  <c r="G51" i="11" s="1"/>
  <c r="H49" i="11"/>
  <c r="H51" i="11" s="1"/>
  <c r="I49" i="11"/>
  <c r="I51" i="11" s="1"/>
  <c r="J49" i="11"/>
  <c r="J51" i="11" s="1"/>
  <c r="K49" i="11"/>
  <c r="K51" i="11" s="1"/>
  <c r="L49" i="11"/>
  <c r="L51" i="11" s="1"/>
  <c r="M49" i="11"/>
  <c r="M51" i="11" s="1"/>
  <c r="N49" i="11"/>
  <c r="N51" i="11" s="1"/>
  <c r="C34" i="11"/>
  <c r="D34" i="11"/>
  <c r="D36" i="11" s="1"/>
  <c r="E34" i="11"/>
  <c r="E36" i="11" s="1"/>
  <c r="F34" i="11"/>
  <c r="F36" i="11" s="1"/>
  <c r="G34" i="11"/>
  <c r="G36" i="11" s="1"/>
  <c r="H34" i="11"/>
  <c r="H36" i="11" s="1"/>
  <c r="I34" i="11"/>
  <c r="I36" i="11" s="1"/>
  <c r="J34" i="11"/>
  <c r="J36" i="11" s="1"/>
  <c r="K34" i="11"/>
  <c r="K36" i="11" s="1"/>
  <c r="L34" i="11"/>
  <c r="L36" i="11" s="1"/>
  <c r="M34" i="11"/>
  <c r="M36" i="11" s="1"/>
  <c r="N34" i="11"/>
  <c r="N36" i="11" s="1"/>
  <c r="S44" i="4"/>
  <c r="S40" i="4"/>
  <c r="D75" i="4"/>
  <c r="E75" i="4"/>
  <c r="F75" i="4"/>
  <c r="G75" i="4"/>
  <c r="H75" i="4"/>
  <c r="I75" i="4"/>
  <c r="J75" i="4"/>
  <c r="K75" i="4"/>
  <c r="L75" i="4"/>
  <c r="M75" i="4"/>
  <c r="N75" i="4"/>
  <c r="C75" i="4"/>
  <c r="D70" i="4"/>
  <c r="E70" i="4"/>
  <c r="F70" i="4"/>
  <c r="G70" i="4"/>
  <c r="H70" i="4"/>
  <c r="I70" i="4"/>
  <c r="J70" i="4"/>
  <c r="K70" i="4"/>
  <c r="L70" i="4"/>
  <c r="M70" i="4"/>
  <c r="N70" i="4"/>
  <c r="C70" i="4"/>
  <c r="D65" i="4"/>
  <c r="E65" i="4"/>
  <c r="F65" i="4"/>
  <c r="G65" i="4"/>
  <c r="H65" i="4"/>
  <c r="I65" i="4"/>
  <c r="J65" i="4"/>
  <c r="K65" i="4"/>
  <c r="L65" i="4"/>
  <c r="M65" i="4"/>
  <c r="N65" i="4"/>
  <c r="C65" i="4"/>
  <c r="N60" i="4"/>
  <c r="M60" i="4"/>
  <c r="L60" i="4"/>
  <c r="K60" i="4"/>
  <c r="J60" i="4"/>
  <c r="I60" i="4"/>
  <c r="H60" i="4"/>
  <c r="G60" i="4"/>
  <c r="F60" i="4"/>
  <c r="E60" i="4"/>
  <c r="D60" i="4"/>
  <c r="C60" i="4"/>
  <c r="N55" i="4"/>
  <c r="M55" i="4"/>
  <c r="L55" i="4"/>
  <c r="K55" i="4"/>
  <c r="J55" i="4"/>
  <c r="I55" i="4"/>
  <c r="H55" i="4"/>
  <c r="G55" i="4"/>
  <c r="F55" i="4"/>
  <c r="E55" i="4"/>
  <c r="D55" i="4"/>
  <c r="N50" i="4"/>
  <c r="M50" i="4"/>
  <c r="L50" i="4"/>
  <c r="K50" i="4"/>
  <c r="J50" i="4"/>
  <c r="I50" i="4"/>
  <c r="H50" i="4"/>
  <c r="G50" i="4"/>
  <c r="F50" i="4"/>
  <c r="E50" i="4"/>
  <c r="D50" i="4"/>
  <c r="C50" i="4"/>
  <c r="D45" i="4"/>
  <c r="E45" i="4"/>
  <c r="F45" i="4"/>
  <c r="G45" i="4"/>
  <c r="H45" i="4"/>
  <c r="I45" i="4"/>
  <c r="J45" i="4"/>
  <c r="K45" i="4"/>
  <c r="L45" i="4"/>
  <c r="M45" i="4"/>
  <c r="N45" i="4"/>
  <c r="N40" i="4"/>
  <c r="M40" i="4"/>
  <c r="L40" i="4"/>
  <c r="K40" i="4"/>
  <c r="J40" i="4"/>
  <c r="I40" i="4"/>
  <c r="H40" i="4"/>
  <c r="G40" i="4"/>
  <c r="F40" i="4"/>
  <c r="E40" i="4"/>
  <c r="D40" i="4"/>
  <c r="C40" i="4"/>
  <c r="N35" i="4"/>
  <c r="M35" i="4"/>
  <c r="L35" i="4"/>
  <c r="K35" i="4"/>
  <c r="J35" i="4"/>
  <c r="I35" i="4"/>
  <c r="H35" i="4"/>
  <c r="G35" i="4"/>
  <c r="F35" i="4"/>
  <c r="E35" i="4"/>
  <c r="D35" i="4"/>
  <c r="C35" i="4"/>
  <c r="G36" i="4"/>
  <c r="N30" i="4"/>
  <c r="M30" i="4"/>
  <c r="L30" i="4"/>
  <c r="K30" i="4"/>
  <c r="J30" i="4"/>
  <c r="I30" i="4"/>
  <c r="H30" i="4"/>
  <c r="G30" i="4"/>
  <c r="F30" i="4"/>
  <c r="E30" i="4"/>
  <c r="D30" i="4"/>
  <c r="C30" i="4"/>
  <c r="N25" i="4"/>
  <c r="M25" i="4"/>
  <c r="L25" i="4"/>
  <c r="K25" i="4"/>
  <c r="J25" i="4"/>
  <c r="I25" i="4"/>
  <c r="H25" i="4"/>
  <c r="G25" i="4"/>
  <c r="F25" i="4"/>
  <c r="E25" i="4"/>
  <c r="D25" i="4"/>
  <c r="C25" i="4"/>
  <c r="N20" i="4"/>
  <c r="M20" i="4"/>
  <c r="L20" i="4"/>
  <c r="K20" i="4"/>
  <c r="J20" i="4"/>
  <c r="I20" i="4"/>
  <c r="H20" i="4"/>
  <c r="G20" i="4"/>
  <c r="F20" i="4"/>
  <c r="E20" i="4"/>
  <c r="D20" i="4"/>
  <c r="C20" i="4"/>
  <c r="D15" i="4"/>
  <c r="F15" i="4"/>
  <c r="G15" i="4"/>
  <c r="H15" i="4"/>
  <c r="I15" i="4"/>
  <c r="J15" i="4"/>
  <c r="K15" i="4"/>
  <c r="L15" i="4"/>
  <c r="M15" i="4"/>
  <c r="N15" i="4"/>
  <c r="C15" i="4"/>
  <c r="C46" i="13" l="1"/>
  <c r="O44" i="13"/>
  <c r="C86" i="13"/>
  <c r="O84" i="13"/>
  <c r="O64" i="13"/>
  <c r="N3" i="13" s="1"/>
  <c r="O24" i="13"/>
  <c r="F3" i="13" s="1"/>
  <c r="F5" i="13" s="1"/>
  <c r="F8" i="13" s="1"/>
  <c r="AD38" i="13" s="1"/>
  <c r="C26" i="13"/>
  <c r="C56" i="13"/>
  <c r="O54" i="13"/>
  <c r="O69" i="13"/>
  <c r="C71" i="13"/>
  <c r="O59" i="13"/>
  <c r="C61" i="13"/>
  <c r="O89" i="13"/>
  <c r="C36" i="13"/>
  <c r="O34" i="13"/>
  <c r="H3" i="13" s="1"/>
  <c r="H5" i="13" s="1"/>
  <c r="H8" i="13" s="1"/>
  <c r="AF38" i="13" s="1"/>
  <c r="Q4" i="13"/>
  <c r="P4" i="13"/>
  <c r="O4" i="13"/>
  <c r="N4" i="13"/>
  <c r="C66" i="13"/>
  <c r="O74" i="13"/>
  <c r="O49" i="13"/>
  <c r="C51" i="13"/>
  <c r="O14" i="13"/>
  <c r="D3" i="13" s="1"/>
  <c r="O39" i="13"/>
  <c r="I3" i="13" s="1"/>
  <c r="O79" i="13"/>
  <c r="I5" i="13"/>
  <c r="I8" i="13" s="1"/>
  <c r="AG38" i="13" s="1"/>
  <c r="C21" i="13"/>
  <c r="C31" i="13"/>
  <c r="O34" i="12"/>
  <c r="H3" i="12" s="1"/>
  <c r="C36" i="12"/>
  <c r="O49" i="12"/>
  <c r="C51" i="12"/>
  <c r="O54" i="12"/>
  <c r="C56" i="12"/>
  <c r="O59" i="12"/>
  <c r="C61" i="12"/>
  <c r="O64" i="12"/>
  <c r="N3" i="12" s="1"/>
  <c r="N5" i="12" s="1"/>
  <c r="N8" i="12" s="1"/>
  <c r="AL38" i="12" s="1"/>
  <c r="C66" i="12"/>
  <c r="O69" i="12"/>
  <c r="C71" i="12"/>
  <c r="O74" i="12"/>
  <c r="C76" i="12"/>
  <c r="O79" i="12"/>
  <c r="C81" i="12"/>
  <c r="O84" i="12"/>
  <c r="C86" i="12"/>
  <c r="O89" i="12"/>
  <c r="C91" i="12"/>
  <c r="AB38" i="12"/>
  <c r="V14" i="12"/>
  <c r="V15" i="12"/>
  <c r="V16" i="12"/>
  <c r="V17" i="12"/>
  <c r="O44" i="12"/>
  <c r="C46" i="12"/>
  <c r="O34" i="11"/>
  <c r="H3" i="11" s="1"/>
  <c r="C36" i="11"/>
  <c r="O49" i="11"/>
  <c r="C51" i="11"/>
  <c r="O54" i="11"/>
  <c r="C56" i="11"/>
  <c r="O59" i="11"/>
  <c r="C61" i="11"/>
  <c r="O64" i="11"/>
  <c r="N3" i="11" s="1"/>
  <c r="N5" i="11" s="1"/>
  <c r="N8" i="11" s="1"/>
  <c r="AL38" i="11" s="1"/>
  <c r="C66" i="11"/>
  <c r="O69" i="11"/>
  <c r="C71" i="11"/>
  <c r="O74" i="11"/>
  <c r="C76" i="11"/>
  <c r="O79" i="11"/>
  <c r="C81" i="11"/>
  <c r="O84" i="11"/>
  <c r="C86" i="11"/>
  <c r="O89" i="11"/>
  <c r="C91" i="11"/>
  <c r="AB38" i="11"/>
  <c r="V14" i="11"/>
  <c r="V15" i="11"/>
  <c r="V16" i="11"/>
  <c r="V17" i="11"/>
  <c r="O44" i="11"/>
  <c r="C46" i="11"/>
  <c r="J36" i="4"/>
  <c r="C41" i="4"/>
  <c r="K36" i="4"/>
  <c r="D41" i="4"/>
  <c r="O55" i="4"/>
  <c r="L36" i="4"/>
  <c r="H31" i="4"/>
  <c r="I41" i="4"/>
  <c r="I36" i="4"/>
  <c r="I26" i="4"/>
  <c r="H41" i="4"/>
  <c r="H36" i="4"/>
  <c r="N41" i="4"/>
  <c r="F41" i="4"/>
  <c r="G41" i="4"/>
  <c r="G31" i="4"/>
  <c r="C36" i="4"/>
  <c r="J41" i="4"/>
  <c r="D36" i="4"/>
  <c r="K41" i="4"/>
  <c r="E36" i="4"/>
  <c r="M36" i="4"/>
  <c r="O75" i="4"/>
  <c r="O70" i="4"/>
  <c r="O65" i="4"/>
  <c r="O60" i="4"/>
  <c r="O50" i="4"/>
  <c r="O45" i="4"/>
  <c r="F36" i="4"/>
  <c r="N36" i="4"/>
  <c r="L41" i="4"/>
  <c r="E41" i="4"/>
  <c r="M41" i="4"/>
  <c r="O40" i="4"/>
  <c r="O35" i="4"/>
  <c r="J21" i="4"/>
  <c r="H26" i="4"/>
  <c r="F31" i="4"/>
  <c r="N31" i="4"/>
  <c r="L21" i="4"/>
  <c r="J26" i="4"/>
  <c r="E21" i="4"/>
  <c r="M21" i="4"/>
  <c r="K26" i="4"/>
  <c r="I31" i="4"/>
  <c r="F21" i="4"/>
  <c r="N21" i="4"/>
  <c r="D26" i="4"/>
  <c r="L26" i="4"/>
  <c r="J31" i="4"/>
  <c r="G21" i="4"/>
  <c r="C21" i="4"/>
  <c r="K21" i="4"/>
  <c r="E26" i="4"/>
  <c r="M26" i="4"/>
  <c r="C31" i="4"/>
  <c r="K31" i="4"/>
  <c r="H21" i="4"/>
  <c r="F26" i="4"/>
  <c r="N26" i="4"/>
  <c r="D31" i="4"/>
  <c r="L31" i="4"/>
  <c r="I21" i="4"/>
  <c r="G26" i="4"/>
  <c r="E31" i="4"/>
  <c r="M31" i="4"/>
  <c r="O30" i="4"/>
  <c r="O25" i="4"/>
  <c r="O20" i="4"/>
  <c r="U3" i="13" l="1"/>
  <c r="D5" i="13"/>
  <c r="D8" i="13" s="1"/>
  <c r="N5" i="13"/>
  <c r="N8" i="13" s="1"/>
  <c r="AL38" i="13" s="1"/>
  <c r="S3" i="13"/>
  <c r="S5" i="13" s="1"/>
  <c r="S8" i="13" s="1"/>
  <c r="AQ38" i="13" s="1"/>
  <c r="P3" i="13"/>
  <c r="P5" i="13" s="1"/>
  <c r="P8" i="13" s="1"/>
  <c r="AN38" i="13" s="1"/>
  <c r="O3" i="13"/>
  <c r="O5" i="13" s="1"/>
  <c r="O8" i="13" s="1"/>
  <c r="AM38" i="13" s="1"/>
  <c r="R3" i="13"/>
  <c r="R5" i="13" s="1"/>
  <c r="R8" i="13" s="1"/>
  <c r="AP38" i="13" s="1"/>
  <c r="Q3" i="13"/>
  <c r="Q5" i="13" s="1"/>
  <c r="Q8" i="13" s="1"/>
  <c r="AO38" i="13" s="1"/>
  <c r="M3" i="13"/>
  <c r="M5" i="13" s="1"/>
  <c r="M8" i="13" s="1"/>
  <c r="AK38" i="13" s="1"/>
  <c r="L3" i="13"/>
  <c r="L5" i="13" s="1"/>
  <c r="L8" i="13" s="1"/>
  <c r="AJ38" i="13" s="1"/>
  <c r="K3" i="13"/>
  <c r="K5" i="13" s="1"/>
  <c r="K8" i="13" s="1"/>
  <c r="AI38" i="13" s="1"/>
  <c r="J3" i="13"/>
  <c r="J5" i="13" s="1"/>
  <c r="J8" i="13" s="1"/>
  <c r="AH38" i="13" s="1"/>
  <c r="J3" i="12"/>
  <c r="J5" i="12" s="1"/>
  <c r="J8" i="12" s="1"/>
  <c r="AH38" i="12" s="1"/>
  <c r="K3" i="12"/>
  <c r="K5" i="12" s="1"/>
  <c r="K8" i="12" s="1"/>
  <c r="AI38" i="12" s="1"/>
  <c r="L3" i="12"/>
  <c r="L5" i="12" s="1"/>
  <c r="L8" i="12" s="1"/>
  <c r="AJ38" i="12" s="1"/>
  <c r="M3" i="12"/>
  <c r="M5" i="12" s="1"/>
  <c r="M8" i="12" s="1"/>
  <c r="AK38" i="12" s="1"/>
  <c r="O5" i="12"/>
  <c r="O8" i="12" s="1"/>
  <c r="AM38" i="12" s="1"/>
  <c r="P5" i="12"/>
  <c r="P8" i="12" s="1"/>
  <c r="AN38" i="12" s="1"/>
  <c r="Q5" i="12"/>
  <c r="Q8" i="12" s="1"/>
  <c r="AO38" i="12" s="1"/>
  <c r="R5" i="12"/>
  <c r="R8" i="12" s="1"/>
  <c r="AP38" i="12" s="1"/>
  <c r="S5" i="12"/>
  <c r="S8" i="12" s="1"/>
  <c r="AQ38" i="12" s="1"/>
  <c r="AB39" i="12"/>
  <c r="AC39" i="12"/>
  <c r="AD39" i="12"/>
  <c r="AE39" i="12"/>
  <c r="H5" i="12"/>
  <c r="H8" i="12" s="1"/>
  <c r="U2" i="12"/>
  <c r="U4" i="12" s="1"/>
  <c r="J3" i="11"/>
  <c r="J5" i="11" s="1"/>
  <c r="J8" i="11" s="1"/>
  <c r="AH38" i="11" s="1"/>
  <c r="K5" i="11"/>
  <c r="K8" i="11" s="1"/>
  <c r="AI38" i="11" s="1"/>
  <c r="L3" i="11"/>
  <c r="L5" i="11" s="1"/>
  <c r="L8" i="11" s="1"/>
  <c r="AJ38" i="11" s="1"/>
  <c r="M3" i="11"/>
  <c r="M5" i="11" s="1"/>
  <c r="M8" i="11" s="1"/>
  <c r="AK38" i="11" s="1"/>
  <c r="O3" i="11"/>
  <c r="O5" i="11" s="1"/>
  <c r="O8" i="11" s="1"/>
  <c r="AM38" i="11" s="1"/>
  <c r="P3" i="11"/>
  <c r="P5" i="11" s="1"/>
  <c r="P8" i="11" s="1"/>
  <c r="AN38" i="11" s="1"/>
  <c r="Q3" i="11"/>
  <c r="Q5" i="11" s="1"/>
  <c r="Q8" i="11" s="1"/>
  <c r="AO38" i="11" s="1"/>
  <c r="R3" i="11"/>
  <c r="R5" i="11" s="1"/>
  <c r="R8" i="11" s="1"/>
  <c r="AP38" i="11" s="1"/>
  <c r="S3" i="11"/>
  <c r="S5" i="11" s="1"/>
  <c r="S8" i="11" s="1"/>
  <c r="AQ38" i="11" s="1"/>
  <c r="AB39" i="11"/>
  <c r="AC39" i="11"/>
  <c r="AD39" i="11"/>
  <c r="AE39" i="11"/>
  <c r="H5" i="11"/>
  <c r="H8" i="11" s="1"/>
  <c r="U2" i="11"/>
  <c r="U4" i="11" s="1"/>
  <c r="O39" i="4"/>
  <c r="O34" i="4"/>
  <c r="K4" i="4"/>
  <c r="L4" i="4"/>
  <c r="M4" i="4"/>
  <c r="S4" i="4"/>
  <c r="R4" i="4"/>
  <c r="O4" i="4"/>
  <c r="P4" i="4"/>
  <c r="Q4" i="4"/>
  <c r="N4" i="4"/>
  <c r="O19" i="4"/>
  <c r="D21" i="4"/>
  <c r="O24" i="4"/>
  <c r="O29" i="4"/>
  <c r="C26" i="4"/>
  <c r="V17" i="13" l="1"/>
  <c r="V23" i="13"/>
  <c r="V16" i="13"/>
  <c r="H11" i="13"/>
  <c r="C11" i="13"/>
  <c r="V22" i="13"/>
  <c r="V21" i="13"/>
  <c r="V15" i="13"/>
  <c r="V29" i="13"/>
  <c r="V20" i="13"/>
  <c r="V19" i="13"/>
  <c r="V14" i="13"/>
  <c r="V28" i="13"/>
  <c r="V27" i="13"/>
  <c r="V26" i="13"/>
  <c r="AB38" i="13"/>
  <c r="V25" i="13"/>
  <c r="V18" i="13"/>
  <c r="V24" i="13"/>
  <c r="U2" i="13"/>
  <c r="U4" i="13" s="1"/>
  <c r="AF38" i="12"/>
  <c r="C11" i="12"/>
  <c r="H11" i="12"/>
  <c r="V18" i="12"/>
  <c r="V19" i="12"/>
  <c r="V20" i="12"/>
  <c r="V21" i="12"/>
  <c r="V22" i="12"/>
  <c r="V23" i="12"/>
  <c r="V24" i="12"/>
  <c r="V25" i="12"/>
  <c r="V26" i="12"/>
  <c r="V27" i="12"/>
  <c r="V28" i="12"/>
  <c r="V29" i="12"/>
  <c r="AF38" i="11"/>
  <c r="C11" i="11"/>
  <c r="H11" i="11"/>
  <c r="V18" i="11"/>
  <c r="V19" i="11"/>
  <c r="V20" i="11"/>
  <c r="V21" i="11"/>
  <c r="V22" i="11"/>
  <c r="V23" i="11"/>
  <c r="V24" i="11"/>
  <c r="V25" i="11"/>
  <c r="V26" i="11"/>
  <c r="V27" i="11"/>
  <c r="V28" i="11"/>
  <c r="V29" i="11"/>
  <c r="AQ39" i="13" l="1"/>
  <c r="AE39" i="13"/>
  <c r="AP39" i="13"/>
  <c r="AD39" i="13"/>
  <c r="AO39" i="13"/>
  <c r="AC39" i="13"/>
  <c r="AB39" i="13"/>
  <c r="AN39" i="13"/>
  <c r="AM39" i="13"/>
  <c r="AL39" i="13"/>
  <c r="AK39" i="13"/>
  <c r="AJ39" i="13"/>
  <c r="AI39" i="13"/>
  <c r="AH39" i="13"/>
  <c r="AG39" i="13"/>
  <c r="AF39" i="13"/>
  <c r="AF39" i="12"/>
  <c r="AG39" i="12"/>
  <c r="AH39" i="12"/>
  <c r="AI39" i="12"/>
  <c r="AJ39" i="12"/>
  <c r="AK39" i="12"/>
  <c r="AL39" i="12"/>
  <c r="AM39" i="12"/>
  <c r="AN39" i="12"/>
  <c r="AO39" i="12"/>
  <c r="AP39" i="12"/>
  <c r="AQ39" i="12"/>
  <c r="AF39" i="11"/>
  <c r="AG39" i="11"/>
  <c r="AH39" i="11"/>
  <c r="AI39" i="11"/>
  <c r="AJ39" i="11"/>
  <c r="AK39" i="11"/>
  <c r="AL39" i="11"/>
  <c r="AM39" i="11"/>
  <c r="AN39" i="11"/>
  <c r="AO39" i="11"/>
  <c r="AP39" i="11"/>
  <c r="AQ39" i="11"/>
  <c r="R15" i="4"/>
  <c r="R18" i="4" s="1"/>
  <c r="N64" i="4" s="1"/>
  <c r="M64" i="4" l="1"/>
  <c r="L64" i="4"/>
  <c r="K64" i="4"/>
  <c r="J64" i="4"/>
  <c r="I64" i="4"/>
  <c r="H64" i="4"/>
  <c r="G64" i="4"/>
  <c r="F64" i="4"/>
  <c r="E64" i="4"/>
  <c r="D64" i="4"/>
  <c r="C64" i="4"/>
  <c r="C59" i="4"/>
  <c r="D59" i="4"/>
  <c r="E59" i="4"/>
  <c r="F59" i="4"/>
  <c r="G59" i="4"/>
  <c r="H59" i="4"/>
  <c r="I59" i="4"/>
  <c r="J59" i="4"/>
  <c r="K59" i="4"/>
  <c r="L59" i="4"/>
  <c r="M59" i="4"/>
  <c r="N59" i="4"/>
  <c r="N54" i="4"/>
  <c r="M54" i="4"/>
  <c r="L54" i="4"/>
  <c r="K54" i="4"/>
  <c r="J54" i="4"/>
  <c r="I54" i="4"/>
  <c r="H54" i="4"/>
  <c r="G54" i="4"/>
  <c r="F54" i="4"/>
  <c r="E54" i="4"/>
  <c r="D54" i="4"/>
  <c r="C54" i="4"/>
  <c r="O54" i="4" s="1"/>
  <c r="C49" i="4"/>
  <c r="N44" i="4"/>
  <c r="D49" i="4"/>
  <c r="E49" i="4"/>
  <c r="F49" i="4"/>
  <c r="G49" i="4"/>
  <c r="H49" i="4"/>
  <c r="I49" i="4"/>
  <c r="J49" i="4"/>
  <c r="K49" i="4"/>
  <c r="L49" i="4"/>
  <c r="M49" i="4"/>
  <c r="N49" i="4"/>
  <c r="M44" i="4"/>
  <c r="L44" i="4"/>
  <c r="K44" i="4"/>
  <c r="J44" i="4"/>
  <c r="I44" i="4"/>
  <c r="H44" i="4"/>
  <c r="G44" i="4"/>
  <c r="F44" i="4"/>
  <c r="E44" i="4"/>
  <c r="D44" i="4"/>
  <c r="C44" i="4"/>
  <c r="M76" i="4"/>
  <c r="E76" i="4"/>
  <c r="L71" i="4"/>
  <c r="D71" i="4"/>
  <c r="K66" i="4"/>
  <c r="K61" i="4"/>
  <c r="N56" i="4"/>
  <c r="F56" i="4"/>
  <c r="N51" i="4"/>
  <c r="F51" i="4"/>
  <c r="D46" i="4"/>
  <c r="L46" i="4"/>
  <c r="L76" i="4"/>
  <c r="D76" i="4"/>
  <c r="K71" i="4"/>
  <c r="J66" i="4"/>
  <c r="J61" i="4"/>
  <c r="M56" i="4"/>
  <c r="E56" i="4"/>
  <c r="M51" i="4"/>
  <c r="E51" i="4"/>
  <c r="E46" i="4"/>
  <c r="M46" i="4"/>
  <c r="J76" i="4"/>
  <c r="I71" i="4"/>
  <c r="H66" i="4"/>
  <c r="H61" i="4"/>
  <c r="K56" i="4"/>
  <c r="K51" i="4"/>
  <c r="G46" i="4"/>
  <c r="F71" i="4"/>
  <c r="G66" i="4"/>
  <c r="N61" i="4"/>
  <c r="H56" i="4"/>
  <c r="J51" i="4"/>
  <c r="E71" i="4"/>
  <c r="F66" i="4"/>
  <c r="G56" i="4"/>
  <c r="F46" i="4"/>
  <c r="E66" i="4"/>
  <c r="L61" i="4"/>
  <c r="D56" i="4"/>
  <c r="L51" i="4"/>
  <c r="M61" i="4"/>
  <c r="I51" i="4"/>
  <c r="H51" i="4"/>
  <c r="F76" i="4"/>
  <c r="I56" i="4"/>
  <c r="N76" i="4"/>
  <c r="H46" i="4"/>
  <c r="F61" i="4"/>
  <c r="K46" i="4"/>
  <c r="D61" i="4"/>
  <c r="K76" i="4"/>
  <c r="N71" i="4"/>
  <c r="D66" i="4"/>
  <c r="I61" i="4"/>
  <c r="G51" i="4"/>
  <c r="I46" i="4"/>
  <c r="H76" i="4"/>
  <c r="J71" i="4"/>
  <c r="M66" i="4"/>
  <c r="L56" i="4"/>
  <c r="G76" i="4"/>
  <c r="L66" i="4"/>
  <c r="J56" i="4"/>
  <c r="N46" i="4"/>
  <c r="I76" i="4"/>
  <c r="M71" i="4"/>
  <c r="N66" i="4"/>
  <c r="G61" i="4"/>
  <c r="D51" i="4"/>
  <c r="J46" i="4"/>
  <c r="H71" i="4"/>
  <c r="E61" i="4"/>
  <c r="G71" i="4"/>
  <c r="I66" i="4"/>
  <c r="H4" i="4"/>
  <c r="F4" i="4"/>
  <c r="O69" i="4" l="1"/>
  <c r="C71" i="4"/>
  <c r="O49" i="4"/>
  <c r="C51" i="4"/>
  <c r="O74" i="4"/>
  <c r="C76" i="4"/>
  <c r="C56" i="4"/>
  <c r="C46" i="4"/>
  <c r="O44" i="4"/>
  <c r="O59" i="4"/>
  <c r="C61" i="4"/>
  <c r="O64" i="4"/>
  <c r="N3" i="4" s="1"/>
  <c r="N5" i="4" s="1"/>
  <c r="C66" i="4"/>
  <c r="E16" i="4"/>
  <c r="F16" i="4"/>
  <c r="R19" i="4"/>
  <c r="L16" i="4"/>
  <c r="D16" i="4"/>
  <c r="I16" i="4"/>
  <c r="H16" i="4"/>
  <c r="N16" i="4"/>
  <c r="J16" i="4"/>
  <c r="K16" i="4"/>
  <c r="M16" i="4"/>
  <c r="G16" i="4"/>
  <c r="E4" i="4"/>
  <c r="G4" i="4"/>
  <c r="I4" i="4"/>
  <c r="O15" i="4"/>
  <c r="D4" i="4" s="1"/>
  <c r="U3" i="4" s="1"/>
  <c r="N8" i="4" l="1"/>
  <c r="AL38" i="4" s="1"/>
  <c r="Y14" i="4"/>
  <c r="Y13" i="4"/>
  <c r="Y12" i="4"/>
  <c r="Y11" i="4"/>
  <c r="Y10" i="4"/>
  <c r="Y9" i="4"/>
  <c r="K3" i="4"/>
  <c r="K5" i="4" s="1"/>
  <c r="J3" i="4"/>
  <c r="J5" i="4" s="1"/>
  <c r="M3" i="4"/>
  <c r="M5" i="4" s="1"/>
  <c r="L3" i="4"/>
  <c r="L5" i="4" s="1"/>
  <c r="O3" i="4"/>
  <c r="O5" i="4" s="1"/>
  <c r="P3" i="4"/>
  <c r="P5" i="4" s="1"/>
  <c r="Q3" i="4"/>
  <c r="Q5" i="4" s="1"/>
  <c r="R3" i="4"/>
  <c r="R5" i="4" s="1"/>
  <c r="S3" i="4"/>
  <c r="S5" i="4" s="1"/>
  <c r="E3" i="4"/>
  <c r="E5" i="4" s="1"/>
  <c r="AC38" i="4" s="1"/>
  <c r="F3" i="4"/>
  <c r="F5" i="4" s="1"/>
  <c r="AD38" i="4" s="1"/>
  <c r="O14" i="4"/>
  <c r="I3" i="4"/>
  <c r="I5" i="4" s="1"/>
  <c r="AG38" i="4" s="1"/>
  <c r="G3" i="4"/>
  <c r="G5" i="4" s="1"/>
  <c r="AE38" i="4" s="1"/>
  <c r="C16" i="4"/>
  <c r="H3" i="4"/>
  <c r="H5" i="4" s="1"/>
  <c r="S8" i="4" l="1"/>
  <c r="AQ38" i="4" s="1"/>
  <c r="R8" i="4"/>
  <c r="AP38" i="4" s="1"/>
  <c r="Q8" i="4"/>
  <c r="AO38" i="4" s="1"/>
  <c r="P8" i="4"/>
  <c r="AN38" i="4" s="1"/>
  <c r="O8" i="4"/>
  <c r="AM38" i="4" s="1"/>
  <c r="L8" i="4"/>
  <c r="AJ38" i="4" s="1"/>
  <c r="M8" i="4"/>
  <c r="AK38" i="4" s="1"/>
  <c r="J8" i="4"/>
  <c r="AH38" i="4" s="1"/>
  <c r="K8" i="4"/>
  <c r="AI38" i="4" s="1"/>
  <c r="D5" i="4"/>
  <c r="U2" i="4"/>
  <c r="U4" i="4" s="1"/>
  <c r="V14" i="4" l="1"/>
  <c r="AB38" i="4"/>
  <c r="V16" i="4"/>
  <c r="V15" i="4"/>
  <c r="V17" i="4"/>
  <c r="AC39" i="4" l="1"/>
  <c r="AE39" i="4"/>
  <c r="AB39" i="4"/>
  <c r="AD39" i="4"/>
  <c r="AP39" i="4"/>
  <c r="AQ39" i="4"/>
  <c r="AJ39" i="4"/>
  <c r="AL39" i="4"/>
  <c r="AM39" i="4"/>
  <c r="AF39" i="4"/>
  <c r="AN39" i="4"/>
  <c r="AH39" i="4"/>
  <c r="AG39" i="4"/>
  <c r="AO39" i="4"/>
  <c r="AI39" i="4"/>
  <c r="AK39" i="4"/>
  <c r="V21" i="4"/>
  <c r="V29" i="4"/>
  <c r="V20" i="4"/>
  <c r="V25" i="4"/>
  <c r="V23" i="4"/>
  <c r="V28" i="4"/>
  <c r="V27" i="4"/>
  <c r="V19" i="4"/>
  <c r="V26" i="4"/>
  <c r="V18" i="4"/>
  <c r="V24" i="4"/>
  <c r="H11" i="4"/>
  <c r="V22" i="4"/>
  <c r="AF38" i="4"/>
  <c r="C11" i="4"/>
</calcChain>
</file>

<file path=xl/sharedStrings.xml><?xml version="1.0" encoding="utf-8"?>
<sst xmlns="http://schemas.openxmlformats.org/spreadsheetml/2006/main" count="1322" uniqueCount="82">
  <si>
    <t>CREDITO ICETEX</t>
  </si>
  <si>
    <t>Año</t>
  </si>
  <si>
    <t>Costos</t>
  </si>
  <si>
    <t>Matricula/Pago Deuda</t>
  </si>
  <si>
    <t>Transporte</t>
  </si>
  <si>
    <t xml:space="preserve">Sueldo Profesional/Mes </t>
  </si>
  <si>
    <t>Inversión - Egresos</t>
  </si>
  <si>
    <t>Beneficios</t>
  </si>
  <si>
    <t>Ingresos</t>
  </si>
  <si>
    <t>Razón B/C</t>
  </si>
  <si>
    <t>FLUJO NETO DE CAJA</t>
  </si>
  <si>
    <t>Tasa de descuento</t>
  </si>
  <si>
    <t>TIR</t>
  </si>
  <si>
    <t>VPN</t>
  </si>
  <si>
    <t>Año (2021)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</si>
  <si>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</si>
  <si>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</si>
  <si>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</si>
  <si>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</si>
  <si>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</si>
  <si>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</si>
  <si>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</si>
  <si>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</si>
  <si>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</si>
  <si>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</si>
  <si>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</si>
  <si>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</si>
  <si>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Total</t>
  </si>
  <si>
    <t>Prestamo ICETEX</t>
  </si>
  <si>
    <t>Periodo</t>
  </si>
  <si>
    <t xml:space="preserve">Interes(EA) </t>
  </si>
  <si>
    <t>TIR 2021</t>
  </si>
  <si>
    <t xml:space="preserve">Interes(EM) </t>
  </si>
  <si>
    <t>TIR 2022</t>
  </si>
  <si>
    <t>Credito (Años)</t>
  </si>
  <si>
    <t>TIR 2023</t>
  </si>
  <si>
    <t>Credito(Meses)</t>
  </si>
  <si>
    <t>TIR 2024</t>
  </si>
  <si>
    <t>Año (2022)</t>
  </si>
  <si>
    <t>Cuota Mes</t>
  </si>
  <si>
    <t>TIR 2025</t>
  </si>
  <si>
    <t>Cuota del Año</t>
  </si>
  <si>
    <t>TIR 2026</t>
  </si>
  <si>
    <t>TIR 2027</t>
  </si>
  <si>
    <t>IPC</t>
  </si>
  <si>
    <t>TIR 2028</t>
  </si>
  <si>
    <t>Prestamo Icetex</t>
  </si>
  <si>
    <t>TIR 2029</t>
  </si>
  <si>
    <t>TOTAL</t>
  </si>
  <si>
    <t>Año (2023)</t>
  </si>
  <si>
    <t>TIR 2030</t>
  </si>
  <si>
    <t>TIR 2031</t>
  </si>
  <si>
    <t>TIR 2032</t>
  </si>
  <si>
    <t>TIR 2033</t>
  </si>
  <si>
    <t>TIR 2034</t>
  </si>
  <si>
    <t>Año (2024)</t>
  </si>
  <si>
    <t>TIR 2035</t>
  </si>
  <si>
    <t>TIR 2036</t>
  </si>
  <si>
    <t>Año (2025)</t>
  </si>
  <si>
    <t>Pago/Semestre</t>
  </si>
  <si>
    <t>Transporte MotoTaxi</t>
  </si>
  <si>
    <t>Transporte Propio (Gasolina)</t>
  </si>
  <si>
    <t>Transporte Propio (Anual)</t>
  </si>
  <si>
    <t>Año (2026)</t>
  </si>
  <si>
    <t>Año (2027)</t>
  </si>
  <si>
    <t>Transporte MotoTaxi (Mensual</t>
  </si>
  <si>
    <t>Año (2028)</t>
  </si>
  <si>
    <t>Año (2029)</t>
  </si>
  <si>
    <t>Año (2030)</t>
  </si>
  <si>
    <t>Año (2031)</t>
  </si>
  <si>
    <t>Año (2032)</t>
  </si>
  <si>
    <t>Año (2033)</t>
  </si>
  <si>
    <t>Año (2034)</t>
  </si>
  <si>
    <t>Año (2035)</t>
  </si>
  <si>
    <t>Año (2036)</t>
  </si>
  <si>
    <t>Nuevo Prestamo</t>
  </si>
  <si>
    <t>cuota anual</t>
  </si>
  <si>
    <t xml:space="preserve">ganancia </t>
  </si>
  <si>
    <t>Alimentación</t>
  </si>
  <si>
    <t>Vivienda</t>
  </si>
  <si>
    <t>INVERSIÓN CDT</t>
  </si>
  <si>
    <t>INVERSIÓN COMPRA DE APARTAMENTO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</si>
</sst>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8" formatCode="&quot;$&quot;\ #,##0.00;[Red]\-&quot;$&quot;\ #,##0.00"/>
    <numFmt numFmtId="164" formatCode="&quot;$&quot;#,##0.00;[Red]\-&quot;$&quot;#,##0.00"/>
    <numFmt numFmtId="165" formatCode="&quot;$&quot;#,##0"/>
    <numFmt numFmtId="166" formatCode="&quot;$&quot;#,##0.0;[Red]\-&quot;$&quot;#,##0.0"/>
    <numFmt numFmtId="167" formatCode="0.0%"/>
    <numFmt numFmtId="168" formatCode="&quot;$&quot;\ #,##0.00"/>
    <numFmt numFmtId="169" formatCode="&quot;$&quot;\ #,##0.0"/>
    <numFmt numFmtId="170" formatCode="&quot;$&quot;\ #,##0.0;[Red]\-&quot;$&quot;\ #,##0.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00206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8">
    <xf numFmtId="0" fontId="0" fillId="0" borderId="0" xfId="0"/>
    <xf numFmtId="2" fontId="0" fillId="0" borderId="0" xfId="0" applyNumberFormat="1"/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165" fontId="5" fillId="0" borderId="4" xfId="0" applyNumberFormat="1" applyFont="1" applyBorder="1" applyAlignment="1">
      <alignment horizontal="center" vertical="center"/>
    </xf>
    <xf numFmtId="165" fontId="0" fillId="0" borderId="4" xfId="0" applyNumberFormat="1" applyBorder="1" applyAlignment="1">
      <alignment horizontal="center" vertical="center"/>
    </xf>
    <xf numFmtId="165" fontId="0" fillId="0" borderId="6" xfId="0" applyNumberFormat="1" applyBorder="1" applyAlignment="1">
      <alignment horizontal="center" vertical="center"/>
    </xf>
    <xf numFmtId="165" fontId="0" fillId="0" borderId="15" xfId="0" applyNumberFormat="1" applyBorder="1" applyAlignment="1">
      <alignment horizontal="center" vertical="center"/>
    </xf>
    <xf numFmtId="0" fontId="4" fillId="0" borderId="10" xfId="0" applyFont="1" applyBorder="1" applyAlignment="1">
      <alignment vertical="center"/>
    </xf>
    <xf numFmtId="10" fontId="4" fillId="0" borderId="11" xfId="1" applyNumberFormat="1" applyFont="1" applyBorder="1"/>
    <xf numFmtId="0" fontId="0" fillId="0" borderId="16" xfId="0" applyBorder="1"/>
    <xf numFmtId="0" fontId="4" fillId="0" borderId="12" xfId="0" applyFont="1" applyBorder="1" applyAlignment="1">
      <alignment horizontal="center"/>
    </xf>
    <xf numFmtId="166" fontId="6" fillId="0" borderId="13" xfId="0" applyNumberFormat="1" applyFont="1" applyBorder="1"/>
    <xf numFmtId="10" fontId="0" fillId="0" borderId="17" xfId="0" applyNumberFormat="1" applyBorder="1"/>
    <xf numFmtId="9" fontId="0" fillId="0" borderId="0" xfId="0" applyNumberFormat="1"/>
    <xf numFmtId="0" fontId="4" fillId="0" borderId="4" xfId="0" applyFont="1" applyBorder="1" applyAlignment="1">
      <alignment horizontal="center" vertical="center"/>
    </xf>
    <xf numFmtId="165" fontId="7" fillId="0" borderId="4" xfId="0" applyNumberFormat="1" applyFont="1" applyBorder="1" applyAlignment="1">
      <alignment horizontal="center" vertical="center"/>
    </xf>
    <xf numFmtId="0" fontId="4" fillId="0" borderId="4" xfId="0" applyFont="1" applyBorder="1"/>
    <xf numFmtId="165" fontId="3" fillId="0" borderId="4" xfId="0" applyNumberFormat="1" applyFont="1" applyBorder="1"/>
    <xf numFmtId="165" fontId="0" fillId="0" borderId="4" xfId="0" applyNumberFormat="1" applyBorder="1"/>
    <xf numFmtId="165" fontId="9" fillId="0" borderId="7" xfId="0" applyNumberFormat="1" applyFont="1" applyBorder="1"/>
    <xf numFmtId="2" fontId="9" fillId="0" borderId="9" xfId="0" applyNumberFormat="1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165" fontId="9" fillId="0" borderId="6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165" fontId="9" fillId="0" borderId="3" xfId="0" applyNumberFormat="1" applyFont="1" applyBorder="1" applyAlignment="1">
      <alignment horizontal="center" vertical="center"/>
    </xf>
    <xf numFmtId="0" fontId="0" fillId="0" borderId="4" xfId="0" applyBorder="1"/>
    <xf numFmtId="10" fontId="0" fillId="0" borderId="4" xfId="0" applyNumberFormat="1" applyBorder="1"/>
    <xf numFmtId="2" fontId="0" fillId="0" borderId="4" xfId="0" applyNumberFormat="1" applyBorder="1"/>
    <xf numFmtId="9" fontId="0" fillId="0" borderId="4" xfId="0" applyNumberFormat="1" applyBorder="1"/>
    <xf numFmtId="0" fontId="4" fillId="0" borderId="0" xfId="0" applyFont="1"/>
    <xf numFmtId="167" fontId="4" fillId="0" borderId="4" xfId="0" applyNumberFormat="1" applyFont="1" applyBorder="1"/>
    <xf numFmtId="168" fontId="0" fillId="0" borderId="0" xfId="0" applyNumberFormat="1"/>
    <xf numFmtId="169" fontId="0" fillId="0" borderId="0" xfId="0" applyNumberFormat="1"/>
    <xf numFmtId="10" fontId="0" fillId="0" borderId="0" xfId="0" applyNumberFormat="1"/>
    <xf numFmtId="8" fontId="0" fillId="0" borderId="0" xfId="0" applyNumberFormat="1"/>
    <xf numFmtId="170" fontId="0" fillId="0" borderId="0" xfId="0" applyNumberFormat="1"/>
    <xf numFmtId="0" fontId="0" fillId="0" borderId="0" xfId="0" applyAlignment="1">
      <alignment vertical="center" wrapText="1"/>
    </xf>
    <xf numFmtId="0" fontId="2" fillId="0" borderId="0" xfId="0" applyFont="1"/>
    <xf numFmtId="165" fontId="8" fillId="0" borderId="32" xfId="0" applyNumberFormat="1" applyFont="1" applyBorder="1"/>
    <xf numFmtId="0" fontId="0" fillId="0" borderId="19" xfId="0" applyBorder="1"/>
    <xf numFmtId="0" fontId="0" fillId="0" borderId="11" xfId="0" applyBorder="1"/>
    <xf numFmtId="165" fontId="8" fillId="0" borderId="33" xfId="0" applyNumberFormat="1" applyFont="1" applyBorder="1"/>
    <xf numFmtId="164" fontId="0" fillId="0" borderId="8" xfId="0" applyNumberFormat="1" applyBorder="1"/>
    <xf numFmtId="0" fontId="4" fillId="0" borderId="0" xfId="0" applyFont="1" applyAlignment="1">
      <alignment horizontal="center" vertical="center"/>
    </xf>
    <xf numFmtId="165" fontId="8" fillId="0" borderId="0" xfId="0" applyNumberFormat="1" applyFont="1"/>
    <xf numFmtId="0" fontId="4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top"/>
    </xf>
    <xf numFmtId="0" fontId="0" fillId="0" borderId="0" xfId="0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7" fillId="0" borderId="34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4" xfId="0" applyFont="1" applyBorder="1" applyAlignment="1">
      <alignment horizontal="center"/>
    </xf>
    <xf numFmtId="0" fontId="7" fillId="0" borderId="0" xfId="0" applyFont="1" applyAlignment="1">
      <alignment vertical="center"/>
    </xf>
    <xf numFmtId="0" fontId="0" fillId="0" borderId="0" xfId="0" applyBorder="1"/>
    <xf numFmtId="0" fontId="0" fillId="0" borderId="4" xfId="0" applyBorder="1" applyAlignment="1">
      <alignment horizontal="center"/>
    </xf>
    <xf numFmtId="0" fontId="0" fillId="0" borderId="22" xfId="0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0" fillId="0" borderId="35" xfId="0" applyBorder="1" applyAlignment="1">
      <alignment horizontal="center"/>
    </xf>
    <xf numFmtId="0" fontId="4" fillId="0" borderId="0" xfId="0" applyFont="1" applyBorder="1"/>
    <xf numFmtId="0" fontId="0" fillId="0" borderId="0" xfId="0" applyBorder="1" applyAlignment="1">
      <alignment horizontal="left" vertical="top"/>
    </xf>
    <xf numFmtId="0" fontId="4" fillId="0" borderId="29" xfId="0" applyFont="1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6" xfId="0" applyBorder="1" applyAlignment="1">
      <alignment horizontal="center"/>
    </xf>
    <xf numFmtId="0" fontId="4" fillId="0" borderId="35" xfId="0" applyFont="1" applyBorder="1" applyAlignment="1">
      <alignment horizontal="center"/>
    </xf>
    <xf numFmtId="0" fontId="0" fillId="0" borderId="37" xfId="0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 applyBorder="1"/>
    <xf numFmtId="165" fontId="3" fillId="0" borderId="8" xfId="0" applyNumberFormat="1" applyFont="1" applyBorder="1"/>
    <xf numFmtId="165" fontId="3" fillId="0" borderId="9" xfId="0" applyNumberFormat="1" applyFont="1" applyBorder="1"/>
    <xf numFmtId="165" fontId="3" fillId="0" borderId="14" xfId="0" applyNumberFormat="1" applyFont="1" applyBorder="1"/>
    <xf numFmtId="165" fontId="7" fillId="0" borderId="14" xfId="0" applyNumberFormat="1" applyFont="1" applyBorder="1"/>
    <xf numFmtId="165" fontId="3" fillId="0" borderId="7" xfId="0" applyNumberFormat="1" applyFont="1" applyBorder="1"/>
    <xf numFmtId="165" fontId="7" fillId="0" borderId="7" xfId="0" applyNumberFormat="1" applyFont="1" applyBorder="1"/>
    <xf numFmtId="165" fontId="0" fillId="0" borderId="0" xfId="0" applyNumberFormat="1"/>
    <xf numFmtId="165" fontId="11" fillId="0" borderId="4" xfId="0" applyNumberFormat="1" applyFont="1" applyBorder="1"/>
    <xf numFmtId="165" fontId="3" fillId="0" borderId="4" xfId="0" applyNumberFormat="1" applyFont="1" applyBorder="1" applyAlignment="1">
      <alignment horizontal="center" vertical="center"/>
    </xf>
    <xf numFmtId="165" fontId="12" fillId="0" borderId="4" xfId="0" applyNumberFormat="1" applyFont="1" applyBorder="1"/>
    <xf numFmtId="0" fontId="0" fillId="0" borderId="0" xfId="0" applyFont="1" applyAlignment="1">
      <alignment horizontal="center" vertical="top"/>
    </xf>
    <xf numFmtId="0" fontId="4" fillId="0" borderId="23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30" xfId="0" applyFont="1" applyBorder="1" applyAlignment="1">
      <alignment horizontal="center"/>
    </xf>
    <xf numFmtId="0" fontId="4" fillId="0" borderId="31" xfId="0" applyFont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4" fillId="0" borderId="27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4" fillId="0" borderId="24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/>
    </xf>
    <xf numFmtId="0" fontId="3" fillId="0" borderId="0" xfId="0" applyFont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'ICETEX (100%)'!$Z$39</c:f>
              <c:strCache>
                <c:ptCount val="1"/>
                <c:pt idx="0">
                  <c:v>VPN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'ICETEX (100%)'!$AA$37:$AQ$37</c:f>
              <c:numCache>
                <c:formatCode>General</c:formatCode>
                <c:ptCount val="17"/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</c:numCache>
            </c:numRef>
          </c:cat>
          <c:val>
            <c:numRef>
              <c:f>'ICETEX (100%)'!$AA$39:$AQ$39</c:f>
              <c:numCache>
                <c:formatCode>"$"#,##0.00;[Red]\-"$"#,##0.00</c:formatCode>
                <c:ptCount val="17"/>
                <c:pt idx="1">
                  <c:v>-2336501.9011406843</c:v>
                </c:pt>
                <c:pt idx="2">
                  <c:v>-4616424.9880726915</c:v>
                </c:pt>
                <c:pt idx="3">
                  <c:v>-6832438.9203343745</c:v>
                </c:pt>
                <c:pt idx="4">
                  <c:v>-8888050.3350097202</c:v>
                </c:pt>
                <c:pt idx="5">
                  <c:v>-10448567.603353541</c:v>
                </c:pt>
                <c:pt idx="6">
                  <c:v>-11746996.669581695</c:v>
                </c:pt>
                <c:pt idx="7">
                  <c:v>-2965507.0925261895</c:v>
                </c:pt>
                <c:pt idx="8">
                  <c:v>5206587.8768290477</c:v>
                </c:pt>
                <c:pt idx="9">
                  <c:v>12762880.321704699</c:v>
                </c:pt>
                <c:pt idx="10">
                  <c:v>19878538.961738981</c:v>
                </c:pt>
                <c:pt idx="11">
                  <c:v>26642473.030212633</c:v>
                </c:pt>
                <c:pt idx="12">
                  <c:v>33072068.152335871</c:v>
                </c:pt>
                <c:pt idx="13">
                  <c:v>39183850.587814234</c:v>
                </c:pt>
                <c:pt idx="14">
                  <c:v>44993529.708991393</c:v>
                </c:pt>
                <c:pt idx="15">
                  <c:v>50516038.379311882</c:v>
                </c:pt>
                <c:pt idx="16">
                  <c:v>55765571.335890293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6F-4E2F-B127-D23A2797D7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8841880"/>
        <c:axId val="401062832"/>
      </c:lineChart>
      <c:catAx>
        <c:axId val="328841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01062832"/>
        <c:crosses val="autoZero"/>
        <c:auto val="1"/>
        <c:lblAlgn val="ctr"/>
        <c:lblOffset val="100"/>
        <c:noMultiLvlLbl val="0"/>
      </c:catAx>
      <c:valAx>
        <c:axId val="40106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28841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'ICETEX (100%)'!$V$13</c:f>
              <c:strCache>
                <c:ptCount val="1"/>
                <c:pt idx="0">
                  <c:v>TIR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'ICETEX (100%)'!$U$14:$U$29</c:f>
              <c:strCache>
                <c:ptCount val="16"/>
                <c:pt idx="0">
                  <c:v>TIR 2021</c:v>
                </c:pt>
                <c:pt idx="1">
                  <c:v>TIR 2022</c:v>
                </c:pt>
                <c:pt idx="2">
                  <c:v>TIR 2023</c:v>
                </c:pt>
                <c:pt idx="3">
                  <c:v>TIR 2024</c:v>
                </c:pt>
                <c:pt idx="4">
                  <c:v>TIR 2025</c:v>
                </c:pt>
                <c:pt idx="5">
                  <c:v>TIR 2026</c:v>
                </c:pt>
                <c:pt idx="6">
                  <c:v>TIR 2027</c:v>
                </c:pt>
                <c:pt idx="7">
                  <c:v>TIR 2028</c:v>
                </c:pt>
                <c:pt idx="8">
                  <c:v>TIR 2029</c:v>
                </c:pt>
                <c:pt idx="9">
                  <c:v>TIR 2030</c:v>
                </c:pt>
                <c:pt idx="10">
                  <c:v>TIR 2031</c:v>
                </c:pt>
                <c:pt idx="11">
                  <c:v>TIR 2032</c:v>
                </c:pt>
                <c:pt idx="12">
                  <c:v>TIR 2033</c:v>
                </c:pt>
                <c:pt idx="13">
                  <c:v>TIR 2034</c:v>
                </c:pt>
                <c:pt idx="14">
                  <c:v>TIR 2035</c:v>
                </c:pt>
                <c:pt idx="15">
                  <c:v>TIR 2036</c:v>
                </c:pt>
              </c:strCache>
            </c:strRef>
          </c:cat>
          <c:val>
            <c:numRef>
              <c:f>'ICETEX (100%)'!$V$14:$V$29</c:f>
              <c:numCache>
                <c:formatCode>0.0%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-2.72539995675255E-2</c:v>
                </c:pt>
                <c:pt idx="7">
                  <c:v>0.14346324266378208</c:v>
                </c:pt>
                <c:pt idx="8">
                  <c:v>0.22183144049499148</c:v>
                </c:pt>
                <c:pt idx="9">
                  <c:v>0.26570502563186005</c:v>
                </c:pt>
                <c:pt idx="10">
                  <c:v>0.29260547206184939</c:v>
                </c:pt>
                <c:pt idx="11">
                  <c:v>0.30992700835375797</c:v>
                </c:pt>
                <c:pt idx="12">
                  <c:v>0.32146084784842111</c:v>
                </c:pt>
                <c:pt idx="13">
                  <c:v>0.32932953679302601</c:v>
                </c:pt>
                <c:pt idx="14">
                  <c:v>0.3347962570310945</c:v>
                </c:pt>
                <c:pt idx="15">
                  <c:v>0.33864745977043964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D7-4636-A858-0316E77BBA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3417136"/>
        <c:axId val="433414784"/>
      </c:lineChart>
      <c:catAx>
        <c:axId val="433417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33414784"/>
        <c:crosses val="autoZero"/>
        <c:auto val="1"/>
        <c:lblAlgn val="ctr"/>
        <c:lblOffset val="100"/>
        <c:noMultiLvlLbl val="0"/>
      </c:catAx>
      <c:valAx>
        <c:axId val="43341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33417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'ICETEX (40%)'!$Z$39</c:f>
              <c:strCache>
                <c:ptCount val="1"/>
                <c:pt idx="0">
                  <c:v>VPN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'ICETEX (40%)'!$AA$37:$AQ$37</c:f>
              <c:numCache>
                <c:formatCode>General</c:formatCode>
                <c:ptCount val="17"/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</c:numCache>
            </c:numRef>
          </c:cat>
          <c:val>
            <c:numRef>
              <c:f>'ICETEX (40%)'!$AA$39:$AQ$39</c:f>
              <c:numCache>
                <c:formatCode>"$"#,##0.00;[Red]\-"$"#,##0.00</c:formatCode>
                <c:ptCount val="17"/>
                <c:pt idx="1">
                  <c:v>-2336501.9011406843</c:v>
                </c:pt>
                <c:pt idx="2">
                  <c:v>-4616424.9880726915</c:v>
                </c:pt>
                <c:pt idx="3">
                  <c:v>-6832438.9203343745</c:v>
                </c:pt>
                <c:pt idx="4">
                  <c:v>-8888050.3350097202</c:v>
                </c:pt>
                <c:pt idx="5">
                  <c:v>-10448567.603353541</c:v>
                </c:pt>
                <c:pt idx="6">
                  <c:v>-11746996.669581695</c:v>
                </c:pt>
                <c:pt idx="7">
                  <c:v>-1539933.0607590675</c:v>
                </c:pt>
                <c:pt idx="8">
                  <c:v>7958807.7209292809</c:v>
                </c:pt>
                <c:pt idx="9">
                  <c:v>16741777.506970184</c:v>
                </c:pt>
                <c:pt idx="10">
                  <c:v>25012581.647906322</c:v>
                </c:pt>
                <c:pt idx="11">
                  <c:v>32874562.770469192</c:v>
                </c:pt>
                <c:pt idx="12">
                  <c:v>40347928.856555566</c:v>
                </c:pt>
                <c:pt idx="13">
                  <c:v>47451889.014432356</c:v>
                </c:pt>
                <c:pt idx="14">
                  <c:v>54204702.852718271</c:v>
                </c:pt>
                <c:pt idx="15">
                  <c:v>60623727.413826562</c:v>
                </c:pt>
                <c:pt idx="16">
                  <c:v>66725461.787503637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44-492C-AFF9-0C700DE5BA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8841880"/>
        <c:axId val="401062832"/>
      </c:lineChart>
      <c:catAx>
        <c:axId val="328841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01062832"/>
        <c:crosses val="autoZero"/>
        <c:auto val="1"/>
        <c:lblAlgn val="ctr"/>
        <c:lblOffset val="100"/>
        <c:noMultiLvlLbl val="0"/>
      </c:catAx>
      <c:valAx>
        <c:axId val="40106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28841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'ICETEX (40%)'!$V$13</c:f>
              <c:strCache>
                <c:ptCount val="1"/>
                <c:pt idx="0">
                  <c:v>TIR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'ICETEX (40%)'!$U$14:$U$29</c:f>
              <c:strCache>
                <c:ptCount val="16"/>
                <c:pt idx="0">
                  <c:v>TIR 2021</c:v>
                </c:pt>
                <c:pt idx="1">
                  <c:v>TIR 2022</c:v>
                </c:pt>
                <c:pt idx="2">
                  <c:v>TIR 2023</c:v>
                </c:pt>
                <c:pt idx="3">
                  <c:v>TIR 2024</c:v>
                </c:pt>
                <c:pt idx="4">
                  <c:v>TIR 2025</c:v>
                </c:pt>
                <c:pt idx="5">
                  <c:v>TIR 2026</c:v>
                </c:pt>
                <c:pt idx="6">
                  <c:v>TIR 2027</c:v>
                </c:pt>
                <c:pt idx="7">
                  <c:v>TIR 2028</c:v>
                </c:pt>
                <c:pt idx="8">
                  <c:v>TIR 2029</c:v>
                </c:pt>
                <c:pt idx="9">
                  <c:v>TIR 2030</c:v>
                </c:pt>
                <c:pt idx="10">
                  <c:v>TIR 2031</c:v>
                </c:pt>
                <c:pt idx="11">
                  <c:v>TIR 2032</c:v>
                </c:pt>
                <c:pt idx="12">
                  <c:v>TIR 2033</c:v>
                </c:pt>
                <c:pt idx="13">
                  <c:v>TIR 2034</c:v>
                </c:pt>
                <c:pt idx="14">
                  <c:v>TIR 2035</c:v>
                </c:pt>
                <c:pt idx="15">
                  <c:v>TIR 2036</c:v>
                </c:pt>
              </c:strCache>
            </c:strRef>
          </c:cat>
          <c:val>
            <c:numRef>
              <c:f>'ICETEX (40%)'!$V$14:$V$29</c:f>
              <c:numCache>
                <c:formatCode>0.0%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1.3509566122456906E-2</c:v>
                </c:pt>
                <c:pt idx="7">
                  <c:v>0.18201982664861127</c:v>
                </c:pt>
                <c:pt idx="8">
                  <c:v>0.25855456612347494</c:v>
                </c:pt>
                <c:pt idx="9">
                  <c:v>0.30087923233443492</c:v>
                </c:pt>
                <c:pt idx="10">
                  <c:v>0.32649892887529619</c:v>
                </c:pt>
                <c:pt idx="11">
                  <c:v>0.34277750201926716</c:v>
                </c:pt>
                <c:pt idx="12">
                  <c:v>0.35346780916346887</c:v>
                </c:pt>
                <c:pt idx="13">
                  <c:v>0.36065666928599338</c:v>
                </c:pt>
                <c:pt idx="14">
                  <c:v>0.36557674756141201</c:v>
                </c:pt>
                <c:pt idx="15">
                  <c:v>0.36898925210816524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F7-4401-B8C6-6D0AB9407F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3417136"/>
        <c:axId val="433414784"/>
      </c:lineChart>
      <c:catAx>
        <c:axId val="433417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33414784"/>
        <c:crosses val="autoZero"/>
        <c:auto val="1"/>
        <c:lblAlgn val="ctr"/>
        <c:lblOffset val="100"/>
        <c:noMultiLvlLbl val="0"/>
      </c:catAx>
      <c:valAx>
        <c:axId val="43341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33417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'CORTO PLAZO'!$Z$39</c:f>
              <c:strCache>
                <c:ptCount val="1"/>
                <c:pt idx="0">
                  <c:v>VPN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'CORTO PLAZO'!$AA$37:$AQ$37</c:f>
              <c:numCache>
                <c:formatCode>General</c:formatCode>
                <c:ptCount val="17"/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</c:numCache>
            </c:numRef>
          </c:cat>
          <c:val>
            <c:numRef>
              <c:f>'CORTO PLAZO'!$AA$39:$AQ$39</c:f>
              <c:numCache>
                <c:formatCode>"$"#,##0.00;[Red]\-"$"#,##0.00</c:formatCode>
                <c:ptCount val="17"/>
                <c:pt idx="1">
                  <c:v>-2336501.9011406843</c:v>
                </c:pt>
                <c:pt idx="2">
                  <c:v>-4616424.9880726915</c:v>
                </c:pt>
                <c:pt idx="3">
                  <c:v>-6832438.9203343745</c:v>
                </c:pt>
                <c:pt idx="4">
                  <c:v>-8888050.3350097202</c:v>
                </c:pt>
                <c:pt idx="5">
                  <c:v>-10448567.603353541</c:v>
                </c:pt>
                <c:pt idx="6">
                  <c:v>-11746996.669581695</c:v>
                </c:pt>
                <c:pt idx="7">
                  <c:v>-2965507.0925261895</c:v>
                </c:pt>
                <c:pt idx="8">
                  <c:v>806939.01104780007</c:v>
                </c:pt>
                <c:pt idx="9">
                  <c:v>8363231.4559234511</c:v>
                </c:pt>
                <c:pt idx="10">
                  <c:v>20212343.91453201</c:v>
                </c:pt>
                <c:pt idx="11">
                  <c:v>26976277.983005662</c:v>
                </c:pt>
                <c:pt idx="12">
                  <c:v>33405873.105128907</c:v>
                </c:pt>
                <c:pt idx="13">
                  <c:v>39517655.540607274</c:v>
                </c:pt>
                <c:pt idx="14">
                  <c:v>45327334.661784425</c:v>
                </c:pt>
                <c:pt idx="15">
                  <c:v>50849843.332104921</c:v>
                </c:pt>
                <c:pt idx="16">
                  <c:v>56099376.288683333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8C-484B-A176-B5E308627C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8841880"/>
        <c:axId val="401062832"/>
      </c:lineChart>
      <c:catAx>
        <c:axId val="328841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01062832"/>
        <c:crosses val="autoZero"/>
        <c:auto val="1"/>
        <c:lblAlgn val="ctr"/>
        <c:lblOffset val="100"/>
        <c:noMultiLvlLbl val="0"/>
      </c:catAx>
      <c:valAx>
        <c:axId val="40106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28841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'CORTO PLAZO'!$V$13</c:f>
              <c:strCache>
                <c:ptCount val="1"/>
                <c:pt idx="0">
                  <c:v>TIR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'CORTO PLAZO'!$U$14:$U$29</c:f>
              <c:strCache>
                <c:ptCount val="16"/>
                <c:pt idx="0">
                  <c:v>TIR 2021</c:v>
                </c:pt>
                <c:pt idx="1">
                  <c:v>TIR 2022</c:v>
                </c:pt>
                <c:pt idx="2">
                  <c:v>TIR 2023</c:v>
                </c:pt>
                <c:pt idx="3">
                  <c:v>TIR 2024</c:v>
                </c:pt>
                <c:pt idx="4">
                  <c:v>TIR 2025</c:v>
                </c:pt>
                <c:pt idx="5">
                  <c:v>TIR 2026</c:v>
                </c:pt>
                <c:pt idx="6">
                  <c:v>TIR 2027</c:v>
                </c:pt>
                <c:pt idx="7">
                  <c:v>TIR 2028</c:v>
                </c:pt>
                <c:pt idx="8">
                  <c:v>TIR 2029</c:v>
                </c:pt>
                <c:pt idx="9">
                  <c:v>TIR 2030</c:v>
                </c:pt>
                <c:pt idx="10">
                  <c:v>TIR 2031</c:v>
                </c:pt>
                <c:pt idx="11">
                  <c:v>TIR 2032</c:v>
                </c:pt>
                <c:pt idx="12">
                  <c:v>TIR 2033</c:v>
                </c:pt>
                <c:pt idx="13">
                  <c:v>TIR 2034</c:v>
                </c:pt>
                <c:pt idx="14">
                  <c:v>TIR 2035</c:v>
                </c:pt>
                <c:pt idx="15">
                  <c:v>TIR 2036</c:v>
                </c:pt>
              </c:strCache>
            </c:strRef>
          </c:cat>
          <c:val>
            <c:numRef>
              <c:f>'CORTO PLAZO'!$V$14:$V$29</c:f>
              <c:numCache>
                <c:formatCode>0.0%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-2.72539995675255E-2</c:v>
                </c:pt>
                <c:pt idx="7">
                  <c:v>6.9019320656748429E-2</c:v>
                </c:pt>
                <c:pt idx="8">
                  <c:v>0.17508881966779843</c:v>
                </c:pt>
                <c:pt idx="9">
                  <c:v>0.25719696500903644</c:v>
                </c:pt>
                <c:pt idx="10">
                  <c:v>0.28436127783310616</c:v>
                </c:pt>
                <c:pt idx="11">
                  <c:v>0.30198808540822109</c:v>
                </c:pt>
                <c:pt idx="12">
                  <c:v>0.31378854907086295</c:v>
                </c:pt>
                <c:pt idx="13">
                  <c:v>0.32187491954705649</c:v>
                </c:pt>
                <c:pt idx="14">
                  <c:v>0.3275156315688772</c:v>
                </c:pt>
                <c:pt idx="15">
                  <c:v>0.331504948876165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0B-4A2A-8FD1-F2E1256A71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3417136"/>
        <c:axId val="433414784"/>
      </c:lineChart>
      <c:catAx>
        <c:axId val="433417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33414784"/>
        <c:crosses val="autoZero"/>
        <c:auto val="1"/>
        <c:lblAlgn val="ctr"/>
        <c:lblOffset val="100"/>
        <c:noMultiLvlLbl val="0"/>
      </c:catAx>
      <c:valAx>
        <c:axId val="43341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33417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'LARGO PLAZO'!$Z$39</c:f>
              <c:strCache>
                <c:ptCount val="1"/>
                <c:pt idx="0">
                  <c:v>VPN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'LARGO PLAZO'!$AA$37:$AQ$37</c:f>
              <c:numCache>
                <c:formatCode>General</c:formatCode>
                <c:ptCount val="17"/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</c:numCache>
            </c:numRef>
          </c:cat>
          <c:val>
            <c:numRef>
              <c:f>'LARGO PLAZO'!$AA$39:$AQ$39</c:f>
              <c:numCache>
                <c:formatCode>"$"#,##0.00;[Red]\-"$"#,##0.00</c:formatCode>
                <c:ptCount val="17"/>
                <c:pt idx="1">
                  <c:v>-2336501.9011406843</c:v>
                </c:pt>
                <c:pt idx="2">
                  <c:v>-4616424.9880726915</c:v>
                </c:pt>
                <c:pt idx="3">
                  <c:v>-6832438.9203343745</c:v>
                </c:pt>
                <c:pt idx="4">
                  <c:v>-8888050.3350097202</c:v>
                </c:pt>
                <c:pt idx="5">
                  <c:v>-10448567.603353541</c:v>
                </c:pt>
                <c:pt idx="6">
                  <c:v>-11746996.669581695</c:v>
                </c:pt>
                <c:pt idx="7">
                  <c:v>-42514556.846927933</c:v>
                </c:pt>
                <c:pt idx="8">
                  <c:v>-71146991.189454809</c:v>
                </c:pt>
                <c:pt idx="9">
                  <c:v>-97621848.384843469</c:v>
                </c:pt>
                <c:pt idx="10">
                  <c:v>-122552864.18662021</c:v>
                </c:pt>
                <c:pt idx="11">
                  <c:v>-143581092.54975918</c:v>
                </c:pt>
                <c:pt idx="12">
                  <c:v>-127796510.73492788</c:v>
                </c:pt>
                <c:pt idx="13">
                  <c:v>-112792155.3976358</c:v>
                </c:pt>
                <c:pt idx="14">
                  <c:v>-98529460.210095793</c:v>
                </c:pt>
                <c:pt idx="15">
                  <c:v>-84971765.164905667</c:v>
                </c:pt>
                <c:pt idx="16">
                  <c:v>-72084222.346283883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8E-4EF0-A799-8B0B22496B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8841880"/>
        <c:axId val="401062832"/>
      </c:lineChart>
      <c:catAx>
        <c:axId val="328841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01062832"/>
        <c:crosses val="autoZero"/>
        <c:auto val="1"/>
        <c:lblAlgn val="ctr"/>
        <c:lblOffset val="100"/>
        <c:noMultiLvlLbl val="0"/>
      </c:catAx>
      <c:valAx>
        <c:axId val="40106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28841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'LARGO PLAZO'!$V$13</c:f>
              <c:strCache>
                <c:ptCount val="1"/>
                <c:pt idx="0">
                  <c:v>TIR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'LARGO PLAZO'!$U$14:$U$29</c:f>
              <c:strCache>
                <c:ptCount val="16"/>
                <c:pt idx="0">
                  <c:v>TIR 2021</c:v>
                </c:pt>
                <c:pt idx="1">
                  <c:v>TIR 2022</c:v>
                </c:pt>
                <c:pt idx="2">
                  <c:v>TIR 2023</c:v>
                </c:pt>
                <c:pt idx="3">
                  <c:v>TIR 2024</c:v>
                </c:pt>
                <c:pt idx="4">
                  <c:v>TIR 2025</c:v>
                </c:pt>
                <c:pt idx="5">
                  <c:v>TIR 2026</c:v>
                </c:pt>
                <c:pt idx="6">
                  <c:v>TIR 2027</c:v>
                </c:pt>
                <c:pt idx="7">
                  <c:v>TIR 2028</c:v>
                </c:pt>
                <c:pt idx="8">
                  <c:v>TIR 2029</c:v>
                </c:pt>
                <c:pt idx="9">
                  <c:v>TIR 2030</c:v>
                </c:pt>
                <c:pt idx="10">
                  <c:v>TIR 2031</c:v>
                </c:pt>
                <c:pt idx="11">
                  <c:v>TIR 2032</c:v>
                </c:pt>
                <c:pt idx="12">
                  <c:v>TIR 2033</c:v>
                </c:pt>
                <c:pt idx="13">
                  <c:v>TIR 2034</c:v>
                </c:pt>
                <c:pt idx="14">
                  <c:v>TIR 2035</c:v>
                </c:pt>
                <c:pt idx="15">
                  <c:v>TIR 2036</c:v>
                </c:pt>
              </c:strCache>
            </c:strRef>
          </c:cat>
          <c:val>
            <c:numRef>
              <c:f>'LARGO PLAZO'!$V$14:$V$29</c:f>
              <c:numCache>
                <c:formatCode>0.0%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-0.12582270343148116</c:v>
                </c:pt>
                <c:pt idx="15">
                  <c:v>-7.5201115537246066E-2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9C-4C3C-9192-485D6F229E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3417136"/>
        <c:axId val="433414784"/>
      </c:lineChart>
      <c:catAx>
        <c:axId val="433417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33414784"/>
        <c:crosses val="autoZero"/>
        <c:auto val="1"/>
        <c:lblAlgn val="ctr"/>
        <c:lblOffset val="100"/>
        <c:noMultiLvlLbl val="0"/>
      </c:catAx>
      <c:valAx>
        <c:axId val="43341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33417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657225</xdr:colOff>
      <xdr:row>43</xdr:row>
      <xdr:rowOff>176210</xdr:rowOff>
    </xdr:from>
    <xdr:to>
      <xdr:col>43</xdr:col>
      <xdr:colOff>38100</xdr:colOff>
      <xdr:row>70</xdr:row>
      <xdr:rowOff>152399</xdr:rowOff>
    </xdr:to>
    <xdr:graphicFrame macro="">
      <xdr:nvGraphicFramePr>
        <xdr:cNvPr id="26" name="Gráfico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904875</xdr:colOff>
      <xdr:row>44</xdr:row>
      <xdr:rowOff>47625</xdr:rowOff>
    </xdr:from>
    <xdr:to>
      <xdr:col>31</xdr:col>
      <xdr:colOff>1114425</xdr:colOff>
      <xdr:row>71</xdr:row>
      <xdr:rowOff>95250</xdr:rowOff>
    </xdr:to>
    <xdr:graphicFrame macro="">
      <xdr:nvGraphicFramePr>
        <xdr:cNvPr id="27" name="Gráfico 8">
          <a:extLst>
            <a:ext uri="{FF2B5EF4-FFF2-40B4-BE49-F238E27FC236}">
              <a16:creationId xmlns:a16="http://schemas.microsoft.com/office/drawing/2014/main" id="{00000000-0008-0000-0000-000009000000}"/>
            </a:ext>
            <a:ext uri="{147F2762-F138-4A5C-976F-8EAC2B608ADB}">
              <a16:predDERef xmlns:a16="http://schemas.microsoft.com/office/drawing/2014/main" pre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657225</xdr:colOff>
      <xdr:row>43</xdr:row>
      <xdr:rowOff>176210</xdr:rowOff>
    </xdr:from>
    <xdr:to>
      <xdr:col>43</xdr:col>
      <xdr:colOff>38100</xdr:colOff>
      <xdr:row>70</xdr:row>
      <xdr:rowOff>152399</xdr:rowOff>
    </xdr:to>
    <xdr:graphicFrame macro="">
      <xdr:nvGraphicFramePr>
        <xdr:cNvPr id="2" name="Gráfico 7">
          <a:extLst>
            <a:ext uri="{FF2B5EF4-FFF2-40B4-BE49-F238E27FC236}">
              <a16:creationId xmlns:a16="http://schemas.microsoft.com/office/drawing/2014/main" id="{EC11CD99-832A-4C82-BD97-F305DE1AC8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904875</xdr:colOff>
      <xdr:row>44</xdr:row>
      <xdr:rowOff>47625</xdr:rowOff>
    </xdr:from>
    <xdr:to>
      <xdr:col>31</xdr:col>
      <xdr:colOff>1114425</xdr:colOff>
      <xdr:row>71</xdr:row>
      <xdr:rowOff>95250</xdr:rowOff>
    </xdr:to>
    <xdr:graphicFrame macro="">
      <xdr:nvGraphicFramePr>
        <xdr:cNvPr id="3" name="Gráfico 8">
          <a:extLst>
            <a:ext uri="{FF2B5EF4-FFF2-40B4-BE49-F238E27FC236}">
              <a16:creationId xmlns:a16="http://schemas.microsoft.com/office/drawing/2014/main" id="{4CCEAA28-CAC4-4D12-BDBB-FB315BBE955C}"/>
            </a:ext>
            <a:ext uri="{147F2762-F138-4A5C-976F-8EAC2B608ADB}">
              <a16:predDERef xmlns:a16="http://schemas.microsoft.com/office/drawing/2014/main" pre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657225</xdr:colOff>
      <xdr:row>43</xdr:row>
      <xdr:rowOff>176210</xdr:rowOff>
    </xdr:from>
    <xdr:to>
      <xdr:col>43</xdr:col>
      <xdr:colOff>38100</xdr:colOff>
      <xdr:row>70</xdr:row>
      <xdr:rowOff>152399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73CEC900-7A72-4E0A-BC81-C6BADAD866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904875</xdr:colOff>
      <xdr:row>44</xdr:row>
      <xdr:rowOff>47625</xdr:rowOff>
    </xdr:from>
    <xdr:to>
      <xdr:col>31</xdr:col>
      <xdr:colOff>1114425</xdr:colOff>
      <xdr:row>71</xdr:row>
      <xdr:rowOff>95250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83F348C4-D382-477A-B4C4-C062FBD95601}"/>
            </a:ext>
            <a:ext uri="{147F2762-F138-4A5C-976F-8EAC2B608ADB}">
              <a16:predDERef xmlns:a16="http://schemas.microsoft.com/office/drawing/2014/main" pred="{73CEC900-7A72-4E0A-BC81-C6BADAD866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57150</xdr:colOff>
      <xdr:row>25</xdr:row>
      <xdr:rowOff>0</xdr:rowOff>
    </xdr:from>
    <xdr:to>
      <xdr:col>27</xdr:col>
      <xdr:colOff>952500</xdr:colOff>
      <xdr:row>31</xdr:row>
      <xdr:rowOff>0</xdr:rowOff>
    </xdr:to>
    <xdr:sp macro="" textlink="">
      <xdr:nvSpPr>
        <xdr:cNvPr id="16" name="CuadroTexto 9">
          <a:extLst>
            <a:ext uri="{FF2B5EF4-FFF2-40B4-BE49-F238E27FC236}">
              <a16:creationId xmlns:a16="http://schemas.microsoft.com/office/drawing/2014/main" id="{7C90323B-C99F-4E9A-BC2A-2207223F4FB9}"/>
            </a:ext>
            <a:ext uri="{147F2762-F138-4A5C-976F-8EAC2B608ADB}">
              <a16:predDERef xmlns:a16="http://schemas.microsoft.com/office/drawing/2014/main" pred="{83F348C4-D382-477A-B4C4-C062FBD95601}"/>
            </a:ext>
          </a:extLst>
        </xdr:cNvPr>
        <xdr:cNvSpPr txBox="1"/>
      </xdr:nvSpPr>
      <xdr:spPr>
        <a:xfrm>
          <a:off x="24050625" y="4772025"/>
          <a:ext cx="6057900" cy="1143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n-US" sz="1400" b="0" i="0" u="none" strike="noStrike">
              <a:solidFill>
                <a:schemeClr val="dk1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Doble reinversión en CDT a 12 meses</a:t>
          </a:r>
        </a:p>
        <a:p>
          <a:pPr marL="0" indent="0"/>
          <a:r>
            <a:rPr lang="en-US" sz="1400" b="0" i="0" u="none" strike="noStrike">
              <a:solidFill>
                <a:schemeClr val="dk1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Primer año: Inversión de $ 6.000.000 con una ganancia de interés de $ 669.600</a:t>
          </a:r>
        </a:p>
        <a:p>
          <a:pPr marL="0" indent="0"/>
          <a:r>
            <a:rPr lang="en-US" sz="1400" b="0" i="0" u="none" strike="noStrike">
              <a:solidFill>
                <a:schemeClr val="dk1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Segundo año: Inversión de $ 6.669.600 con una ganancia de interés de $ 744.008</a:t>
          </a:r>
        </a:p>
        <a:p>
          <a:pPr marL="0" indent="0"/>
          <a:r>
            <a:rPr lang="en-US" sz="1400" b="0" i="0" u="none" strike="noStrike">
              <a:solidFill>
                <a:schemeClr val="dk1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Al final del año 2 tenemos una ganancia total de $ 7.413.609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657225</xdr:colOff>
      <xdr:row>43</xdr:row>
      <xdr:rowOff>176210</xdr:rowOff>
    </xdr:from>
    <xdr:to>
      <xdr:col>43</xdr:col>
      <xdr:colOff>38100</xdr:colOff>
      <xdr:row>70</xdr:row>
      <xdr:rowOff>152399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F3A418D2-B9CA-4373-B9F0-DA3396E2F6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904875</xdr:colOff>
      <xdr:row>44</xdr:row>
      <xdr:rowOff>47625</xdr:rowOff>
    </xdr:from>
    <xdr:to>
      <xdr:col>31</xdr:col>
      <xdr:colOff>1114425</xdr:colOff>
      <xdr:row>71</xdr:row>
      <xdr:rowOff>95250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3F6BB881-D4F8-46CD-A19B-3A0D80AD6A23}"/>
            </a:ext>
            <a:ext uri="{147F2762-F138-4A5C-976F-8EAC2B608ADB}">
              <a16:predDERef xmlns:a16="http://schemas.microsoft.com/office/drawing/2014/main" pred="{F3A418D2-B9CA-4373-B9F0-DA3396E2F6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57150</xdr:colOff>
      <xdr:row>22</xdr:row>
      <xdr:rowOff>47625</xdr:rowOff>
    </xdr:from>
    <xdr:to>
      <xdr:col>29</xdr:col>
      <xdr:colOff>1581150</xdr:colOff>
      <xdr:row>31</xdr:row>
      <xdr:rowOff>76200</xdr:rowOff>
    </xdr:to>
    <xdr:sp macro="" textlink="">
      <xdr:nvSpPr>
        <xdr:cNvPr id="13" name="CuadroTexto 9">
          <a:extLst>
            <a:ext uri="{FF2B5EF4-FFF2-40B4-BE49-F238E27FC236}">
              <a16:creationId xmlns:a16="http://schemas.microsoft.com/office/drawing/2014/main" id="{0AFF3EA6-53C1-46A4-A427-19812F6A3EC7}"/>
            </a:ext>
            <a:ext uri="{147F2762-F138-4A5C-976F-8EAC2B608ADB}">
              <a16:predDERef xmlns:a16="http://schemas.microsoft.com/office/drawing/2014/main" pred="{3F6BB881-D4F8-46CD-A19B-3A0D80AD6A23}"/>
            </a:ext>
          </a:extLst>
        </xdr:cNvPr>
        <xdr:cNvSpPr txBox="1"/>
      </xdr:nvSpPr>
      <xdr:spPr>
        <a:xfrm>
          <a:off x="24050625" y="4248150"/>
          <a:ext cx="9448800" cy="17430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n-US" sz="1100" b="0" i="0" u="none" strike="noStrike">
              <a:solidFill>
                <a:schemeClr val="dk1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Con esto podemos ver como la mejor opcion para los datos que escogimos es realizar inversiones en CDT a cortos plazos y reinvertirlos, que tratar de hacer una inversion a largo plazo de un apartamento a 5 años, esto solo seria mas rentable si se aumenta el tiempo del préstamo y aprovechamos las ganancias del cdt ademas de dar una cuota inicial mas grande y que no sea un prestamo financiado al 100% teniendo los valores puntuales de esta forma </a:t>
          </a:r>
        </a:p>
        <a:p>
          <a:pPr marL="0" indent="0"/>
          <a:r>
            <a:rPr lang="en-US" sz="1100" b="0" i="0" u="none" strike="noStrike">
              <a:solidFill>
                <a:schemeClr val="dk1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Compra del apartamento : $ 215.000.000</a:t>
          </a:r>
        </a:p>
        <a:p>
          <a:pPr marL="0" indent="0"/>
          <a:r>
            <a:rPr lang="en-US" sz="1100" b="0" i="0" u="none" strike="noStrike">
              <a:solidFill>
                <a:schemeClr val="dk1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Credito hipotecario : 100% a 5 años (60 meses) </a:t>
          </a:r>
        </a:p>
        <a:p>
          <a:pPr marL="0" indent="0"/>
          <a:r>
            <a:rPr lang="en-US" sz="1100" b="0" i="0" u="none" strike="noStrike">
              <a:solidFill>
                <a:schemeClr val="dk1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Cuota mensual del prestamo : $ 4.916.000 </a:t>
          </a:r>
        </a:p>
        <a:p>
          <a:pPr marL="0" indent="0"/>
          <a:r>
            <a:rPr lang="en-US" sz="1100" b="0" i="0" u="none" strike="noStrike">
              <a:solidFill>
                <a:schemeClr val="dk1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Ingreso mensual de arriendo a partir del 4 mes: $ 1.100.000 </a:t>
          </a:r>
        </a:p>
        <a:p>
          <a:pPr marL="0" indent="0"/>
          <a:r>
            <a:rPr lang="en-US" sz="1100" b="0" i="0" u="none" strike="noStrike">
              <a:solidFill>
                <a:schemeClr val="dk1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Deficit Mensual (del primer al tercer mes) : $ -3.616.000</a:t>
          </a: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1100" b="0" i="0" u="none" strike="noStrike">
              <a:solidFill>
                <a:schemeClr val="dk1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Deficit Mensual (del cuarto mes al mes 60): $ -2.516.000</a:t>
          </a:r>
          <a:endParaRPr lang="en-US" sz="1100" b="0" i="0" u="none" strike="noStrike">
            <a:solidFill>
              <a:schemeClr val="dk1"/>
            </a:solidFill>
            <a:latin typeface="+mn-lt"/>
            <a:ea typeface="+mn-lt"/>
            <a:cs typeface="+mn-lt"/>
          </a:endParaRPr>
        </a:p>
        <a:p>
          <a:pPr marL="0" indent="0"/>
          <a:endParaRPr lang="en-US" sz="1100" b="0" i="0" u="none" strike="noStrike">
            <a:solidFill>
              <a:schemeClr val="dk1"/>
            </a:solidFill>
            <a:latin typeface="+mn-lt"/>
            <a:ea typeface="+mn-lt"/>
            <a:cs typeface="+mn-lt"/>
          </a:endParaRPr>
        </a:p>
        <a:p>
          <a:pPr marL="0" indent="0"/>
          <a:endParaRPr lang="en-US" sz="1100">
            <a:solidFill>
              <a:schemeClr val="dk1"/>
            </a:solidFill>
            <a:latin typeface="+mn-lt"/>
            <a:ea typeface="+mn-lt"/>
            <a:cs typeface="+mn-lt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Q91"/>
  <sheetViews>
    <sheetView zoomScale="63" zoomScaleNormal="92" workbookViewId="0">
      <selection activeCell="U4" sqref="U4"/>
    </sheetView>
  </sheetViews>
  <sheetFormatPr baseColWidth="10" defaultColWidth="11.44140625" defaultRowHeight="14.4" x14ac:dyDescent="0.3"/>
  <cols>
    <col min="2" max="2" width="26.6640625" customWidth="1"/>
    <col min="3" max="3" width="16.33203125" customWidth="1"/>
    <col min="4" max="4" width="14.5546875" customWidth="1"/>
    <col min="5" max="5" width="14.109375" customWidth="1"/>
    <col min="6" max="6" width="15.88671875" bestFit="1" customWidth="1"/>
    <col min="7" max="9" width="14.33203125" bestFit="1" customWidth="1"/>
    <col min="10" max="10" width="15" customWidth="1"/>
    <col min="11" max="11" width="15.109375" customWidth="1"/>
    <col min="12" max="12" width="17.109375" customWidth="1"/>
    <col min="13" max="13" width="15.44140625" customWidth="1"/>
    <col min="14" max="14" width="14.33203125" customWidth="1"/>
    <col min="15" max="15" width="17.88671875" customWidth="1"/>
    <col min="16" max="16" width="15.6640625" customWidth="1"/>
    <col min="17" max="17" width="19.88671875" customWidth="1"/>
    <col min="18" max="18" width="18.88671875" customWidth="1"/>
    <col min="19" max="19" width="14.109375" customWidth="1"/>
    <col min="21" max="21" width="14.88671875" bestFit="1" customWidth="1"/>
    <col min="22" max="22" width="15.88671875" customWidth="1"/>
    <col min="23" max="23" width="14.6640625" customWidth="1"/>
    <col min="24" max="24" width="13.6640625" bestFit="1" customWidth="1"/>
    <col min="25" max="25" width="22" customWidth="1"/>
    <col min="26" max="26" width="17.109375" customWidth="1"/>
    <col min="27" max="27" width="24.5546875" customWidth="1"/>
    <col min="28" max="28" width="21.109375" customWidth="1"/>
    <col min="29" max="29" width="20.33203125" customWidth="1"/>
    <col min="30" max="30" width="26.109375" customWidth="1"/>
    <col min="31" max="31" width="18.33203125" customWidth="1"/>
    <col min="32" max="32" width="19.33203125" customWidth="1"/>
    <col min="33" max="33" width="16.33203125" customWidth="1"/>
    <col min="34" max="34" width="15.33203125" customWidth="1"/>
    <col min="35" max="36" width="15.5546875" customWidth="1"/>
    <col min="37" max="37" width="17" customWidth="1"/>
    <col min="38" max="38" width="18" customWidth="1"/>
    <col min="39" max="39" width="18.44140625" customWidth="1"/>
    <col min="40" max="40" width="18.6640625" customWidth="1"/>
    <col min="41" max="41" width="16.44140625" customWidth="1"/>
    <col min="42" max="42" width="17" customWidth="1"/>
    <col min="43" max="43" width="16.5546875" customWidth="1"/>
  </cols>
  <sheetData>
    <row r="1" spans="2:31" ht="15" thickBot="1" x14ac:dyDescent="0.35">
      <c r="B1" s="91" t="s">
        <v>0</v>
      </c>
      <c r="C1" s="92"/>
      <c r="D1" s="92"/>
      <c r="E1" s="92"/>
      <c r="F1" s="92"/>
      <c r="G1" s="92"/>
      <c r="H1" s="92"/>
      <c r="I1" s="92"/>
      <c r="J1" s="92"/>
      <c r="K1" s="92"/>
      <c r="S1" s="30"/>
    </row>
    <row r="2" spans="2:31" x14ac:dyDescent="0.3">
      <c r="B2" s="82" t="s">
        <v>1</v>
      </c>
      <c r="C2" s="93"/>
      <c r="D2" s="3">
        <v>2021</v>
      </c>
      <c r="E2" s="3">
        <v>2022</v>
      </c>
      <c r="F2" s="3">
        <v>2023</v>
      </c>
      <c r="G2" s="3">
        <v>2024</v>
      </c>
      <c r="H2" s="3">
        <v>2025</v>
      </c>
      <c r="I2" s="3">
        <v>2026</v>
      </c>
      <c r="J2" s="3">
        <v>2027</v>
      </c>
      <c r="K2" s="3">
        <v>2028</v>
      </c>
      <c r="L2" s="3">
        <v>2029</v>
      </c>
      <c r="M2" s="3">
        <v>2030</v>
      </c>
      <c r="N2" s="3">
        <v>2031</v>
      </c>
      <c r="O2" s="3">
        <v>2032</v>
      </c>
      <c r="P2" s="3">
        <v>2033</v>
      </c>
      <c r="Q2" s="3">
        <v>2034</v>
      </c>
      <c r="R2" s="3">
        <v>2035</v>
      </c>
      <c r="S2" s="3">
        <v>2036</v>
      </c>
      <c r="T2" s="24" t="s">
        <v>2</v>
      </c>
      <c r="U2" s="25">
        <f>ABS(SUM(D3:S3))</f>
        <v>58403047.531943783</v>
      </c>
      <c r="X2" s="53" t="s">
        <v>1</v>
      </c>
      <c r="Y2" s="53" t="s">
        <v>3</v>
      </c>
      <c r="Z2" s="58" t="s">
        <v>4</v>
      </c>
      <c r="AA2" s="65" t="s">
        <v>5</v>
      </c>
      <c r="AB2" s="67"/>
      <c r="AC2" s="67"/>
      <c r="AD2" s="55"/>
      <c r="AE2" s="67"/>
    </row>
    <row r="3" spans="2:31" x14ac:dyDescent="0.3">
      <c r="B3" s="94" t="s">
        <v>6</v>
      </c>
      <c r="C3" s="95"/>
      <c r="D3" s="4">
        <f xml:space="preserve"> $O14</f>
        <v>-2458000</v>
      </c>
      <c r="E3" s="5">
        <f xml:space="preserve"> ($O19)</f>
        <v>-2523200</v>
      </c>
      <c r="F3" s="5">
        <f xml:space="preserve"> $O24</f>
        <v>-2580000</v>
      </c>
      <c r="G3" s="5">
        <f xml:space="preserve"> $O29</f>
        <v>-2517700</v>
      </c>
      <c r="H3" s="5">
        <f xml:space="preserve"> $O34</f>
        <v>-2010700</v>
      </c>
      <c r="I3" s="6">
        <f xml:space="preserve"> $O39</f>
        <v>-1760000</v>
      </c>
      <c r="J3" s="6">
        <f xml:space="preserve"> $O$44</f>
        <v>-4455344.7531943796</v>
      </c>
      <c r="K3" s="6">
        <f t="shared" ref="K3:S3" si="0" xml:space="preserve"> $O$44</f>
        <v>-4455344.7531943796</v>
      </c>
      <c r="L3" s="6">
        <f t="shared" si="0"/>
        <v>-4455344.7531943796</v>
      </c>
      <c r="M3" s="6">
        <f t="shared" si="0"/>
        <v>-4455344.7531943796</v>
      </c>
      <c r="N3" s="6">
        <f xml:space="preserve"> $O$64</f>
        <v>-4455344.7531943796</v>
      </c>
      <c r="O3" s="6">
        <f t="shared" si="0"/>
        <v>-4455344.7531943796</v>
      </c>
      <c r="P3" s="6">
        <f t="shared" si="0"/>
        <v>-4455344.7531943796</v>
      </c>
      <c r="Q3" s="6">
        <f t="shared" si="0"/>
        <v>-4455344.7531943796</v>
      </c>
      <c r="R3" s="6">
        <f t="shared" si="0"/>
        <v>-4455344.7531943796</v>
      </c>
      <c r="S3" s="6">
        <f t="shared" si="0"/>
        <v>-4455344.7531943796</v>
      </c>
      <c r="T3" s="22" t="s">
        <v>7</v>
      </c>
      <c r="U3" s="23">
        <f>SUM(D4:S4)</f>
        <v>156000000</v>
      </c>
      <c r="X3" s="53">
        <v>2021</v>
      </c>
      <c r="Y3" s="56">
        <f>SUM(CÁLCULOS!A3:A4)</f>
        <v>346000</v>
      </c>
      <c r="Z3" s="57">
        <f>CÁLCULOS!$C9</f>
        <v>2112000</v>
      </c>
      <c r="AA3" s="59">
        <v>0</v>
      </c>
      <c r="AB3" s="68"/>
      <c r="AC3" s="68"/>
      <c r="AD3" s="55"/>
      <c r="AE3" s="68"/>
    </row>
    <row r="4" spans="2:31" ht="15" thickBot="1" x14ac:dyDescent="0.35">
      <c r="B4" s="94" t="s">
        <v>8</v>
      </c>
      <c r="C4" s="95"/>
      <c r="D4" s="5">
        <f>$O15</f>
        <v>0</v>
      </c>
      <c r="E4" s="5">
        <f>$O20</f>
        <v>0</v>
      </c>
      <c r="F4" s="5">
        <f>$O25</f>
        <v>0</v>
      </c>
      <c r="G4" s="5">
        <f>$O30</f>
        <v>0</v>
      </c>
      <c r="H4" s="5">
        <f>$O35</f>
        <v>0</v>
      </c>
      <c r="I4" s="7">
        <f>$O40</f>
        <v>0</v>
      </c>
      <c r="J4" s="7">
        <f>$O$45</f>
        <v>15600000</v>
      </c>
      <c r="K4" s="7">
        <f t="shared" ref="K4:M4" si="1">$O$45</f>
        <v>15600000</v>
      </c>
      <c r="L4" s="7">
        <f t="shared" si="1"/>
        <v>15600000</v>
      </c>
      <c r="M4" s="7">
        <f t="shared" si="1"/>
        <v>15600000</v>
      </c>
      <c r="N4" s="7">
        <f>$O$65</f>
        <v>15600000</v>
      </c>
      <c r="O4" s="7">
        <f t="shared" ref="O4:Q4" si="2">$O$65</f>
        <v>15600000</v>
      </c>
      <c r="P4" s="7">
        <f t="shared" si="2"/>
        <v>15600000</v>
      </c>
      <c r="Q4" s="7">
        <f t="shared" si="2"/>
        <v>15600000</v>
      </c>
      <c r="R4" s="7">
        <f>$O$85</f>
        <v>15600000</v>
      </c>
      <c r="S4" s="7">
        <f>$O$85</f>
        <v>15600000</v>
      </c>
      <c r="T4" s="20" t="s">
        <v>9</v>
      </c>
      <c r="U4" s="21">
        <f>U3/U2</f>
        <v>2.6710934889943059</v>
      </c>
      <c r="X4" s="53">
        <v>2022</v>
      </c>
      <c r="Y4" s="56">
        <f>SUM(CÁLCULOS!A5:A6)</f>
        <v>411200</v>
      </c>
      <c r="Z4" s="57">
        <f>CÁLCULOS!$C9</f>
        <v>2112000</v>
      </c>
      <c r="AA4" s="59">
        <v>0</v>
      </c>
      <c r="AB4" s="68"/>
      <c r="AC4" s="68"/>
      <c r="AD4" s="55"/>
      <c r="AE4" s="68"/>
    </row>
    <row r="5" spans="2:31" ht="15" thickBot="1" x14ac:dyDescent="0.35">
      <c r="B5" s="88" t="s">
        <v>10</v>
      </c>
      <c r="C5" s="96"/>
      <c r="D5" s="71">
        <f t="shared" ref="D5:S5" si="3">D4+D3</f>
        <v>-2458000</v>
      </c>
      <c r="E5" s="71">
        <f t="shared" si="3"/>
        <v>-2523200</v>
      </c>
      <c r="F5" s="71">
        <f t="shared" si="3"/>
        <v>-2580000</v>
      </c>
      <c r="G5" s="71">
        <f t="shared" si="3"/>
        <v>-2517700</v>
      </c>
      <c r="H5" s="72">
        <f t="shared" si="3"/>
        <v>-2010700</v>
      </c>
      <c r="I5" s="73">
        <f t="shared" si="3"/>
        <v>-1760000</v>
      </c>
      <c r="J5" s="74">
        <f t="shared" si="3"/>
        <v>11144655.246805619</v>
      </c>
      <c r="K5" s="74">
        <f t="shared" si="3"/>
        <v>11144655.246805619</v>
      </c>
      <c r="L5" s="74">
        <f t="shared" si="3"/>
        <v>11144655.246805619</v>
      </c>
      <c r="M5" s="74">
        <f t="shared" si="3"/>
        <v>11144655.246805619</v>
      </c>
      <c r="N5" s="74">
        <f t="shared" si="3"/>
        <v>11144655.246805619</v>
      </c>
      <c r="O5" s="74">
        <f t="shared" si="3"/>
        <v>11144655.246805619</v>
      </c>
      <c r="P5" s="74">
        <f t="shared" si="3"/>
        <v>11144655.246805619</v>
      </c>
      <c r="Q5" s="74">
        <f t="shared" si="3"/>
        <v>11144655.246805619</v>
      </c>
      <c r="R5" s="74">
        <f t="shared" si="3"/>
        <v>11144655.246805619</v>
      </c>
      <c r="S5" s="74">
        <f t="shared" si="3"/>
        <v>11144655.246805619</v>
      </c>
      <c r="X5" s="53">
        <v>2023</v>
      </c>
      <c r="Y5" s="56">
        <f>SUM(CÁLCULOS!A7:A8)</f>
        <v>468000</v>
      </c>
      <c r="Z5" s="57">
        <f>CÁLCULOS!$C9</f>
        <v>2112000</v>
      </c>
      <c r="AA5" s="59">
        <v>0</v>
      </c>
      <c r="AB5" s="68"/>
      <c r="AC5" s="68"/>
      <c r="AD5" s="55"/>
      <c r="AE5" s="68"/>
    </row>
    <row r="6" spans="2:31" ht="15" thickBot="1" x14ac:dyDescent="0.35">
      <c r="T6" s="47"/>
      <c r="U6" s="47"/>
      <c r="V6" s="47"/>
      <c r="X6" s="53">
        <v>2024</v>
      </c>
      <c r="Y6" s="56">
        <f>SUM(CÁLCULOS!A9:A10)</f>
        <v>517700</v>
      </c>
      <c r="Z6" s="57">
        <f>CÁLCULOS!$D7</f>
        <v>1440000</v>
      </c>
      <c r="AA6" s="59">
        <v>0</v>
      </c>
      <c r="AB6" s="68"/>
      <c r="AC6" s="68"/>
      <c r="AD6" s="55"/>
      <c r="AE6" s="68"/>
    </row>
    <row r="7" spans="2:31" x14ac:dyDescent="0.3">
      <c r="B7" s="82" t="s">
        <v>1</v>
      </c>
      <c r="C7" s="83"/>
      <c r="D7" s="2">
        <v>2021</v>
      </c>
      <c r="E7" s="2">
        <v>2022</v>
      </c>
      <c r="F7" s="2">
        <v>2023</v>
      </c>
      <c r="G7" s="2">
        <v>2024</v>
      </c>
      <c r="H7" s="2">
        <v>2025</v>
      </c>
      <c r="I7" s="2">
        <v>2026</v>
      </c>
      <c r="J7" s="2">
        <v>2027</v>
      </c>
      <c r="K7" s="2">
        <v>2028</v>
      </c>
      <c r="L7" s="2">
        <v>2029</v>
      </c>
      <c r="M7" s="2">
        <v>2030</v>
      </c>
      <c r="N7" s="2">
        <v>2031</v>
      </c>
      <c r="O7" s="2">
        <v>2032</v>
      </c>
      <c r="P7" s="2">
        <v>2033</v>
      </c>
      <c r="Q7" s="2">
        <v>2034</v>
      </c>
      <c r="R7" s="2">
        <v>2035</v>
      </c>
      <c r="S7" s="2">
        <v>2036</v>
      </c>
      <c r="T7" s="47"/>
      <c r="U7" s="47"/>
      <c r="V7" s="47"/>
      <c r="X7" s="53">
        <v>2025</v>
      </c>
      <c r="Y7" s="56">
        <f>SUM(CÁLCULOS!A11:A12)</f>
        <v>570700</v>
      </c>
      <c r="Z7" s="57">
        <f>CÁLCULOS!$D7</f>
        <v>1440000</v>
      </c>
      <c r="AA7" s="59">
        <v>0</v>
      </c>
      <c r="AB7" s="68"/>
      <c r="AC7" s="68"/>
      <c r="AD7" s="55"/>
      <c r="AE7" s="68"/>
    </row>
    <row r="8" spans="2:31" ht="15" thickBot="1" x14ac:dyDescent="0.35">
      <c r="B8" s="88" t="s">
        <v>10</v>
      </c>
      <c r="C8" s="89"/>
      <c r="D8" s="75">
        <f>D5</f>
        <v>-2458000</v>
      </c>
      <c r="E8" s="75">
        <f>E5</f>
        <v>-2523200</v>
      </c>
      <c r="F8" s="75">
        <f t="shared" ref="F8:H8" si="4">F5</f>
        <v>-2580000</v>
      </c>
      <c r="G8" s="75">
        <f t="shared" si="4"/>
        <v>-2517700</v>
      </c>
      <c r="H8" s="75">
        <f t="shared" si="4"/>
        <v>-2010700</v>
      </c>
      <c r="I8" s="75">
        <f>I5</f>
        <v>-1760000</v>
      </c>
      <c r="J8" s="76">
        <f>J5*1.1236</f>
        <v>12522134.635310793</v>
      </c>
      <c r="K8" s="76">
        <f>K5*1.1</f>
        <v>12259120.771486182</v>
      </c>
      <c r="L8" s="76">
        <f>L5*1.07</f>
        <v>11924781.114082014</v>
      </c>
      <c r="M8" s="76">
        <f>M5*1.06</f>
        <v>11813334.561613956</v>
      </c>
      <c r="N8" s="76">
        <f>N5*1.06</f>
        <v>11813334.561613956</v>
      </c>
      <c r="O8" s="76">
        <f>O5*1.06</f>
        <v>11813334.561613956</v>
      </c>
      <c r="P8" s="76">
        <f t="shared" ref="P8" si="5">P5*(1+$R$25)</f>
        <v>11813334.561613956</v>
      </c>
      <c r="Q8" s="76">
        <f>Q5*1.06</f>
        <v>11813334.561613956</v>
      </c>
      <c r="R8" s="76">
        <f>R5*1.06</f>
        <v>11813334.561613956</v>
      </c>
      <c r="S8" s="76">
        <f>S5*1.06</f>
        <v>11813334.561613956</v>
      </c>
      <c r="T8" s="47"/>
      <c r="U8" s="47"/>
      <c r="V8" s="47"/>
      <c r="X8" s="53">
        <v>2026</v>
      </c>
      <c r="Y8" s="56">
        <f>CÁLCULOS!$A13</f>
        <v>320000</v>
      </c>
      <c r="Z8" s="57">
        <f>CÁLCULOS!$D7</f>
        <v>1440000</v>
      </c>
      <c r="AA8" s="59">
        <v>0</v>
      </c>
      <c r="AB8" s="68"/>
      <c r="AC8" s="68"/>
      <c r="AD8" s="55"/>
      <c r="AE8" s="68"/>
    </row>
    <row r="9" spans="2:31" x14ac:dyDescent="0.3">
      <c r="H9" s="36"/>
      <c r="T9" s="47"/>
      <c r="U9" s="47"/>
      <c r="V9" s="47"/>
      <c r="X9" s="53">
        <v>2027</v>
      </c>
      <c r="Y9" s="56">
        <f>R19</f>
        <v>3015344.7531943792</v>
      </c>
      <c r="Z9" s="57">
        <f>CÁLCULOS!$D7</f>
        <v>1440000</v>
      </c>
      <c r="AA9" s="59">
        <v>1300000</v>
      </c>
      <c r="AB9" s="68"/>
      <c r="AC9" s="68"/>
      <c r="AD9" s="55"/>
      <c r="AE9" s="68"/>
    </row>
    <row r="10" spans="2:31" x14ac:dyDescent="0.3">
      <c r="B10" s="8" t="s">
        <v>11</v>
      </c>
      <c r="C10" s="9">
        <v>5.1999999999999998E-2</v>
      </c>
      <c r="D10" s="34"/>
      <c r="H10" s="10" t="s">
        <v>12</v>
      </c>
      <c r="J10" s="70"/>
      <c r="K10" s="90"/>
      <c r="L10" s="90"/>
      <c r="M10" s="90"/>
      <c r="N10" s="90"/>
      <c r="Q10" s="30"/>
      <c r="R10" s="30"/>
      <c r="S10" s="30"/>
      <c r="T10" s="47"/>
      <c r="U10" s="47"/>
      <c r="V10" s="47"/>
      <c r="X10" s="53">
        <v>2028</v>
      </c>
      <c r="Y10" s="56">
        <f>R19</f>
        <v>3015344.7531943792</v>
      </c>
      <c r="Z10" s="57">
        <f>CÁLCULOS!$D7</f>
        <v>1440000</v>
      </c>
      <c r="AA10" s="59">
        <v>1300000</v>
      </c>
      <c r="AB10" s="68"/>
      <c r="AC10" s="68"/>
      <c r="AD10" s="55"/>
      <c r="AE10" s="68"/>
    </row>
    <row r="11" spans="2:31" x14ac:dyDescent="0.3">
      <c r="B11" s="11" t="s">
        <v>13</v>
      </c>
      <c r="C11" s="12">
        <f>NPV(C10,D8:S8)</f>
        <v>55765571.335890293</v>
      </c>
      <c r="D11" s="32"/>
      <c r="E11" s="33"/>
      <c r="F11" s="35"/>
      <c r="G11" s="36"/>
      <c r="H11" s="13">
        <f>IRR(D8:S8)</f>
        <v>0.33864745977043964</v>
      </c>
      <c r="I11" s="36"/>
      <c r="J11" s="14"/>
      <c r="K11" s="14"/>
      <c r="T11" s="47"/>
      <c r="U11" s="47"/>
      <c r="V11" s="47"/>
      <c r="X11" s="53">
        <v>2029</v>
      </c>
      <c r="Y11" s="56">
        <f>R19</f>
        <v>3015344.7531943792</v>
      </c>
      <c r="Z11" s="57">
        <f>CÁLCULOS!$D7</f>
        <v>1440000</v>
      </c>
      <c r="AA11" s="59">
        <v>1300000</v>
      </c>
      <c r="AB11" s="68"/>
      <c r="AC11" s="68"/>
      <c r="AD11" s="55"/>
      <c r="AE11" s="68"/>
    </row>
    <row r="12" spans="2:31" x14ac:dyDescent="0.3">
      <c r="C12" s="35"/>
      <c r="D12" s="32"/>
      <c r="E12" s="32"/>
      <c r="F12" s="32"/>
      <c r="G12" s="32"/>
      <c r="H12" s="32"/>
      <c r="I12" s="32"/>
      <c r="J12" s="33"/>
      <c r="K12" s="33"/>
      <c r="T12" s="47"/>
      <c r="U12" s="47"/>
      <c r="V12" s="47"/>
      <c r="X12" s="53">
        <v>2030</v>
      </c>
      <c r="Y12" s="56">
        <f>R19</f>
        <v>3015344.7531943792</v>
      </c>
      <c r="Z12" s="57">
        <f>CÁLCULOS!$D7</f>
        <v>1440000</v>
      </c>
      <c r="AA12" s="59">
        <v>1300000</v>
      </c>
      <c r="AB12" s="68"/>
      <c r="AC12" s="68"/>
      <c r="AD12" s="55"/>
      <c r="AE12" s="68"/>
    </row>
    <row r="13" spans="2:31" x14ac:dyDescent="0.3">
      <c r="B13" s="15" t="s">
        <v>14</v>
      </c>
      <c r="C13" s="15" t="s">
        <v>15</v>
      </c>
      <c r="D13" s="15" t="s">
        <v>16</v>
      </c>
      <c r="E13" s="15" t="s">
        <v>17</v>
      </c>
      <c r="F13" s="15" t="s">
        <v>18</v>
      </c>
      <c r="G13" s="15" t="s">
        <v>19</v>
      </c>
      <c r="H13" s="15" t="s">
        <v>20</v>
      </c>
      <c r="I13" s="15" t="s">
        <v>21</v>
      </c>
      <c r="J13" s="15" t="s">
        <v>22</v>
      </c>
      <c r="K13" s="15" t="s">
        <v>23</v>
      </c>
      <c r="L13" s="15" t="s">
        <v>24</v>
      </c>
      <c r="M13" s="15" t="s">
        <v>25</v>
      </c>
      <c r="N13" s="15" t="s">
        <v>26</v>
      </c>
      <c r="O13" s="15" t="s">
        <v>27</v>
      </c>
      <c r="Q13" s="17" t="s">
        <v>28</v>
      </c>
      <c r="R13" s="26">
        <v>13289600</v>
      </c>
      <c r="S13" s="1"/>
      <c r="T13" s="47"/>
      <c r="U13" s="17" t="s">
        <v>29</v>
      </c>
      <c r="V13" s="17" t="s">
        <v>12</v>
      </c>
      <c r="X13" s="62">
        <v>2031</v>
      </c>
      <c r="Y13" s="63">
        <f>R19</f>
        <v>3015344.7531943792</v>
      </c>
      <c r="Z13" s="64">
        <f>CÁLCULOS!$D7</f>
        <v>1440000</v>
      </c>
      <c r="AA13" s="59">
        <v>1300000</v>
      </c>
      <c r="AB13" s="68"/>
      <c r="AC13" s="68"/>
      <c r="AD13" s="55"/>
      <c r="AE13" s="68"/>
    </row>
    <row r="14" spans="2:31" x14ac:dyDescent="0.3">
      <c r="B14" s="15" t="s">
        <v>6</v>
      </c>
      <c r="C14" s="16">
        <f xml:space="preserve"> -(S44)</f>
        <v>-176000</v>
      </c>
      <c r="D14" s="16">
        <f xml:space="preserve"> -(Q34+S44)</f>
        <v>-349000</v>
      </c>
      <c r="E14" s="16">
        <f xml:space="preserve"> -(S44)</f>
        <v>-176000</v>
      </c>
      <c r="F14" s="16">
        <f xml:space="preserve"> -(S44)</f>
        <v>-176000</v>
      </c>
      <c r="G14" s="16">
        <f xml:space="preserve"> -(S44)</f>
        <v>-176000</v>
      </c>
      <c r="H14" s="16">
        <f xml:space="preserve"> -(S44)</f>
        <v>-176000</v>
      </c>
      <c r="I14" s="16">
        <f xml:space="preserve"> -(S44)</f>
        <v>-176000</v>
      </c>
      <c r="J14" s="16">
        <f xml:space="preserve"> -(Q35+S44)</f>
        <v>-349000</v>
      </c>
      <c r="K14" s="16">
        <f xml:space="preserve"> -(S44)</f>
        <v>-176000</v>
      </c>
      <c r="L14" s="16">
        <f xml:space="preserve"> -(S44)</f>
        <v>-176000</v>
      </c>
      <c r="M14" s="16">
        <f xml:space="preserve"> -(S44)</f>
        <v>-176000</v>
      </c>
      <c r="N14" s="16">
        <f xml:space="preserve"> -(S44)</f>
        <v>-176000</v>
      </c>
      <c r="O14" s="79">
        <f>SUM(C14:N14)</f>
        <v>-2458000</v>
      </c>
      <c r="Q14" s="17" t="s">
        <v>30</v>
      </c>
      <c r="R14" s="27">
        <v>5.1999999999999998E-2</v>
      </c>
      <c r="T14" s="47"/>
      <c r="U14" s="17" t="s">
        <v>31</v>
      </c>
      <c r="V14" s="31" t="e">
        <f>IRR($D$8:D8)</f>
        <v>#NUM!</v>
      </c>
      <c r="X14" s="65">
        <v>2032</v>
      </c>
      <c r="Y14" s="59">
        <f>R19</f>
        <v>3015344.7531943792</v>
      </c>
      <c r="Z14" s="66">
        <f>CÁLCULOS!$D7</f>
        <v>1440000</v>
      </c>
      <c r="AA14" s="59">
        <v>1300000</v>
      </c>
      <c r="AB14" s="68"/>
      <c r="AC14" s="68"/>
      <c r="AD14" s="55"/>
      <c r="AE14" s="68"/>
    </row>
    <row r="15" spans="2:31" x14ac:dyDescent="0.3">
      <c r="B15" s="15" t="s">
        <v>8</v>
      </c>
      <c r="C15" s="5">
        <f>0</f>
        <v>0</v>
      </c>
      <c r="D15" s="5">
        <f>0</f>
        <v>0</v>
      </c>
      <c r="E15" s="5">
        <f>0</f>
        <v>0</v>
      </c>
      <c r="F15" s="5">
        <f>0</f>
        <v>0</v>
      </c>
      <c r="G15" s="5">
        <f>0</f>
        <v>0</v>
      </c>
      <c r="H15" s="5">
        <f>0</f>
        <v>0</v>
      </c>
      <c r="I15" s="5">
        <f>0</f>
        <v>0</v>
      </c>
      <c r="J15" s="5">
        <f>0</f>
        <v>0</v>
      </c>
      <c r="K15" s="5">
        <f>0</f>
        <v>0</v>
      </c>
      <c r="L15" s="5">
        <f>0</f>
        <v>0</v>
      </c>
      <c r="M15" s="5">
        <f>0</f>
        <v>0</v>
      </c>
      <c r="N15" s="5">
        <f>0</f>
        <v>0</v>
      </c>
      <c r="O15" s="5">
        <f>SUM(C15:N15)</f>
        <v>0</v>
      </c>
      <c r="Q15" s="17" t="s">
        <v>32</v>
      </c>
      <c r="R15" s="28">
        <f>((1+R14)^(1/12)-1)*100</f>
        <v>0.42333616592649115</v>
      </c>
      <c r="T15" s="47"/>
      <c r="U15" s="17" t="s">
        <v>33</v>
      </c>
      <c r="V15" s="31" t="e">
        <f>IRR($D$8:E8)</f>
        <v>#NUM!</v>
      </c>
      <c r="W15" s="61"/>
      <c r="X15" s="59" t="s">
        <v>27</v>
      </c>
      <c r="Y15" s="59">
        <f>SUM(Y3:Y8)</f>
        <v>2633600</v>
      </c>
      <c r="Z15" s="66">
        <f>SUM(Z3:Z8)</f>
        <v>10656000</v>
      </c>
      <c r="AA15" s="59"/>
      <c r="AB15" s="68"/>
      <c r="AC15" s="68"/>
      <c r="AD15" s="55"/>
      <c r="AE15" s="68"/>
    </row>
    <row r="16" spans="2:31" x14ac:dyDescent="0.3">
      <c r="B16" s="17" t="s">
        <v>10</v>
      </c>
      <c r="C16" s="18">
        <f t="shared" ref="C16:N16" si="6">C15+C14</f>
        <v>-176000</v>
      </c>
      <c r="D16" s="18">
        <f t="shared" si="6"/>
        <v>-349000</v>
      </c>
      <c r="E16" s="18">
        <f t="shared" si="6"/>
        <v>-176000</v>
      </c>
      <c r="F16" s="18">
        <f t="shared" si="6"/>
        <v>-176000</v>
      </c>
      <c r="G16" s="18">
        <f t="shared" si="6"/>
        <v>-176000</v>
      </c>
      <c r="H16" s="18">
        <f t="shared" si="6"/>
        <v>-176000</v>
      </c>
      <c r="I16" s="18">
        <f t="shared" si="6"/>
        <v>-176000</v>
      </c>
      <c r="J16" s="18">
        <f t="shared" si="6"/>
        <v>-349000</v>
      </c>
      <c r="K16" s="18">
        <f t="shared" si="6"/>
        <v>-176000</v>
      </c>
      <c r="L16" s="18">
        <f t="shared" si="6"/>
        <v>-176000</v>
      </c>
      <c r="M16" s="18">
        <f t="shared" si="6"/>
        <v>-176000</v>
      </c>
      <c r="N16" s="18">
        <f t="shared" si="6"/>
        <v>-176000</v>
      </c>
      <c r="O16" s="19"/>
      <c r="Q16" s="17" t="s">
        <v>34</v>
      </c>
      <c r="R16" s="26">
        <v>5</v>
      </c>
      <c r="T16" s="47"/>
      <c r="U16" s="17" t="s">
        <v>35</v>
      </c>
      <c r="V16" s="31" t="e">
        <f>IRR($D$8:F8)</f>
        <v>#NUM!</v>
      </c>
      <c r="W16" s="61"/>
      <c r="X16" s="60"/>
      <c r="Y16" s="55"/>
      <c r="Z16" s="55"/>
      <c r="AA16" s="55"/>
      <c r="AB16" s="55"/>
      <c r="AC16" s="55"/>
      <c r="AD16" s="55"/>
      <c r="AE16" s="55"/>
    </row>
    <row r="17" spans="2:33" x14ac:dyDescent="0.3">
      <c r="Q17" s="17" t="s">
        <v>36</v>
      </c>
      <c r="R17" s="26">
        <v>60</v>
      </c>
      <c r="T17" s="47"/>
      <c r="U17" s="17" t="s">
        <v>37</v>
      </c>
      <c r="V17" s="31" t="e">
        <f>IRR($D$8:G8)</f>
        <v>#NUM!</v>
      </c>
      <c r="W17" s="61"/>
      <c r="X17" s="60"/>
      <c r="Y17" s="55"/>
      <c r="Z17" s="55"/>
      <c r="AA17" s="55"/>
      <c r="AB17" s="55"/>
      <c r="AC17" s="55"/>
      <c r="AD17" s="55"/>
      <c r="AE17" s="55"/>
    </row>
    <row r="18" spans="2:33" x14ac:dyDescent="0.3">
      <c r="B18" s="15" t="s">
        <v>38</v>
      </c>
      <c r="C18" s="15" t="s">
        <v>15</v>
      </c>
      <c r="D18" s="15" t="s">
        <v>16</v>
      </c>
      <c r="E18" s="15" t="s">
        <v>17</v>
      </c>
      <c r="F18" s="15" t="s">
        <v>18</v>
      </c>
      <c r="G18" s="15" t="s">
        <v>19</v>
      </c>
      <c r="H18" s="15" t="s">
        <v>20</v>
      </c>
      <c r="I18" s="15" t="s">
        <v>21</v>
      </c>
      <c r="J18" s="15" t="s">
        <v>22</v>
      </c>
      <c r="K18" s="15" t="s">
        <v>23</v>
      </c>
      <c r="L18" s="15" t="s">
        <v>24</v>
      </c>
      <c r="M18" s="15" t="s">
        <v>25</v>
      </c>
      <c r="N18" s="15" t="s">
        <v>26</v>
      </c>
      <c r="O18" s="15" t="s">
        <v>27</v>
      </c>
      <c r="Q18" s="17" t="s">
        <v>39</v>
      </c>
      <c r="R18" s="28">
        <f>((R13*R15/100)/(1-(1+R15/100)^(-R17)))</f>
        <v>251278.72943286493</v>
      </c>
      <c r="S18" s="1"/>
      <c r="T18" s="47"/>
      <c r="U18" s="17" t="s">
        <v>40</v>
      </c>
      <c r="V18" s="31" t="e">
        <f>IRR($D$8:H$8)</f>
        <v>#NUM!</v>
      </c>
      <c r="W18" s="61"/>
      <c r="X18" s="60"/>
      <c r="Y18" s="55"/>
      <c r="Z18" s="55"/>
      <c r="AA18" s="55"/>
      <c r="AB18" s="55"/>
      <c r="AC18" s="55"/>
      <c r="AD18" s="55"/>
      <c r="AE18" s="55"/>
    </row>
    <row r="19" spans="2:33" x14ac:dyDescent="0.3">
      <c r="B19" s="15" t="s">
        <v>6</v>
      </c>
      <c r="C19" s="16">
        <f xml:space="preserve"> -(S44)</f>
        <v>-176000</v>
      </c>
      <c r="D19" s="16">
        <f xml:space="preserve"> -(Q36+S44)</f>
        <v>-366200</v>
      </c>
      <c r="E19" s="16">
        <f xml:space="preserve"> -(S44)</f>
        <v>-176000</v>
      </c>
      <c r="F19" s="16">
        <f xml:space="preserve"> -(S44)</f>
        <v>-176000</v>
      </c>
      <c r="G19" s="16">
        <f xml:space="preserve"> -(S44)</f>
        <v>-176000</v>
      </c>
      <c r="H19" s="16">
        <f xml:space="preserve"> -(S44)</f>
        <v>-176000</v>
      </c>
      <c r="I19" s="16">
        <f xml:space="preserve"> -(S44)</f>
        <v>-176000</v>
      </c>
      <c r="J19" s="16">
        <f xml:space="preserve"> -(Q37+S44)</f>
        <v>-397000</v>
      </c>
      <c r="K19" s="16">
        <f xml:space="preserve"> -(S44)</f>
        <v>-176000</v>
      </c>
      <c r="L19" s="16">
        <f xml:space="preserve"> -(S44)</f>
        <v>-176000</v>
      </c>
      <c r="M19" s="16">
        <f xml:space="preserve"> -(S44)</f>
        <v>-176000</v>
      </c>
      <c r="N19" s="16">
        <f xml:space="preserve"> -(S44)</f>
        <v>-176000</v>
      </c>
      <c r="O19" s="79">
        <f>SUM(C19:N19)</f>
        <v>-2523200</v>
      </c>
      <c r="Q19" s="17" t="s">
        <v>41</v>
      </c>
      <c r="R19" s="26">
        <f>12*R18</f>
        <v>3015344.7531943792</v>
      </c>
      <c r="U19" s="17" t="s">
        <v>42</v>
      </c>
      <c r="V19" s="31" t="e">
        <f>IRR($D$8:I$8)</f>
        <v>#NUM!</v>
      </c>
      <c r="W19" s="55"/>
    </row>
    <row r="20" spans="2:33" ht="15.6" x14ac:dyDescent="0.3">
      <c r="B20" s="15" t="s">
        <v>8</v>
      </c>
      <c r="C20" s="5">
        <f>0</f>
        <v>0</v>
      </c>
      <c r="D20" s="5">
        <f>0</f>
        <v>0</v>
      </c>
      <c r="E20" s="5">
        <f>0</f>
        <v>0</v>
      </c>
      <c r="F20" s="5">
        <f>0</f>
        <v>0</v>
      </c>
      <c r="G20" s="5">
        <f>0</f>
        <v>0</v>
      </c>
      <c r="H20" s="5">
        <f>0</f>
        <v>0</v>
      </c>
      <c r="I20" s="5">
        <f>0</f>
        <v>0</v>
      </c>
      <c r="J20" s="5">
        <f>0</f>
        <v>0</v>
      </c>
      <c r="K20" s="5">
        <f>0</f>
        <v>0</v>
      </c>
      <c r="L20" s="5">
        <f>0</f>
        <v>0</v>
      </c>
      <c r="M20" s="5">
        <f>0</f>
        <v>0</v>
      </c>
      <c r="N20" s="5">
        <f>0</f>
        <v>0</v>
      </c>
      <c r="O20" s="5">
        <f>SUM(C20:N20)</f>
        <v>0</v>
      </c>
      <c r="R20" s="38"/>
      <c r="U20" s="17" t="s">
        <v>43</v>
      </c>
      <c r="V20" s="31">
        <f>IRR($D$8:J$8)</f>
        <v>-2.72539995675255E-2</v>
      </c>
      <c r="X20" s="48"/>
      <c r="Y20" s="48"/>
      <c r="Z20" s="48"/>
      <c r="AA20" s="48"/>
      <c r="AB20" s="48"/>
      <c r="AC20" s="48"/>
      <c r="AD20" s="48"/>
      <c r="AE20" s="48"/>
      <c r="AF20" s="48"/>
      <c r="AG20" s="48"/>
    </row>
    <row r="21" spans="2:33" x14ac:dyDescent="0.3">
      <c r="B21" s="17" t="s">
        <v>10</v>
      </c>
      <c r="C21" s="18">
        <f t="shared" ref="C21:N21" si="7">C20+C19</f>
        <v>-176000</v>
      </c>
      <c r="D21" s="18">
        <f t="shared" si="7"/>
        <v>-366200</v>
      </c>
      <c r="E21" s="18">
        <f t="shared" si="7"/>
        <v>-176000</v>
      </c>
      <c r="F21" s="18">
        <f t="shared" si="7"/>
        <v>-176000</v>
      </c>
      <c r="G21" s="18">
        <f t="shared" si="7"/>
        <v>-176000</v>
      </c>
      <c r="H21" s="18">
        <f t="shared" si="7"/>
        <v>-176000</v>
      </c>
      <c r="I21" s="18">
        <f t="shared" si="7"/>
        <v>-176000</v>
      </c>
      <c r="J21" s="18">
        <f t="shared" si="7"/>
        <v>-397000</v>
      </c>
      <c r="K21" s="18">
        <f t="shared" si="7"/>
        <v>-176000</v>
      </c>
      <c r="L21" s="18">
        <f t="shared" si="7"/>
        <v>-176000</v>
      </c>
      <c r="M21" s="18">
        <f t="shared" si="7"/>
        <v>-176000</v>
      </c>
      <c r="N21" s="18">
        <f t="shared" si="7"/>
        <v>-176000</v>
      </c>
      <c r="O21" s="19"/>
      <c r="Q21" s="17" t="s">
        <v>1</v>
      </c>
      <c r="R21" s="17" t="s">
        <v>44</v>
      </c>
      <c r="U21" s="17" t="s">
        <v>45</v>
      </c>
      <c r="V21" s="31">
        <f>IRR($D$8:K$8)</f>
        <v>0.14346324266378208</v>
      </c>
      <c r="X21" s="48"/>
      <c r="Y21" s="48" t="s">
        <v>46</v>
      </c>
      <c r="Z21" s="48"/>
      <c r="AA21" s="48"/>
      <c r="AB21" s="48"/>
      <c r="AC21" s="48"/>
      <c r="AD21" s="48"/>
      <c r="AE21" s="48"/>
      <c r="AF21" s="48"/>
      <c r="AG21" s="48"/>
    </row>
    <row r="22" spans="2:33" x14ac:dyDescent="0.3">
      <c r="Q22" s="26">
        <v>2027</v>
      </c>
      <c r="R22" s="29">
        <v>0.1236</v>
      </c>
      <c r="U22" s="17" t="s">
        <v>47</v>
      </c>
      <c r="V22" s="31">
        <f>IRR($D$8:L$8)</f>
        <v>0.22183144049499148</v>
      </c>
      <c r="X22" s="48" t="s">
        <v>48</v>
      </c>
      <c r="Y22" s="48">
        <f>SUM(Y15:Z15)</f>
        <v>13289600</v>
      </c>
      <c r="Z22" s="48"/>
      <c r="AA22" s="48"/>
      <c r="AB22" s="48"/>
      <c r="AC22" s="48"/>
      <c r="AD22" s="48"/>
      <c r="AE22" s="48"/>
      <c r="AF22" s="48"/>
      <c r="AG22" s="48"/>
    </row>
    <row r="23" spans="2:33" x14ac:dyDescent="0.3">
      <c r="B23" s="15" t="s">
        <v>49</v>
      </c>
      <c r="C23" s="15" t="s">
        <v>15</v>
      </c>
      <c r="D23" s="15" t="s">
        <v>16</v>
      </c>
      <c r="E23" s="15" t="s">
        <v>17</v>
      </c>
      <c r="F23" s="15" t="s">
        <v>18</v>
      </c>
      <c r="G23" s="15" t="s">
        <v>19</v>
      </c>
      <c r="H23" s="15" t="s">
        <v>20</v>
      </c>
      <c r="I23" s="15" t="s">
        <v>21</v>
      </c>
      <c r="J23" s="15" t="s">
        <v>22</v>
      </c>
      <c r="K23" s="15" t="s">
        <v>23</v>
      </c>
      <c r="L23" s="15" t="s">
        <v>24</v>
      </c>
      <c r="M23" s="15" t="s">
        <v>25</v>
      </c>
      <c r="N23" s="15" t="s">
        <v>26</v>
      </c>
      <c r="O23" s="15" t="s">
        <v>27</v>
      </c>
      <c r="Q23" s="26">
        <v>2028</v>
      </c>
      <c r="R23" s="29">
        <v>0.1</v>
      </c>
      <c r="U23" s="17" t="s">
        <v>50</v>
      </c>
      <c r="V23" s="31">
        <f>IRR($D$8:M$8)</f>
        <v>0.26570502563186005</v>
      </c>
      <c r="X23" s="48"/>
      <c r="Y23" s="48"/>
      <c r="Z23" s="48"/>
      <c r="AA23" s="48"/>
      <c r="AB23" s="48"/>
      <c r="AC23" s="48"/>
      <c r="AD23" s="48"/>
      <c r="AE23" s="48"/>
      <c r="AF23" s="48"/>
      <c r="AG23" s="48"/>
    </row>
    <row r="24" spans="2:33" x14ac:dyDescent="0.3">
      <c r="B24" s="15" t="s">
        <v>6</v>
      </c>
      <c r="C24" s="16">
        <f xml:space="preserve"> -(S44)</f>
        <v>-176000</v>
      </c>
      <c r="D24" s="16">
        <f xml:space="preserve"> -(Q38+S44)</f>
        <v>-397000</v>
      </c>
      <c r="E24" s="16">
        <f xml:space="preserve"> -(S44)</f>
        <v>-176000</v>
      </c>
      <c r="F24" s="16">
        <f xml:space="preserve"> -(S44)</f>
        <v>-176000</v>
      </c>
      <c r="G24" s="16">
        <f xml:space="preserve"> -(S44)</f>
        <v>-176000</v>
      </c>
      <c r="H24" s="16">
        <f xml:space="preserve"> -(S44)</f>
        <v>-176000</v>
      </c>
      <c r="I24" s="16">
        <f xml:space="preserve"> -(S44)</f>
        <v>-176000</v>
      </c>
      <c r="J24" s="16">
        <f xml:space="preserve"> -(Q39+S44)</f>
        <v>-423000</v>
      </c>
      <c r="K24" s="16">
        <f xml:space="preserve"> -(S44)</f>
        <v>-176000</v>
      </c>
      <c r="L24" s="16">
        <f xml:space="preserve"> -(S44)</f>
        <v>-176000</v>
      </c>
      <c r="M24" s="16">
        <f xml:space="preserve"> -(S44)</f>
        <v>-176000</v>
      </c>
      <c r="N24" s="16">
        <f xml:space="preserve"> -(S44)</f>
        <v>-176000</v>
      </c>
      <c r="O24" s="79">
        <f>SUM(C24:N24)</f>
        <v>-2580000</v>
      </c>
      <c r="Q24" s="26">
        <v>2029</v>
      </c>
      <c r="R24" s="29">
        <v>7.0000000000000007E-2</v>
      </c>
      <c r="U24" s="17" t="s">
        <v>51</v>
      </c>
      <c r="V24" s="31">
        <f>IRR($D$8:N$8)</f>
        <v>0.29260547206184939</v>
      </c>
      <c r="X24" s="48"/>
      <c r="Y24" s="48"/>
      <c r="Z24" s="48"/>
      <c r="AA24" s="48"/>
      <c r="AB24" s="48"/>
      <c r="AC24" s="48"/>
      <c r="AD24" s="48"/>
      <c r="AE24" s="48"/>
      <c r="AF24" s="48"/>
      <c r="AG24" s="48"/>
    </row>
    <row r="25" spans="2:33" x14ac:dyDescent="0.3">
      <c r="B25" s="15" t="s">
        <v>8</v>
      </c>
      <c r="C25" s="5">
        <f>0</f>
        <v>0</v>
      </c>
      <c r="D25" s="5">
        <f>0</f>
        <v>0</v>
      </c>
      <c r="E25" s="5">
        <f>0</f>
        <v>0</v>
      </c>
      <c r="F25" s="5">
        <f>0</f>
        <v>0</v>
      </c>
      <c r="G25" s="5">
        <f>0</f>
        <v>0</v>
      </c>
      <c r="H25" s="5">
        <f>0</f>
        <v>0</v>
      </c>
      <c r="I25" s="5">
        <f>0</f>
        <v>0</v>
      </c>
      <c r="J25" s="5">
        <f>0</f>
        <v>0</v>
      </c>
      <c r="K25" s="5">
        <f>0</f>
        <v>0</v>
      </c>
      <c r="L25" s="5">
        <f>0</f>
        <v>0</v>
      </c>
      <c r="M25" s="5">
        <f>0</f>
        <v>0</v>
      </c>
      <c r="N25" s="5">
        <f>0</f>
        <v>0</v>
      </c>
      <c r="O25" s="5">
        <f>SUM(C25:N25)</f>
        <v>0</v>
      </c>
      <c r="Q25" s="26">
        <v>2030</v>
      </c>
      <c r="R25" s="29">
        <v>0.06</v>
      </c>
      <c r="U25" s="17" t="s">
        <v>52</v>
      </c>
      <c r="V25" s="31">
        <f>IRR($D$8:O$8)</f>
        <v>0.30992700835375797</v>
      </c>
      <c r="X25" s="48"/>
      <c r="Y25" s="48"/>
      <c r="Z25" s="48"/>
      <c r="AA25" s="48"/>
      <c r="AB25" s="48"/>
      <c r="AC25" s="48"/>
      <c r="AD25" s="48"/>
      <c r="AE25" s="48"/>
      <c r="AF25" s="48"/>
      <c r="AG25" s="48"/>
    </row>
    <row r="26" spans="2:33" x14ac:dyDescent="0.3">
      <c r="B26" s="17" t="s">
        <v>10</v>
      </c>
      <c r="C26" s="18">
        <f t="shared" ref="C26:N26" si="8">C25+C24</f>
        <v>-176000</v>
      </c>
      <c r="D26" s="18">
        <f t="shared" si="8"/>
        <v>-397000</v>
      </c>
      <c r="E26" s="18">
        <f t="shared" si="8"/>
        <v>-176000</v>
      </c>
      <c r="F26" s="18">
        <f t="shared" si="8"/>
        <v>-176000</v>
      </c>
      <c r="G26" s="18">
        <f t="shared" si="8"/>
        <v>-176000</v>
      </c>
      <c r="H26" s="18">
        <f t="shared" si="8"/>
        <v>-176000</v>
      </c>
      <c r="I26" s="18">
        <f t="shared" si="8"/>
        <v>-176000</v>
      </c>
      <c r="J26" s="18">
        <f t="shared" si="8"/>
        <v>-423000</v>
      </c>
      <c r="K26" s="18">
        <f t="shared" si="8"/>
        <v>-176000</v>
      </c>
      <c r="L26" s="18">
        <f t="shared" si="8"/>
        <v>-176000</v>
      </c>
      <c r="M26" s="18">
        <f t="shared" si="8"/>
        <v>-176000</v>
      </c>
      <c r="N26" s="18">
        <f t="shared" si="8"/>
        <v>-176000</v>
      </c>
      <c r="O26" s="19"/>
      <c r="Q26" s="26">
        <v>2031</v>
      </c>
      <c r="R26" s="29">
        <v>0.06</v>
      </c>
      <c r="U26" s="17" t="s">
        <v>53</v>
      </c>
      <c r="V26" s="31">
        <f>IRR($D$8:P$8)</f>
        <v>0.32146084784842111</v>
      </c>
      <c r="W26" s="44"/>
      <c r="X26" s="48"/>
      <c r="Y26" s="48"/>
      <c r="Z26" s="48"/>
      <c r="AA26" s="48"/>
      <c r="AB26" s="48"/>
      <c r="AC26" s="48"/>
      <c r="AD26" s="48"/>
      <c r="AE26" s="48"/>
      <c r="AF26" s="48"/>
      <c r="AG26" s="48"/>
    </row>
    <row r="27" spans="2:33" x14ac:dyDescent="0.3">
      <c r="Q27" s="26">
        <v>2032</v>
      </c>
      <c r="R27" s="29">
        <v>0.06</v>
      </c>
      <c r="U27" s="17" t="s">
        <v>54</v>
      </c>
      <c r="V27" s="31">
        <f>IRR($D$8:Q$8)</f>
        <v>0.32932953679302601</v>
      </c>
      <c r="W27" s="45"/>
      <c r="X27" s="48"/>
      <c r="Y27" s="48"/>
      <c r="Z27" s="48"/>
      <c r="AA27" s="48"/>
      <c r="AB27" s="48"/>
      <c r="AC27" s="48"/>
      <c r="AD27" s="48"/>
      <c r="AE27" s="48"/>
      <c r="AF27" s="48"/>
      <c r="AG27" s="48"/>
    </row>
    <row r="28" spans="2:33" x14ac:dyDescent="0.3">
      <c r="B28" s="15" t="s">
        <v>55</v>
      </c>
      <c r="C28" s="15" t="s">
        <v>15</v>
      </c>
      <c r="D28" s="15" t="s">
        <v>16</v>
      </c>
      <c r="E28" s="15" t="s">
        <v>17</v>
      </c>
      <c r="F28" s="15" t="s">
        <v>18</v>
      </c>
      <c r="G28" s="15" t="s">
        <v>19</v>
      </c>
      <c r="H28" s="15" t="s">
        <v>20</v>
      </c>
      <c r="I28" s="15" t="s">
        <v>21</v>
      </c>
      <c r="J28" s="15" t="s">
        <v>22</v>
      </c>
      <c r="K28" s="15" t="s">
        <v>23</v>
      </c>
      <c r="L28" s="15" t="s">
        <v>24</v>
      </c>
      <c r="M28" s="15" t="s">
        <v>25</v>
      </c>
      <c r="N28" s="15" t="s">
        <v>26</v>
      </c>
      <c r="O28" s="15" t="s">
        <v>27</v>
      </c>
      <c r="Q28" s="26">
        <v>2033</v>
      </c>
      <c r="R28" s="29">
        <v>0.06</v>
      </c>
      <c r="U28" s="17" t="s">
        <v>56</v>
      </c>
      <c r="V28" s="31">
        <f>IRR($D$8:R$8)</f>
        <v>0.3347962570310945</v>
      </c>
      <c r="W28" s="35"/>
      <c r="X28" s="48"/>
      <c r="Y28" s="48"/>
      <c r="Z28" s="48"/>
      <c r="AA28" s="48"/>
      <c r="AB28" s="48"/>
      <c r="AC28" s="48"/>
      <c r="AD28" s="48"/>
      <c r="AE28" s="48"/>
      <c r="AF28" s="48"/>
      <c r="AG28" s="48"/>
    </row>
    <row r="29" spans="2:33" x14ac:dyDescent="0.3">
      <c r="B29" s="15" t="s">
        <v>6</v>
      </c>
      <c r="C29" s="16">
        <f xml:space="preserve"> -(S44)</f>
        <v>-176000</v>
      </c>
      <c r="D29" s="16">
        <f xml:space="preserve"> -(Q40+T36)</f>
        <v>-367000</v>
      </c>
      <c r="E29" s="16">
        <f xml:space="preserve"> -(S44)</f>
        <v>-176000</v>
      </c>
      <c r="F29" s="16">
        <f xml:space="preserve"> -(S44)</f>
        <v>-176000</v>
      </c>
      <c r="G29" s="16">
        <f xml:space="preserve"> -(S44)</f>
        <v>-176000</v>
      </c>
      <c r="H29" s="16">
        <f xml:space="preserve"> -(S44)</f>
        <v>-176000</v>
      </c>
      <c r="I29" s="16">
        <f xml:space="preserve"> -(S44)</f>
        <v>-176000</v>
      </c>
      <c r="J29" s="16">
        <f xml:space="preserve"> -(Q41+T36)</f>
        <v>-390700</v>
      </c>
      <c r="K29" s="16">
        <f xml:space="preserve"> -(S44)</f>
        <v>-176000</v>
      </c>
      <c r="L29" s="16">
        <f xml:space="preserve"> -(S44)</f>
        <v>-176000</v>
      </c>
      <c r="M29" s="16">
        <f xml:space="preserve"> -(S44)</f>
        <v>-176000</v>
      </c>
      <c r="N29" s="16">
        <f xml:space="preserve"> -(S44)</f>
        <v>-176000</v>
      </c>
      <c r="O29" s="79">
        <f>SUM(C29:N29)</f>
        <v>-2517700</v>
      </c>
      <c r="Q29" s="26">
        <v>2034</v>
      </c>
      <c r="R29" s="29">
        <v>0.06</v>
      </c>
      <c r="U29" s="17" t="s">
        <v>57</v>
      </c>
      <c r="V29" s="31">
        <f>IRR($D$8:S$8)</f>
        <v>0.33864745977043964</v>
      </c>
      <c r="X29" s="48"/>
      <c r="Y29" s="48"/>
      <c r="Z29" s="48"/>
      <c r="AA29" s="48"/>
      <c r="AB29" s="48"/>
      <c r="AC29" s="48"/>
      <c r="AD29" s="48"/>
      <c r="AE29" s="48"/>
      <c r="AF29" s="48"/>
      <c r="AG29" s="48"/>
    </row>
    <row r="30" spans="2:33" x14ac:dyDescent="0.3">
      <c r="B30" s="15" t="s">
        <v>8</v>
      </c>
      <c r="C30" s="5">
        <f>0</f>
        <v>0</v>
      </c>
      <c r="D30" s="5">
        <f>0</f>
        <v>0</v>
      </c>
      <c r="E30" s="5">
        <f>0</f>
        <v>0</v>
      </c>
      <c r="F30" s="5">
        <f>0</f>
        <v>0</v>
      </c>
      <c r="G30" s="5">
        <f>0</f>
        <v>0</v>
      </c>
      <c r="H30" s="5">
        <f>0</f>
        <v>0</v>
      </c>
      <c r="I30" s="5">
        <f>0</f>
        <v>0</v>
      </c>
      <c r="J30" s="5">
        <f>0</f>
        <v>0</v>
      </c>
      <c r="K30" s="5">
        <f>0</f>
        <v>0</v>
      </c>
      <c r="L30" s="5">
        <f>0</f>
        <v>0</v>
      </c>
      <c r="M30" s="5">
        <f>0</f>
        <v>0</v>
      </c>
      <c r="N30" s="5">
        <f>0</f>
        <v>0</v>
      </c>
      <c r="O30" s="5">
        <f>SUM(C30:N30)</f>
        <v>0</v>
      </c>
      <c r="Q30" s="26">
        <v>2035</v>
      </c>
      <c r="R30" s="29">
        <v>0.06</v>
      </c>
      <c r="X30" s="48"/>
      <c r="Y30" s="48"/>
      <c r="Z30" s="48"/>
      <c r="AA30" s="48"/>
      <c r="AB30" s="48"/>
      <c r="AC30" s="48"/>
      <c r="AD30" s="48"/>
      <c r="AE30" s="48"/>
      <c r="AF30" s="48"/>
      <c r="AG30" s="48"/>
    </row>
    <row r="31" spans="2:33" x14ac:dyDescent="0.3">
      <c r="B31" s="17" t="s">
        <v>10</v>
      </c>
      <c r="C31" s="18">
        <f t="shared" ref="C31:N31" si="9">C30+C29</f>
        <v>-176000</v>
      </c>
      <c r="D31" s="18">
        <f t="shared" si="9"/>
        <v>-367000</v>
      </c>
      <c r="E31" s="18">
        <f t="shared" si="9"/>
        <v>-176000</v>
      </c>
      <c r="F31" s="18">
        <f t="shared" si="9"/>
        <v>-176000</v>
      </c>
      <c r="G31" s="18">
        <f t="shared" si="9"/>
        <v>-176000</v>
      </c>
      <c r="H31" s="18">
        <f t="shared" si="9"/>
        <v>-176000</v>
      </c>
      <c r="I31" s="18">
        <f t="shared" si="9"/>
        <v>-176000</v>
      </c>
      <c r="J31" s="18">
        <f t="shared" si="9"/>
        <v>-390700</v>
      </c>
      <c r="K31" s="18">
        <f t="shared" si="9"/>
        <v>-176000</v>
      </c>
      <c r="L31" s="18">
        <f t="shared" si="9"/>
        <v>-176000</v>
      </c>
      <c r="M31" s="18">
        <f t="shared" si="9"/>
        <v>-176000</v>
      </c>
      <c r="N31" s="18">
        <f t="shared" si="9"/>
        <v>-176000</v>
      </c>
      <c r="O31" s="19"/>
      <c r="Q31" s="26">
        <v>2036</v>
      </c>
      <c r="R31" s="29">
        <v>0.06</v>
      </c>
    </row>
    <row r="32" spans="2:33" x14ac:dyDescent="0.3">
      <c r="Q32" s="37"/>
    </row>
    <row r="33" spans="2:43" x14ac:dyDescent="0.3">
      <c r="B33" s="15" t="s">
        <v>58</v>
      </c>
      <c r="C33" s="15" t="s">
        <v>15</v>
      </c>
      <c r="D33" s="15" t="s">
        <v>16</v>
      </c>
      <c r="E33" s="15" t="s">
        <v>17</v>
      </c>
      <c r="F33" s="15" t="s">
        <v>18</v>
      </c>
      <c r="G33" s="15" t="s">
        <v>19</v>
      </c>
      <c r="H33" s="15" t="s">
        <v>20</v>
      </c>
      <c r="I33" s="15" t="s">
        <v>21</v>
      </c>
      <c r="J33" s="15" t="s">
        <v>22</v>
      </c>
      <c r="K33" s="15" t="s">
        <v>23</v>
      </c>
      <c r="L33" s="15" t="s">
        <v>24</v>
      </c>
      <c r="M33" s="15" t="s">
        <v>25</v>
      </c>
      <c r="N33" s="15" t="s">
        <v>26</v>
      </c>
      <c r="O33" s="15" t="s">
        <v>27</v>
      </c>
      <c r="Q33" s="46" t="s">
        <v>59</v>
      </c>
      <c r="S33" s="46" t="s">
        <v>60</v>
      </c>
      <c r="T33" s="46" t="s">
        <v>61</v>
      </c>
    </row>
    <row r="34" spans="2:43" x14ac:dyDescent="0.3">
      <c r="B34" s="15" t="s">
        <v>6</v>
      </c>
      <c r="C34" s="16">
        <f xml:space="preserve"> -(T36)</f>
        <v>-120000</v>
      </c>
      <c r="D34" s="16">
        <f xml:space="preserve"> -(Q42+T36)</f>
        <v>-390700</v>
      </c>
      <c r="E34" s="16">
        <f xml:space="preserve"> -(T36)</f>
        <v>-120000</v>
      </c>
      <c r="F34" s="16">
        <f xml:space="preserve"> -(T36)</f>
        <v>-120000</v>
      </c>
      <c r="G34" s="16">
        <f xml:space="preserve"> -(T36)</f>
        <v>-120000</v>
      </c>
      <c r="H34" s="16">
        <f xml:space="preserve"> -(T36)</f>
        <v>-120000</v>
      </c>
      <c r="I34" s="16">
        <f xml:space="preserve"> -(T36)</f>
        <v>-120000</v>
      </c>
      <c r="J34" s="16">
        <f xml:space="preserve"> -(Q43+T36)</f>
        <v>-420000</v>
      </c>
      <c r="K34" s="16">
        <f xml:space="preserve"> -(T36)</f>
        <v>-120000</v>
      </c>
      <c r="L34" s="16">
        <f xml:space="preserve"> -(T36)</f>
        <v>-120000</v>
      </c>
      <c r="M34" s="16">
        <f xml:space="preserve"> -(T36)</f>
        <v>-120000</v>
      </c>
      <c r="N34" s="16">
        <f xml:space="preserve"> -(T36)</f>
        <v>-120000</v>
      </c>
      <c r="O34" s="79">
        <f>SUM(C34:N34)</f>
        <v>-2010700</v>
      </c>
      <c r="Q34" s="49">
        <v>173000</v>
      </c>
      <c r="S34" s="49">
        <v>8000</v>
      </c>
      <c r="T34" s="49">
        <v>30000</v>
      </c>
    </row>
    <row r="35" spans="2:43" ht="15" thickBot="1" x14ac:dyDescent="0.35">
      <c r="B35" s="15" t="s">
        <v>8</v>
      </c>
      <c r="C35" s="5">
        <f>0</f>
        <v>0</v>
      </c>
      <c r="D35" s="5">
        <f>0</f>
        <v>0</v>
      </c>
      <c r="E35" s="5">
        <f>0</f>
        <v>0</v>
      </c>
      <c r="F35" s="5">
        <f>0</f>
        <v>0</v>
      </c>
      <c r="G35" s="5">
        <f>0</f>
        <v>0</v>
      </c>
      <c r="H35" s="5">
        <f>0</f>
        <v>0</v>
      </c>
      <c r="I35" s="5">
        <f>0</f>
        <v>0</v>
      </c>
      <c r="J35" s="5">
        <f>0</f>
        <v>0</v>
      </c>
      <c r="K35" s="5">
        <f>0</f>
        <v>0</v>
      </c>
      <c r="L35" s="5">
        <f>0</f>
        <v>0</v>
      </c>
      <c r="M35" s="5">
        <f>0</f>
        <v>0</v>
      </c>
      <c r="N35" s="5">
        <f>0</f>
        <v>0</v>
      </c>
      <c r="O35" s="5">
        <f>SUM(C35:N35)</f>
        <v>0</v>
      </c>
      <c r="Q35" s="49">
        <v>173000</v>
      </c>
      <c r="S35" s="49">
        <v>4000</v>
      </c>
      <c r="T35" s="49">
        <v>4</v>
      </c>
    </row>
    <row r="36" spans="2:43" ht="15" thickBot="1" x14ac:dyDescent="0.35">
      <c r="B36" s="17" t="s">
        <v>10</v>
      </c>
      <c r="C36" s="18">
        <f t="shared" ref="C36:N36" si="10">C35+C34</f>
        <v>-120000</v>
      </c>
      <c r="D36" s="18">
        <f t="shared" si="10"/>
        <v>-390700</v>
      </c>
      <c r="E36" s="18">
        <f t="shared" si="10"/>
        <v>-120000</v>
      </c>
      <c r="F36" s="18">
        <f t="shared" si="10"/>
        <v>-120000</v>
      </c>
      <c r="G36" s="18">
        <f t="shared" si="10"/>
        <v>-120000</v>
      </c>
      <c r="H36" s="18">
        <f t="shared" si="10"/>
        <v>-120000</v>
      </c>
      <c r="I36" s="18">
        <f t="shared" si="10"/>
        <v>-120000</v>
      </c>
      <c r="J36" s="18">
        <f t="shared" si="10"/>
        <v>-420000</v>
      </c>
      <c r="K36" s="18">
        <f t="shared" si="10"/>
        <v>-120000</v>
      </c>
      <c r="L36" s="18">
        <f t="shared" si="10"/>
        <v>-120000</v>
      </c>
      <c r="M36" s="18">
        <f t="shared" si="10"/>
        <v>-120000</v>
      </c>
      <c r="N36" s="18">
        <f t="shared" si="10"/>
        <v>-120000</v>
      </c>
      <c r="O36" s="19"/>
      <c r="Q36" s="49">
        <v>190200</v>
      </c>
      <c r="S36" s="49">
        <v>20</v>
      </c>
      <c r="T36" s="52">
        <f>PRODUCT(T34:T35)</f>
        <v>120000</v>
      </c>
      <c r="Z36" s="8" t="s">
        <v>11</v>
      </c>
      <c r="AA36" s="9">
        <v>5.1999999999999998E-2</v>
      </c>
      <c r="AB36" s="40"/>
      <c r="AC36" s="40"/>
      <c r="AD36" s="40"/>
      <c r="AE36" s="40"/>
      <c r="AF36" s="40"/>
      <c r="AG36" s="40"/>
      <c r="AH36" s="40"/>
      <c r="AI36" s="40"/>
      <c r="AJ36" s="40"/>
      <c r="AK36" s="40"/>
      <c r="AL36" s="40"/>
      <c r="AM36" s="40"/>
      <c r="AN36" s="40"/>
      <c r="AO36" s="40"/>
      <c r="AP36" s="40"/>
      <c r="AQ36" s="41"/>
    </row>
    <row r="37" spans="2:43" x14ac:dyDescent="0.3">
      <c r="Q37" s="50">
        <v>221000</v>
      </c>
      <c r="S37" s="49">
        <v>4</v>
      </c>
      <c r="T37" t="s">
        <v>62</v>
      </c>
      <c r="Z37" s="82" t="s">
        <v>1</v>
      </c>
      <c r="AA37" s="83"/>
      <c r="AB37" s="2">
        <v>2021</v>
      </c>
      <c r="AC37" s="2">
        <v>2022</v>
      </c>
      <c r="AD37" s="2">
        <v>2023</v>
      </c>
      <c r="AE37" s="2">
        <v>2024</v>
      </c>
      <c r="AF37" s="2">
        <v>2025</v>
      </c>
      <c r="AG37" s="2">
        <v>2026</v>
      </c>
      <c r="AH37" s="2">
        <v>2027</v>
      </c>
      <c r="AI37" s="2">
        <v>2028</v>
      </c>
      <c r="AJ37" s="2">
        <v>2029</v>
      </c>
      <c r="AK37" s="2">
        <v>2030</v>
      </c>
      <c r="AL37" s="2">
        <v>2031</v>
      </c>
      <c r="AM37" s="2">
        <v>2032</v>
      </c>
      <c r="AN37" s="2">
        <v>2033</v>
      </c>
      <c r="AO37" s="2">
        <v>2034</v>
      </c>
      <c r="AP37" s="2">
        <v>2035</v>
      </c>
      <c r="AQ37" s="2">
        <v>2036</v>
      </c>
    </row>
    <row r="38" spans="2:43" x14ac:dyDescent="0.3">
      <c r="B38" s="15" t="s">
        <v>63</v>
      </c>
      <c r="C38" s="15" t="s">
        <v>15</v>
      </c>
      <c r="D38" s="15" t="s">
        <v>16</v>
      </c>
      <c r="E38" s="15" t="s">
        <v>17</v>
      </c>
      <c r="F38" s="15" t="s">
        <v>18</v>
      </c>
      <c r="G38" s="15" t="s">
        <v>19</v>
      </c>
      <c r="H38" s="15" t="s">
        <v>20</v>
      </c>
      <c r="I38" s="15" t="s">
        <v>21</v>
      </c>
      <c r="J38" s="15" t="s">
        <v>22</v>
      </c>
      <c r="K38" s="15" t="s">
        <v>23</v>
      </c>
      <c r="L38" s="15" t="s">
        <v>24</v>
      </c>
      <c r="M38" s="15" t="s">
        <v>25</v>
      </c>
      <c r="N38" s="15" t="s">
        <v>26</v>
      </c>
      <c r="O38" s="15" t="s">
        <v>27</v>
      </c>
      <c r="Q38" s="50">
        <v>221000</v>
      </c>
      <c r="S38" s="49">
        <f>S34*S36</f>
        <v>160000</v>
      </c>
      <c r="T38" s="69">
        <f>T36*12</f>
        <v>1440000</v>
      </c>
      <c r="Z38" s="84" t="s">
        <v>10</v>
      </c>
      <c r="AA38" s="85"/>
      <c r="AB38" s="39">
        <f>D8</f>
        <v>-2458000</v>
      </c>
      <c r="AC38" s="39">
        <f t="shared" ref="AC38:AG38" si="11">E8</f>
        <v>-2523200</v>
      </c>
      <c r="AD38" s="39">
        <f t="shared" si="11"/>
        <v>-2580000</v>
      </c>
      <c r="AE38" s="39">
        <f t="shared" si="11"/>
        <v>-2517700</v>
      </c>
      <c r="AF38" s="39">
        <f t="shared" si="11"/>
        <v>-2010700</v>
      </c>
      <c r="AG38" s="39">
        <f t="shared" si="11"/>
        <v>-1760000</v>
      </c>
      <c r="AH38" s="39">
        <f t="shared" ref="AH38" si="12">J8</f>
        <v>12522134.635310793</v>
      </c>
      <c r="AI38" s="39">
        <f t="shared" ref="AI38" si="13">K8</f>
        <v>12259120.771486182</v>
      </c>
      <c r="AJ38" s="39">
        <f t="shared" ref="AJ38" si="14">L8</f>
        <v>11924781.114082014</v>
      </c>
      <c r="AK38" s="39">
        <f t="shared" ref="AK38" si="15">M8</f>
        <v>11813334.561613956</v>
      </c>
      <c r="AL38" s="39">
        <f t="shared" ref="AL38" si="16">N8</f>
        <v>11813334.561613956</v>
      </c>
      <c r="AM38" s="39">
        <f t="shared" ref="AM38" si="17">O8</f>
        <v>11813334.561613956</v>
      </c>
      <c r="AN38" s="39">
        <f t="shared" ref="AN38" si="18">P8</f>
        <v>11813334.561613956</v>
      </c>
      <c r="AO38" s="39">
        <f t="shared" ref="AO38" si="19">Q8</f>
        <v>11813334.561613956</v>
      </c>
      <c r="AP38" s="39">
        <f t="shared" ref="AP38" si="20">R8</f>
        <v>11813334.561613956</v>
      </c>
      <c r="AQ38" s="42">
        <f t="shared" ref="AQ38" si="21">S8</f>
        <v>11813334.561613956</v>
      </c>
    </row>
    <row r="39" spans="2:43" ht="15" thickBot="1" x14ac:dyDescent="0.35">
      <c r="B39" s="15" t="s">
        <v>6</v>
      </c>
      <c r="C39" s="16">
        <f xml:space="preserve"> -(T36)</f>
        <v>-120000</v>
      </c>
      <c r="D39" s="16">
        <f xml:space="preserve"> -(Q44+T36)</f>
        <v>-440000</v>
      </c>
      <c r="E39" s="16">
        <f xml:space="preserve"> -(T36)</f>
        <v>-120000</v>
      </c>
      <c r="F39" s="16">
        <f xml:space="preserve"> -(T36)</f>
        <v>-120000</v>
      </c>
      <c r="G39" s="16">
        <f xml:space="preserve"> -(T36)</f>
        <v>-120000</v>
      </c>
      <c r="H39" s="16">
        <f xml:space="preserve"> -(T36)</f>
        <v>-120000</v>
      </c>
      <c r="I39" s="16">
        <f xml:space="preserve"> -(T36)</f>
        <v>-120000</v>
      </c>
      <c r="J39" s="16">
        <f xml:space="preserve"> -(T36)</f>
        <v>-120000</v>
      </c>
      <c r="K39" s="16">
        <f xml:space="preserve"> -(T36)</f>
        <v>-120000</v>
      </c>
      <c r="L39" s="16">
        <f xml:space="preserve"> -(T36)</f>
        <v>-120000</v>
      </c>
      <c r="M39" s="16">
        <f xml:space="preserve"> -(T36)</f>
        <v>-120000</v>
      </c>
      <c r="N39" s="16">
        <f xml:space="preserve"> -(T36)</f>
        <v>-120000</v>
      </c>
      <c r="O39" s="79">
        <f>SUM(C39:N39)</f>
        <v>-1760000</v>
      </c>
      <c r="Q39" s="50">
        <v>247000</v>
      </c>
      <c r="S39" s="49">
        <f>S35*S37</f>
        <v>16000</v>
      </c>
      <c r="Z39" s="86" t="s">
        <v>13</v>
      </c>
      <c r="AA39" s="87"/>
      <c r="AB39" s="43">
        <f>NPV(AA36,AB38)</f>
        <v>-2336501.9011406843</v>
      </c>
      <c r="AC39" s="43">
        <f>NPV(AA36,$AB$38:AC38)</f>
        <v>-4616424.9880726915</v>
      </c>
      <c r="AD39" s="43">
        <f>NPV($AA$36,$AB$38:AD38)</f>
        <v>-6832438.9203343745</v>
      </c>
      <c r="AE39" s="43">
        <f>NPV($AA$36,$AB$38:AE38)</f>
        <v>-8888050.3350097202</v>
      </c>
      <c r="AF39" s="43">
        <f>NPV($AA$36,$AB$38:AF38)</f>
        <v>-10448567.603353541</v>
      </c>
      <c r="AG39" s="43">
        <f>NPV($AA$36,$AB$38:AG38)</f>
        <v>-11746996.669581695</v>
      </c>
      <c r="AH39" s="43">
        <f>NPV($AA$36,$AB$38:AH38)</f>
        <v>-2965507.0925261895</v>
      </c>
      <c r="AI39" s="43">
        <f>NPV($AA$36,$AB$38:AI38)</f>
        <v>5206587.8768290477</v>
      </c>
      <c r="AJ39" s="43">
        <f>NPV($AA$36,$AB$38:AJ38)</f>
        <v>12762880.321704699</v>
      </c>
      <c r="AK39" s="43">
        <f>NPV($AA$36,$AB$38:AK38)</f>
        <v>19878538.961738981</v>
      </c>
      <c r="AL39" s="43">
        <f>NPV($AA$36,$AB$38:AL38)</f>
        <v>26642473.030212633</v>
      </c>
      <c r="AM39" s="43">
        <f>NPV($AA$36,$AB$38:AM38)</f>
        <v>33072068.152335871</v>
      </c>
      <c r="AN39" s="43">
        <f>NPV($AA$36,$AB$38:AN38)</f>
        <v>39183850.587814234</v>
      </c>
      <c r="AO39" s="43">
        <f>NPV($AA$36,$AB$38:AO38)</f>
        <v>44993529.708991393</v>
      </c>
      <c r="AP39" s="43">
        <f>NPV($AA$36,$AB$38:AP38)</f>
        <v>50516038.379311882</v>
      </c>
      <c r="AQ39" s="43">
        <f>NPV($AA$36,$AB$38:AQ38)</f>
        <v>55765571.335890293</v>
      </c>
    </row>
    <row r="40" spans="2:43" x14ac:dyDescent="0.3">
      <c r="B40" s="15" t="s">
        <v>8</v>
      </c>
      <c r="C40" s="5">
        <f>0</f>
        <v>0</v>
      </c>
      <c r="D40" s="5">
        <f>0</f>
        <v>0</v>
      </c>
      <c r="E40" s="5">
        <f>0</f>
        <v>0</v>
      </c>
      <c r="F40" s="5">
        <f>0</f>
        <v>0</v>
      </c>
      <c r="G40" s="5">
        <f>0</f>
        <v>0</v>
      </c>
      <c r="H40" s="5">
        <f>0</f>
        <v>0</v>
      </c>
      <c r="I40" s="5">
        <f>0</f>
        <v>0</v>
      </c>
      <c r="J40" s="5">
        <f>0</f>
        <v>0</v>
      </c>
      <c r="K40" s="5">
        <f>0</f>
        <v>0</v>
      </c>
      <c r="L40" s="5">
        <f>0</f>
        <v>0</v>
      </c>
      <c r="M40" s="5">
        <f>0</f>
        <v>0</v>
      </c>
      <c r="N40" s="5">
        <f>0</f>
        <v>0</v>
      </c>
      <c r="O40" s="5">
        <f>SUM(C40:N40)</f>
        <v>0</v>
      </c>
      <c r="Q40" s="50">
        <v>247000</v>
      </c>
      <c r="S40" s="52">
        <f>SUM(S38:S39)*12</f>
        <v>2112000</v>
      </c>
    </row>
    <row r="41" spans="2:43" x14ac:dyDescent="0.3">
      <c r="B41" s="17" t="s">
        <v>10</v>
      </c>
      <c r="C41" s="18">
        <f t="shared" ref="C41:N41" si="22">C40+C39</f>
        <v>-120000</v>
      </c>
      <c r="D41" s="18">
        <f t="shared" si="22"/>
        <v>-440000</v>
      </c>
      <c r="E41" s="18">
        <f t="shared" si="22"/>
        <v>-120000</v>
      </c>
      <c r="F41" s="18">
        <f t="shared" si="22"/>
        <v>-120000</v>
      </c>
      <c r="G41" s="18">
        <f t="shared" si="22"/>
        <v>-120000</v>
      </c>
      <c r="H41" s="18">
        <f t="shared" si="22"/>
        <v>-120000</v>
      </c>
      <c r="I41" s="18">
        <f t="shared" si="22"/>
        <v>-120000</v>
      </c>
      <c r="J41" s="18">
        <f t="shared" si="22"/>
        <v>-120000</v>
      </c>
      <c r="K41" s="18">
        <f t="shared" si="22"/>
        <v>-120000</v>
      </c>
      <c r="L41" s="18">
        <f t="shared" si="22"/>
        <v>-120000</v>
      </c>
      <c r="M41" s="18">
        <f t="shared" si="22"/>
        <v>-120000</v>
      </c>
      <c r="N41" s="18">
        <f t="shared" si="22"/>
        <v>-120000</v>
      </c>
      <c r="O41" s="19"/>
      <c r="Q41" s="50">
        <v>270700</v>
      </c>
      <c r="S41" s="52"/>
    </row>
    <row r="42" spans="2:43" x14ac:dyDescent="0.3">
      <c r="Q42" s="50">
        <v>270700</v>
      </c>
      <c r="S42" s="49"/>
    </row>
    <row r="43" spans="2:43" x14ac:dyDescent="0.3">
      <c r="B43" s="15" t="s">
        <v>64</v>
      </c>
      <c r="C43" s="15" t="s">
        <v>15</v>
      </c>
      <c r="D43" s="15" t="s">
        <v>16</v>
      </c>
      <c r="E43" s="15" t="s">
        <v>17</v>
      </c>
      <c r="F43" s="15" t="s">
        <v>18</v>
      </c>
      <c r="G43" s="15" t="s">
        <v>19</v>
      </c>
      <c r="H43" s="15" t="s">
        <v>20</v>
      </c>
      <c r="I43" s="15" t="s">
        <v>21</v>
      </c>
      <c r="J43" s="15" t="s">
        <v>22</v>
      </c>
      <c r="K43" s="15" t="s">
        <v>23</v>
      </c>
      <c r="L43" s="15" t="s">
        <v>24</v>
      </c>
      <c r="M43" s="15" t="s">
        <v>25</v>
      </c>
      <c r="N43" s="15" t="s">
        <v>26</v>
      </c>
      <c r="O43" s="15" t="s">
        <v>27</v>
      </c>
      <c r="Q43" s="50">
        <v>300000</v>
      </c>
      <c r="S43" s="46" t="s">
        <v>65</v>
      </c>
    </row>
    <row r="44" spans="2:43" x14ac:dyDescent="0.3">
      <c r="B44" s="15" t="s">
        <v>6</v>
      </c>
      <c r="C44" s="16">
        <f xml:space="preserve"> -(T36+R18)</f>
        <v>-371278.72943286493</v>
      </c>
      <c r="D44" s="16">
        <f xml:space="preserve"> -(T36+R18)</f>
        <v>-371278.72943286493</v>
      </c>
      <c r="E44" s="16">
        <f xml:space="preserve"> -(T36+R18)</f>
        <v>-371278.72943286493</v>
      </c>
      <c r="F44" s="16">
        <f xml:space="preserve"> -(T36+R18)</f>
        <v>-371278.72943286493</v>
      </c>
      <c r="G44" s="16">
        <f xml:space="preserve"> -(T36+R18)</f>
        <v>-371278.72943286493</v>
      </c>
      <c r="H44" s="16">
        <f xml:space="preserve"> -(T36+R18)</f>
        <v>-371278.72943286493</v>
      </c>
      <c r="I44" s="16">
        <f xml:space="preserve"> -(T36+R18)</f>
        <v>-371278.72943286493</v>
      </c>
      <c r="J44" s="16">
        <f xml:space="preserve"> -(T36+R18)</f>
        <v>-371278.72943286493</v>
      </c>
      <c r="K44" s="16">
        <f xml:space="preserve"> -(T36+R18)</f>
        <v>-371278.72943286493</v>
      </c>
      <c r="L44" s="16">
        <f xml:space="preserve"> -(T36+R18)</f>
        <v>-371278.72943286493</v>
      </c>
      <c r="M44" s="16">
        <f xml:space="preserve"> -(T36+R18)</f>
        <v>-371278.72943286493</v>
      </c>
      <c r="N44" s="16">
        <f xml:space="preserve"> -(T36+R18)</f>
        <v>-371278.72943286493</v>
      </c>
      <c r="O44" s="79">
        <f>SUM(C44:N44)</f>
        <v>-4455344.7531943796</v>
      </c>
      <c r="Q44" s="50">
        <v>320000</v>
      </c>
      <c r="S44" s="52">
        <f>SUM(S38:S39)</f>
        <v>176000</v>
      </c>
    </row>
    <row r="45" spans="2:43" x14ac:dyDescent="0.3">
      <c r="B45" s="15" t="s">
        <v>8</v>
      </c>
      <c r="C45" s="5">
        <f t="shared" ref="C45:N45" si="23">$AA$9-$AE$9</f>
        <v>1300000</v>
      </c>
      <c r="D45" s="5">
        <f t="shared" si="23"/>
        <v>1300000</v>
      </c>
      <c r="E45" s="5">
        <f t="shared" si="23"/>
        <v>1300000</v>
      </c>
      <c r="F45" s="5">
        <f t="shared" si="23"/>
        <v>1300000</v>
      </c>
      <c r="G45" s="5">
        <f t="shared" si="23"/>
        <v>1300000</v>
      </c>
      <c r="H45" s="5">
        <f t="shared" si="23"/>
        <v>1300000</v>
      </c>
      <c r="I45" s="5">
        <f t="shared" si="23"/>
        <v>1300000</v>
      </c>
      <c r="J45" s="5">
        <f t="shared" si="23"/>
        <v>1300000</v>
      </c>
      <c r="K45" s="5">
        <f t="shared" si="23"/>
        <v>1300000</v>
      </c>
      <c r="L45" s="5">
        <f t="shared" si="23"/>
        <v>1300000</v>
      </c>
      <c r="M45" s="5">
        <f t="shared" si="23"/>
        <v>1300000</v>
      </c>
      <c r="N45" s="5">
        <f t="shared" si="23"/>
        <v>1300000</v>
      </c>
      <c r="O45" s="5">
        <f>SUM(C45:N45)</f>
        <v>15600000</v>
      </c>
      <c r="Q45" s="51">
        <f>SUM(Q34:Q44)</f>
        <v>2633600</v>
      </c>
      <c r="S45" s="49"/>
    </row>
    <row r="46" spans="2:43" x14ac:dyDescent="0.3">
      <c r="B46" s="17" t="s">
        <v>10</v>
      </c>
      <c r="C46" s="78">
        <f t="shared" ref="C46:N46" si="24">C45+C44</f>
        <v>928721.27056713507</v>
      </c>
      <c r="D46" s="78">
        <f t="shared" si="24"/>
        <v>928721.27056713507</v>
      </c>
      <c r="E46" s="78">
        <f t="shared" si="24"/>
        <v>928721.27056713507</v>
      </c>
      <c r="F46" s="78">
        <f t="shared" si="24"/>
        <v>928721.27056713507</v>
      </c>
      <c r="G46" s="78">
        <f t="shared" si="24"/>
        <v>928721.27056713507</v>
      </c>
      <c r="H46" s="78">
        <f t="shared" si="24"/>
        <v>928721.27056713507</v>
      </c>
      <c r="I46" s="78">
        <f t="shared" si="24"/>
        <v>928721.27056713507</v>
      </c>
      <c r="J46" s="78">
        <f t="shared" si="24"/>
        <v>928721.27056713507</v>
      </c>
      <c r="K46" s="78">
        <f t="shared" si="24"/>
        <v>928721.27056713507</v>
      </c>
      <c r="L46" s="78">
        <f t="shared" si="24"/>
        <v>928721.27056713507</v>
      </c>
      <c r="M46" s="78">
        <f t="shared" si="24"/>
        <v>928721.27056713507</v>
      </c>
      <c r="N46" s="78">
        <f t="shared" si="24"/>
        <v>928721.27056713507</v>
      </c>
      <c r="O46" s="19"/>
    </row>
    <row r="48" spans="2:43" x14ac:dyDescent="0.3">
      <c r="B48" s="15" t="s">
        <v>66</v>
      </c>
      <c r="C48" s="15" t="s">
        <v>15</v>
      </c>
      <c r="D48" s="15" t="s">
        <v>16</v>
      </c>
      <c r="E48" s="15" t="s">
        <v>17</v>
      </c>
      <c r="F48" s="15" t="s">
        <v>18</v>
      </c>
      <c r="G48" s="15" t="s">
        <v>19</v>
      </c>
      <c r="H48" s="15" t="s">
        <v>20</v>
      </c>
      <c r="I48" s="15" t="s">
        <v>21</v>
      </c>
      <c r="J48" s="15" t="s">
        <v>22</v>
      </c>
      <c r="K48" s="15" t="s">
        <v>23</v>
      </c>
      <c r="L48" s="15" t="s">
        <v>24</v>
      </c>
      <c r="M48" s="15" t="s">
        <v>25</v>
      </c>
      <c r="N48" s="15" t="s">
        <v>26</v>
      </c>
      <c r="O48" s="15" t="s">
        <v>27</v>
      </c>
    </row>
    <row r="49" spans="2:15" x14ac:dyDescent="0.3">
      <c r="B49" s="15" t="s">
        <v>6</v>
      </c>
      <c r="C49" s="16">
        <f xml:space="preserve"> -(T36+R18)</f>
        <v>-371278.72943286493</v>
      </c>
      <c r="D49" s="16">
        <f xml:space="preserve"> -(T36+R18)</f>
        <v>-371278.72943286493</v>
      </c>
      <c r="E49" s="16">
        <f xml:space="preserve"> -(T36+R18)</f>
        <v>-371278.72943286493</v>
      </c>
      <c r="F49" s="16">
        <f xml:space="preserve"> -(T36+R18)</f>
        <v>-371278.72943286493</v>
      </c>
      <c r="G49" s="16">
        <f xml:space="preserve"> -(T36+R18)</f>
        <v>-371278.72943286493</v>
      </c>
      <c r="H49" s="16">
        <f xml:space="preserve"> -(T36+R18)</f>
        <v>-371278.72943286493</v>
      </c>
      <c r="I49" s="16">
        <f xml:space="preserve"> -(T36+R18)</f>
        <v>-371278.72943286493</v>
      </c>
      <c r="J49" s="16">
        <f xml:space="preserve"> -(T36+R18)</f>
        <v>-371278.72943286493</v>
      </c>
      <c r="K49" s="16">
        <f xml:space="preserve"> -(T36+R18)</f>
        <v>-371278.72943286493</v>
      </c>
      <c r="L49" s="16">
        <f xml:space="preserve"> -(T36+R18)</f>
        <v>-371278.72943286493</v>
      </c>
      <c r="M49" s="16">
        <f xml:space="preserve"> -(T36+R18)</f>
        <v>-371278.72943286493</v>
      </c>
      <c r="N49" s="16">
        <f xml:space="preserve"> -(T36+R18)</f>
        <v>-371278.72943286493</v>
      </c>
      <c r="O49" s="79">
        <f>SUM(C49:N49)</f>
        <v>-4455344.7531943796</v>
      </c>
    </row>
    <row r="50" spans="2:15" x14ac:dyDescent="0.3">
      <c r="B50" s="15" t="s">
        <v>8</v>
      </c>
      <c r="C50" s="5">
        <f t="shared" ref="C50:N50" si="25">$AA$9-$AE$9</f>
        <v>1300000</v>
      </c>
      <c r="D50" s="5">
        <f t="shared" si="25"/>
        <v>1300000</v>
      </c>
      <c r="E50" s="5">
        <f t="shared" si="25"/>
        <v>1300000</v>
      </c>
      <c r="F50" s="5">
        <f t="shared" si="25"/>
        <v>1300000</v>
      </c>
      <c r="G50" s="5">
        <f t="shared" si="25"/>
        <v>1300000</v>
      </c>
      <c r="H50" s="5">
        <f t="shared" si="25"/>
        <v>1300000</v>
      </c>
      <c r="I50" s="5">
        <f t="shared" si="25"/>
        <v>1300000</v>
      </c>
      <c r="J50" s="5">
        <f t="shared" si="25"/>
        <v>1300000</v>
      </c>
      <c r="K50" s="5">
        <f t="shared" si="25"/>
        <v>1300000</v>
      </c>
      <c r="L50" s="5">
        <f t="shared" si="25"/>
        <v>1300000</v>
      </c>
      <c r="M50" s="5">
        <f t="shared" si="25"/>
        <v>1300000</v>
      </c>
      <c r="N50" s="5">
        <f t="shared" si="25"/>
        <v>1300000</v>
      </c>
      <c r="O50" s="5">
        <f>SUM(C50:N50)</f>
        <v>15600000</v>
      </c>
    </row>
    <row r="51" spans="2:15" x14ac:dyDescent="0.3">
      <c r="B51" s="17" t="s">
        <v>10</v>
      </c>
      <c r="C51" s="78">
        <f t="shared" ref="C51:N51" si="26">C50+C49</f>
        <v>928721.27056713507</v>
      </c>
      <c r="D51" s="78">
        <f t="shared" si="26"/>
        <v>928721.27056713507</v>
      </c>
      <c r="E51" s="78">
        <f t="shared" si="26"/>
        <v>928721.27056713507</v>
      </c>
      <c r="F51" s="78">
        <f t="shared" si="26"/>
        <v>928721.27056713507</v>
      </c>
      <c r="G51" s="78">
        <f t="shared" si="26"/>
        <v>928721.27056713507</v>
      </c>
      <c r="H51" s="78">
        <f t="shared" si="26"/>
        <v>928721.27056713507</v>
      </c>
      <c r="I51" s="78">
        <f t="shared" si="26"/>
        <v>928721.27056713507</v>
      </c>
      <c r="J51" s="78">
        <f t="shared" si="26"/>
        <v>928721.27056713507</v>
      </c>
      <c r="K51" s="78">
        <f t="shared" si="26"/>
        <v>928721.27056713507</v>
      </c>
      <c r="L51" s="78">
        <f t="shared" si="26"/>
        <v>928721.27056713507</v>
      </c>
      <c r="M51" s="78">
        <f t="shared" si="26"/>
        <v>928721.27056713507</v>
      </c>
      <c r="N51" s="78">
        <f t="shared" si="26"/>
        <v>928721.27056713507</v>
      </c>
      <c r="O51" s="19"/>
    </row>
    <row r="53" spans="2:15" x14ac:dyDescent="0.3">
      <c r="B53" s="15" t="s">
        <v>67</v>
      </c>
      <c r="C53" s="15" t="s">
        <v>15</v>
      </c>
      <c r="D53" s="15" t="s">
        <v>16</v>
      </c>
      <c r="E53" s="15" t="s">
        <v>17</v>
      </c>
      <c r="F53" s="15" t="s">
        <v>18</v>
      </c>
      <c r="G53" s="15" t="s">
        <v>19</v>
      </c>
      <c r="H53" s="15" t="s">
        <v>20</v>
      </c>
      <c r="I53" s="15" t="s">
        <v>21</v>
      </c>
      <c r="J53" s="15" t="s">
        <v>22</v>
      </c>
      <c r="K53" s="15" t="s">
        <v>23</v>
      </c>
      <c r="L53" s="15" t="s">
        <v>24</v>
      </c>
      <c r="M53" s="15" t="s">
        <v>25</v>
      </c>
      <c r="N53" s="15" t="s">
        <v>26</v>
      </c>
      <c r="O53" s="15" t="s">
        <v>27</v>
      </c>
    </row>
    <row r="54" spans="2:15" x14ac:dyDescent="0.3">
      <c r="B54" s="15" t="s">
        <v>6</v>
      </c>
      <c r="C54" s="16">
        <f xml:space="preserve"> -(T36+R18)</f>
        <v>-371278.72943286493</v>
      </c>
      <c r="D54" s="16">
        <f xml:space="preserve"> -(T36+R18)</f>
        <v>-371278.72943286493</v>
      </c>
      <c r="E54" s="16">
        <f xml:space="preserve"> -(T36+R18)</f>
        <v>-371278.72943286493</v>
      </c>
      <c r="F54" s="16">
        <f xml:space="preserve"> -(T36+R18)</f>
        <v>-371278.72943286493</v>
      </c>
      <c r="G54" s="16">
        <f xml:space="preserve"> -(T36+R18)</f>
        <v>-371278.72943286493</v>
      </c>
      <c r="H54" s="16">
        <f xml:space="preserve"> -(T36+R18)</f>
        <v>-371278.72943286493</v>
      </c>
      <c r="I54" s="16">
        <f xml:space="preserve"> -(T36+R18)</f>
        <v>-371278.72943286493</v>
      </c>
      <c r="J54" s="16">
        <f xml:space="preserve"> -(T36+R18)</f>
        <v>-371278.72943286493</v>
      </c>
      <c r="K54" s="16">
        <f xml:space="preserve"> -(T36+R18)</f>
        <v>-371278.72943286493</v>
      </c>
      <c r="L54" s="16">
        <f xml:space="preserve"> -(T36+R18)</f>
        <v>-371278.72943286493</v>
      </c>
      <c r="M54" s="16">
        <f xml:space="preserve"> -(T36+R18)</f>
        <v>-371278.72943286493</v>
      </c>
      <c r="N54" s="16">
        <f xml:space="preserve"> -(T36+R18)</f>
        <v>-371278.72943286493</v>
      </c>
      <c r="O54" s="79">
        <f>SUM(C54:N54)</f>
        <v>-4455344.7531943796</v>
      </c>
    </row>
    <row r="55" spans="2:15" x14ac:dyDescent="0.3">
      <c r="B55" s="15" t="s">
        <v>8</v>
      </c>
      <c r="C55" s="5">
        <f t="shared" ref="C55:N55" si="27">$AA$9-$AE$9</f>
        <v>1300000</v>
      </c>
      <c r="D55" s="5">
        <f t="shared" si="27"/>
        <v>1300000</v>
      </c>
      <c r="E55" s="5">
        <f t="shared" si="27"/>
        <v>1300000</v>
      </c>
      <c r="F55" s="5">
        <f t="shared" si="27"/>
        <v>1300000</v>
      </c>
      <c r="G55" s="5">
        <f t="shared" si="27"/>
        <v>1300000</v>
      </c>
      <c r="H55" s="5">
        <f t="shared" si="27"/>
        <v>1300000</v>
      </c>
      <c r="I55" s="5">
        <f t="shared" si="27"/>
        <v>1300000</v>
      </c>
      <c r="J55" s="5">
        <f t="shared" si="27"/>
        <v>1300000</v>
      </c>
      <c r="K55" s="5">
        <f t="shared" si="27"/>
        <v>1300000</v>
      </c>
      <c r="L55" s="5">
        <f t="shared" si="27"/>
        <v>1300000</v>
      </c>
      <c r="M55" s="5">
        <f t="shared" si="27"/>
        <v>1300000</v>
      </c>
      <c r="N55" s="5">
        <f t="shared" si="27"/>
        <v>1300000</v>
      </c>
      <c r="O55" s="5">
        <f>SUM(C55:N55)</f>
        <v>15600000</v>
      </c>
    </row>
    <row r="56" spans="2:15" x14ac:dyDescent="0.3">
      <c r="B56" s="17" t="s">
        <v>10</v>
      </c>
      <c r="C56" s="78">
        <f t="shared" ref="C56:N56" si="28">C55+C54</f>
        <v>928721.27056713507</v>
      </c>
      <c r="D56" s="78">
        <f t="shared" si="28"/>
        <v>928721.27056713507</v>
      </c>
      <c r="E56" s="78">
        <f t="shared" si="28"/>
        <v>928721.27056713507</v>
      </c>
      <c r="F56" s="78">
        <f t="shared" si="28"/>
        <v>928721.27056713507</v>
      </c>
      <c r="G56" s="78">
        <f t="shared" si="28"/>
        <v>928721.27056713507</v>
      </c>
      <c r="H56" s="78">
        <f t="shared" si="28"/>
        <v>928721.27056713507</v>
      </c>
      <c r="I56" s="78">
        <f t="shared" si="28"/>
        <v>928721.27056713507</v>
      </c>
      <c r="J56" s="78">
        <f t="shared" si="28"/>
        <v>928721.27056713507</v>
      </c>
      <c r="K56" s="78">
        <f t="shared" si="28"/>
        <v>928721.27056713507</v>
      </c>
      <c r="L56" s="78">
        <f t="shared" si="28"/>
        <v>928721.27056713507</v>
      </c>
      <c r="M56" s="78">
        <f t="shared" si="28"/>
        <v>928721.27056713507</v>
      </c>
      <c r="N56" s="78">
        <f t="shared" si="28"/>
        <v>928721.27056713507</v>
      </c>
      <c r="O56" s="19"/>
    </row>
    <row r="58" spans="2:15" x14ac:dyDescent="0.3">
      <c r="B58" s="15" t="s">
        <v>68</v>
      </c>
      <c r="C58" s="15" t="s">
        <v>15</v>
      </c>
      <c r="D58" s="15" t="s">
        <v>16</v>
      </c>
      <c r="E58" s="15" t="s">
        <v>17</v>
      </c>
      <c r="F58" s="15" t="s">
        <v>18</v>
      </c>
      <c r="G58" s="15" t="s">
        <v>19</v>
      </c>
      <c r="H58" s="15" t="s">
        <v>20</v>
      </c>
      <c r="I58" s="15" t="s">
        <v>21</v>
      </c>
      <c r="J58" s="15" t="s">
        <v>22</v>
      </c>
      <c r="K58" s="15" t="s">
        <v>23</v>
      </c>
      <c r="L58" s="15" t="s">
        <v>24</v>
      </c>
      <c r="M58" s="15" t="s">
        <v>25</v>
      </c>
      <c r="N58" s="15" t="s">
        <v>26</v>
      </c>
      <c r="O58" s="15" t="s">
        <v>27</v>
      </c>
    </row>
    <row r="59" spans="2:15" x14ac:dyDescent="0.3">
      <c r="B59" s="15" t="s">
        <v>6</v>
      </c>
      <c r="C59" s="16">
        <f xml:space="preserve"> -(T36+R18)</f>
        <v>-371278.72943286493</v>
      </c>
      <c r="D59" s="16">
        <f xml:space="preserve"> -(T36+R18)</f>
        <v>-371278.72943286493</v>
      </c>
      <c r="E59" s="16">
        <f xml:space="preserve"> -(T36+R18)</f>
        <v>-371278.72943286493</v>
      </c>
      <c r="F59" s="16">
        <f xml:space="preserve"> -(T36+R18)</f>
        <v>-371278.72943286493</v>
      </c>
      <c r="G59" s="16">
        <f xml:space="preserve"> -(T36+R18)</f>
        <v>-371278.72943286493</v>
      </c>
      <c r="H59" s="16">
        <f xml:space="preserve"> -(T36+R18)</f>
        <v>-371278.72943286493</v>
      </c>
      <c r="I59" s="16">
        <f xml:space="preserve"> -(T36+R18)</f>
        <v>-371278.72943286493</v>
      </c>
      <c r="J59" s="16">
        <f xml:space="preserve"> -(T36+R18)</f>
        <v>-371278.72943286493</v>
      </c>
      <c r="K59" s="16">
        <f xml:space="preserve"> -(T36+R18)</f>
        <v>-371278.72943286493</v>
      </c>
      <c r="L59" s="16">
        <f xml:space="preserve"> -(T36+R18)</f>
        <v>-371278.72943286493</v>
      </c>
      <c r="M59" s="16">
        <f xml:space="preserve"> -(T36+R18)</f>
        <v>-371278.72943286493</v>
      </c>
      <c r="N59" s="16">
        <f xml:space="preserve"> -(T36+R18)</f>
        <v>-371278.72943286493</v>
      </c>
      <c r="O59" s="79">
        <f>SUM(C59:N59)</f>
        <v>-4455344.7531943796</v>
      </c>
    </row>
    <row r="60" spans="2:15" x14ac:dyDescent="0.3">
      <c r="B60" s="15" t="s">
        <v>8</v>
      </c>
      <c r="C60" s="5">
        <f t="shared" ref="C60:N60" si="29">$AA$9-$AE$9</f>
        <v>1300000</v>
      </c>
      <c r="D60" s="5">
        <f t="shared" si="29"/>
        <v>1300000</v>
      </c>
      <c r="E60" s="5">
        <f t="shared" si="29"/>
        <v>1300000</v>
      </c>
      <c r="F60" s="5">
        <f t="shared" si="29"/>
        <v>1300000</v>
      </c>
      <c r="G60" s="5">
        <f t="shared" si="29"/>
        <v>1300000</v>
      </c>
      <c r="H60" s="5">
        <f t="shared" si="29"/>
        <v>1300000</v>
      </c>
      <c r="I60" s="5">
        <f t="shared" si="29"/>
        <v>1300000</v>
      </c>
      <c r="J60" s="5">
        <f t="shared" si="29"/>
        <v>1300000</v>
      </c>
      <c r="K60" s="5">
        <f t="shared" si="29"/>
        <v>1300000</v>
      </c>
      <c r="L60" s="5">
        <f t="shared" si="29"/>
        <v>1300000</v>
      </c>
      <c r="M60" s="5">
        <f t="shared" si="29"/>
        <v>1300000</v>
      </c>
      <c r="N60" s="5">
        <f t="shared" si="29"/>
        <v>1300000</v>
      </c>
      <c r="O60" s="5">
        <f>SUM(C60:N60)</f>
        <v>15600000</v>
      </c>
    </row>
    <row r="61" spans="2:15" x14ac:dyDescent="0.3">
      <c r="B61" s="17" t="s">
        <v>10</v>
      </c>
      <c r="C61" s="78">
        <f t="shared" ref="C61:N61" si="30">C60+C59</f>
        <v>928721.27056713507</v>
      </c>
      <c r="D61" s="78">
        <f t="shared" si="30"/>
        <v>928721.27056713507</v>
      </c>
      <c r="E61" s="78">
        <f t="shared" si="30"/>
        <v>928721.27056713507</v>
      </c>
      <c r="F61" s="78">
        <f t="shared" si="30"/>
        <v>928721.27056713507</v>
      </c>
      <c r="G61" s="78">
        <f t="shared" si="30"/>
        <v>928721.27056713507</v>
      </c>
      <c r="H61" s="78">
        <f t="shared" si="30"/>
        <v>928721.27056713507</v>
      </c>
      <c r="I61" s="78">
        <f t="shared" si="30"/>
        <v>928721.27056713507</v>
      </c>
      <c r="J61" s="78">
        <f t="shared" si="30"/>
        <v>928721.27056713507</v>
      </c>
      <c r="K61" s="78">
        <f t="shared" si="30"/>
        <v>928721.27056713507</v>
      </c>
      <c r="L61" s="78">
        <f t="shared" si="30"/>
        <v>928721.27056713507</v>
      </c>
      <c r="M61" s="78">
        <f t="shared" si="30"/>
        <v>928721.27056713507</v>
      </c>
      <c r="N61" s="78">
        <f t="shared" si="30"/>
        <v>928721.27056713507</v>
      </c>
      <c r="O61" s="19"/>
    </row>
    <row r="63" spans="2:15" x14ac:dyDescent="0.3">
      <c r="B63" s="15" t="s">
        <v>69</v>
      </c>
      <c r="C63" s="15" t="s">
        <v>15</v>
      </c>
      <c r="D63" s="15" t="s">
        <v>16</v>
      </c>
      <c r="E63" s="15" t="s">
        <v>17</v>
      </c>
      <c r="F63" s="15" t="s">
        <v>18</v>
      </c>
      <c r="G63" s="15" t="s">
        <v>19</v>
      </c>
      <c r="H63" s="15" t="s">
        <v>20</v>
      </c>
      <c r="I63" s="15" t="s">
        <v>21</v>
      </c>
      <c r="J63" s="15" t="s">
        <v>22</v>
      </c>
      <c r="K63" s="15" t="s">
        <v>23</v>
      </c>
      <c r="L63" s="15" t="s">
        <v>24</v>
      </c>
      <c r="M63" s="15" t="s">
        <v>25</v>
      </c>
      <c r="N63" s="15" t="s">
        <v>26</v>
      </c>
      <c r="O63" s="15" t="s">
        <v>27</v>
      </c>
    </row>
    <row r="64" spans="2:15" x14ac:dyDescent="0.3">
      <c r="B64" s="15" t="s">
        <v>6</v>
      </c>
      <c r="C64" s="16">
        <f xml:space="preserve"> -(T36+R18)</f>
        <v>-371278.72943286493</v>
      </c>
      <c r="D64" s="16">
        <f xml:space="preserve"> -(T36+R18)</f>
        <v>-371278.72943286493</v>
      </c>
      <c r="E64" s="16">
        <f xml:space="preserve"> -(T36+R18)</f>
        <v>-371278.72943286493</v>
      </c>
      <c r="F64" s="16">
        <f xml:space="preserve"> -(T36+R18)</f>
        <v>-371278.72943286493</v>
      </c>
      <c r="G64" s="16">
        <f xml:space="preserve"> -(T36+R18)</f>
        <v>-371278.72943286493</v>
      </c>
      <c r="H64" s="16">
        <f xml:space="preserve"> -(T36+R18)</f>
        <v>-371278.72943286493</v>
      </c>
      <c r="I64" s="16">
        <f xml:space="preserve"> -(T36+R18)</f>
        <v>-371278.72943286493</v>
      </c>
      <c r="J64" s="16">
        <f xml:space="preserve"> -(T36+R18)</f>
        <v>-371278.72943286493</v>
      </c>
      <c r="K64" s="16">
        <f xml:space="preserve"> -(T36+R18)</f>
        <v>-371278.72943286493</v>
      </c>
      <c r="L64" s="16">
        <f xml:space="preserve"> -(T36+R18)</f>
        <v>-371278.72943286493</v>
      </c>
      <c r="M64" s="16">
        <f xml:space="preserve"> -(T36+R18)</f>
        <v>-371278.72943286493</v>
      </c>
      <c r="N64" s="16">
        <f xml:space="preserve"> -(T36+R18)</f>
        <v>-371278.72943286493</v>
      </c>
      <c r="O64" s="79">
        <f>SUM(C64:N64)</f>
        <v>-4455344.7531943796</v>
      </c>
    </row>
    <row r="65" spans="2:15" x14ac:dyDescent="0.3">
      <c r="B65" s="15" t="s">
        <v>8</v>
      </c>
      <c r="C65" s="5">
        <f t="shared" ref="C65:N65" si="31">$AA$13-$AE$13</f>
        <v>1300000</v>
      </c>
      <c r="D65" s="5">
        <f t="shared" si="31"/>
        <v>1300000</v>
      </c>
      <c r="E65" s="5">
        <f t="shared" si="31"/>
        <v>1300000</v>
      </c>
      <c r="F65" s="5">
        <f t="shared" si="31"/>
        <v>1300000</v>
      </c>
      <c r="G65" s="5">
        <f t="shared" si="31"/>
        <v>1300000</v>
      </c>
      <c r="H65" s="5">
        <f t="shared" si="31"/>
        <v>1300000</v>
      </c>
      <c r="I65" s="5">
        <f t="shared" si="31"/>
        <v>1300000</v>
      </c>
      <c r="J65" s="5">
        <f t="shared" si="31"/>
        <v>1300000</v>
      </c>
      <c r="K65" s="5">
        <f t="shared" si="31"/>
        <v>1300000</v>
      </c>
      <c r="L65" s="5">
        <f t="shared" si="31"/>
        <v>1300000</v>
      </c>
      <c r="M65" s="5">
        <f t="shared" si="31"/>
        <v>1300000</v>
      </c>
      <c r="N65" s="5">
        <f t="shared" si="31"/>
        <v>1300000</v>
      </c>
      <c r="O65" s="5">
        <f>SUM(C65:N65)</f>
        <v>15600000</v>
      </c>
    </row>
    <row r="66" spans="2:15" x14ac:dyDescent="0.3">
      <c r="B66" s="17" t="s">
        <v>10</v>
      </c>
      <c r="C66" s="78">
        <f t="shared" ref="C66:N66" si="32">C65+C64</f>
        <v>928721.27056713507</v>
      </c>
      <c r="D66" s="78">
        <f t="shared" si="32"/>
        <v>928721.27056713507</v>
      </c>
      <c r="E66" s="78">
        <f t="shared" si="32"/>
        <v>928721.27056713507</v>
      </c>
      <c r="F66" s="78">
        <f t="shared" si="32"/>
        <v>928721.27056713507</v>
      </c>
      <c r="G66" s="78">
        <f t="shared" si="32"/>
        <v>928721.27056713507</v>
      </c>
      <c r="H66" s="78">
        <f t="shared" si="32"/>
        <v>928721.27056713507</v>
      </c>
      <c r="I66" s="78">
        <f t="shared" si="32"/>
        <v>928721.27056713507</v>
      </c>
      <c r="J66" s="78">
        <f t="shared" si="32"/>
        <v>928721.27056713507</v>
      </c>
      <c r="K66" s="78">
        <f t="shared" si="32"/>
        <v>928721.27056713507</v>
      </c>
      <c r="L66" s="78">
        <f t="shared" si="32"/>
        <v>928721.27056713507</v>
      </c>
      <c r="M66" s="78">
        <f t="shared" si="32"/>
        <v>928721.27056713507</v>
      </c>
      <c r="N66" s="78">
        <f t="shared" si="32"/>
        <v>928721.27056713507</v>
      </c>
      <c r="O66" s="19"/>
    </row>
    <row r="68" spans="2:15" x14ac:dyDescent="0.3">
      <c r="B68" s="15" t="s">
        <v>70</v>
      </c>
      <c r="C68" s="15" t="s">
        <v>15</v>
      </c>
      <c r="D68" s="15" t="s">
        <v>16</v>
      </c>
      <c r="E68" s="15" t="s">
        <v>17</v>
      </c>
      <c r="F68" s="15" t="s">
        <v>18</v>
      </c>
      <c r="G68" s="15" t="s">
        <v>19</v>
      </c>
      <c r="H68" s="15" t="s">
        <v>20</v>
      </c>
      <c r="I68" s="15" t="s">
        <v>21</v>
      </c>
      <c r="J68" s="15" t="s">
        <v>22</v>
      </c>
      <c r="K68" s="15" t="s">
        <v>23</v>
      </c>
      <c r="L68" s="15" t="s">
        <v>24</v>
      </c>
      <c r="M68" s="15" t="s">
        <v>25</v>
      </c>
      <c r="N68" s="15" t="s">
        <v>26</v>
      </c>
      <c r="O68" s="15" t="s">
        <v>27</v>
      </c>
    </row>
    <row r="69" spans="2:15" x14ac:dyDescent="0.3">
      <c r="B69" s="15" t="s">
        <v>6</v>
      </c>
      <c r="C69" s="16">
        <f xml:space="preserve"> -(T36)</f>
        <v>-120000</v>
      </c>
      <c r="D69" s="16">
        <f xml:space="preserve"> -(T36)</f>
        <v>-120000</v>
      </c>
      <c r="E69" s="16">
        <f xml:space="preserve"> -(T36)</f>
        <v>-120000</v>
      </c>
      <c r="F69" s="16">
        <f xml:space="preserve"> -(T36)</f>
        <v>-120000</v>
      </c>
      <c r="G69" s="16">
        <f xml:space="preserve"> -(T36)</f>
        <v>-120000</v>
      </c>
      <c r="H69" s="16">
        <f xml:space="preserve"> -(T36)</f>
        <v>-120000</v>
      </c>
      <c r="I69" s="16">
        <f xml:space="preserve"> -(T36)</f>
        <v>-120000</v>
      </c>
      <c r="J69" s="16">
        <f xml:space="preserve"> -(T36)</f>
        <v>-120000</v>
      </c>
      <c r="K69" s="16">
        <f xml:space="preserve"> -(T36)</f>
        <v>-120000</v>
      </c>
      <c r="L69" s="16">
        <f xml:space="preserve"> -(T36)</f>
        <v>-120000</v>
      </c>
      <c r="M69" s="16">
        <f xml:space="preserve"> -(T36)</f>
        <v>-120000</v>
      </c>
      <c r="N69" s="16">
        <f xml:space="preserve"> -(T36)</f>
        <v>-120000</v>
      </c>
      <c r="O69" s="79">
        <f>SUM(C69:N69)</f>
        <v>-1440000</v>
      </c>
    </row>
    <row r="70" spans="2:15" x14ac:dyDescent="0.3">
      <c r="B70" s="15" t="s">
        <v>8</v>
      </c>
      <c r="C70" s="5">
        <f t="shared" ref="C70:N70" si="33">$AA$13-$AE$13</f>
        <v>1300000</v>
      </c>
      <c r="D70" s="5">
        <f t="shared" si="33"/>
        <v>1300000</v>
      </c>
      <c r="E70" s="5">
        <f t="shared" si="33"/>
        <v>1300000</v>
      </c>
      <c r="F70" s="5">
        <f t="shared" si="33"/>
        <v>1300000</v>
      </c>
      <c r="G70" s="5">
        <f t="shared" si="33"/>
        <v>1300000</v>
      </c>
      <c r="H70" s="5">
        <f t="shared" si="33"/>
        <v>1300000</v>
      </c>
      <c r="I70" s="5">
        <f t="shared" si="33"/>
        <v>1300000</v>
      </c>
      <c r="J70" s="5">
        <f t="shared" si="33"/>
        <v>1300000</v>
      </c>
      <c r="K70" s="5">
        <f t="shared" si="33"/>
        <v>1300000</v>
      </c>
      <c r="L70" s="5">
        <f t="shared" si="33"/>
        <v>1300000</v>
      </c>
      <c r="M70" s="5">
        <f t="shared" si="33"/>
        <v>1300000</v>
      </c>
      <c r="N70" s="5">
        <f t="shared" si="33"/>
        <v>1300000</v>
      </c>
      <c r="O70" s="5">
        <f>SUM(C70:N70)</f>
        <v>15600000</v>
      </c>
    </row>
    <row r="71" spans="2:15" x14ac:dyDescent="0.3">
      <c r="B71" s="17" t="s">
        <v>10</v>
      </c>
      <c r="C71" s="78">
        <f t="shared" ref="C71:N71" si="34">C70+C69</f>
        <v>1180000</v>
      </c>
      <c r="D71" s="78">
        <f t="shared" si="34"/>
        <v>1180000</v>
      </c>
      <c r="E71" s="78">
        <f t="shared" si="34"/>
        <v>1180000</v>
      </c>
      <c r="F71" s="78">
        <f t="shared" si="34"/>
        <v>1180000</v>
      </c>
      <c r="G71" s="78">
        <f t="shared" si="34"/>
        <v>1180000</v>
      </c>
      <c r="H71" s="78">
        <f t="shared" si="34"/>
        <v>1180000</v>
      </c>
      <c r="I71" s="78">
        <f t="shared" si="34"/>
        <v>1180000</v>
      </c>
      <c r="J71" s="78">
        <f t="shared" si="34"/>
        <v>1180000</v>
      </c>
      <c r="K71" s="78">
        <f t="shared" si="34"/>
        <v>1180000</v>
      </c>
      <c r="L71" s="78">
        <f t="shared" si="34"/>
        <v>1180000</v>
      </c>
      <c r="M71" s="78">
        <f t="shared" si="34"/>
        <v>1180000</v>
      </c>
      <c r="N71" s="78">
        <f t="shared" si="34"/>
        <v>1180000</v>
      </c>
      <c r="O71" s="19"/>
    </row>
    <row r="73" spans="2:15" x14ac:dyDescent="0.3">
      <c r="B73" s="15" t="s">
        <v>71</v>
      </c>
      <c r="C73" s="15" t="s">
        <v>15</v>
      </c>
      <c r="D73" s="15" t="s">
        <v>16</v>
      </c>
      <c r="E73" s="15" t="s">
        <v>17</v>
      </c>
      <c r="F73" s="15" t="s">
        <v>18</v>
      </c>
      <c r="G73" s="15" t="s">
        <v>19</v>
      </c>
      <c r="H73" s="15" t="s">
        <v>20</v>
      </c>
      <c r="I73" s="15" t="s">
        <v>21</v>
      </c>
      <c r="J73" s="15" t="s">
        <v>22</v>
      </c>
      <c r="K73" s="15" t="s">
        <v>23</v>
      </c>
      <c r="L73" s="15" t="s">
        <v>24</v>
      </c>
      <c r="M73" s="15" t="s">
        <v>25</v>
      </c>
      <c r="N73" s="15" t="s">
        <v>26</v>
      </c>
      <c r="O73" s="15" t="s">
        <v>27</v>
      </c>
    </row>
    <row r="74" spans="2:15" x14ac:dyDescent="0.3">
      <c r="B74" s="15" t="s">
        <v>6</v>
      </c>
      <c r="C74" s="16">
        <f xml:space="preserve"> -(T36)</f>
        <v>-120000</v>
      </c>
      <c r="D74" s="16">
        <f xml:space="preserve"> -(T36)</f>
        <v>-120000</v>
      </c>
      <c r="E74" s="16">
        <f xml:space="preserve"> -(T36)</f>
        <v>-120000</v>
      </c>
      <c r="F74" s="16">
        <f xml:space="preserve"> -(T36)</f>
        <v>-120000</v>
      </c>
      <c r="G74" s="16">
        <f xml:space="preserve"> -(T36)</f>
        <v>-120000</v>
      </c>
      <c r="H74" s="16">
        <f xml:space="preserve"> -(T36)</f>
        <v>-120000</v>
      </c>
      <c r="I74" s="16">
        <f xml:space="preserve"> -(T36)</f>
        <v>-120000</v>
      </c>
      <c r="J74" s="16">
        <f xml:space="preserve"> -(T36)</f>
        <v>-120000</v>
      </c>
      <c r="K74" s="16">
        <f xml:space="preserve"> -(T36)</f>
        <v>-120000</v>
      </c>
      <c r="L74" s="16">
        <f xml:space="preserve"> -(T36)</f>
        <v>-120000</v>
      </c>
      <c r="M74" s="16">
        <f xml:space="preserve"> -(T36)</f>
        <v>-120000</v>
      </c>
      <c r="N74" s="16">
        <f xml:space="preserve"> -(T36)</f>
        <v>-120000</v>
      </c>
      <c r="O74" s="79">
        <f>SUM(C74:N74)</f>
        <v>-1440000</v>
      </c>
    </row>
    <row r="75" spans="2:15" x14ac:dyDescent="0.3">
      <c r="B75" s="15" t="s">
        <v>8</v>
      </c>
      <c r="C75" s="5">
        <f t="shared" ref="C75:N75" si="35">$AA$13-$AE$13</f>
        <v>1300000</v>
      </c>
      <c r="D75" s="5">
        <f t="shared" si="35"/>
        <v>1300000</v>
      </c>
      <c r="E75" s="5">
        <f t="shared" si="35"/>
        <v>1300000</v>
      </c>
      <c r="F75" s="5">
        <f t="shared" si="35"/>
        <v>1300000</v>
      </c>
      <c r="G75" s="5">
        <f t="shared" si="35"/>
        <v>1300000</v>
      </c>
      <c r="H75" s="5">
        <f t="shared" si="35"/>
        <v>1300000</v>
      </c>
      <c r="I75" s="5">
        <f t="shared" si="35"/>
        <v>1300000</v>
      </c>
      <c r="J75" s="5">
        <f t="shared" si="35"/>
        <v>1300000</v>
      </c>
      <c r="K75" s="5">
        <f t="shared" si="35"/>
        <v>1300000</v>
      </c>
      <c r="L75" s="5">
        <f t="shared" si="35"/>
        <v>1300000</v>
      </c>
      <c r="M75" s="5">
        <f t="shared" si="35"/>
        <v>1300000</v>
      </c>
      <c r="N75" s="5">
        <f t="shared" si="35"/>
        <v>1300000</v>
      </c>
      <c r="O75" s="5">
        <f>SUM(C75:N75)</f>
        <v>15600000</v>
      </c>
    </row>
    <row r="76" spans="2:15" x14ac:dyDescent="0.3">
      <c r="B76" s="17" t="s">
        <v>10</v>
      </c>
      <c r="C76" s="78">
        <f t="shared" ref="C76:N76" si="36">C75+C74</f>
        <v>1180000</v>
      </c>
      <c r="D76" s="78">
        <f t="shared" si="36"/>
        <v>1180000</v>
      </c>
      <c r="E76" s="78">
        <f t="shared" si="36"/>
        <v>1180000</v>
      </c>
      <c r="F76" s="78">
        <f t="shared" si="36"/>
        <v>1180000</v>
      </c>
      <c r="G76" s="78">
        <f t="shared" si="36"/>
        <v>1180000</v>
      </c>
      <c r="H76" s="78">
        <f t="shared" si="36"/>
        <v>1180000</v>
      </c>
      <c r="I76" s="78">
        <f t="shared" si="36"/>
        <v>1180000</v>
      </c>
      <c r="J76" s="78">
        <f t="shared" si="36"/>
        <v>1180000</v>
      </c>
      <c r="K76" s="78">
        <f t="shared" si="36"/>
        <v>1180000</v>
      </c>
      <c r="L76" s="78">
        <f t="shared" si="36"/>
        <v>1180000</v>
      </c>
      <c r="M76" s="78">
        <f t="shared" si="36"/>
        <v>1180000</v>
      </c>
      <c r="N76" s="78">
        <f t="shared" si="36"/>
        <v>1180000</v>
      </c>
      <c r="O76" s="19"/>
    </row>
    <row r="78" spans="2:15" x14ac:dyDescent="0.3">
      <c r="B78" s="15" t="s">
        <v>72</v>
      </c>
      <c r="C78" s="15" t="s">
        <v>15</v>
      </c>
      <c r="D78" s="15" t="s">
        <v>16</v>
      </c>
      <c r="E78" s="15" t="s">
        <v>17</v>
      </c>
      <c r="F78" s="15" t="s">
        <v>18</v>
      </c>
      <c r="G78" s="15" t="s">
        <v>19</v>
      </c>
      <c r="H78" s="15" t="s">
        <v>20</v>
      </c>
      <c r="I78" s="15" t="s">
        <v>21</v>
      </c>
      <c r="J78" s="15" t="s">
        <v>22</v>
      </c>
      <c r="K78" s="15" t="s">
        <v>23</v>
      </c>
      <c r="L78" s="15" t="s">
        <v>24</v>
      </c>
      <c r="M78" s="15" t="s">
        <v>25</v>
      </c>
      <c r="N78" s="15" t="s">
        <v>26</v>
      </c>
      <c r="O78" s="15" t="s">
        <v>27</v>
      </c>
    </row>
    <row r="79" spans="2:15" x14ac:dyDescent="0.3">
      <c r="B79" s="15" t="s">
        <v>6</v>
      </c>
      <c r="C79" s="16">
        <f xml:space="preserve"> -(T36)</f>
        <v>-120000</v>
      </c>
      <c r="D79" s="16">
        <f xml:space="preserve"> -(T36)</f>
        <v>-120000</v>
      </c>
      <c r="E79" s="16">
        <f xml:space="preserve"> -(T36)</f>
        <v>-120000</v>
      </c>
      <c r="F79" s="16">
        <f xml:space="preserve"> -(T36)</f>
        <v>-120000</v>
      </c>
      <c r="G79" s="16">
        <f xml:space="preserve"> -(T36)</f>
        <v>-120000</v>
      </c>
      <c r="H79" s="16">
        <f xml:space="preserve"> -(T36)</f>
        <v>-120000</v>
      </c>
      <c r="I79" s="16">
        <f xml:space="preserve"> -(T36)</f>
        <v>-120000</v>
      </c>
      <c r="J79" s="16">
        <f xml:space="preserve"> -(T36)</f>
        <v>-120000</v>
      </c>
      <c r="K79" s="16">
        <f xml:space="preserve"> -(T36)</f>
        <v>-120000</v>
      </c>
      <c r="L79" s="16">
        <f xml:space="preserve"> -(T36)</f>
        <v>-120000</v>
      </c>
      <c r="M79" s="16">
        <f xml:space="preserve"> -(T36)</f>
        <v>-120000</v>
      </c>
      <c r="N79" s="16">
        <f xml:space="preserve"> -(T36)</f>
        <v>-120000</v>
      </c>
      <c r="O79" s="79">
        <f>SUM(C79:N79)</f>
        <v>-1440000</v>
      </c>
    </row>
    <row r="80" spans="2:15" x14ac:dyDescent="0.3">
      <c r="B80" s="15" t="s">
        <v>8</v>
      </c>
      <c r="C80" s="5">
        <f t="shared" ref="C80:N80" si="37">$AA$13-$AE$13</f>
        <v>1300000</v>
      </c>
      <c r="D80" s="5">
        <f t="shared" si="37"/>
        <v>1300000</v>
      </c>
      <c r="E80" s="5">
        <f t="shared" si="37"/>
        <v>1300000</v>
      </c>
      <c r="F80" s="5">
        <f t="shared" si="37"/>
        <v>1300000</v>
      </c>
      <c r="G80" s="5">
        <f t="shared" si="37"/>
        <v>1300000</v>
      </c>
      <c r="H80" s="5">
        <f t="shared" si="37"/>
        <v>1300000</v>
      </c>
      <c r="I80" s="5">
        <f t="shared" si="37"/>
        <v>1300000</v>
      </c>
      <c r="J80" s="5">
        <f t="shared" si="37"/>
        <v>1300000</v>
      </c>
      <c r="K80" s="5">
        <f t="shared" si="37"/>
        <v>1300000</v>
      </c>
      <c r="L80" s="5">
        <f t="shared" si="37"/>
        <v>1300000</v>
      </c>
      <c r="M80" s="5">
        <f t="shared" si="37"/>
        <v>1300000</v>
      </c>
      <c r="N80" s="5">
        <f t="shared" si="37"/>
        <v>1300000</v>
      </c>
      <c r="O80" s="5">
        <f>SUM(C80:N80)</f>
        <v>15600000</v>
      </c>
    </row>
    <row r="81" spans="2:15" x14ac:dyDescent="0.3">
      <c r="B81" s="17" t="s">
        <v>10</v>
      </c>
      <c r="C81" s="78">
        <f t="shared" ref="C81:N81" si="38">C80+C79</f>
        <v>1180000</v>
      </c>
      <c r="D81" s="78">
        <f t="shared" si="38"/>
        <v>1180000</v>
      </c>
      <c r="E81" s="78">
        <f t="shared" si="38"/>
        <v>1180000</v>
      </c>
      <c r="F81" s="78">
        <f t="shared" si="38"/>
        <v>1180000</v>
      </c>
      <c r="G81" s="78">
        <f t="shared" si="38"/>
        <v>1180000</v>
      </c>
      <c r="H81" s="78">
        <f t="shared" si="38"/>
        <v>1180000</v>
      </c>
      <c r="I81" s="78">
        <f t="shared" si="38"/>
        <v>1180000</v>
      </c>
      <c r="J81" s="78">
        <f t="shared" si="38"/>
        <v>1180000</v>
      </c>
      <c r="K81" s="78">
        <f t="shared" si="38"/>
        <v>1180000</v>
      </c>
      <c r="L81" s="78">
        <f t="shared" si="38"/>
        <v>1180000</v>
      </c>
      <c r="M81" s="78">
        <f t="shared" si="38"/>
        <v>1180000</v>
      </c>
      <c r="N81" s="78">
        <f t="shared" si="38"/>
        <v>1180000</v>
      </c>
      <c r="O81" s="19"/>
    </row>
    <row r="83" spans="2:15" x14ac:dyDescent="0.3">
      <c r="B83" s="15" t="s">
        <v>73</v>
      </c>
      <c r="C83" s="15" t="s">
        <v>15</v>
      </c>
      <c r="D83" s="15" t="s">
        <v>16</v>
      </c>
      <c r="E83" s="15" t="s">
        <v>17</v>
      </c>
      <c r="F83" s="15" t="s">
        <v>18</v>
      </c>
      <c r="G83" s="15" t="s">
        <v>19</v>
      </c>
      <c r="H83" s="15" t="s">
        <v>20</v>
      </c>
      <c r="I83" s="15" t="s">
        <v>21</v>
      </c>
      <c r="J83" s="15" t="s">
        <v>22</v>
      </c>
      <c r="K83" s="15" t="s">
        <v>23</v>
      </c>
      <c r="L83" s="15" t="s">
        <v>24</v>
      </c>
      <c r="M83" s="15" t="s">
        <v>25</v>
      </c>
      <c r="N83" s="15" t="s">
        <v>26</v>
      </c>
      <c r="O83" s="15" t="s">
        <v>27</v>
      </c>
    </row>
    <row r="84" spans="2:15" x14ac:dyDescent="0.3">
      <c r="B84" s="15" t="s">
        <v>6</v>
      </c>
      <c r="C84" s="16">
        <f xml:space="preserve"> -(T36)</f>
        <v>-120000</v>
      </c>
      <c r="D84" s="16">
        <f xml:space="preserve"> -(T36)</f>
        <v>-120000</v>
      </c>
      <c r="E84" s="16">
        <f xml:space="preserve"> -(T36)</f>
        <v>-120000</v>
      </c>
      <c r="F84" s="16">
        <f xml:space="preserve"> -(T36)</f>
        <v>-120000</v>
      </c>
      <c r="G84" s="16">
        <f xml:space="preserve"> -(T36)</f>
        <v>-120000</v>
      </c>
      <c r="H84" s="16">
        <f xml:space="preserve"> -(T36)</f>
        <v>-120000</v>
      </c>
      <c r="I84" s="16">
        <f xml:space="preserve"> -(T36)</f>
        <v>-120000</v>
      </c>
      <c r="J84" s="16">
        <f xml:space="preserve"> -(T36)</f>
        <v>-120000</v>
      </c>
      <c r="K84" s="16">
        <f xml:space="preserve"> -(T36)</f>
        <v>-120000</v>
      </c>
      <c r="L84" s="16">
        <f xml:space="preserve"> -(T36)</f>
        <v>-120000</v>
      </c>
      <c r="M84" s="16">
        <f xml:space="preserve"> -(T36)</f>
        <v>-120000</v>
      </c>
      <c r="N84" s="16">
        <f xml:space="preserve"> -(T36)</f>
        <v>-120000</v>
      </c>
      <c r="O84" s="79">
        <f xml:space="preserve"> SUM(C84:N84)</f>
        <v>-1440000</v>
      </c>
    </row>
    <row r="85" spans="2:15" x14ac:dyDescent="0.3">
      <c r="B85" s="15" t="s">
        <v>8</v>
      </c>
      <c r="C85" s="5">
        <f t="shared" ref="C85:N85" si="39">$AA$13-$AE$13</f>
        <v>1300000</v>
      </c>
      <c r="D85" s="5">
        <f t="shared" si="39"/>
        <v>1300000</v>
      </c>
      <c r="E85" s="5">
        <f t="shared" si="39"/>
        <v>1300000</v>
      </c>
      <c r="F85" s="5">
        <f t="shared" si="39"/>
        <v>1300000</v>
      </c>
      <c r="G85" s="5">
        <f t="shared" si="39"/>
        <v>1300000</v>
      </c>
      <c r="H85" s="5">
        <f t="shared" si="39"/>
        <v>1300000</v>
      </c>
      <c r="I85" s="5">
        <f t="shared" si="39"/>
        <v>1300000</v>
      </c>
      <c r="J85" s="5">
        <f t="shared" si="39"/>
        <v>1300000</v>
      </c>
      <c r="K85" s="5">
        <f t="shared" si="39"/>
        <v>1300000</v>
      </c>
      <c r="L85" s="5">
        <f t="shared" si="39"/>
        <v>1300000</v>
      </c>
      <c r="M85" s="5">
        <f t="shared" si="39"/>
        <v>1300000</v>
      </c>
      <c r="N85" s="5">
        <f t="shared" si="39"/>
        <v>1300000</v>
      </c>
      <c r="O85" s="5">
        <f>SUM(C85:N85)</f>
        <v>15600000</v>
      </c>
    </row>
    <row r="86" spans="2:15" x14ac:dyDescent="0.3">
      <c r="B86" s="17" t="s">
        <v>10</v>
      </c>
      <c r="C86" s="78">
        <f t="shared" ref="C86:N86" si="40">C85+C84</f>
        <v>1180000</v>
      </c>
      <c r="D86" s="78">
        <f t="shared" si="40"/>
        <v>1180000</v>
      </c>
      <c r="E86" s="78">
        <f t="shared" si="40"/>
        <v>1180000</v>
      </c>
      <c r="F86" s="78">
        <f t="shared" si="40"/>
        <v>1180000</v>
      </c>
      <c r="G86" s="78">
        <f t="shared" si="40"/>
        <v>1180000</v>
      </c>
      <c r="H86" s="78">
        <f t="shared" si="40"/>
        <v>1180000</v>
      </c>
      <c r="I86" s="78">
        <f t="shared" si="40"/>
        <v>1180000</v>
      </c>
      <c r="J86" s="78">
        <f t="shared" si="40"/>
        <v>1180000</v>
      </c>
      <c r="K86" s="78">
        <f t="shared" si="40"/>
        <v>1180000</v>
      </c>
      <c r="L86" s="78">
        <f t="shared" si="40"/>
        <v>1180000</v>
      </c>
      <c r="M86" s="78">
        <f t="shared" si="40"/>
        <v>1180000</v>
      </c>
      <c r="N86" s="78">
        <f t="shared" si="40"/>
        <v>1180000</v>
      </c>
      <c r="O86" s="19"/>
    </row>
    <row r="88" spans="2:15" x14ac:dyDescent="0.3">
      <c r="B88" s="15" t="s">
        <v>74</v>
      </c>
      <c r="C88" s="15" t="s">
        <v>15</v>
      </c>
      <c r="D88" s="15" t="s">
        <v>16</v>
      </c>
      <c r="E88" s="15" t="s">
        <v>17</v>
      </c>
      <c r="F88" s="15" t="s">
        <v>18</v>
      </c>
      <c r="G88" s="15" t="s">
        <v>19</v>
      </c>
      <c r="H88" s="15" t="s">
        <v>20</v>
      </c>
      <c r="I88" s="15" t="s">
        <v>21</v>
      </c>
      <c r="J88" s="15" t="s">
        <v>22</v>
      </c>
      <c r="K88" s="15" t="s">
        <v>23</v>
      </c>
      <c r="L88" s="15" t="s">
        <v>24</v>
      </c>
      <c r="M88" s="15" t="s">
        <v>25</v>
      </c>
      <c r="N88" s="15" t="s">
        <v>26</v>
      </c>
      <c r="O88" s="15" t="s">
        <v>27</v>
      </c>
    </row>
    <row r="89" spans="2:15" x14ac:dyDescent="0.3">
      <c r="B89" s="15" t="s">
        <v>6</v>
      </c>
      <c r="C89" s="16">
        <f xml:space="preserve"> -(T36)</f>
        <v>-120000</v>
      </c>
      <c r="D89" s="16">
        <f xml:space="preserve"> -(T36)</f>
        <v>-120000</v>
      </c>
      <c r="E89" s="16">
        <f xml:space="preserve"> -(T36)</f>
        <v>-120000</v>
      </c>
      <c r="F89" s="16">
        <f xml:space="preserve"> -(T36)</f>
        <v>-120000</v>
      </c>
      <c r="G89" s="16">
        <f xml:space="preserve"> -(T36)</f>
        <v>-120000</v>
      </c>
      <c r="H89" s="16">
        <f xml:space="preserve"> -(T36)</f>
        <v>-120000</v>
      </c>
      <c r="I89" s="16">
        <f xml:space="preserve"> -(T36)</f>
        <v>-120000</v>
      </c>
      <c r="J89" s="16">
        <f xml:space="preserve"> -(T36)</f>
        <v>-120000</v>
      </c>
      <c r="K89" s="16">
        <f xml:space="preserve"> -(T36)</f>
        <v>-120000</v>
      </c>
      <c r="L89" s="16">
        <f xml:space="preserve"> -(T36)</f>
        <v>-120000</v>
      </c>
      <c r="M89" s="16">
        <f xml:space="preserve"> -(T36)</f>
        <v>-120000</v>
      </c>
      <c r="N89" s="16">
        <f xml:space="preserve"> -(T36)</f>
        <v>-120000</v>
      </c>
      <c r="O89" s="79">
        <f xml:space="preserve"> SUM(C89:N89)</f>
        <v>-1440000</v>
      </c>
    </row>
    <row r="90" spans="2:15" x14ac:dyDescent="0.3">
      <c r="B90" s="15" t="s">
        <v>8</v>
      </c>
      <c r="C90" s="5">
        <f t="shared" ref="C90:N90" si="41">$AA$13-$AE$13</f>
        <v>1300000</v>
      </c>
      <c r="D90" s="5">
        <f t="shared" si="41"/>
        <v>1300000</v>
      </c>
      <c r="E90" s="5">
        <f t="shared" si="41"/>
        <v>1300000</v>
      </c>
      <c r="F90" s="5">
        <f t="shared" si="41"/>
        <v>1300000</v>
      </c>
      <c r="G90" s="5">
        <f t="shared" si="41"/>
        <v>1300000</v>
      </c>
      <c r="H90" s="5">
        <f t="shared" si="41"/>
        <v>1300000</v>
      </c>
      <c r="I90" s="5">
        <f t="shared" si="41"/>
        <v>1300000</v>
      </c>
      <c r="J90" s="5">
        <f t="shared" si="41"/>
        <v>1300000</v>
      </c>
      <c r="K90" s="5">
        <f t="shared" si="41"/>
        <v>1300000</v>
      </c>
      <c r="L90" s="5">
        <f t="shared" si="41"/>
        <v>1300000</v>
      </c>
      <c r="M90" s="5">
        <f t="shared" si="41"/>
        <v>1300000</v>
      </c>
      <c r="N90" s="5">
        <f t="shared" si="41"/>
        <v>1300000</v>
      </c>
      <c r="O90" s="5">
        <f>SUM(C90:N90)</f>
        <v>15600000</v>
      </c>
    </row>
    <row r="91" spans="2:15" x14ac:dyDescent="0.3">
      <c r="B91" s="17" t="s">
        <v>10</v>
      </c>
      <c r="C91" s="78">
        <f t="shared" ref="C91:N91" si="42">C90+C89</f>
        <v>1180000</v>
      </c>
      <c r="D91" s="78">
        <f t="shared" si="42"/>
        <v>1180000</v>
      </c>
      <c r="E91" s="78">
        <f t="shared" si="42"/>
        <v>1180000</v>
      </c>
      <c r="F91" s="78">
        <f t="shared" si="42"/>
        <v>1180000</v>
      </c>
      <c r="G91" s="78">
        <f t="shared" si="42"/>
        <v>1180000</v>
      </c>
      <c r="H91" s="78">
        <f t="shared" si="42"/>
        <v>1180000</v>
      </c>
      <c r="I91" s="78">
        <f t="shared" si="42"/>
        <v>1180000</v>
      </c>
      <c r="J91" s="78">
        <f t="shared" si="42"/>
        <v>1180000</v>
      </c>
      <c r="K91" s="78">
        <f t="shared" si="42"/>
        <v>1180000</v>
      </c>
      <c r="L91" s="78">
        <f t="shared" si="42"/>
        <v>1180000</v>
      </c>
      <c r="M91" s="78">
        <f t="shared" si="42"/>
        <v>1180000</v>
      </c>
      <c r="N91" s="78">
        <f t="shared" si="42"/>
        <v>1180000</v>
      </c>
      <c r="O91" s="19"/>
    </row>
  </sheetData>
  <mergeCells count="11">
    <mergeCell ref="B1:K1"/>
    <mergeCell ref="B2:C2"/>
    <mergeCell ref="B3:C3"/>
    <mergeCell ref="B4:C4"/>
    <mergeCell ref="B5:C5"/>
    <mergeCell ref="Z37:AA37"/>
    <mergeCell ref="Z38:AA38"/>
    <mergeCell ref="Z39:AA39"/>
    <mergeCell ref="B7:C7"/>
    <mergeCell ref="B8:C8"/>
    <mergeCell ref="K10:N10"/>
  </mergeCells>
  <phoneticPr fontId="10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E569C-CBC9-4C76-AA32-17A6060F2F51}">
  <dimension ref="B1:AQ91"/>
  <sheetViews>
    <sheetView zoomScale="57" zoomScaleNormal="92" workbookViewId="0">
      <selection activeCell="O35" sqref="O35"/>
    </sheetView>
  </sheetViews>
  <sheetFormatPr baseColWidth="10" defaultColWidth="11.44140625" defaultRowHeight="14.4" x14ac:dyDescent="0.3"/>
  <cols>
    <col min="2" max="2" width="26.6640625" customWidth="1"/>
    <col min="3" max="3" width="16.33203125" customWidth="1"/>
    <col min="4" max="4" width="14.5546875" customWidth="1"/>
    <col min="5" max="5" width="14.109375" customWidth="1"/>
    <col min="6" max="6" width="15.88671875" bestFit="1" customWidth="1"/>
    <col min="7" max="9" width="14.33203125" bestFit="1" customWidth="1"/>
    <col min="10" max="10" width="15" customWidth="1"/>
    <col min="11" max="11" width="15.109375" customWidth="1"/>
    <col min="12" max="12" width="17.109375" customWidth="1"/>
    <col min="13" max="13" width="15.44140625" customWidth="1"/>
    <col min="14" max="14" width="14.33203125" customWidth="1"/>
    <col min="15" max="15" width="17.88671875" customWidth="1"/>
    <col min="16" max="16" width="15.6640625" customWidth="1"/>
    <col min="17" max="17" width="19.88671875" customWidth="1"/>
    <col min="18" max="18" width="18.88671875" customWidth="1"/>
    <col min="19" max="19" width="14.109375" customWidth="1"/>
    <col min="21" max="21" width="14.88671875" bestFit="1" customWidth="1"/>
    <col min="22" max="22" width="15.88671875" customWidth="1"/>
    <col min="23" max="23" width="14.6640625" customWidth="1"/>
    <col min="24" max="24" width="13.6640625" bestFit="1" customWidth="1"/>
    <col min="25" max="25" width="22" customWidth="1"/>
    <col min="26" max="26" width="17.109375" customWidth="1"/>
    <col min="27" max="27" width="24.5546875" customWidth="1"/>
    <col min="28" max="28" width="21.109375" customWidth="1"/>
    <col min="29" max="29" width="20.33203125" customWidth="1"/>
    <col min="30" max="30" width="26.109375" customWidth="1"/>
    <col min="31" max="31" width="18.33203125" customWidth="1"/>
    <col min="32" max="32" width="19.33203125" customWidth="1"/>
    <col min="33" max="33" width="16.33203125" customWidth="1"/>
    <col min="34" max="34" width="15.33203125" customWidth="1"/>
    <col min="35" max="36" width="15.5546875" customWidth="1"/>
    <col min="37" max="37" width="17" customWidth="1"/>
    <col min="38" max="38" width="18" customWidth="1"/>
    <col min="39" max="39" width="18.44140625" customWidth="1"/>
    <col min="40" max="40" width="18.6640625" customWidth="1"/>
    <col min="41" max="41" width="16.44140625" customWidth="1"/>
    <col min="42" max="42" width="17" customWidth="1"/>
    <col min="43" max="43" width="16.5546875" customWidth="1"/>
  </cols>
  <sheetData>
    <row r="1" spans="2:31" ht="15" thickBot="1" x14ac:dyDescent="0.35">
      <c r="B1" s="91" t="s">
        <v>0</v>
      </c>
      <c r="C1" s="92"/>
      <c r="D1" s="92"/>
      <c r="E1" s="92"/>
      <c r="F1" s="92"/>
      <c r="G1" s="92"/>
      <c r="H1" s="92"/>
      <c r="I1" s="92"/>
      <c r="J1" s="92"/>
      <c r="K1" s="92"/>
      <c r="S1" s="30"/>
    </row>
    <row r="2" spans="2:31" x14ac:dyDescent="0.3">
      <c r="B2" s="82" t="s">
        <v>1</v>
      </c>
      <c r="C2" s="93"/>
      <c r="D2" s="3">
        <v>2021</v>
      </c>
      <c r="E2" s="3">
        <v>2022</v>
      </c>
      <c r="F2" s="3">
        <v>2023</v>
      </c>
      <c r="G2" s="3">
        <v>2024</v>
      </c>
      <c r="H2" s="3">
        <v>2025</v>
      </c>
      <c r="I2" s="3">
        <v>2026</v>
      </c>
      <c r="J2" s="3">
        <v>2027</v>
      </c>
      <c r="K2" s="3">
        <v>2028</v>
      </c>
      <c r="L2" s="3">
        <v>2029</v>
      </c>
      <c r="M2" s="3">
        <v>2030</v>
      </c>
      <c r="N2" s="3">
        <v>2031</v>
      </c>
      <c r="O2" s="3">
        <v>2032</v>
      </c>
      <c r="P2" s="3">
        <v>2033</v>
      </c>
      <c r="Q2" s="3">
        <v>2034</v>
      </c>
      <c r="R2" s="3">
        <v>2035</v>
      </c>
      <c r="S2" s="3">
        <v>2036</v>
      </c>
      <c r="T2" s="24" t="s">
        <v>2</v>
      </c>
      <c r="U2" s="25">
        <f>ABS(SUM(D3:S3))</f>
        <v>40310979.012777507</v>
      </c>
      <c r="X2" s="53" t="s">
        <v>1</v>
      </c>
      <c r="Y2" s="53" t="s">
        <v>3</v>
      </c>
      <c r="Z2" s="58" t="s">
        <v>4</v>
      </c>
      <c r="AA2" s="65" t="s">
        <v>5</v>
      </c>
      <c r="AB2" s="67"/>
      <c r="AC2" s="67"/>
      <c r="AD2" s="55"/>
      <c r="AE2" s="67"/>
    </row>
    <row r="3" spans="2:31" x14ac:dyDescent="0.3">
      <c r="B3" s="94" t="s">
        <v>6</v>
      </c>
      <c r="C3" s="95"/>
      <c r="D3" s="4">
        <f xml:space="preserve"> $O14</f>
        <v>-2458000</v>
      </c>
      <c r="E3" s="5">
        <f xml:space="preserve"> ($O19)</f>
        <v>-2523200</v>
      </c>
      <c r="F3" s="5">
        <f xml:space="preserve"> $O24</f>
        <v>-2580000</v>
      </c>
      <c r="G3" s="5">
        <f xml:space="preserve"> $O29</f>
        <v>-2517700</v>
      </c>
      <c r="H3" s="5">
        <f xml:space="preserve"> $O34</f>
        <v>-2010700</v>
      </c>
      <c r="I3" s="6">
        <f xml:space="preserve"> $O39</f>
        <v>-1760000</v>
      </c>
      <c r="J3" s="6">
        <f xml:space="preserve"> $O$44</f>
        <v>-2646137.9012777517</v>
      </c>
      <c r="K3" s="6">
        <f t="shared" ref="K3:S3" si="0" xml:space="preserve"> $O$44</f>
        <v>-2646137.9012777517</v>
      </c>
      <c r="L3" s="6">
        <f t="shared" si="0"/>
        <v>-2646137.9012777517</v>
      </c>
      <c r="M3" s="6">
        <f t="shared" si="0"/>
        <v>-2646137.9012777517</v>
      </c>
      <c r="N3" s="6">
        <f xml:space="preserve"> $O$64</f>
        <v>-2646137.9012777517</v>
      </c>
      <c r="O3" s="6">
        <f t="shared" si="0"/>
        <v>-2646137.9012777517</v>
      </c>
      <c r="P3" s="6">
        <f t="shared" si="0"/>
        <v>-2646137.9012777517</v>
      </c>
      <c r="Q3" s="6">
        <f t="shared" si="0"/>
        <v>-2646137.9012777517</v>
      </c>
      <c r="R3" s="6">
        <f t="shared" si="0"/>
        <v>-2646137.9012777517</v>
      </c>
      <c r="S3" s="6">
        <f t="shared" si="0"/>
        <v>-2646137.9012777517</v>
      </c>
      <c r="T3" s="22" t="s">
        <v>7</v>
      </c>
      <c r="U3" s="23">
        <f>SUM(D4:S4)</f>
        <v>156000000</v>
      </c>
      <c r="X3" s="53">
        <v>2021</v>
      </c>
      <c r="Y3" s="56">
        <f>SUM(CÁLCULOS!A3:A4)</f>
        <v>346000</v>
      </c>
      <c r="Z3" s="57">
        <f>CÁLCULOS!$C9</f>
        <v>2112000</v>
      </c>
      <c r="AA3" s="59">
        <v>0</v>
      </c>
      <c r="AB3" s="68"/>
      <c r="AC3" s="68"/>
      <c r="AD3" s="55"/>
      <c r="AE3" s="68"/>
    </row>
    <row r="4" spans="2:31" ht="15" thickBot="1" x14ac:dyDescent="0.35">
      <c r="B4" s="94" t="s">
        <v>8</v>
      </c>
      <c r="C4" s="95"/>
      <c r="D4" s="5">
        <f>$O15</f>
        <v>0</v>
      </c>
      <c r="E4" s="5">
        <f>$O20</f>
        <v>0</v>
      </c>
      <c r="F4" s="5">
        <f>$O25</f>
        <v>0</v>
      </c>
      <c r="G4" s="5">
        <f>$O30</f>
        <v>0</v>
      </c>
      <c r="H4" s="5">
        <f>$O35</f>
        <v>0</v>
      </c>
      <c r="I4" s="7">
        <f>$O40</f>
        <v>0</v>
      </c>
      <c r="J4" s="7">
        <f>$O$45</f>
        <v>15600000</v>
      </c>
      <c r="K4" s="7">
        <f t="shared" ref="K4:M4" si="1">$O$45</f>
        <v>15600000</v>
      </c>
      <c r="L4" s="7">
        <f t="shared" si="1"/>
        <v>15600000</v>
      </c>
      <c r="M4" s="7">
        <f t="shared" si="1"/>
        <v>15600000</v>
      </c>
      <c r="N4" s="7">
        <f>$O$65</f>
        <v>15600000</v>
      </c>
      <c r="O4" s="7">
        <f t="shared" ref="O4:Q4" si="2">$O$65</f>
        <v>15600000</v>
      </c>
      <c r="P4" s="7">
        <f t="shared" si="2"/>
        <v>15600000</v>
      </c>
      <c r="Q4" s="7">
        <f t="shared" si="2"/>
        <v>15600000</v>
      </c>
      <c r="R4" s="7">
        <f>$O$85</f>
        <v>15600000</v>
      </c>
      <c r="S4" s="7">
        <f>$O$85</f>
        <v>15600000</v>
      </c>
      <c r="T4" s="20" t="s">
        <v>9</v>
      </c>
      <c r="U4" s="21">
        <f>U3/U2</f>
        <v>3.8699134533684272</v>
      </c>
      <c r="X4" s="53">
        <v>2022</v>
      </c>
      <c r="Y4" s="56">
        <f>SUM(CÁLCULOS!A5:A6)</f>
        <v>411200</v>
      </c>
      <c r="Z4" s="57">
        <f>CÁLCULOS!$C9</f>
        <v>2112000</v>
      </c>
      <c r="AA4" s="59">
        <v>0</v>
      </c>
      <c r="AB4" s="68"/>
      <c r="AC4" s="68"/>
      <c r="AD4" s="55"/>
      <c r="AE4" s="68"/>
    </row>
    <row r="5" spans="2:31" ht="15" thickBot="1" x14ac:dyDescent="0.35">
      <c r="B5" s="88" t="s">
        <v>10</v>
      </c>
      <c r="C5" s="96"/>
      <c r="D5" s="71">
        <f t="shared" ref="D5:S5" si="3">D4+D3</f>
        <v>-2458000</v>
      </c>
      <c r="E5" s="71">
        <f t="shared" si="3"/>
        <v>-2523200</v>
      </c>
      <c r="F5" s="71">
        <f t="shared" si="3"/>
        <v>-2580000</v>
      </c>
      <c r="G5" s="71">
        <f t="shared" si="3"/>
        <v>-2517700</v>
      </c>
      <c r="H5" s="72">
        <f t="shared" si="3"/>
        <v>-2010700</v>
      </c>
      <c r="I5" s="73">
        <f t="shared" si="3"/>
        <v>-1760000</v>
      </c>
      <c r="J5" s="74">
        <f t="shared" si="3"/>
        <v>12953862.098722249</v>
      </c>
      <c r="K5" s="74">
        <f t="shared" si="3"/>
        <v>12953862.098722249</v>
      </c>
      <c r="L5" s="74">
        <f t="shared" si="3"/>
        <v>12953862.098722249</v>
      </c>
      <c r="M5" s="74">
        <f t="shared" si="3"/>
        <v>12953862.098722249</v>
      </c>
      <c r="N5" s="74">
        <f t="shared" si="3"/>
        <v>12953862.098722249</v>
      </c>
      <c r="O5" s="74">
        <f t="shared" si="3"/>
        <v>12953862.098722249</v>
      </c>
      <c r="P5" s="74">
        <f t="shared" si="3"/>
        <v>12953862.098722249</v>
      </c>
      <c r="Q5" s="74">
        <f t="shared" si="3"/>
        <v>12953862.098722249</v>
      </c>
      <c r="R5" s="74">
        <f t="shared" si="3"/>
        <v>12953862.098722249</v>
      </c>
      <c r="S5" s="74">
        <f t="shared" si="3"/>
        <v>12953862.098722249</v>
      </c>
      <c r="X5" s="53">
        <v>2023</v>
      </c>
      <c r="Y5" s="56">
        <f>SUM(CÁLCULOS!A7:A8)</f>
        <v>468000</v>
      </c>
      <c r="Z5" s="57">
        <f>CÁLCULOS!$C9</f>
        <v>2112000</v>
      </c>
      <c r="AA5" s="59">
        <v>0</v>
      </c>
      <c r="AB5" s="68"/>
      <c r="AC5" s="68"/>
      <c r="AD5" s="55"/>
      <c r="AE5" s="68"/>
    </row>
    <row r="6" spans="2:31" ht="15" thickBot="1" x14ac:dyDescent="0.35">
      <c r="T6" s="47"/>
      <c r="U6" s="47"/>
      <c r="V6" s="47"/>
      <c r="X6" s="53">
        <v>2024</v>
      </c>
      <c r="Y6" s="56">
        <f>SUM(CÁLCULOS!A9:A10)</f>
        <v>517700</v>
      </c>
      <c r="Z6" s="57">
        <f>CÁLCULOS!$D7</f>
        <v>1440000</v>
      </c>
      <c r="AA6" s="59">
        <v>0</v>
      </c>
      <c r="AB6" s="68"/>
      <c r="AC6" s="68"/>
      <c r="AD6" s="55"/>
      <c r="AE6" s="68"/>
    </row>
    <row r="7" spans="2:31" x14ac:dyDescent="0.3">
      <c r="B7" s="82" t="s">
        <v>1</v>
      </c>
      <c r="C7" s="83"/>
      <c r="D7" s="2">
        <v>2021</v>
      </c>
      <c r="E7" s="2">
        <v>2022</v>
      </c>
      <c r="F7" s="2">
        <v>2023</v>
      </c>
      <c r="G7" s="2">
        <v>2024</v>
      </c>
      <c r="H7" s="2">
        <v>2025</v>
      </c>
      <c r="I7" s="2">
        <v>2026</v>
      </c>
      <c r="J7" s="2">
        <v>2027</v>
      </c>
      <c r="K7" s="2">
        <v>2028</v>
      </c>
      <c r="L7" s="2">
        <v>2029</v>
      </c>
      <c r="M7" s="2">
        <v>2030</v>
      </c>
      <c r="N7" s="2">
        <v>2031</v>
      </c>
      <c r="O7" s="2">
        <v>2032</v>
      </c>
      <c r="P7" s="2">
        <v>2033</v>
      </c>
      <c r="Q7" s="2">
        <v>2034</v>
      </c>
      <c r="R7" s="2">
        <v>2035</v>
      </c>
      <c r="S7" s="2">
        <v>2036</v>
      </c>
      <c r="T7" s="47"/>
      <c r="U7" s="47"/>
      <c r="V7" s="47"/>
      <c r="X7" s="53">
        <v>2025</v>
      </c>
      <c r="Y7" s="56">
        <f>SUM(CÁLCULOS!A11:A12)</f>
        <v>570700</v>
      </c>
      <c r="Z7" s="57">
        <f>CÁLCULOS!$D7</f>
        <v>1440000</v>
      </c>
      <c r="AA7" s="59">
        <v>0</v>
      </c>
      <c r="AB7" s="68"/>
      <c r="AC7" s="68"/>
      <c r="AD7" s="55"/>
      <c r="AE7" s="68"/>
    </row>
    <row r="8" spans="2:31" ht="15" thickBot="1" x14ac:dyDescent="0.35">
      <c r="B8" s="88" t="s">
        <v>10</v>
      </c>
      <c r="C8" s="89"/>
      <c r="D8" s="75">
        <f>D5</f>
        <v>-2458000</v>
      </c>
      <c r="E8" s="75">
        <f>E5</f>
        <v>-2523200</v>
      </c>
      <c r="F8" s="75">
        <f t="shared" ref="F8:H8" si="4">F5</f>
        <v>-2580000</v>
      </c>
      <c r="G8" s="75">
        <f t="shared" si="4"/>
        <v>-2517700</v>
      </c>
      <c r="H8" s="75">
        <f t="shared" si="4"/>
        <v>-2010700</v>
      </c>
      <c r="I8" s="75">
        <f>I5</f>
        <v>-1760000</v>
      </c>
      <c r="J8" s="76">
        <f>J5*1.1236</f>
        <v>14554959.454124318</v>
      </c>
      <c r="K8" s="76">
        <f>K5*1.1</f>
        <v>14249248.308594475</v>
      </c>
      <c r="L8" s="76">
        <f>L5*1.07</f>
        <v>13860632.445632808</v>
      </c>
      <c r="M8" s="76">
        <f>M5*1.06</f>
        <v>13731093.824645584</v>
      </c>
      <c r="N8" s="76">
        <f>N5*1.06</f>
        <v>13731093.824645584</v>
      </c>
      <c r="O8" s="76">
        <f>O5*1.06</f>
        <v>13731093.824645584</v>
      </c>
      <c r="P8" s="76">
        <f t="shared" ref="P8" si="5">P5*(1+$R$25)</f>
        <v>13731093.824645584</v>
      </c>
      <c r="Q8" s="76">
        <f>Q5*1.06</f>
        <v>13731093.824645584</v>
      </c>
      <c r="R8" s="76">
        <f>R5*1.06</f>
        <v>13731093.824645584</v>
      </c>
      <c r="S8" s="76">
        <f>S5*1.06</f>
        <v>13731093.824645584</v>
      </c>
      <c r="T8" s="47"/>
      <c r="U8" s="47"/>
      <c r="V8" s="47"/>
      <c r="X8" s="53">
        <v>2026</v>
      </c>
      <c r="Y8" s="56">
        <f>CÁLCULOS!$A13</f>
        <v>320000</v>
      </c>
      <c r="Z8" s="57">
        <f>CÁLCULOS!$D7</f>
        <v>1440000</v>
      </c>
      <c r="AA8" s="59">
        <v>0</v>
      </c>
      <c r="AB8" s="68"/>
      <c r="AC8" s="68"/>
      <c r="AD8" s="55"/>
      <c r="AE8" s="68"/>
    </row>
    <row r="9" spans="2:31" ht="15" thickBot="1" x14ac:dyDescent="0.35">
      <c r="H9" s="36"/>
      <c r="T9" s="47"/>
      <c r="U9" s="47"/>
      <c r="V9" s="47"/>
      <c r="X9" s="53">
        <v>2027</v>
      </c>
      <c r="Y9" s="56">
        <f>R19</f>
        <v>1206137.9012777514</v>
      </c>
      <c r="Z9" s="57">
        <f>CÁLCULOS!$D7</f>
        <v>1440000</v>
      </c>
      <c r="AA9" s="59">
        <v>1300000</v>
      </c>
      <c r="AB9" s="68"/>
      <c r="AC9" s="68"/>
      <c r="AD9" s="55"/>
      <c r="AE9" s="68"/>
    </row>
    <row r="10" spans="2:31" x14ac:dyDescent="0.3">
      <c r="B10" s="8" t="s">
        <v>11</v>
      </c>
      <c r="C10" s="9">
        <v>5.1999999999999998E-2</v>
      </c>
      <c r="D10" s="34"/>
      <c r="H10" s="10" t="s">
        <v>12</v>
      </c>
      <c r="J10" s="70"/>
      <c r="K10" s="90"/>
      <c r="L10" s="90"/>
      <c r="M10" s="90"/>
      <c r="N10" s="90"/>
      <c r="Q10" s="30"/>
      <c r="R10" s="30"/>
      <c r="S10" s="30"/>
      <c r="T10" s="47"/>
      <c r="U10" s="47"/>
      <c r="V10" s="47"/>
      <c r="X10" s="53">
        <v>2028</v>
      </c>
      <c r="Y10" s="56">
        <f>R19</f>
        <v>1206137.9012777514</v>
      </c>
      <c r="Z10" s="57">
        <f>CÁLCULOS!$D7</f>
        <v>1440000</v>
      </c>
      <c r="AA10" s="59">
        <v>1300000</v>
      </c>
      <c r="AB10" s="68"/>
      <c r="AC10" s="68"/>
      <c r="AD10" s="55"/>
      <c r="AE10" s="68"/>
    </row>
    <row r="11" spans="2:31" ht="15" thickBot="1" x14ac:dyDescent="0.35">
      <c r="B11" s="11" t="s">
        <v>13</v>
      </c>
      <c r="C11" s="12">
        <f>NPV(C10,D8:S8)</f>
        <v>66725461.787503637</v>
      </c>
      <c r="D11" s="32"/>
      <c r="E11" s="33"/>
      <c r="F11" s="35"/>
      <c r="G11" s="36"/>
      <c r="H11" s="13">
        <f>IRR(D8:S8)</f>
        <v>0.36898925210816524</v>
      </c>
      <c r="I11" s="36"/>
      <c r="J11" s="14"/>
      <c r="K11" s="14"/>
      <c r="T11" s="47"/>
      <c r="U11" s="47"/>
      <c r="V11" s="47"/>
      <c r="X11" s="53">
        <v>2029</v>
      </c>
      <c r="Y11" s="56">
        <f>R19</f>
        <v>1206137.9012777514</v>
      </c>
      <c r="Z11" s="57">
        <f>CÁLCULOS!$D7</f>
        <v>1440000</v>
      </c>
      <c r="AA11" s="59">
        <v>1300000</v>
      </c>
      <c r="AB11" s="68"/>
      <c r="AC11" s="68"/>
      <c r="AD11" s="55"/>
      <c r="AE11" s="68"/>
    </row>
    <row r="12" spans="2:31" x14ac:dyDescent="0.3">
      <c r="C12" s="35"/>
      <c r="D12" s="32"/>
      <c r="E12" s="32"/>
      <c r="F12" s="32"/>
      <c r="G12" s="32"/>
      <c r="H12" s="32"/>
      <c r="I12" s="32"/>
      <c r="J12" s="33"/>
      <c r="K12" s="33"/>
      <c r="T12" s="47"/>
      <c r="U12" s="47"/>
      <c r="V12" s="47"/>
      <c r="X12" s="53">
        <v>2030</v>
      </c>
      <c r="Y12" s="56">
        <f>R19</f>
        <v>1206137.9012777514</v>
      </c>
      <c r="Z12" s="57">
        <f>CÁLCULOS!$D7</f>
        <v>1440000</v>
      </c>
      <c r="AA12" s="59">
        <v>1300000</v>
      </c>
      <c r="AB12" s="68"/>
      <c r="AC12" s="68"/>
      <c r="AD12" s="55"/>
      <c r="AE12" s="68"/>
    </row>
    <row r="13" spans="2:31" x14ac:dyDescent="0.3">
      <c r="B13" s="15" t="s">
        <v>14</v>
      </c>
      <c r="C13" s="15" t="s">
        <v>15</v>
      </c>
      <c r="D13" s="15" t="s">
        <v>16</v>
      </c>
      <c r="E13" s="15" t="s">
        <v>17</v>
      </c>
      <c r="F13" s="15" t="s">
        <v>18</v>
      </c>
      <c r="G13" s="15" t="s">
        <v>19</v>
      </c>
      <c r="H13" s="15" t="s">
        <v>20</v>
      </c>
      <c r="I13" s="15" t="s">
        <v>21</v>
      </c>
      <c r="J13" s="15" t="s">
        <v>22</v>
      </c>
      <c r="K13" s="15" t="s">
        <v>23</v>
      </c>
      <c r="L13" s="15" t="s">
        <v>24</v>
      </c>
      <c r="M13" s="15" t="s">
        <v>25</v>
      </c>
      <c r="N13" s="15" t="s">
        <v>26</v>
      </c>
      <c r="O13" s="15" t="s">
        <v>27</v>
      </c>
      <c r="Q13" s="17" t="s">
        <v>28</v>
      </c>
      <c r="R13" s="26">
        <v>5315840</v>
      </c>
      <c r="S13" s="1"/>
      <c r="T13" s="47"/>
      <c r="U13" s="17" t="s">
        <v>29</v>
      </c>
      <c r="V13" s="17" t="s">
        <v>12</v>
      </c>
      <c r="X13" s="62">
        <v>2031</v>
      </c>
      <c r="Y13" s="63">
        <f>R19</f>
        <v>1206137.9012777514</v>
      </c>
      <c r="Z13" s="64">
        <f>CÁLCULOS!$D7</f>
        <v>1440000</v>
      </c>
      <c r="AA13" s="59">
        <v>1300000</v>
      </c>
      <c r="AB13" s="68"/>
      <c r="AC13" s="68"/>
      <c r="AD13" s="55"/>
      <c r="AE13" s="68"/>
    </row>
    <row r="14" spans="2:31" x14ac:dyDescent="0.3">
      <c r="B14" s="15" t="s">
        <v>6</v>
      </c>
      <c r="C14" s="16">
        <f xml:space="preserve"> -(S44)</f>
        <v>-176000</v>
      </c>
      <c r="D14" s="16">
        <f xml:space="preserve"> -(Q34+S44)</f>
        <v>-349000</v>
      </c>
      <c r="E14" s="16">
        <f xml:space="preserve"> -(S44)</f>
        <v>-176000</v>
      </c>
      <c r="F14" s="16">
        <f xml:space="preserve"> -(S44)</f>
        <v>-176000</v>
      </c>
      <c r="G14" s="16">
        <f xml:space="preserve"> -(S44)</f>
        <v>-176000</v>
      </c>
      <c r="H14" s="16">
        <f xml:space="preserve"> -(S44)</f>
        <v>-176000</v>
      </c>
      <c r="I14" s="16">
        <f xml:space="preserve"> -(S44)</f>
        <v>-176000</v>
      </c>
      <c r="J14" s="16">
        <f xml:space="preserve"> -(Q35+S44)</f>
        <v>-349000</v>
      </c>
      <c r="K14" s="16">
        <f xml:space="preserve"> -(S44)</f>
        <v>-176000</v>
      </c>
      <c r="L14" s="16">
        <f xml:space="preserve"> -(S44)</f>
        <v>-176000</v>
      </c>
      <c r="M14" s="16">
        <f xml:space="preserve"> -(S44)</f>
        <v>-176000</v>
      </c>
      <c r="N14" s="16">
        <f xml:space="preserve"> -(S44)</f>
        <v>-176000</v>
      </c>
      <c r="O14" s="79">
        <f>SUM(C14:N14)</f>
        <v>-2458000</v>
      </c>
      <c r="Q14" s="17" t="s">
        <v>30</v>
      </c>
      <c r="R14" s="27">
        <v>5.1999999999999998E-2</v>
      </c>
      <c r="T14" s="47"/>
      <c r="U14" s="17" t="s">
        <v>31</v>
      </c>
      <c r="V14" s="31" t="e">
        <f>IRR($D$8:D8)</f>
        <v>#NUM!</v>
      </c>
      <c r="X14" s="65">
        <v>2032</v>
      </c>
      <c r="Y14" s="59">
        <f>R19</f>
        <v>1206137.9012777514</v>
      </c>
      <c r="Z14" s="66">
        <f>CÁLCULOS!$D7</f>
        <v>1440000</v>
      </c>
      <c r="AA14" s="59">
        <v>1300000</v>
      </c>
      <c r="AB14" s="68"/>
      <c r="AC14" s="68"/>
      <c r="AD14" s="55"/>
      <c r="AE14" s="68"/>
    </row>
    <row r="15" spans="2:31" x14ac:dyDescent="0.3">
      <c r="B15" s="15" t="s">
        <v>8</v>
      </c>
      <c r="C15" s="5">
        <f>0</f>
        <v>0</v>
      </c>
      <c r="D15" s="5">
        <f>0</f>
        <v>0</v>
      </c>
      <c r="E15" s="5">
        <f>0</f>
        <v>0</v>
      </c>
      <c r="F15" s="5">
        <f>0</f>
        <v>0</v>
      </c>
      <c r="G15" s="5">
        <f>0</f>
        <v>0</v>
      </c>
      <c r="H15" s="5">
        <f>0</f>
        <v>0</v>
      </c>
      <c r="I15" s="5">
        <f>0</f>
        <v>0</v>
      </c>
      <c r="J15" s="5">
        <f>0</f>
        <v>0</v>
      </c>
      <c r="K15" s="5">
        <f>0</f>
        <v>0</v>
      </c>
      <c r="L15" s="5">
        <f>0</f>
        <v>0</v>
      </c>
      <c r="M15" s="5">
        <f>0</f>
        <v>0</v>
      </c>
      <c r="N15" s="5">
        <f>0</f>
        <v>0</v>
      </c>
      <c r="O15" s="5">
        <f>SUM(C15:N15)</f>
        <v>0</v>
      </c>
      <c r="Q15" s="17" t="s">
        <v>32</v>
      </c>
      <c r="R15" s="28">
        <f>((1+R14)^(1/12)-1)*100</f>
        <v>0.42333616592649115</v>
      </c>
      <c r="T15" s="47"/>
      <c r="U15" s="17" t="s">
        <v>33</v>
      </c>
      <c r="V15" s="31" t="e">
        <f>IRR($D$8:E8)</f>
        <v>#NUM!</v>
      </c>
      <c r="W15" s="61"/>
      <c r="X15" s="59" t="s">
        <v>27</v>
      </c>
      <c r="Y15" s="59">
        <f>SUM(Y3:Y8)</f>
        <v>2633600</v>
      </c>
      <c r="Z15" s="66">
        <f>SUM(Z3:Z8)</f>
        <v>10656000</v>
      </c>
      <c r="AA15" s="59"/>
      <c r="AB15" s="68"/>
      <c r="AC15" s="68"/>
      <c r="AD15" s="55"/>
      <c r="AE15" s="68"/>
    </row>
    <row r="16" spans="2:31" x14ac:dyDescent="0.3">
      <c r="B16" s="17" t="s">
        <v>10</v>
      </c>
      <c r="C16" s="18">
        <f t="shared" ref="C16:N16" si="6">C15+C14</f>
        <v>-176000</v>
      </c>
      <c r="D16" s="18">
        <f t="shared" si="6"/>
        <v>-349000</v>
      </c>
      <c r="E16" s="18">
        <f t="shared" si="6"/>
        <v>-176000</v>
      </c>
      <c r="F16" s="18">
        <f t="shared" si="6"/>
        <v>-176000</v>
      </c>
      <c r="G16" s="18">
        <f t="shared" si="6"/>
        <v>-176000</v>
      </c>
      <c r="H16" s="18">
        <f t="shared" si="6"/>
        <v>-176000</v>
      </c>
      <c r="I16" s="18">
        <f t="shared" si="6"/>
        <v>-176000</v>
      </c>
      <c r="J16" s="18">
        <f t="shared" si="6"/>
        <v>-349000</v>
      </c>
      <c r="K16" s="18">
        <f t="shared" si="6"/>
        <v>-176000</v>
      </c>
      <c r="L16" s="18">
        <f t="shared" si="6"/>
        <v>-176000</v>
      </c>
      <c r="M16" s="18">
        <f t="shared" si="6"/>
        <v>-176000</v>
      </c>
      <c r="N16" s="18">
        <f t="shared" si="6"/>
        <v>-176000</v>
      </c>
      <c r="O16" s="19"/>
      <c r="Q16" s="17" t="s">
        <v>34</v>
      </c>
      <c r="R16" s="26">
        <v>5</v>
      </c>
      <c r="T16" s="47"/>
      <c r="U16" s="17" t="s">
        <v>35</v>
      </c>
      <c r="V16" s="31" t="e">
        <f>IRR($D$8:F8)</f>
        <v>#NUM!</v>
      </c>
      <c r="W16" s="61"/>
      <c r="X16" s="60"/>
      <c r="Y16" s="55"/>
      <c r="Z16" s="55"/>
      <c r="AA16" s="55"/>
      <c r="AB16" s="55"/>
      <c r="AC16" s="55"/>
      <c r="AD16" s="55"/>
      <c r="AE16" s="55"/>
    </row>
    <row r="17" spans="2:33" x14ac:dyDescent="0.3">
      <c r="Q17" s="17" t="s">
        <v>36</v>
      </c>
      <c r="R17" s="26">
        <v>60</v>
      </c>
      <c r="T17" s="47"/>
      <c r="U17" s="17" t="s">
        <v>37</v>
      </c>
      <c r="V17" s="31" t="e">
        <f>IRR($D$8:G8)</f>
        <v>#NUM!</v>
      </c>
      <c r="W17" s="61"/>
      <c r="X17" s="60"/>
      <c r="Y17" s="55"/>
      <c r="Z17" s="55"/>
      <c r="AA17" s="55"/>
      <c r="AB17" s="55"/>
      <c r="AC17" s="55"/>
      <c r="AD17" s="55"/>
      <c r="AE17" s="55"/>
    </row>
    <row r="18" spans="2:33" x14ac:dyDescent="0.3">
      <c r="B18" s="15" t="s">
        <v>38</v>
      </c>
      <c r="C18" s="15" t="s">
        <v>15</v>
      </c>
      <c r="D18" s="15" t="s">
        <v>16</v>
      </c>
      <c r="E18" s="15" t="s">
        <v>17</v>
      </c>
      <c r="F18" s="15" t="s">
        <v>18</v>
      </c>
      <c r="G18" s="15" t="s">
        <v>19</v>
      </c>
      <c r="H18" s="15" t="s">
        <v>20</v>
      </c>
      <c r="I18" s="15" t="s">
        <v>21</v>
      </c>
      <c r="J18" s="15" t="s">
        <v>22</v>
      </c>
      <c r="K18" s="15" t="s">
        <v>23</v>
      </c>
      <c r="L18" s="15" t="s">
        <v>24</v>
      </c>
      <c r="M18" s="15" t="s">
        <v>25</v>
      </c>
      <c r="N18" s="15" t="s">
        <v>26</v>
      </c>
      <c r="O18" s="15" t="s">
        <v>27</v>
      </c>
      <c r="Q18" s="17" t="s">
        <v>39</v>
      </c>
      <c r="R18" s="28">
        <f>((R13*R15/100)/(1-(1+R15/100)^(-R17)))</f>
        <v>100511.49177314596</v>
      </c>
      <c r="S18" s="1"/>
      <c r="T18" s="47"/>
      <c r="U18" s="17" t="s">
        <v>40</v>
      </c>
      <c r="V18" s="31" t="e">
        <f>IRR($D$8:H$8)</f>
        <v>#NUM!</v>
      </c>
      <c r="W18" s="61"/>
      <c r="X18" s="60"/>
      <c r="Y18" s="55"/>
      <c r="Z18" s="55"/>
      <c r="AA18" s="55"/>
      <c r="AB18" s="55"/>
      <c r="AC18" s="55"/>
      <c r="AD18" s="55"/>
      <c r="AE18" s="55"/>
    </row>
    <row r="19" spans="2:33" x14ac:dyDescent="0.3">
      <c r="B19" s="15" t="s">
        <v>6</v>
      </c>
      <c r="C19" s="16">
        <f xml:space="preserve"> -(S44)</f>
        <v>-176000</v>
      </c>
      <c r="D19" s="16">
        <f xml:space="preserve"> -(Q36+S44)</f>
        <v>-366200</v>
      </c>
      <c r="E19" s="16">
        <f xml:space="preserve"> -(S44)</f>
        <v>-176000</v>
      </c>
      <c r="F19" s="16">
        <f xml:space="preserve"> -(S44)</f>
        <v>-176000</v>
      </c>
      <c r="G19" s="16">
        <f xml:space="preserve"> -(S44)</f>
        <v>-176000</v>
      </c>
      <c r="H19" s="16">
        <f xml:space="preserve"> -(S44)</f>
        <v>-176000</v>
      </c>
      <c r="I19" s="16">
        <f xml:space="preserve"> -(S44)</f>
        <v>-176000</v>
      </c>
      <c r="J19" s="16">
        <f xml:space="preserve"> -(Q37+S44)</f>
        <v>-397000</v>
      </c>
      <c r="K19" s="16">
        <f xml:space="preserve"> -(S44)</f>
        <v>-176000</v>
      </c>
      <c r="L19" s="16">
        <f xml:space="preserve"> -(S44)</f>
        <v>-176000</v>
      </c>
      <c r="M19" s="16">
        <f xml:space="preserve"> -(S44)</f>
        <v>-176000</v>
      </c>
      <c r="N19" s="16">
        <f xml:space="preserve"> -(S44)</f>
        <v>-176000</v>
      </c>
      <c r="O19" s="79">
        <f>SUM(C19:N19)</f>
        <v>-2523200</v>
      </c>
      <c r="Q19" s="17" t="s">
        <v>41</v>
      </c>
      <c r="R19" s="26">
        <f>12*R18</f>
        <v>1206137.9012777514</v>
      </c>
      <c r="U19" s="17" t="s">
        <v>42</v>
      </c>
      <c r="V19" s="31" t="e">
        <f>IRR($D$8:I$8)</f>
        <v>#NUM!</v>
      </c>
      <c r="W19" s="55"/>
    </row>
    <row r="20" spans="2:33" ht="15.6" x14ac:dyDescent="0.3">
      <c r="B20" s="15" t="s">
        <v>8</v>
      </c>
      <c r="C20" s="5">
        <f>0</f>
        <v>0</v>
      </c>
      <c r="D20" s="5">
        <f>0</f>
        <v>0</v>
      </c>
      <c r="E20" s="5">
        <f>0</f>
        <v>0</v>
      </c>
      <c r="F20" s="5">
        <f>0</f>
        <v>0</v>
      </c>
      <c r="G20" s="5">
        <f>0</f>
        <v>0</v>
      </c>
      <c r="H20" s="5">
        <f>0</f>
        <v>0</v>
      </c>
      <c r="I20" s="5">
        <f>0</f>
        <v>0</v>
      </c>
      <c r="J20" s="5">
        <f>0</f>
        <v>0</v>
      </c>
      <c r="K20" s="5">
        <f>0</f>
        <v>0</v>
      </c>
      <c r="L20" s="5">
        <f>0</f>
        <v>0</v>
      </c>
      <c r="M20" s="5">
        <f>0</f>
        <v>0</v>
      </c>
      <c r="N20" s="5">
        <f>0</f>
        <v>0</v>
      </c>
      <c r="O20" s="5">
        <f>SUM(C20:N20)</f>
        <v>0</v>
      </c>
      <c r="R20" s="38"/>
      <c r="U20" s="17" t="s">
        <v>43</v>
      </c>
      <c r="V20" s="31">
        <f>IRR($D$8:J$8)</f>
        <v>1.3509566122456906E-2</v>
      </c>
      <c r="X20" s="48"/>
      <c r="Y20" s="48"/>
      <c r="Z20" s="48"/>
      <c r="AA20" s="48"/>
      <c r="AB20" s="48"/>
      <c r="AC20" s="48"/>
      <c r="AD20" s="48"/>
      <c r="AE20" s="48"/>
      <c r="AF20" s="48"/>
      <c r="AG20" s="48"/>
    </row>
    <row r="21" spans="2:33" x14ac:dyDescent="0.3">
      <c r="B21" s="17" t="s">
        <v>10</v>
      </c>
      <c r="C21" s="18">
        <f t="shared" ref="C21:N21" si="7">C20+C19</f>
        <v>-176000</v>
      </c>
      <c r="D21" s="18">
        <f t="shared" si="7"/>
        <v>-366200</v>
      </c>
      <c r="E21" s="18">
        <f t="shared" si="7"/>
        <v>-176000</v>
      </c>
      <c r="F21" s="18">
        <f t="shared" si="7"/>
        <v>-176000</v>
      </c>
      <c r="G21" s="18">
        <f t="shared" si="7"/>
        <v>-176000</v>
      </c>
      <c r="H21" s="18">
        <f t="shared" si="7"/>
        <v>-176000</v>
      </c>
      <c r="I21" s="18">
        <f t="shared" si="7"/>
        <v>-176000</v>
      </c>
      <c r="J21" s="18">
        <f t="shared" si="7"/>
        <v>-397000</v>
      </c>
      <c r="K21" s="18">
        <f t="shared" si="7"/>
        <v>-176000</v>
      </c>
      <c r="L21" s="18">
        <f t="shared" si="7"/>
        <v>-176000</v>
      </c>
      <c r="M21" s="18">
        <f t="shared" si="7"/>
        <v>-176000</v>
      </c>
      <c r="N21" s="18">
        <f t="shared" si="7"/>
        <v>-176000</v>
      </c>
      <c r="O21" s="19"/>
      <c r="Q21" s="17" t="s">
        <v>1</v>
      </c>
      <c r="R21" s="17" t="s">
        <v>44</v>
      </c>
      <c r="U21" s="17" t="s">
        <v>45</v>
      </c>
      <c r="V21" s="31">
        <f>IRR($D$8:K$8)</f>
        <v>0.18201982664861127</v>
      </c>
      <c r="X21" s="48"/>
      <c r="Y21" s="48" t="s">
        <v>46</v>
      </c>
      <c r="Z21" s="48"/>
      <c r="AA21" s="48"/>
      <c r="AB21" s="48"/>
      <c r="AC21" s="48"/>
      <c r="AD21" s="48"/>
      <c r="AE21" s="48"/>
      <c r="AF21" s="48"/>
      <c r="AG21" s="48"/>
    </row>
    <row r="22" spans="2:33" x14ac:dyDescent="0.3">
      <c r="Q22" s="26">
        <v>2027</v>
      </c>
      <c r="R22" s="29">
        <v>0.1236</v>
      </c>
      <c r="U22" s="17" t="s">
        <v>47</v>
      </c>
      <c r="V22" s="31">
        <f>IRR($D$8:L$8)</f>
        <v>0.25855456612347494</v>
      </c>
      <c r="X22" s="48" t="s">
        <v>48</v>
      </c>
      <c r="Y22" s="48">
        <f>SUM(Y15:Z15)</f>
        <v>13289600</v>
      </c>
      <c r="Z22" s="48"/>
      <c r="AA22" s="48"/>
      <c r="AB22" s="48"/>
      <c r="AC22" s="48"/>
      <c r="AD22" s="48"/>
      <c r="AE22" s="48"/>
      <c r="AF22" s="48"/>
      <c r="AG22" s="48"/>
    </row>
    <row r="23" spans="2:33" x14ac:dyDescent="0.3">
      <c r="B23" s="15" t="s">
        <v>49</v>
      </c>
      <c r="C23" s="15" t="s">
        <v>15</v>
      </c>
      <c r="D23" s="15" t="s">
        <v>16</v>
      </c>
      <c r="E23" s="15" t="s">
        <v>17</v>
      </c>
      <c r="F23" s="15" t="s">
        <v>18</v>
      </c>
      <c r="G23" s="15" t="s">
        <v>19</v>
      </c>
      <c r="H23" s="15" t="s">
        <v>20</v>
      </c>
      <c r="I23" s="15" t="s">
        <v>21</v>
      </c>
      <c r="J23" s="15" t="s">
        <v>22</v>
      </c>
      <c r="K23" s="15" t="s">
        <v>23</v>
      </c>
      <c r="L23" s="15" t="s">
        <v>24</v>
      </c>
      <c r="M23" s="15" t="s">
        <v>25</v>
      </c>
      <c r="N23" s="15" t="s">
        <v>26</v>
      </c>
      <c r="O23" s="15" t="s">
        <v>27</v>
      </c>
      <c r="Q23" s="26">
        <v>2028</v>
      </c>
      <c r="R23" s="29">
        <v>0.1</v>
      </c>
      <c r="U23" s="17" t="s">
        <v>50</v>
      </c>
      <c r="V23" s="31">
        <f>IRR($D$8:M$8)</f>
        <v>0.30087923233443492</v>
      </c>
      <c r="X23" s="48"/>
      <c r="Y23" s="48"/>
      <c r="Z23" s="48"/>
      <c r="AA23" s="48"/>
      <c r="AB23" s="48"/>
      <c r="AC23" s="48"/>
      <c r="AD23" s="48"/>
      <c r="AE23" s="48"/>
      <c r="AF23" s="48"/>
      <c r="AG23" s="48"/>
    </row>
    <row r="24" spans="2:33" x14ac:dyDescent="0.3">
      <c r="B24" s="15" t="s">
        <v>6</v>
      </c>
      <c r="C24" s="16">
        <f xml:space="preserve"> -(S44)</f>
        <v>-176000</v>
      </c>
      <c r="D24" s="16">
        <f xml:space="preserve"> -(Q38+S44)</f>
        <v>-397000</v>
      </c>
      <c r="E24" s="16">
        <f xml:space="preserve"> -(S44)</f>
        <v>-176000</v>
      </c>
      <c r="F24" s="16">
        <f xml:space="preserve"> -(S44)</f>
        <v>-176000</v>
      </c>
      <c r="G24" s="16">
        <f xml:space="preserve"> -(S44)</f>
        <v>-176000</v>
      </c>
      <c r="H24" s="16">
        <f xml:space="preserve"> -(S44)</f>
        <v>-176000</v>
      </c>
      <c r="I24" s="16">
        <f xml:space="preserve"> -(S44)</f>
        <v>-176000</v>
      </c>
      <c r="J24" s="16">
        <f xml:space="preserve"> -(Q39+S44)</f>
        <v>-423000</v>
      </c>
      <c r="K24" s="16">
        <f xml:space="preserve"> -(S44)</f>
        <v>-176000</v>
      </c>
      <c r="L24" s="16">
        <f xml:space="preserve"> -(S44)</f>
        <v>-176000</v>
      </c>
      <c r="M24" s="16">
        <f xml:space="preserve"> -(S44)</f>
        <v>-176000</v>
      </c>
      <c r="N24" s="16">
        <f xml:space="preserve"> -(S44)</f>
        <v>-176000</v>
      </c>
      <c r="O24" s="79">
        <f>SUM(C24:N24)</f>
        <v>-2580000</v>
      </c>
      <c r="Q24" s="26">
        <v>2029</v>
      </c>
      <c r="R24" s="29">
        <v>7.0000000000000007E-2</v>
      </c>
      <c r="U24" s="17" t="s">
        <v>51</v>
      </c>
      <c r="V24" s="31">
        <f>IRR($D$8:N$8)</f>
        <v>0.32649892887529619</v>
      </c>
      <c r="X24" s="48"/>
      <c r="Y24" s="48"/>
      <c r="Z24" s="48"/>
      <c r="AA24" s="48"/>
      <c r="AB24" s="48"/>
      <c r="AC24" s="48"/>
      <c r="AD24" s="48"/>
      <c r="AE24" s="48"/>
      <c r="AF24" s="48"/>
      <c r="AG24" s="48"/>
    </row>
    <row r="25" spans="2:33" x14ac:dyDescent="0.3">
      <c r="B25" s="15" t="s">
        <v>8</v>
      </c>
      <c r="C25" s="5">
        <f>0</f>
        <v>0</v>
      </c>
      <c r="D25" s="5">
        <f>0</f>
        <v>0</v>
      </c>
      <c r="E25" s="5">
        <f>0</f>
        <v>0</v>
      </c>
      <c r="F25" s="5">
        <f>0</f>
        <v>0</v>
      </c>
      <c r="G25" s="5">
        <f>0</f>
        <v>0</v>
      </c>
      <c r="H25" s="5">
        <f>0</f>
        <v>0</v>
      </c>
      <c r="I25" s="5">
        <f>0</f>
        <v>0</v>
      </c>
      <c r="J25" s="5">
        <f>0</f>
        <v>0</v>
      </c>
      <c r="K25" s="5">
        <f>0</f>
        <v>0</v>
      </c>
      <c r="L25" s="5">
        <f>0</f>
        <v>0</v>
      </c>
      <c r="M25" s="5">
        <f>0</f>
        <v>0</v>
      </c>
      <c r="N25" s="5">
        <f>0</f>
        <v>0</v>
      </c>
      <c r="O25" s="5">
        <f>SUM(C25:N25)</f>
        <v>0</v>
      </c>
      <c r="Q25" s="26">
        <v>2030</v>
      </c>
      <c r="R25" s="29">
        <v>0.06</v>
      </c>
      <c r="U25" s="17" t="s">
        <v>52</v>
      </c>
      <c r="V25" s="31">
        <f>IRR($D$8:O$8)</f>
        <v>0.34277750201926716</v>
      </c>
      <c r="X25" s="48"/>
      <c r="Y25" s="48"/>
      <c r="Z25" s="48"/>
      <c r="AA25" s="48"/>
      <c r="AB25" s="48"/>
      <c r="AC25" s="48"/>
      <c r="AD25" s="48"/>
      <c r="AE25" s="48"/>
      <c r="AF25" s="48"/>
      <c r="AG25" s="48"/>
    </row>
    <row r="26" spans="2:33" x14ac:dyDescent="0.3">
      <c r="B26" s="17" t="s">
        <v>10</v>
      </c>
      <c r="C26" s="18">
        <f t="shared" ref="C26:N26" si="8">C25+C24</f>
        <v>-176000</v>
      </c>
      <c r="D26" s="18">
        <f t="shared" si="8"/>
        <v>-397000</v>
      </c>
      <c r="E26" s="18">
        <f t="shared" si="8"/>
        <v>-176000</v>
      </c>
      <c r="F26" s="18">
        <f t="shared" si="8"/>
        <v>-176000</v>
      </c>
      <c r="G26" s="18">
        <f t="shared" si="8"/>
        <v>-176000</v>
      </c>
      <c r="H26" s="18">
        <f t="shared" si="8"/>
        <v>-176000</v>
      </c>
      <c r="I26" s="18">
        <f t="shared" si="8"/>
        <v>-176000</v>
      </c>
      <c r="J26" s="18">
        <f t="shared" si="8"/>
        <v>-423000</v>
      </c>
      <c r="K26" s="18">
        <f t="shared" si="8"/>
        <v>-176000</v>
      </c>
      <c r="L26" s="18">
        <f t="shared" si="8"/>
        <v>-176000</v>
      </c>
      <c r="M26" s="18">
        <f t="shared" si="8"/>
        <v>-176000</v>
      </c>
      <c r="N26" s="18">
        <f t="shared" si="8"/>
        <v>-176000</v>
      </c>
      <c r="O26" s="19"/>
      <c r="Q26" s="26">
        <v>2031</v>
      </c>
      <c r="R26" s="29">
        <v>0.06</v>
      </c>
      <c r="U26" s="17" t="s">
        <v>53</v>
      </c>
      <c r="V26" s="31">
        <f>IRR($D$8:P$8)</f>
        <v>0.35346780916346887</v>
      </c>
      <c r="W26" s="44"/>
      <c r="X26" s="48"/>
      <c r="Y26" s="48"/>
      <c r="Z26" s="48"/>
      <c r="AA26" s="48"/>
      <c r="AB26" s="48"/>
      <c r="AC26" s="48"/>
      <c r="AD26" s="48"/>
      <c r="AE26" s="48"/>
      <c r="AF26" s="48"/>
      <c r="AG26" s="48"/>
    </row>
    <row r="27" spans="2:33" x14ac:dyDescent="0.3">
      <c r="Q27" s="26">
        <v>2032</v>
      </c>
      <c r="R27" s="29">
        <v>0.06</v>
      </c>
      <c r="U27" s="17" t="s">
        <v>54</v>
      </c>
      <c r="V27" s="31">
        <f>IRR($D$8:Q$8)</f>
        <v>0.36065666928599338</v>
      </c>
      <c r="W27" s="45"/>
      <c r="X27" s="48"/>
      <c r="Y27" s="48"/>
      <c r="Z27" s="48"/>
      <c r="AA27" s="48"/>
      <c r="AB27" s="48"/>
      <c r="AC27" s="48"/>
      <c r="AD27" s="48"/>
      <c r="AE27" s="48"/>
      <c r="AF27" s="48"/>
      <c r="AG27" s="48"/>
    </row>
    <row r="28" spans="2:33" x14ac:dyDescent="0.3">
      <c r="B28" s="15" t="s">
        <v>55</v>
      </c>
      <c r="C28" s="15" t="s">
        <v>15</v>
      </c>
      <c r="D28" s="15" t="s">
        <v>16</v>
      </c>
      <c r="E28" s="15" t="s">
        <v>17</v>
      </c>
      <c r="F28" s="15" t="s">
        <v>18</v>
      </c>
      <c r="G28" s="15" t="s">
        <v>19</v>
      </c>
      <c r="H28" s="15" t="s">
        <v>20</v>
      </c>
      <c r="I28" s="15" t="s">
        <v>21</v>
      </c>
      <c r="J28" s="15" t="s">
        <v>22</v>
      </c>
      <c r="K28" s="15" t="s">
        <v>23</v>
      </c>
      <c r="L28" s="15" t="s">
        <v>24</v>
      </c>
      <c r="M28" s="15" t="s">
        <v>25</v>
      </c>
      <c r="N28" s="15" t="s">
        <v>26</v>
      </c>
      <c r="O28" s="15" t="s">
        <v>27</v>
      </c>
      <c r="Q28" s="26">
        <v>2033</v>
      </c>
      <c r="R28" s="29">
        <v>0.06</v>
      </c>
      <c r="U28" s="17" t="s">
        <v>56</v>
      </c>
      <c r="V28" s="31">
        <f>IRR($D$8:R$8)</f>
        <v>0.36557674756141201</v>
      </c>
      <c r="W28" s="35"/>
      <c r="X28" s="48"/>
      <c r="Y28" s="48"/>
      <c r="Z28" s="48"/>
      <c r="AA28" s="48"/>
      <c r="AB28" s="48"/>
      <c r="AC28" s="48"/>
      <c r="AD28" s="48"/>
      <c r="AE28" s="48"/>
      <c r="AF28" s="48"/>
      <c r="AG28" s="48"/>
    </row>
    <row r="29" spans="2:33" x14ac:dyDescent="0.3">
      <c r="B29" s="15" t="s">
        <v>6</v>
      </c>
      <c r="C29" s="16">
        <f xml:space="preserve"> -(S44)</f>
        <v>-176000</v>
      </c>
      <c r="D29" s="16">
        <f xml:space="preserve"> -(Q40+T36)</f>
        <v>-367000</v>
      </c>
      <c r="E29" s="16">
        <f xml:space="preserve"> -(S44)</f>
        <v>-176000</v>
      </c>
      <c r="F29" s="16">
        <f xml:space="preserve"> -(S44)</f>
        <v>-176000</v>
      </c>
      <c r="G29" s="16">
        <f xml:space="preserve"> -(S44)</f>
        <v>-176000</v>
      </c>
      <c r="H29" s="16">
        <f xml:space="preserve"> -(S44)</f>
        <v>-176000</v>
      </c>
      <c r="I29" s="16">
        <f xml:space="preserve"> -(S44)</f>
        <v>-176000</v>
      </c>
      <c r="J29" s="16">
        <f xml:space="preserve"> -(Q41+T36)</f>
        <v>-390700</v>
      </c>
      <c r="K29" s="16">
        <f xml:space="preserve"> -(S44)</f>
        <v>-176000</v>
      </c>
      <c r="L29" s="16">
        <f xml:space="preserve"> -(S44)</f>
        <v>-176000</v>
      </c>
      <c r="M29" s="16">
        <f xml:space="preserve"> -(S44)</f>
        <v>-176000</v>
      </c>
      <c r="N29" s="16">
        <f xml:space="preserve"> -(S44)</f>
        <v>-176000</v>
      </c>
      <c r="O29" s="79">
        <f>SUM(C29:N29)</f>
        <v>-2517700</v>
      </c>
      <c r="Q29" s="26">
        <v>2034</v>
      </c>
      <c r="R29" s="29">
        <v>0.06</v>
      </c>
      <c r="U29" s="17" t="s">
        <v>57</v>
      </c>
      <c r="V29" s="31">
        <f>IRR($D$8:S$8)</f>
        <v>0.36898925210816524</v>
      </c>
      <c r="X29" s="48"/>
      <c r="Y29" s="48"/>
      <c r="Z29" s="48"/>
      <c r="AA29" s="48"/>
      <c r="AB29" s="48"/>
      <c r="AC29" s="48"/>
      <c r="AD29" s="48"/>
      <c r="AE29" s="48"/>
      <c r="AF29" s="48"/>
      <c r="AG29" s="48"/>
    </row>
    <row r="30" spans="2:33" x14ac:dyDescent="0.3">
      <c r="B30" s="15" t="s">
        <v>8</v>
      </c>
      <c r="C30" s="5">
        <f>0</f>
        <v>0</v>
      </c>
      <c r="D30" s="5">
        <f>0</f>
        <v>0</v>
      </c>
      <c r="E30" s="5">
        <f>0</f>
        <v>0</v>
      </c>
      <c r="F30" s="5">
        <f>0</f>
        <v>0</v>
      </c>
      <c r="G30" s="5">
        <f>0</f>
        <v>0</v>
      </c>
      <c r="H30" s="5">
        <f>0</f>
        <v>0</v>
      </c>
      <c r="I30" s="5">
        <f>0</f>
        <v>0</v>
      </c>
      <c r="J30" s="5">
        <f>0</f>
        <v>0</v>
      </c>
      <c r="K30" s="5">
        <f>0</f>
        <v>0</v>
      </c>
      <c r="L30" s="5">
        <f>0</f>
        <v>0</v>
      </c>
      <c r="M30" s="5">
        <f>0</f>
        <v>0</v>
      </c>
      <c r="N30" s="5">
        <f>0</f>
        <v>0</v>
      </c>
      <c r="O30" s="5">
        <f>SUM(C30:N30)</f>
        <v>0</v>
      </c>
      <c r="Q30" s="26">
        <v>2035</v>
      </c>
      <c r="R30" s="29">
        <v>0.06</v>
      </c>
      <c r="X30" s="48"/>
      <c r="Y30" s="48"/>
      <c r="Z30" s="48"/>
      <c r="AA30" s="48"/>
      <c r="AB30" s="48"/>
      <c r="AC30" s="48"/>
      <c r="AD30" s="48"/>
      <c r="AE30" s="48"/>
      <c r="AF30" s="48"/>
      <c r="AG30" s="48"/>
    </row>
    <row r="31" spans="2:33" x14ac:dyDescent="0.3">
      <c r="B31" s="17" t="s">
        <v>10</v>
      </c>
      <c r="C31" s="18">
        <f t="shared" ref="C31:N31" si="9">C30+C29</f>
        <v>-176000</v>
      </c>
      <c r="D31" s="18">
        <f t="shared" si="9"/>
        <v>-367000</v>
      </c>
      <c r="E31" s="18">
        <f t="shared" si="9"/>
        <v>-176000</v>
      </c>
      <c r="F31" s="18">
        <f t="shared" si="9"/>
        <v>-176000</v>
      </c>
      <c r="G31" s="18">
        <f t="shared" si="9"/>
        <v>-176000</v>
      </c>
      <c r="H31" s="18">
        <f t="shared" si="9"/>
        <v>-176000</v>
      </c>
      <c r="I31" s="18">
        <f t="shared" si="9"/>
        <v>-176000</v>
      </c>
      <c r="J31" s="18">
        <f t="shared" si="9"/>
        <v>-390700</v>
      </c>
      <c r="K31" s="18">
        <f t="shared" si="9"/>
        <v>-176000</v>
      </c>
      <c r="L31" s="18">
        <f t="shared" si="9"/>
        <v>-176000</v>
      </c>
      <c r="M31" s="18">
        <f t="shared" si="9"/>
        <v>-176000</v>
      </c>
      <c r="N31" s="18">
        <f t="shared" si="9"/>
        <v>-176000</v>
      </c>
      <c r="O31" s="19"/>
      <c r="Q31" s="26">
        <v>2036</v>
      </c>
      <c r="R31" s="29">
        <v>0.06</v>
      </c>
    </row>
    <row r="32" spans="2:33" x14ac:dyDescent="0.3">
      <c r="Q32" s="37"/>
    </row>
    <row r="33" spans="2:43" x14ac:dyDescent="0.3">
      <c r="B33" s="15" t="s">
        <v>58</v>
      </c>
      <c r="C33" s="15" t="s">
        <v>15</v>
      </c>
      <c r="D33" s="15" t="s">
        <v>16</v>
      </c>
      <c r="E33" s="15" t="s">
        <v>17</v>
      </c>
      <c r="F33" s="15" t="s">
        <v>18</v>
      </c>
      <c r="G33" s="15" t="s">
        <v>19</v>
      </c>
      <c r="H33" s="15" t="s">
        <v>20</v>
      </c>
      <c r="I33" s="15" t="s">
        <v>21</v>
      </c>
      <c r="J33" s="15" t="s">
        <v>22</v>
      </c>
      <c r="K33" s="15" t="s">
        <v>23</v>
      </c>
      <c r="L33" s="15" t="s">
        <v>24</v>
      </c>
      <c r="M33" s="15" t="s">
        <v>25</v>
      </c>
      <c r="N33" s="15" t="s">
        <v>26</v>
      </c>
      <c r="O33" s="15" t="s">
        <v>27</v>
      </c>
      <c r="Q33" s="46" t="s">
        <v>59</v>
      </c>
      <c r="S33" s="46" t="s">
        <v>60</v>
      </c>
      <c r="T33" s="46" t="s">
        <v>61</v>
      </c>
    </row>
    <row r="34" spans="2:43" x14ac:dyDescent="0.3">
      <c r="B34" s="15" t="s">
        <v>6</v>
      </c>
      <c r="C34" s="16">
        <f xml:space="preserve"> -(T36)</f>
        <v>-120000</v>
      </c>
      <c r="D34" s="16">
        <f xml:space="preserve"> -(Q42+T36)</f>
        <v>-390700</v>
      </c>
      <c r="E34" s="16">
        <f xml:space="preserve"> -(T36)</f>
        <v>-120000</v>
      </c>
      <c r="F34" s="16">
        <f xml:space="preserve"> -(T36)</f>
        <v>-120000</v>
      </c>
      <c r="G34" s="16">
        <f xml:space="preserve"> -(T36)</f>
        <v>-120000</v>
      </c>
      <c r="H34" s="16">
        <f xml:space="preserve"> -(T36)</f>
        <v>-120000</v>
      </c>
      <c r="I34" s="16">
        <f xml:space="preserve"> -(T36)</f>
        <v>-120000</v>
      </c>
      <c r="J34" s="16">
        <f xml:space="preserve"> -(Q43+T36)</f>
        <v>-420000</v>
      </c>
      <c r="K34" s="16">
        <f xml:space="preserve"> -(T36)</f>
        <v>-120000</v>
      </c>
      <c r="L34" s="16">
        <f xml:space="preserve"> -(T36)</f>
        <v>-120000</v>
      </c>
      <c r="M34" s="16">
        <f xml:space="preserve"> -(T36)</f>
        <v>-120000</v>
      </c>
      <c r="N34" s="16">
        <f xml:space="preserve"> -(T36)</f>
        <v>-120000</v>
      </c>
      <c r="O34" s="79">
        <f>SUM(C34:N34)</f>
        <v>-2010700</v>
      </c>
      <c r="Q34" s="49">
        <v>173000</v>
      </c>
      <c r="S34" s="49">
        <v>8000</v>
      </c>
      <c r="T34" s="49">
        <v>30000</v>
      </c>
    </row>
    <row r="35" spans="2:43" ht="15" thickBot="1" x14ac:dyDescent="0.35">
      <c r="B35" s="15" t="s">
        <v>8</v>
      </c>
      <c r="C35" s="5">
        <f>0</f>
        <v>0</v>
      </c>
      <c r="D35" s="5">
        <f>0</f>
        <v>0</v>
      </c>
      <c r="E35" s="5">
        <f>0</f>
        <v>0</v>
      </c>
      <c r="F35" s="5">
        <f>0</f>
        <v>0</v>
      </c>
      <c r="G35" s="5">
        <f>0</f>
        <v>0</v>
      </c>
      <c r="H35" s="5">
        <f>0</f>
        <v>0</v>
      </c>
      <c r="I35" s="5">
        <f>0</f>
        <v>0</v>
      </c>
      <c r="J35" s="5">
        <f>0</f>
        <v>0</v>
      </c>
      <c r="K35" s="5">
        <f>0</f>
        <v>0</v>
      </c>
      <c r="L35" s="5">
        <f>0</f>
        <v>0</v>
      </c>
      <c r="M35" s="5">
        <f>0</f>
        <v>0</v>
      </c>
      <c r="N35" s="5">
        <f>0</f>
        <v>0</v>
      </c>
      <c r="O35" s="5">
        <f>SUM(C35:N35)</f>
        <v>0</v>
      </c>
      <c r="Q35" s="49">
        <v>173000</v>
      </c>
      <c r="S35" s="49">
        <v>4000</v>
      </c>
      <c r="T35" s="49">
        <v>4</v>
      </c>
    </row>
    <row r="36" spans="2:43" ht="15" thickBot="1" x14ac:dyDescent="0.35">
      <c r="B36" s="17" t="s">
        <v>10</v>
      </c>
      <c r="C36" s="18">
        <f t="shared" ref="C36:N36" si="10">C35+C34</f>
        <v>-120000</v>
      </c>
      <c r="D36" s="18">
        <f t="shared" si="10"/>
        <v>-390700</v>
      </c>
      <c r="E36" s="18">
        <f t="shared" si="10"/>
        <v>-120000</v>
      </c>
      <c r="F36" s="18">
        <f t="shared" si="10"/>
        <v>-120000</v>
      </c>
      <c r="G36" s="18">
        <f t="shared" si="10"/>
        <v>-120000</v>
      </c>
      <c r="H36" s="18">
        <f t="shared" si="10"/>
        <v>-120000</v>
      </c>
      <c r="I36" s="18">
        <f t="shared" si="10"/>
        <v>-120000</v>
      </c>
      <c r="J36" s="18">
        <f t="shared" si="10"/>
        <v>-420000</v>
      </c>
      <c r="K36" s="18">
        <f t="shared" si="10"/>
        <v>-120000</v>
      </c>
      <c r="L36" s="18">
        <f t="shared" si="10"/>
        <v>-120000</v>
      </c>
      <c r="M36" s="18">
        <f t="shared" si="10"/>
        <v>-120000</v>
      </c>
      <c r="N36" s="18">
        <f t="shared" si="10"/>
        <v>-120000</v>
      </c>
      <c r="O36" s="19"/>
      <c r="Q36" s="49">
        <v>190200</v>
      </c>
      <c r="S36" s="49">
        <v>20</v>
      </c>
      <c r="T36" s="52">
        <f>PRODUCT(T34:T35)</f>
        <v>120000</v>
      </c>
      <c r="Z36" s="8" t="s">
        <v>11</v>
      </c>
      <c r="AA36" s="9">
        <v>5.1999999999999998E-2</v>
      </c>
      <c r="AB36" s="40"/>
      <c r="AC36" s="40"/>
      <c r="AD36" s="40"/>
      <c r="AE36" s="40"/>
      <c r="AF36" s="40"/>
      <c r="AG36" s="40"/>
      <c r="AH36" s="40"/>
      <c r="AI36" s="40"/>
      <c r="AJ36" s="40"/>
      <c r="AK36" s="40"/>
      <c r="AL36" s="40"/>
      <c r="AM36" s="40"/>
      <c r="AN36" s="40"/>
      <c r="AO36" s="40"/>
      <c r="AP36" s="40"/>
      <c r="AQ36" s="41"/>
    </row>
    <row r="37" spans="2:43" x14ac:dyDescent="0.3">
      <c r="Q37" s="50">
        <v>221000</v>
      </c>
      <c r="S37" s="49">
        <v>4</v>
      </c>
      <c r="T37" t="s">
        <v>62</v>
      </c>
      <c r="Z37" s="82" t="s">
        <v>1</v>
      </c>
      <c r="AA37" s="83"/>
      <c r="AB37" s="2">
        <v>2021</v>
      </c>
      <c r="AC37" s="2">
        <v>2022</v>
      </c>
      <c r="AD37" s="2">
        <v>2023</v>
      </c>
      <c r="AE37" s="2">
        <v>2024</v>
      </c>
      <c r="AF37" s="2">
        <v>2025</v>
      </c>
      <c r="AG37" s="2">
        <v>2026</v>
      </c>
      <c r="AH37" s="2">
        <v>2027</v>
      </c>
      <c r="AI37" s="2">
        <v>2028</v>
      </c>
      <c r="AJ37" s="2">
        <v>2029</v>
      </c>
      <c r="AK37" s="2">
        <v>2030</v>
      </c>
      <c r="AL37" s="2">
        <v>2031</v>
      </c>
      <c r="AM37" s="2">
        <v>2032</v>
      </c>
      <c r="AN37" s="2">
        <v>2033</v>
      </c>
      <c r="AO37" s="2">
        <v>2034</v>
      </c>
      <c r="AP37" s="2">
        <v>2035</v>
      </c>
      <c r="AQ37" s="2">
        <v>2036</v>
      </c>
    </row>
    <row r="38" spans="2:43" x14ac:dyDescent="0.3">
      <c r="B38" s="15" t="s">
        <v>63</v>
      </c>
      <c r="C38" s="15" t="s">
        <v>15</v>
      </c>
      <c r="D38" s="15" t="s">
        <v>16</v>
      </c>
      <c r="E38" s="15" t="s">
        <v>17</v>
      </c>
      <c r="F38" s="15" t="s">
        <v>18</v>
      </c>
      <c r="G38" s="15" t="s">
        <v>19</v>
      </c>
      <c r="H38" s="15" t="s">
        <v>20</v>
      </c>
      <c r="I38" s="15" t="s">
        <v>21</v>
      </c>
      <c r="J38" s="15" t="s">
        <v>22</v>
      </c>
      <c r="K38" s="15" t="s">
        <v>23</v>
      </c>
      <c r="L38" s="15" t="s">
        <v>24</v>
      </c>
      <c r="M38" s="15" t="s">
        <v>25</v>
      </c>
      <c r="N38" s="15" t="s">
        <v>26</v>
      </c>
      <c r="O38" s="15" t="s">
        <v>27</v>
      </c>
      <c r="Q38" s="50">
        <v>221000</v>
      </c>
      <c r="S38" s="49">
        <f>S34*S36</f>
        <v>160000</v>
      </c>
      <c r="T38" s="69">
        <f>T36*12</f>
        <v>1440000</v>
      </c>
      <c r="Z38" s="84" t="s">
        <v>10</v>
      </c>
      <c r="AA38" s="85"/>
      <c r="AB38" s="39">
        <f>D8</f>
        <v>-2458000</v>
      </c>
      <c r="AC38" s="39">
        <f t="shared" ref="AC38:AQ38" si="11">E8</f>
        <v>-2523200</v>
      </c>
      <c r="AD38" s="39">
        <f t="shared" si="11"/>
        <v>-2580000</v>
      </c>
      <c r="AE38" s="39">
        <f t="shared" si="11"/>
        <v>-2517700</v>
      </c>
      <c r="AF38" s="39">
        <f t="shared" si="11"/>
        <v>-2010700</v>
      </c>
      <c r="AG38" s="39">
        <f t="shared" si="11"/>
        <v>-1760000</v>
      </c>
      <c r="AH38" s="39">
        <f t="shared" si="11"/>
        <v>14554959.454124318</v>
      </c>
      <c r="AI38" s="39">
        <f t="shared" si="11"/>
        <v>14249248.308594475</v>
      </c>
      <c r="AJ38" s="39">
        <f t="shared" si="11"/>
        <v>13860632.445632808</v>
      </c>
      <c r="AK38" s="39">
        <f t="shared" si="11"/>
        <v>13731093.824645584</v>
      </c>
      <c r="AL38" s="39">
        <f t="shared" si="11"/>
        <v>13731093.824645584</v>
      </c>
      <c r="AM38" s="39">
        <f t="shared" si="11"/>
        <v>13731093.824645584</v>
      </c>
      <c r="AN38" s="39">
        <f t="shared" si="11"/>
        <v>13731093.824645584</v>
      </c>
      <c r="AO38" s="39">
        <f t="shared" si="11"/>
        <v>13731093.824645584</v>
      </c>
      <c r="AP38" s="39">
        <f t="shared" si="11"/>
        <v>13731093.824645584</v>
      </c>
      <c r="AQ38" s="42">
        <f t="shared" si="11"/>
        <v>13731093.824645584</v>
      </c>
    </row>
    <row r="39" spans="2:43" ht="15" thickBot="1" x14ac:dyDescent="0.35">
      <c r="B39" s="15" t="s">
        <v>6</v>
      </c>
      <c r="C39" s="16">
        <f xml:space="preserve"> -(T36)</f>
        <v>-120000</v>
      </c>
      <c r="D39" s="16">
        <f xml:space="preserve"> -(Q44+T36)</f>
        <v>-440000</v>
      </c>
      <c r="E39" s="16">
        <f xml:space="preserve"> -(T36)</f>
        <v>-120000</v>
      </c>
      <c r="F39" s="16">
        <f xml:space="preserve"> -(T36)</f>
        <v>-120000</v>
      </c>
      <c r="G39" s="16">
        <f xml:space="preserve"> -(T36)</f>
        <v>-120000</v>
      </c>
      <c r="H39" s="16">
        <f xml:space="preserve"> -(T36)</f>
        <v>-120000</v>
      </c>
      <c r="I39" s="16">
        <f xml:space="preserve"> -(T36)</f>
        <v>-120000</v>
      </c>
      <c r="J39" s="16">
        <f xml:space="preserve"> -(T36)</f>
        <v>-120000</v>
      </c>
      <c r="K39" s="16">
        <f xml:space="preserve"> -(T36)</f>
        <v>-120000</v>
      </c>
      <c r="L39" s="16">
        <f xml:space="preserve"> -(T36)</f>
        <v>-120000</v>
      </c>
      <c r="M39" s="16">
        <f xml:space="preserve"> -(T36)</f>
        <v>-120000</v>
      </c>
      <c r="N39" s="16">
        <f xml:space="preserve"> -(T36)</f>
        <v>-120000</v>
      </c>
      <c r="O39" s="79">
        <f>SUM(C39:N39)</f>
        <v>-1760000</v>
      </c>
      <c r="Q39" s="50">
        <v>247000</v>
      </c>
      <c r="S39" s="49">
        <f>S35*S37</f>
        <v>16000</v>
      </c>
      <c r="Z39" s="86" t="s">
        <v>13</v>
      </c>
      <c r="AA39" s="87"/>
      <c r="AB39" s="43">
        <f>NPV(AA36,AB38)</f>
        <v>-2336501.9011406843</v>
      </c>
      <c r="AC39" s="43">
        <f>NPV(AA36,$AB$38:AC38)</f>
        <v>-4616424.9880726915</v>
      </c>
      <c r="AD39" s="43">
        <f>NPV($AA$36,$AB$38:AD38)</f>
        <v>-6832438.9203343745</v>
      </c>
      <c r="AE39" s="43">
        <f>NPV($AA$36,$AB$38:AE38)</f>
        <v>-8888050.3350097202</v>
      </c>
      <c r="AF39" s="43">
        <f>NPV($AA$36,$AB$38:AF38)</f>
        <v>-10448567.603353541</v>
      </c>
      <c r="AG39" s="43">
        <f>NPV($AA$36,$AB$38:AG38)</f>
        <v>-11746996.669581695</v>
      </c>
      <c r="AH39" s="43">
        <f>NPV($AA$36,$AB$38:AH38)</f>
        <v>-1539933.0607590675</v>
      </c>
      <c r="AI39" s="43">
        <f>NPV($AA$36,$AB$38:AI38)</f>
        <v>7958807.7209292809</v>
      </c>
      <c r="AJ39" s="43">
        <f>NPV($AA$36,$AB$38:AJ38)</f>
        <v>16741777.506970184</v>
      </c>
      <c r="AK39" s="43">
        <f>NPV($AA$36,$AB$38:AK38)</f>
        <v>25012581.647906322</v>
      </c>
      <c r="AL39" s="43">
        <f>NPV($AA$36,$AB$38:AL38)</f>
        <v>32874562.770469192</v>
      </c>
      <c r="AM39" s="43">
        <f>NPV($AA$36,$AB$38:AM38)</f>
        <v>40347928.856555566</v>
      </c>
      <c r="AN39" s="43">
        <f>NPV($AA$36,$AB$38:AN38)</f>
        <v>47451889.014432356</v>
      </c>
      <c r="AO39" s="43">
        <f>NPV($AA$36,$AB$38:AO38)</f>
        <v>54204702.852718271</v>
      </c>
      <c r="AP39" s="43">
        <f>NPV($AA$36,$AB$38:AP38)</f>
        <v>60623727.413826562</v>
      </c>
      <c r="AQ39" s="43">
        <f>NPV($AA$36,$AB$38:AQ38)</f>
        <v>66725461.787503637</v>
      </c>
    </row>
    <row r="40" spans="2:43" x14ac:dyDescent="0.3">
      <c r="B40" s="15" t="s">
        <v>8</v>
      </c>
      <c r="C40" s="5">
        <f>0</f>
        <v>0</v>
      </c>
      <c r="D40" s="5">
        <f>0</f>
        <v>0</v>
      </c>
      <c r="E40" s="5">
        <f>0</f>
        <v>0</v>
      </c>
      <c r="F40" s="5">
        <f>0</f>
        <v>0</v>
      </c>
      <c r="G40" s="5">
        <f>0</f>
        <v>0</v>
      </c>
      <c r="H40" s="5">
        <f>0</f>
        <v>0</v>
      </c>
      <c r="I40" s="5">
        <f>0</f>
        <v>0</v>
      </c>
      <c r="J40" s="5">
        <f>0</f>
        <v>0</v>
      </c>
      <c r="K40" s="5">
        <f>0</f>
        <v>0</v>
      </c>
      <c r="L40" s="5">
        <f>0</f>
        <v>0</v>
      </c>
      <c r="M40" s="5">
        <f>0</f>
        <v>0</v>
      </c>
      <c r="N40" s="5">
        <f>0</f>
        <v>0</v>
      </c>
      <c r="O40" s="5">
        <f>SUM(C40:N40)</f>
        <v>0</v>
      </c>
      <c r="Q40" s="50">
        <v>247000</v>
      </c>
      <c r="S40" s="52">
        <f>SUM(S38:S39)*12</f>
        <v>2112000</v>
      </c>
    </row>
    <row r="41" spans="2:43" x14ac:dyDescent="0.3">
      <c r="B41" s="17" t="s">
        <v>10</v>
      </c>
      <c r="C41" s="18">
        <f t="shared" ref="C41:N41" si="12">C40+C39</f>
        <v>-120000</v>
      </c>
      <c r="D41" s="18">
        <f t="shared" si="12"/>
        <v>-440000</v>
      </c>
      <c r="E41" s="18">
        <f t="shared" si="12"/>
        <v>-120000</v>
      </c>
      <c r="F41" s="18">
        <f t="shared" si="12"/>
        <v>-120000</v>
      </c>
      <c r="G41" s="18">
        <f t="shared" si="12"/>
        <v>-120000</v>
      </c>
      <c r="H41" s="18">
        <f t="shared" si="12"/>
        <v>-120000</v>
      </c>
      <c r="I41" s="18">
        <f t="shared" si="12"/>
        <v>-120000</v>
      </c>
      <c r="J41" s="18">
        <f t="shared" si="12"/>
        <v>-120000</v>
      </c>
      <c r="K41" s="18">
        <f t="shared" si="12"/>
        <v>-120000</v>
      </c>
      <c r="L41" s="18">
        <f t="shared" si="12"/>
        <v>-120000</v>
      </c>
      <c r="M41" s="18">
        <f t="shared" si="12"/>
        <v>-120000</v>
      </c>
      <c r="N41" s="18">
        <f t="shared" si="12"/>
        <v>-120000</v>
      </c>
      <c r="O41" s="19"/>
      <c r="Q41" s="50">
        <v>270700</v>
      </c>
      <c r="S41" s="52"/>
    </row>
    <row r="42" spans="2:43" x14ac:dyDescent="0.3">
      <c r="Q42" s="50">
        <v>270700</v>
      </c>
      <c r="S42" s="49"/>
    </row>
    <row r="43" spans="2:43" x14ac:dyDescent="0.3">
      <c r="B43" s="15" t="s">
        <v>64</v>
      </c>
      <c r="C43" s="15" t="s">
        <v>15</v>
      </c>
      <c r="D43" s="15" t="s">
        <v>16</v>
      </c>
      <c r="E43" s="15" t="s">
        <v>17</v>
      </c>
      <c r="F43" s="15" t="s">
        <v>18</v>
      </c>
      <c r="G43" s="15" t="s">
        <v>19</v>
      </c>
      <c r="H43" s="15" t="s">
        <v>20</v>
      </c>
      <c r="I43" s="15" t="s">
        <v>21</v>
      </c>
      <c r="J43" s="15" t="s">
        <v>22</v>
      </c>
      <c r="K43" s="15" t="s">
        <v>23</v>
      </c>
      <c r="L43" s="15" t="s">
        <v>24</v>
      </c>
      <c r="M43" s="15" t="s">
        <v>25</v>
      </c>
      <c r="N43" s="15" t="s">
        <v>26</v>
      </c>
      <c r="O43" s="15" t="s">
        <v>27</v>
      </c>
      <c r="Q43" s="50">
        <v>300000</v>
      </c>
      <c r="S43" s="46" t="s">
        <v>65</v>
      </c>
    </row>
    <row r="44" spans="2:43" x14ac:dyDescent="0.3">
      <c r="B44" s="15" t="s">
        <v>6</v>
      </c>
      <c r="C44" s="16">
        <f xml:space="preserve"> -(T36+R18)</f>
        <v>-220511.49177314597</v>
      </c>
      <c r="D44" s="16">
        <f xml:space="preserve"> -(T36+R18)</f>
        <v>-220511.49177314597</v>
      </c>
      <c r="E44" s="16">
        <f xml:space="preserve"> -(T36+R18)</f>
        <v>-220511.49177314597</v>
      </c>
      <c r="F44" s="16">
        <f xml:space="preserve"> -(T36+R18)</f>
        <v>-220511.49177314597</v>
      </c>
      <c r="G44" s="16">
        <f xml:space="preserve"> -(T36+R18)</f>
        <v>-220511.49177314597</v>
      </c>
      <c r="H44" s="16">
        <f xml:space="preserve"> -(T36+R18)</f>
        <v>-220511.49177314597</v>
      </c>
      <c r="I44" s="16">
        <f xml:space="preserve"> -(T36+R18)</f>
        <v>-220511.49177314597</v>
      </c>
      <c r="J44" s="16">
        <f xml:space="preserve"> -(T36+R18)</f>
        <v>-220511.49177314597</v>
      </c>
      <c r="K44" s="16">
        <f xml:space="preserve"> -(T36+R18)</f>
        <v>-220511.49177314597</v>
      </c>
      <c r="L44" s="16">
        <f xml:space="preserve"> -(T36+R18)</f>
        <v>-220511.49177314597</v>
      </c>
      <c r="M44" s="16">
        <f xml:space="preserve"> -(T36+R18)</f>
        <v>-220511.49177314597</v>
      </c>
      <c r="N44" s="16">
        <f xml:space="preserve"> -(T36+R18)</f>
        <v>-220511.49177314597</v>
      </c>
      <c r="O44" s="79">
        <f>SUM(C44:N44)</f>
        <v>-2646137.9012777517</v>
      </c>
      <c r="Q44" s="50">
        <v>320000</v>
      </c>
      <c r="S44" s="52">
        <f>SUM(S38:S39)</f>
        <v>176000</v>
      </c>
    </row>
    <row r="45" spans="2:43" x14ac:dyDescent="0.3">
      <c r="B45" s="15" t="s">
        <v>8</v>
      </c>
      <c r="C45" s="5">
        <f t="shared" ref="C45:N45" si="13">$AA$9-$AE$9</f>
        <v>1300000</v>
      </c>
      <c r="D45" s="5">
        <f t="shared" si="13"/>
        <v>1300000</v>
      </c>
      <c r="E45" s="5">
        <f t="shared" si="13"/>
        <v>1300000</v>
      </c>
      <c r="F45" s="5">
        <f t="shared" si="13"/>
        <v>1300000</v>
      </c>
      <c r="G45" s="5">
        <f t="shared" si="13"/>
        <v>1300000</v>
      </c>
      <c r="H45" s="5">
        <f t="shared" si="13"/>
        <v>1300000</v>
      </c>
      <c r="I45" s="5">
        <f t="shared" si="13"/>
        <v>1300000</v>
      </c>
      <c r="J45" s="5">
        <f t="shared" si="13"/>
        <v>1300000</v>
      </c>
      <c r="K45" s="5">
        <f t="shared" si="13"/>
        <v>1300000</v>
      </c>
      <c r="L45" s="5">
        <f t="shared" si="13"/>
        <v>1300000</v>
      </c>
      <c r="M45" s="5">
        <f t="shared" si="13"/>
        <v>1300000</v>
      </c>
      <c r="N45" s="5">
        <f t="shared" si="13"/>
        <v>1300000</v>
      </c>
      <c r="O45" s="5">
        <f>SUM(C45:N45)</f>
        <v>15600000</v>
      </c>
      <c r="Q45" s="51">
        <f>SUM(Q34:Q44)</f>
        <v>2633600</v>
      </c>
      <c r="S45" s="49"/>
    </row>
    <row r="46" spans="2:43" x14ac:dyDescent="0.3">
      <c r="B46" s="17" t="s">
        <v>10</v>
      </c>
      <c r="C46" s="78">
        <f t="shared" ref="C46:N46" si="14">C45+C44</f>
        <v>1079488.508226854</v>
      </c>
      <c r="D46" s="78">
        <f t="shared" si="14"/>
        <v>1079488.508226854</v>
      </c>
      <c r="E46" s="78">
        <f t="shared" si="14"/>
        <v>1079488.508226854</v>
      </c>
      <c r="F46" s="78">
        <f t="shared" si="14"/>
        <v>1079488.508226854</v>
      </c>
      <c r="G46" s="78">
        <f t="shared" si="14"/>
        <v>1079488.508226854</v>
      </c>
      <c r="H46" s="78">
        <f t="shared" si="14"/>
        <v>1079488.508226854</v>
      </c>
      <c r="I46" s="78">
        <f t="shared" si="14"/>
        <v>1079488.508226854</v>
      </c>
      <c r="J46" s="78">
        <f t="shared" si="14"/>
        <v>1079488.508226854</v>
      </c>
      <c r="K46" s="78">
        <f t="shared" si="14"/>
        <v>1079488.508226854</v>
      </c>
      <c r="L46" s="78">
        <f t="shared" si="14"/>
        <v>1079488.508226854</v>
      </c>
      <c r="M46" s="78">
        <f t="shared" si="14"/>
        <v>1079488.508226854</v>
      </c>
      <c r="N46" s="78">
        <f t="shared" si="14"/>
        <v>1079488.508226854</v>
      </c>
      <c r="O46" s="19"/>
    </row>
    <row r="48" spans="2:43" x14ac:dyDescent="0.3">
      <c r="B48" s="15" t="s">
        <v>66</v>
      </c>
      <c r="C48" s="15" t="s">
        <v>15</v>
      </c>
      <c r="D48" s="15" t="s">
        <v>16</v>
      </c>
      <c r="E48" s="15" t="s">
        <v>17</v>
      </c>
      <c r="F48" s="15" t="s">
        <v>18</v>
      </c>
      <c r="G48" s="15" t="s">
        <v>19</v>
      </c>
      <c r="H48" s="15" t="s">
        <v>20</v>
      </c>
      <c r="I48" s="15" t="s">
        <v>21</v>
      </c>
      <c r="J48" s="15" t="s">
        <v>22</v>
      </c>
      <c r="K48" s="15" t="s">
        <v>23</v>
      </c>
      <c r="L48" s="15" t="s">
        <v>24</v>
      </c>
      <c r="M48" s="15" t="s">
        <v>25</v>
      </c>
      <c r="N48" s="15" t="s">
        <v>26</v>
      </c>
      <c r="O48" s="15" t="s">
        <v>27</v>
      </c>
    </row>
    <row r="49" spans="2:15" x14ac:dyDescent="0.3">
      <c r="B49" s="15" t="s">
        <v>6</v>
      </c>
      <c r="C49" s="16">
        <f xml:space="preserve"> -(T36+R18)</f>
        <v>-220511.49177314597</v>
      </c>
      <c r="D49" s="16">
        <f xml:space="preserve"> -(T36+R18)</f>
        <v>-220511.49177314597</v>
      </c>
      <c r="E49" s="16">
        <f xml:space="preserve"> -(T36+R18)</f>
        <v>-220511.49177314597</v>
      </c>
      <c r="F49" s="16">
        <f xml:space="preserve"> -(T36+R18)</f>
        <v>-220511.49177314597</v>
      </c>
      <c r="G49" s="16">
        <f xml:space="preserve"> -(T36+R18)</f>
        <v>-220511.49177314597</v>
      </c>
      <c r="H49" s="16">
        <f xml:space="preserve"> -(T36+R18)</f>
        <v>-220511.49177314597</v>
      </c>
      <c r="I49" s="16">
        <f xml:space="preserve"> -(T36+R18)</f>
        <v>-220511.49177314597</v>
      </c>
      <c r="J49" s="16">
        <f xml:space="preserve"> -(T36+R18)</f>
        <v>-220511.49177314597</v>
      </c>
      <c r="K49" s="16">
        <f xml:space="preserve"> -(T36+R18)</f>
        <v>-220511.49177314597</v>
      </c>
      <c r="L49" s="16">
        <f xml:space="preserve"> -(T36+R18)</f>
        <v>-220511.49177314597</v>
      </c>
      <c r="M49" s="16">
        <f xml:space="preserve"> -(T36+R18)</f>
        <v>-220511.49177314597</v>
      </c>
      <c r="N49" s="16">
        <f xml:space="preserve"> -(T36+R18)</f>
        <v>-220511.49177314597</v>
      </c>
      <c r="O49" s="79">
        <f>SUM(C49:N49)</f>
        <v>-2646137.9012777517</v>
      </c>
    </row>
    <row r="50" spans="2:15" x14ac:dyDescent="0.3">
      <c r="B50" s="15" t="s">
        <v>8</v>
      </c>
      <c r="C50" s="5">
        <f t="shared" ref="C50:N50" si="15">$AA$9-$AE$9</f>
        <v>1300000</v>
      </c>
      <c r="D50" s="5">
        <f t="shared" si="15"/>
        <v>1300000</v>
      </c>
      <c r="E50" s="5">
        <f t="shared" si="15"/>
        <v>1300000</v>
      </c>
      <c r="F50" s="5">
        <f t="shared" si="15"/>
        <v>1300000</v>
      </c>
      <c r="G50" s="5">
        <f t="shared" si="15"/>
        <v>1300000</v>
      </c>
      <c r="H50" s="5">
        <f t="shared" si="15"/>
        <v>1300000</v>
      </c>
      <c r="I50" s="5">
        <f t="shared" si="15"/>
        <v>1300000</v>
      </c>
      <c r="J50" s="5">
        <f t="shared" si="15"/>
        <v>1300000</v>
      </c>
      <c r="K50" s="5">
        <f t="shared" si="15"/>
        <v>1300000</v>
      </c>
      <c r="L50" s="5">
        <f t="shared" si="15"/>
        <v>1300000</v>
      </c>
      <c r="M50" s="5">
        <f t="shared" si="15"/>
        <v>1300000</v>
      </c>
      <c r="N50" s="5">
        <f t="shared" si="15"/>
        <v>1300000</v>
      </c>
      <c r="O50" s="5">
        <f>SUM(C50:N50)</f>
        <v>15600000</v>
      </c>
    </row>
    <row r="51" spans="2:15" x14ac:dyDescent="0.3">
      <c r="B51" s="17" t="s">
        <v>10</v>
      </c>
      <c r="C51" s="78">
        <f t="shared" ref="C51:N51" si="16">C50+C49</f>
        <v>1079488.508226854</v>
      </c>
      <c r="D51" s="78">
        <f t="shared" si="16"/>
        <v>1079488.508226854</v>
      </c>
      <c r="E51" s="78">
        <f t="shared" si="16"/>
        <v>1079488.508226854</v>
      </c>
      <c r="F51" s="78">
        <f t="shared" si="16"/>
        <v>1079488.508226854</v>
      </c>
      <c r="G51" s="78">
        <f t="shared" si="16"/>
        <v>1079488.508226854</v>
      </c>
      <c r="H51" s="78">
        <f t="shared" si="16"/>
        <v>1079488.508226854</v>
      </c>
      <c r="I51" s="78">
        <f t="shared" si="16"/>
        <v>1079488.508226854</v>
      </c>
      <c r="J51" s="78">
        <f t="shared" si="16"/>
        <v>1079488.508226854</v>
      </c>
      <c r="K51" s="78">
        <f t="shared" si="16"/>
        <v>1079488.508226854</v>
      </c>
      <c r="L51" s="78">
        <f t="shared" si="16"/>
        <v>1079488.508226854</v>
      </c>
      <c r="M51" s="78">
        <f t="shared" si="16"/>
        <v>1079488.508226854</v>
      </c>
      <c r="N51" s="78">
        <f t="shared" si="16"/>
        <v>1079488.508226854</v>
      </c>
      <c r="O51" s="19"/>
    </row>
    <row r="53" spans="2:15" x14ac:dyDescent="0.3">
      <c r="B53" s="15" t="s">
        <v>67</v>
      </c>
      <c r="C53" s="15" t="s">
        <v>15</v>
      </c>
      <c r="D53" s="15" t="s">
        <v>16</v>
      </c>
      <c r="E53" s="15" t="s">
        <v>17</v>
      </c>
      <c r="F53" s="15" t="s">
        <v>18</v>
      </c>
      <c r="G53" s="15" t="s">
        <v>19</v>
      </c>
      <c r="H53" s="15" t="s">
        <v>20</v>
      </c>
      <c r="I53" s="15" t="s">
        <v>21</v>
      </c>
      <c r="J53" s="15" t="s">
        <v>22</v>
      </c>
      <c r="K53" s="15" t="s">
        <v>23</v>
      </c>
      <c r="L53" s="15" t="s">
        <v>24</v>
      </c>
      <c r="M53" s="15" t="s">
        <v>25</v>
      </c>
      <c r="N53" s="15" t="s">
        <v>26</v>
      </c>
      <c r="O53" s="15" t="s">
        <v>27</v>
      </c>
    </row>
    <row r="54" spans="2:15" x14ac:dyDescent="0.3">
      <c r="B54" s="15" t="s">
        <v>6</v>
      </c>
      <c r="C54" s="16">
        <f xml:space="preserve"> -(T36+R18)</f>
        <v>-220511.49177314597</v>
      </c>
      <c r="D54" s="16">
        <f xml:space="preserve"> -(T36+R18)</f>
        <v>-220511.49177314597</v>
      </c>
      <c r="E54" s="16">
        <f xml:space="preserve"> -(T36+R18)</f>
        <v>-220511.49177314597</v>
      </c>
      <c r="F54" s="16">
        <f xml:space="preserve"> -(T36+R18)</f>
        <v>-220511.49177314597</v>
      </c>
      <c r="G54" s="16">
        <f xml:space="preserve"> -(T36+R18)</f>
        <v>-220511.49177314597</v>
      </c>
      <c r="H54" s="16">
        <f xml:space="preserve"> -(T36+R18)</f>
        <v>-220511.49177314597</v>
      </c>
      <c r="I54" s="16">
        <f xml:space="preserve"> -(T36+R18)</f>
        <v>-220511.49177314597</v>
      </c>
      <c r="J54" s="16">
        <f xml:space="preserve"> -(T36+R18)</f>
        <v>-220511.49177314597</v>
      </c>
      <c r="K54" s="16">
        <f xml:space="preserve"> -(T36+R18)</f>
        <v>-220511.49177314597</v>
      </c>
      <c r="L54" s="16">
        <f xml:space="preserve"> -(T36+R18)</f>
        <v>-220511.49177314597</v>
      </c>
      <c r="M54" s="16">
        <f xml:space="preserve"> -(T36+R18)</f>
        <v>-220511.49177314597</v>
      </c>
      <c r="N54" s="16">
        <f xml:space="preserve"> -(T36+R18)</f>
        <v>-220511.49177314597</v>
      </c>
      <c r="O54" s="79">
        <f>SUM(C54:N54)</f>
        <v>-2646137.9012777517</v>
      </c>
    </row>
    <row r="55" spans="2:15" x14ac:dyDescent="0.3">
      <c r="B55" s="15" t="s">
        <v>8</v>
      </c>
      <c r="C55" s="5">
        <f t="shared" ref="C55:N55" si="17">$AA$9-$AE$9</f>
        <v>1300000</v>
      </c>
      <c r="D55" s="5">
        <f t="shared" si="17"/>
        <v>1300000</v>
      </c>
      <c r="E55" s="5">
        <f t="shared" si="17"/>
        <v>1300000</v>
      </c>
      <c r="F55" s="5">
        <f t="shared" si="17"/>
        <v>1300000</v>
      </c>
      <c r="G55" s="5">
        <f t="shared" si="17"/>
        <v>1300000</v>
      </c>
      <c r="H55" s="5">
        <f t="shared" si="17"/>
        <v>1300000</v>
      </c>
      <c r="I55" s="5">
        <f t="shared" si="17"/>
        <v>1300000</v>
      </c>
      <c r="J55" s="5">
        <f t="shared" si="17"/>
        <v>1300000</v>
      </c>
      <c r="K55" s="5">
        <f t="shared" si="17"/>
        <v>1300000</v>
      </c>
      <c r="L55" s="5">
        <f t="shared" si="17"/>
        <v>1300000</v>
      </c>
      <c r="M55" s="5">
        <f t="shared" si="17"/>
        <v>1300000</v>
      </c>
      <c r="N55" s="5">
        <f t="shared" si="17"/>
        <v>1300000</v>
      </c>
      <c r="O55" s="5">
        <f>SUM(C55:N55)</f>
        <v>15600000</v>
      </c>
    </row>
    <row r="56" spans="2:15" x14ac:dyDescent="0.3">
      <c r="B56" s="17" t="s">
        <v>10</v>
      </c>
      <c r="C56" s="78">
        <f t="shared" ref="C56:N56" si="18">C55+C54</f>
        <v>1079488.508226854</v>
      </c>
      <c r="D56" s="78">
        <f t="shared" si="18"/>
        <v>1079488.508226854</v>
      </c>
      <c r="E56" s="78">
        <f t="shared" si="18"/>
        <v>1079488.508226854</v>
      </c>
      <c r="F56" s="78">
        <f t="shared" si="18"/>
        <v>1079488.508226854</v>
      </c>
      <c r="G56" s="78">
        <f t="shared" si="18"/>
        <v>1079488.508226854</v>
      </c>
      <c r="H56" s="78">
        <f t="shared" si="18"/>
        <v>1079488.508226854</v>
      </c>
      <c r="I56" s="78">
        <f t="shared" si="18"/>
        <v>1079488.508226854</v>
      </c>
      <c r="J56" s="78">
        <f t="shared" si="18"/>
        <v>1079488.508226854</v>
      </c>
      <c r="K56" s="78">
        <f t="shared" si="18"/>
        <v>1079488.508226854</v>
      </c>
      <c r="L56" s="78">
        <f t="shared" si="18"/>
        <v>1079488.508226854</v>
      </c>
      <c r="M56" s="78">
        <f t="shared" si="18"/>
        <v>1079488.508226854</v>
      </c>
      <c r="N56" s="78">
        <f t="shared" si="18"/>
        <v>1079488.508226854</v>
      </c>
      <c r="O56" s="19"/>
    </row>
    <row r="58" spans="2:15" x14ac:dyDescent="0.3">
      <c r="B58" s="15" t="s">
        <v>68</v>
      </c>
      <c r="C58" s="15" t="s">
        <v>15</v>
      </c>
      <c r="D58" s="15" t="s">
        <v>16</v>
      </c>
      <c r="E58" s="15" t="s">
        <v>17</v>
      </c>
      <c r="F58" s="15" t="s">
        <v>18</v>
      </c>
      <c r="G58" s="15" t="s">
        <v>19</v>
      </c>
      <c r="H58" s="15" t="s">
        <v>20</v>
      </c>
      <c r="I58" s="15" t="s">
        <v>21</v>
      </c>
      <c r="J58" s="15" t="s">
        <v>22</v>
      </c>
      <c r="K58" s="15" t="s">
        <v>23</v>
      </c>
      <c r="L58" s="15" t="s">
        <v>24</v>
      </c>
      <c r="M58" s="15" t="s">
        <v>25</v>
      </c>
      <c r="N58" s="15" t="s">
        <v>26</v>
      </c>
      <c r="O58" s="15" t="s">
        <v>27</v>
      </c>
    </row>
    <row r="59" spans="2:15" x14ac:dyDescent="0.3">
      <c r="B59" s="15" t="s">
        <v>6</v>
      </c>
      <c r="C59" s="16">
        <f xml:space="preserve"> -(T36+R18)</f>
        <v>-220511.49177314597</v>
      </c>
      <c r="D59" s="16">
        <f xml:space="preserve"> -(T36+R18)</f>
        <v>-220511.49177314597</v>
      </c>
      <c r="E59" s="16">
        <f xml:space="preserve"> -(T36+R18)</f>
        <v>-220511.49177314597</v>
      </c>
      <c r="F59" s="16">
        <f xml:space="preserve"> -(T36+R18)</f>
        <v>-220511.49177314597</v>
      </c>
      <c r="G59" s="16">
        <f xml:space="preserve"> -(T36+R18)</f>
        <v>-220511.49177314597</v>
      </c>
      <c r="H59" s="16">
        <f xml:space="preserve"> -(T36+R18)</f>
        <v>-220511.49177314597</v>
      </c>
      <c r="I59" s="16">
        <f xml:space="preserve"> -(T36+R18)</f>
        <v>-220511.49177314597</v>
      </c>
      <c r="J59" s="16">
        <f xml:space="preserve"> -(T36+R18)</f>
        <v>-220511.49177314597</v>
      </c>
      <c r="K59" s="16">
        <f xml:space="preserve"> -(T36+R18)</f>
        <v>-220511.49177314597</v>
      </c>
      <c r="L59" s="16">
        <f xml:space="preserve"> -(T36+R18)</f>
        <v>-220511.49177314597</v>
      </c>
      <c r="M59" s="16">
        <f xml:space="preserve"> -(T36+R18)</f>
        <v>-220511.49177314597</v>
      </c>
      <c r="N59" s="16">
        <f xml:space="preserve"> -(T36+R18)</f>
        <v>-220511.49177314597</v>
      </c>
      <c r="O59" s="79">
        <f>SUM(C59:N59)</f>
        <v>-2646137.9012777517</v>
      </c>
    </row>
    <row r="60" spans="2:15" x14ac:dyDescent="0.3">
      <c r="B60" s="15" t="s">
        <v>8</v>
      </c>
      <c r="C60" s="5">
        <f t="shared" ref="C60:N60" si="19">$AA$9-$AE$9</f>
        <v>1300000</v>
      </c>
      <c r="D60" s="5">
        <f t="shared" si="19"/>
        <v>1300000</v>
      </c>
      <c r="E60" s="5">
        <f t="shared" si="19"/>
        <v>1300000</v>
      </c>
      <c r="F60" s="5">
        <f t="shared" si="19"/>
        <v>1300000</v>
      </c>
      <c r="G60" s="5">
        <f t="shared" si="19"/>
        <v>1300000</v>
      </c>
      <c r="H60" s="5">
        <f t="shared" si="19"/>
        <v>1300000</v>
      </c>
      <c r="I60" s="5">
        <f t="shared" si="19"/>
        <v>1300000</v>
      </c>
      <c r="J60" s="5">
        <f t="shared" si="19"/>
        <v>1300000</v>
      </c>
      <c r="K60" s="5">
        <f t="shared" si="19"/>
        <v>1300000</v>
      </c>
      <c r="L60" s="5">
        <f t="shared" si="19"/>
        <v>1300000</v>
      </c>
      <c r="M60" s="5">
        <f t="shared" si="19"/>
        <v>1300000</v>
      </c>
      <c r="N60" s="5">
        <f t="shared" si="19"/>
        <v>1300000</v>
      </c>
      <c r="O60" s="5">
        <f>SUM(C60:N60)</f>
        <v>15600000</v>
      </c>
    </row>
    <row r="61" spans="2:15" x14ac:dyDescent="0.3">
      <c r="B61" s="17" t="s">
        <v>10</v>
      </c>
      <c r="C61" s="78">
        <f t="shared" ref="C61:N61" si="20">C60+C59</f>
        <v>1079488.508226854</v>
      </c>
      <c r="D61" s="78">
        <f t="shared" si="20"/>
        <v>1079488.508226854</v>
      </c>
      <c r="E61" s="78">
        <f t="shared" si="20"/>
        <v>1079488.508226854</v>
      </c>
      <c r="F61" s="78">
        <f t="shared" si="20"/>
        <v>1079488.508226854</v>
      </c>
      <c r="G61" s="78">
        <f t="shared" si="20"/>
        <v>1079488.508226854</v>
      </c>
      <c r="H61" s="78">
        <f t="shared" si="20"/>
        <v>1079488.508226854</v>
      </c>
      <c r="I61" s="78">
        <f t="shared" si="20"/>
        <v>1079488.508226854</v>
      </c>
      <c r="J61" s="78">
        <f t="shared" si="20"/>
        <v>1079488.508226854</v>
      </c>
      <c r="K61" s="78">
        <f t="shared" si="20"/>
        <v>1079488.508226854</v>
      </c>
      <c r="L61" s="78">
        <f t="shared" si="20"/>
        <v>1079488.508226854</v>
      </c>
      <c r="M61" s="78">
        <f t="shared" si="20"/>
        <v>1079488.508226854</v>
      </c>
      <c r="N61" s="78">
        <f t="shared" si="20"/>
        <v>1079488.508226854</v>
      </c>
      <c r="O61" s="19"/>
    </row>
    <row r="63" spans="2:15" x14ac:dyDescent="0.3">
      <c r="B63" s="15" t="s">
        <v>69</v>
      </c>
      <c r="C63" s="15" t="s">
        <v>15</v>
      </c>
      <c r="D63" s="15" t="s">
        <v>16</v>
      </c>
      <c r="E63" s="15" t="s">
        <v>17</v>
      </c>
      <c r="F63" s="15" t="s">
        <v>18</v>
      </c>
      <c r="G63" s="15" t="s">
        <v>19</v>
      </c>
      <c r="H63" s="15" t="s">
        <v>20</v>
      </c>
      <c r="I63" s="15" t="s">
        <v>21</v>
      </c>
      <c r="J63" s="15" t="s">
        <v>22</v>
      </c>
      <c r="K63" s="15" t="s">
        <v>23</v>
      </c>
      <c r="L63" s="15" t="s">
        <v>24</v>
      </c>
      <c r="M63" s="15" t="s">
        <v>25</v>
      </c>
      <c r="N63" s="15" t="s">
        <v>26</v>
      </c>
      <c r="O63" s="15" t="s">
        <v>27</v>
      </c>
    </row>
    <row r="64" spans="2:15" x14ac:dyDescent="0.3">
      <c r="B64" s="15" t="s">
        <v>6</v>
      </c>
      <c r="C64" s="16">
        <f xml:space="preserve"> -(T36+R18)</f>
        <v>-220511.49177314597</v>
      </c>
      <c r="D64" s="16">
        <f xml:space="preserve"> -(T36+R18)</f>
        <v>-220511.49177314597</v>
      </c>
      <c r="E64" s="16">
        <f xml:space="preserve"> -(T36+R18)</f>
        <v>-220511.49177314597</v>
      </c>
      <c r="F64" s="16">
        <f xml:space="preserve"> -(T36+R18)</f>
        <v>-220511.49177314597</v>
      </c>
      <c r="G64" s="16">
        <f xml:space="preserve"> -(T36+R18)</f>
        <v>-220511.49177314597</v>
      </c>
      <c r="H64" s="16">
        <f xml:space="preserve"> -(T36+R18)</f>
        <v>-220511.49177314597</v>
      </c>
      <c r="I64" s="16">
        <f xml:space="preserve"> -(T36+R18)</f>
        <v>-220511.49177314597</v>
      </c>
      <c r="J64" s="16">
        <f xml:space="preserve"> -(T36+R18)</f>
        <v>-220511.49177314597</v>
      </c>
      <c r="K64" s="16">
        <f xml:space="preserve"> -(T36+R18)</f>
        <v>-220511.49177314597</v>
      </c>
      <c r="L64" s="16">
        <f xml:space="preserve"> -(T36+R18)</f>
        <v>-220511.49177314597</v>
      </c>
      <c r="M64" s="16">
        <f xml:space="preserve"> -(T36+R18)</f>
        <v>-220511.49177314597</v>
      </c>
      <c r="N64" s="16">
        <f xml:space="preserve"> -(T36+R18)</f>
        <v>-220511.49177314597</v>
      </c>
      <c r="O64" s="79">
        <f>SUM(C64:N64)</f>
        <v>-2646137.9012777517</v>
      </c>
    </row>
    <row r="65" spans="2:15" x14ac:dyDescent="0.3">
      <c r="B65" s="15" t="s">
        <v>8</v>
      </c>
      <c r="C65" s="5">
        <f t="shared" ref="C65:N65" si="21">$AA$13-$AE$13</f>
        <v>1300000</v>
      </c>
      <c r="D65" s="5">
        <f t="shared" si="21"/>
        <v>1300000</v>
      </c>
      <c r="E65" s="5">
        <f t="shared" si="21"/>
        <v>1300000</v>
      </c>
      <c r="F65" s="5">
        <f t="shared" si="21"/>
        <v>1300000</v>
      </c>
      <c r="G65" s="5">
        <f t="shared" si="21"/>
        <v>1300000</v>
      </c>
      <c r="H65" s="5">
        <f t="shared" si="21"/>
        <v>1300000</v>
      </c>
      <c r="I65" s="5">
        <f t="shared" si="21"/>
        <v>1300000</v>
      </c>
      <c r="J65" s="5">
        <f t="shared" si="21"/>
        <v>1300000</v>
      </c>
      <c r="K65" s="5">
        <f t="shared" si="21"/>
        <v>1300000</v>
      </c>
      <c r="L65" s="5">
        <f t="shared" si="21"/>
        <v>1300000</v>
      </c>
      <c r="M65" s="5">
        <f t="shared" si="21"/>
        <v>1300000</v>
      </c>
      <c r="N65" s="5">
        <f t="shared" si="21"/>
        <v>1300000</v>
      </c>
      <c r="O65" s="5">
        <f>SUM(C65:N65)</f>
        <v>15600000</v>
      </c>
    </row>
    <row r="66" spans="2:15" x14ac:dyDescent="0.3">
      <c r="B66" s="17" t="s">
        <v>10</v>
      </c>
      <c r="C66" s="78">
        <f t="shared" ref="C66:N66" si="22">C65+C64</f>
        <v>1079488.508226854</v>
      </c>
      <c r="D66" s="78">
        <f t="shared" si="22"/>
        <v>1079488.508226854</v>
      </c>
      <c r="E66" s="78">
        <f t="shared" si="22"/>
        <v>1079488.508226854</v>
      </c>
      <c r="F66" s="78">
        <f t="shared" si="22"/>
        <v>1079488.508226854</v>
      </c>
      <c r="G66" s="78">
        <f t="shared" si="22"/>
        <v>1079488.508226854</v>
      </c>
      <c r="H66" s="78">
        <f t="shared" si="22"/>
        <v>1079488.508226854</v>
      </c>
      <c r="I66" s="78">
        <f t="shared" si="22"/>
        <v>1079488.508226854</v>
      </c>
      <c r="J66" s="78">
        <f t="shared" si="22"/>
        <v>1079488.508226854</v>
      </c>
      <c r="K66" s="78">
        <f t="shared" si="22"/>
        <v>1079488.508226854</v>
      </c>
      <c r="L66" s="78">
        <f t="shared" si="22"/>
        <v>1079488.508226854</v>
      </c>
      <c r="M66" s="78">
        <f t="shared" si="22"/>
        <v>1079488.508226854</v>
      </c>
      <c r="N66" s="78">
        <f t="shared" si="22"/>
        <v>1079488.508226854</v>
      </c>
      <c r="O66" s="19"/>
    </row>
    <row r="68" spans="2:15" x14ac:dyDescent="0.3">
      <c r="B68" s="15" t="s">
        <v>70</v>
      </c>
      <c r="C68" s="15" t="s">
        <v>15</v>
      </c>
      <c r="D68" s="15" t="s">
        <v>16</v>
      </c>
      <c r="E68" s="15" t="s">
        <v>17</v>
      </c>
      <c r="F68" s="15" t="s">
        <v>18</v>
      </c>
      <c r="G68" s="15" t="s">
        <v>19</v>
      </c>
      <c r="H68" s="15" t="s">
        <v>20</v>
      </c>
      <c r="I68" s="15" t="s">
        <v>21</v>
      </c>
      <c r="J68" s="15" t="s">
        <v>22</v>
      </c>
      <c r="K68" s="15" t="s">
        <v>23</v>
      </c>
      <c r="L68" s="15" t="s">
        <v>24</v>
      </c>
      <c r="M68" s="15" t="s">
        <v>25</v>
      </c>
      <c r="N68" s="15" t="s">
        <v>26</v>
      </c>
      <c r="O68" s="15" t="s">
        <v>27</v>
      </c>
    </row>
    <row r="69" spans="2:15" x14ac:dyDescent="0.3">
      <c r="B69" s="15" t="s">
        <v>6</v>
      </c>
      <c r="C69" s="16">
        <f xml:space="preserve"> -(T36)</f>
        <v>-120000</v>
      </c>
      <c r="D69" s="16">
        <f xml:space="preserve"> -(T36)</f>
        <v>-120000</v>
      </c>
      <c r="E69" s="16">
        <f xml:space="preserve"> -(T36)</f>
        <v>-120000</v>
      </c>
      <c r="F69" s="16">
        <f xml:space="preserve"> -(T36)</f>
        <v>-120000</v>
      </c>
      <c r="G69" s="16">
        <f xml:space="preserve"> -(T36)</f>
        <v>-120000</v>
      </c>
      <c r="H69" s="16">
        <f xml:space="preserve"> -(T36)</f>
        <v>-120000</v>
      </c>
      <c r="I69" s="16">
        <f xml:space="preserve"> -(T36)</f>
        <v>-120000</v>
      </c>
      <c r="J69" s="16">
        <f xml:space="preserve"> -(T36)</f>
        <v>-120000</v>
      </c>
      <c r="K69" s="16">
        <f xml:space="preserve"> -(T36)</f>
        <v>-120000</v>
      </c>
      <c r="L69" s="16">
        <f xml:space="preserve"> -(T36)</f>
        <v>-120000</v>
      </c>
      <c r="M69" s="16">
        <f xml:space="preserve"> -(T36)</f>
        <v>-120000</v>
      </c>
      <c r="N69" s="16">
        <f xml:space="preserve"> -(T36)</f>
        <v>-120000</v>
      </c>
      <c r="O69" s="79">
        <f>SUM(C69:N69)</f>
        <v>-1440000</v>
      </c>
    </row>
    <row r="70" spans="2:15" x14ac:dyDescent="0.3">
      <c r="B70" s="15" t="s">
        <v>8</v>
      </c>
      <c r="C70" s="5">
        <f t="shared" ref="C70:N70" si="23">$AA$13-$AE$13</f>
        <v>1300000</v>
      </c>
      <c r="D70" s="5">
        <f t="shared" si="23"/>
        <v>1300000</v>
      </c>
      <c r="E70" s="5">
        <f t="shared" si="23"/>
        <v>1300000</v>
      </c>
      <c r="F70" s="5">
        <f t="shared" si="23"/>
        <v>1300000</v>
      </c>
      <c r="G70" s="5">
        <f t="shared" si="23"/>
        <v>1300000</v>
      </c>
      <c r="H70" s="5">
        <f t="shared" si="23"/>
        <v>1300000</v>
      </c>
      <c r="I70" s="5">
        <f t="shared" si="23"/>
        <v>1300000</v>
      </c>
      <c r="J70" s="5">
        <f t="shared" si="23"/>
        <v>1300000</v>
      </c>
      <c r="K70" s="5">
        <f t="shared" si="23"/>
        <v>1300000</v>
      </c>
      <c r="L70" s="5">
        <f t="shared" si="23"/>
        <v>1300000</v>
      </c>
      <c r="M70" s="5">
        <f t="shared" si="23"/>
        <v>1300000</v>
      </c>
      <c r="N70" s="5">
        <f t="shared" si="23"/>
        <v>1300000</v>
      </c>
      <c r="O70" s="5">
        <f>SUM(C70:N70)</f>
        <v>15600000</v>
      </c>
    </row>
    <row r="71" spans="2:15" x14ac:dyDescent="0.3">
      <c r="B71" s="17" t="s">
        <v>10</v>
      </c>
      <c r="C71" s="78">
        <f t="shared" ref="C71:N71" si="24">C70+C69</f>
        <v>1180000</v>
      </c>
      <c r="D71" s="78">
        <f t="shared" si="24"/>
        <v>1180000</v>
      </c>
      <c r="E71" s="78">
        <f t="shared" si="24"/>
        <v>1180000</v>
      </c>
      <c r="F71" s="78">
        <f t="shared" si="24"/>
        <v>1180000</v>
      </c>
      <c r="G71" s="78">
        <f t="shared" si="24"/>
        <v>1180000</v>
      </c>
      <c r="H71" s="78">
        <f t="shared" si="24"/>
        <v>1180000</v>
      </c>
      <c r="I71" s="78">
        <f t="shared" si="24"/>
        <v>1180000</v>
      </c>
      <c r="J71" s="78">
        <f t="shared" si="24"/>
        <v>1180000</v>
      </c>
      <c r="K71" s="78">
        <f t="shared" si="24"/>
        <v>1180000</v>
      </c>
      <c r="L71" s="78">
        <f t="shared" si="24"/>
        <v>1180000</v>
      </c>
      <c r="M71" s="78">
        <f t="shared" si="24"/>
        <v>1180000</v>
      </c>
      <c r="N71" s="78">
        <f t="shared" si="24"/>
        <v>1180000</v>
      </c>
      <c r="O71" s="19"/>
    </row>
    <row r="73" spans="2:15" x14ac:dyDescent="0.3">
      <c r="B73" s="15" t="s">
        <v>71</v>
      </c>
      <c r="C73" s="15" t="s">
        <v>15</v>
      </c>
      <c r="D73" s="15" t="s">
        <v>16</v>
      </c>
      <c r="E73" s="15" t="s">
        <v>17</v>
      </c>
      <c r="F73" s="15" t="s">
        <v>18</v>
      </c>
      <c r="G73" s="15" t="s">
        <v>19</v>
      </c>
      <c r="H73" s="15" t="s">
        <v>20</v>
      </c>
      <c r="I73" s="15" t="s">
        <v>21</v>
      </c>
      <c r="J73" s="15" t="s">
        <v>22</v>
      </c>
      <c r="K73" s="15" t="s">
        <v>23</v>
      </c>
      <c r="L73" s="15" t="s">
        <v>24</v>
      </c>
      <c r="M73" s="15" t="s">
        <v>25</v>
      </c>
      <c r="N73" s="15" t="s">
        <v>26</v>
      </c>
      <c r="O73" s="15" t="s">
        <v>27</v>
      </c>
    </row>
    <row r="74" spans="2:15" x14ac:dyDescent="0.3">
      <c r="B74" s="15" t="s">
        <v>6</v>
      </c>
      <c r="C74" s="16">
        <f xml:space="preserve"> -(T36)</f>
        <v>-120000</v>
      </c>
      <c r="D74" s="16">
        <f xml:space="preserve"> -(T36)</f>
        <v>-120000</v>
      </c>
      <c r="E74" s="16">
        <f xml:space="preserve"> -(T36)</f>
        <v>-120000</v>
      </c>
      <c r="F74" s="16">
        <f xml:space="preserve"> -(T36)</f>
        <v>-120000</v>
      </c>
      <c r="G74" s="16">
        <f xml:space="preserve"> -(T36)</f>
        <v>-120000</v>
      </c>
      <c r="H74" s="16">
        <f xml:space="preserve"> -(T36)</f>
        <v>-120000</v>
      </c>
      <c r="I74" s="16">
        <f xml:space="preserve"> -(T36)</f>
        <v>-120000</v>
      </c>
      <c r="J74" s="16">
        <f xml:space="preserve"> -(T36)</f>
        <v>-120000</v>
      </c>
      <c r="K74" s="16">
        <f xml:space="preserve"> -(T36)</f>
        <v>-120000</v>
      </c>
      <c r="L74" s="16">
        <f xml:space="preserve"> -(T36)</f>
        <v>-120000</v>
      </c>
      <c r="M74" s="16">
        <f xml:space="preserve"> -(T36)</f>
        <v>-120000</v>
      </c>
      <c r="N74" s="16">
        <f xml:space="preserve"> -(T36)</f>
        <v>-120000</v>
      </c>
      <c r="O74" s="79">
        <f>SUM(C74:N74)</f>
        <v>-1440000</v>
      </c>
    </row>
    <row r="75" spans="2:15" x14ac:dyDescent="0.3">
      <c r="B75" s="15" t="s">
        <v>8</v>
      </c>
      <c r="C75" s="5">
        <f t="shared" ref="C75:N75" si="25">$AA$13-$AE$13</f>
        <v>1300000</v>
      </c>
      <c r="D75" s="5">
        <f t="shared" si="25"/>
        <v>1300000</v>
      </c>
      <c r="E75" s="5">
        <f t="shared" si="25"/>
        <v>1300000</v>
      </c>
      <c r="F75" s="5">
        <f t="shared" si="25"/>
        <v>1300000</v>
      </c>
      <c r="G75" s="5">
        <f t="shared" si="25"/>
        <v>1300000</v>
      </c>
      <c r="H75" s="5">
        <f t="shared" si="25"/>
        <v>1300000</v>
      </c>
      <c r="I75" s="5">
        <f t="shared" si="25"/>
        <v>1300000</v>
      </c>
      <c r="J75" s="5">
        <f t="shared" si="25"/>
        <v>1300000</v>
      </c>
      <c r="K75" s="5">
        <f t="shared" si="25"/>
        <v>1300000</v>
      </c>
      <c r="L75" s="5">
        <f t="shared" si="25"/>
        <v>1300000</v>
      </c>
      <c r="M75" s="5">
        <f t="shared" si="25"/>
        <v>1300000</v>
      </c>
      <c r="N75" s="5">
        <f t="shared" si="25"/>
        <v>1300000</v>
      </c>
      <c r="O75" s="5">
        <f>SUM(C75:N75)</f>
        <v>15600000</v>
      </c>
    </row>
    <row r="76" spans="2:15" x14ac:dyDescent="0.3">
      <c r="B76" s="17" t="s">
        <v>10</v>
      </c>
      <c r="C76" s="78">
        <f t="shared" ref="C76:N76" si="26">C75+C74</f>
        <v>1180000</v>
      </c>
      <c r="D76" s="78">
        <f t="shared" si="26"/>
        <v>1180000</v>
      </c>
      <c r="E76" s="78">
        <f t="shared" si="26"/>
        <v>1180000</v>
      </c>
      <c r="F76" s="78">
        <f t="shared" si="26"/>
        <v>1180000</v>
      </c>
      <c r="G76" s="78">
        <f t="shared" si="26"/>
        <v>1180000</v>
      </c>
      <c r="H76" s="78">
        <f t="shared" si="26"/>
        <v>1180000</v>
      </c>
      <c r="I76" s="78">
        <f t="shared" si="26"/>
        <v>1180000</v>
      </c>
      <c r="J76" s="78">
        <f t="shared" si="26"/>
        <v>1180000</v>
      </c>
      <c r="K76" s="78">
        <f t="shared" si="26"/>
        <v>1180000</v>
      </c>
      <c r="L76" s="78">
        <f t="shared" si="26"/>
        <v>1180000</v>
      </c>
      <c r="M76" s="78">
        <f t="shared" si="26"/>
        <v>1180000</v>
      </c>
      <c r="N76" s="78">
        <f t="shared" si="26"/>
        <v>1180000</v>
      </c>
      <c r="O76" s="19"/>
    </row>
    <row r="78" spans="2:15" x14ac:dyDescent="0.3">
      <c r="B78" s="15" t="s">
        <v>72</v>
      </c>
      <c r="C78" s="15" t="s">
        <v>15</v>
      </c>
      <c r="D78" s="15" t="s">
        <v>16</v>
      </c>
      <c r="E78" s="15" t="s">
        <v>17</v>
      </c>
      <c r="F78" s="15" t="s">
        <v>18</v>
      </c>
      <c r="G78" s="15" t="s">
        <v>19</v>
      </c>
      <c r="H78" s="15" t="s">
        <v>20</v>
      </c>
      <c r="I78" s="15" t="s">
        <v>21</v>
      </c>
      <c r="J78" s="15" t="s">
        <v>22</v>
      </c>
      <c r="K78" s="15" t="s">
        <v>23</v>
      </c>
      <c r="L78" s="15" t="s">
        <v>24</v>
      </c>
      <c r="M78" s="15" t="s">
        <v>25</v>
      </c>
      <c r="N78" s="15" t="s">
        <v>26</v>
      </c>
      <c r="O78" s="15" t="s">
        <v>27</v>
      </c>
    </row>
    <row r="79" spans="2:15" x14ac:dyDescent="0.3">
      <c r="B79" s="15" t="s">
        <v>6</v>
      </c>
      <c r="C79" s="16">
        <f xml:space="preserve"> -(T36)</f>
        <v>-120000</v>
      </c>
      <c r="D79" s="16">
        <f xml:space="preserve"> -(T36)</f>
        <v>-120000</v>
      </c>
      <c r="E79" s="16">
        <f xml:space="preserve"> -(T36)</f>
        <v>-120000</v>
      </c>
      <c r="F79" s="16">
        <f xml:space="preserve"> -(T36)</f>
        <v>-120000</v>
      </c>
      <c r="G79" s="16">
        <f xml:space="preserve"> -(T36)</f>
        <v>-120000</v>
      </c>
      <c r="H79" s="16">
        <f xml:space="preserve"> -(T36)</f>
        <v>-120000</v>
      </c>
      <c r="I79" s="16">
        <f xml:space="preserve"> -(T36)</f>
        <v>-120000</v>
      </c>
      <c r="J79" s="16">
        <f xml:space="preserve"> -(T36)</f>
        <v>-120000</v>
      </c>
      <c r="K79" s="16">
        <f xml:space="preserve"> -(T36)</f>
        <v>-120000</v>
      </c>
      <c r="L79" s="16">
        <f xml:space="preserve"> -(T36)</f>
        <v>-120000</v>
      </c>
      <c r="M79" s="16">
        <f xml:space="preserve"> -(T36)</f>
        <v>-120000</v>
      </c>
      <c r="N79" s="16">
        <f xml:space="preserve"> -(T36)</f>
        <v>-120000</v>
      </c>
      <c r="O79" s="79">
        <f>SUM(C79:N79)</f>
        <v>-1440000</v>
      </c>
    </row>
    <row r="80" spans="2:15" x14ac:dyDescent="0.3">
      <c r="B80" s="15" t="s">
        <v>8</v>
      </c>
      <c r="C80" s="5">
        <f t="shared" ref="C80:N80" si="27">$AA$13-$AE$13</f>
        <v>1300000</v>
      </c>
      <c r="D80" s="5">
        <f t="shared" si="27"/>
        <v>1300000</v>
      </c>
      <c r="E80" s="5">
        <f t="shared" si="27"/>
        <v>1300000</v>
      </c>
      <c r="F80" s="5">
        <f t="shared" si="27"/>
        <v>1300000</v>
      </c>
      <c r="G80" s="5">
        <f t="shared" si="27"/>
        <v>1300000</v>
      </c>
      <c r="H80" s="5">
        <f t="shared" si="27"/>
        <v>1300000</v>
      </c>
      <c r="I80" s="5">
        <f t="shared" si="27"/>
        <v>1300000</v>
      </c>
      <c r="J80" s="5">
        <f t="shared" si="27"/>
        <v>1300000</v>
      </c>
      <c r="K80" s="5">
        <f t="shared" si="27"/>
        <v>1300000</v>
      </c>
      <c r="L80" s="5">
        <f t="shared" si="27"/>
        <v>1300000</v>
      </c>
      <c r="M80" s="5">
        <f t="shared" si="27"/>
        <v>1300000</v>
      </c>
      <c r="N80" s="5">
        <f t="shared" si="27"/>
        <v>1300000</v>
      </c>
      <c r="O80" s="5">
        <f>SUM(C80:N80)</f>
        <v>15600000</v>
      </c>
    </row>
    <row r="81" spans="2:15" x14ac:dyDescent="0.3">
      <c r="B81" s="17" t="s">
        <v>10</v>
      </c>
      <c r="C81" s="78">
        <f t="shared" ref="C81:N81" si="28">C80+C79</f>
        <v>1180000</v>
      </c>
      <c r="D81" s="78">
        <f t="shared" si="28"/>
        <v>1180000</v>
      </c>
      <c r="E81" s="78">
        <f t="shared" si="28"/>
        <v>1180000</v>
      </c>
      <c r="F81" s="78">
        <f t="shared" si="28"/>
        <v>1180000</v>
      </c>
      <c r="G81" s="78">
        <f t="shared" si="28"/>
        <v>1180000</v>
      </c>
      <c r="H81" s="78">
        <f t="shared" si="28"/>
        <v>1180000</v>
      </c>
      <c r="I81" s="78">
        <f t="shared" si="28"/>
        <v>1180000</v>
      </c>
      <c r="J81" s="78">
        <f t="shared" si="28"/>
        <v>1180000</v>
      </c>
      <c r="K81" s="78">
        <f t="shared" si="28"/>
        <v>1180000</v>
      </c>
      <c r="L81" s="78">
        <f t="shared" si="28"/>
        <v>1180000</v>
      </c>
      <c r="M81" s="78">
        <f t="shared" si="28"/>
        <v>1180000</v>
      </c>
      <c r="N81" s="78">
        <f t="shared" si="28"/>
        <v>1180000</v>
      </c>
      <c r="O81" s="19"/>
    </row>
    <row r="83" spans="2:15" x14ac:dyDescent="0.3">
      <c r="B83" s="15" t="s">
        <v>73</v>
      </c>
      <c r="C83" s="15" t="s">
        <v>15</v>
      </c>
      <c r="D83" s="15" t="s">
        <v>16</v>
      </c>
      <c r="E83" s="15" t="s">
        <v>17</v>
      </c>
      <c r="F83" s="15" t="s">
        <v>18</v>
      </c>
      <c r="G83" s="15" t="s">
        <v>19</v>
      </c>
      <c r="H83" s="15" t="s">
        <v>20</v>
      </c>
      <c r="I83" s="15" t="s">
        <v>21</v>
      </c>
      <c r="J83" s="15" t="s">
        <v>22</v>
      </c>
      <c r="K83" s="15" t="s">
        <v>23</v>
      </c>
      <c r="L83" s="15" t="s">
        <v>24</v>
      </c>
      <c r="M83" s="15" t="s">
        <v>25</v>
      </c>
      <c r="N83" s="15" t="s">
        <v>26</v>
      </c>
      <c r="O83" s="15" t="s">
        <v>27</v>
      </c>
    </row>
    <row r="84" spans="2:15" x14ac:dyDescent="0.3">
      <c r="B84" s="15" t="s">
        <v>6</v>
      </c>
      <c r="C84" s="16">
        <f xml:space="preserve"> -(T36)</f>
        <v>-120000</v>
      </c>
      <c r="D84" s="16">
        <f xml:space="preserve"> -(T36)</f>
        <v>-120000</v>
      </c>
      <c r="E84" s="16">
        <f xml:space="preserve"> -(T36)</f>
        <v>-120000</v>
      </c>
      <c r="F84" s="16">
        <f xml:space="preserve"> -(T36)</f>
        <v>-120000</v>
      </c>
      <c r="G84" s="16">
        <f xml:space="preserve"> -(T36)</f>
        <v>-120000</v>
      </c>
      <c r="H84" s="16">
        <f xml:space="preserve"> -(T36)</f>
        <v>-120000</v>
      </c>
      <c r="I84" s="16">
        <f xml:space="preserve"> -(T36)</f>
        <v>-120000</v>
      </c>
      <c r="J84" s="16">
        <f xml:space="preserve"> -(T36)</f>
        <v>-120000</v>
      </c>
      <c r="K84" s="16">
        <f xml:space="preserve"> -(T36)</f>
        <v>-120000</v>
      </c>
      <c r="L84" s="16">
        <f xml:space="preserve"> -(T36)</f>
        <v>-120000</v>
      </c>
      <c r="M84" s="16">
        <f xml:space="preserve"> -(T36)</f>
        <v>-120000</v>
      </c>
      <c r="N84" s="16">
        <f xml:space="preserve"> -(T36)</f>
        <v>-120000</v>
      </c>
      <c r="O84" s="79">
        <f xml:space="preserve"> SUM(C84:N84)</f>
        <v>-1440000</v>
      </c>
    </row>
    <row r="85" spans="2:15" x14ac:dyDescent="0.3">
      <c r="B85" s="15" t="s">
        <v>8</v>
      </c>
      <c r="C85" s="5">
        <f t="shared" ref="C85:N85" si="29">$AA$13-$AE$13</f>
        <v>1300000</v>
      </c>
      <c r="D85" s="5">
        <f t="shared" si="29"/>
        <v>1300000</v>
      </c>
      <c r="E85" s="5">
        <f t="shared" si="29"/>
        <v>1300000</v>
      </c>
      <c r="F85" s="5">
        <f t="shared" si="29"/>
        <v>1300000</v>
      </c>
      <c r="G85" s="5">
        <f t="shared" si="29"/>
        <v>1300000</v>
      </c>
      <c r="H85" s="5">
        <f t="shared" si="29"/>
        <v>1300000</v>
      </c>
      <c r="I85" s="5">
        <f t="shared" si="29"/>
        <v>1300000</v>
      </c>
      <c r="J85" s="5">
        <f t="shared" si="29"/>
        <v>1300000</v>
      </c>
      <c r="K85" s="5">
        <f t="shared" si="29"/>
        <v>1300000</v>
      </c>
      <c r="L85" s="5">
        <f t="shared" si="29"/>
        <v>1300000</v>
      </c>
      <c r="M85" s="5">
        <f t="shared" si="29"/>
        <v>1300000</v>
      </c>
      <c r="N85" s="5">
        <f t="shared" si="29"/>
        <v>1300000</v>
      </c>
      <c r="O85" s="5">
        <f>SUM(C85:N85)</f>
        <v>15600000</v>
      </c>
    </row>
    <row r="86" spans="2:15" x14ac:dyDescent="0.3">
      <c r="B86" s="17" t="s">
        <v>10</v>
      </c>
      <c r="C86" s="78">
        <f t="shared" ref="C86:N86" si="30">C85+C84</f>
        <v>1180000</v>
      </c>
      <c r="D86" s="78">
        <f t="shared" si="30"/>
        <v>1180000</v>
      </c>
      <c r="E86" s="78">
        <f t="shared" si="30"/>
        <v>1180000</v>
      </c>
      <c r="F86" s="78">
        <f t="shared" si="30"/>
        <v>1180000</v>
      </c>
      <c r="G86" s="78">
        <f t="shared" si="30"/>
        <v>1180000</v>
      </c>
      <c r="H86" s="78">
        <f t="shared" si="30"/>
        <v>1180000</v>
      </c>
      <c r="I86" s="78">
        <f t="shared" si="30"/>
        <v>1180000</v>
      </c>
      <c r="J86" s="78">
        <f t="shared" si="30"/>
        <v>1180000</v>
      </c>
      <c r="K86" s="78">
        <f t="shared" si="30"/>
        <v>1180000</v>
      </c>
      <c r="L86" s="78">
        <f t="shared" si="30"/>
        <v>1180000</v>
      </c>
      <c r="M86" s="78">
        <f t="shared" si="30"/>
        <v>1180000</v>
      </c>
      <c r="N86" s="78">
        <f t="shared" si="30"/>
        <v>1180000</v>
      </c>
      <c r="O86" s="19"/>
    </row>
    <row r="88" spans="2:15" x14ac:dyDescent="0.3">
      <c r="B88" s="15" t="s">
        <v>74</v>
      </c>
      <c r="C88" s="15" t="s">
        <v>15</v>
      </c>
      <c r="D88" s="15" t="s">
        <v>16</v>
      </c>
      <c r="E88" s="15" t="s">
        <v>17</v>
      </c>
      <c r="F88" s="15" t="s">
        <v>18</v>
      </c>
      <c r="G88" s="15" t="s">
        <v>19</v>
      </c>
      <c r="H88" s="15" t="s">
        <v>20</v>
      </c>
      <c r="I88" s="15" t="s">
        <v>21</v>
      </c>
      <c r="J88" s="15" t="s">
        <v>22</v>
      </c>
      <c r="K88" s="15" t="s">
        <v>23</v>
      </c>
      <c r="L88" s="15" t="s">
        <v>24</v>
      </c>
      <c r="M88" s="15" t="s">
        <v>25</v>
      </c>
      <c r="N88" s="15" t="s">
        <v>26</v>
      </c>
      <c r="O88" s="15" t="s">
        <v>27</v>
      </c>
    </row>
    <row r="89" spans="2:15" x14ac:dyDescent="0.3">
      <c r="B89" s="15" t="s">
        <v>6</v>
      </c>
      <c r="C89" s="16">
        <f xml:space="preserve"> -(T36)</f>
        <v>-120000</v>
      </c>
      <c r="D89" s="16">
        <f xml:space="preserve"> -(T36)</f>
        <v>-120000</v>
      </c>
      <c r="E89" s="16">
        <f xml:space="preserve"> -(T36)</f>
        <v>-120000</v>
      </c>
      <c r="F89" s="16">
        <f xml:space="preserve"> -(T36)</f>
        <v>-120000</v>
      </c>
      <c r="G89" s="16">
        <f xml:space="preserve"> -(T36)</f>
        <v>-120000</v>
      </c>
      <c r="H89" s="16">
        <f xml:space="preserve"> -(T36)</f>
        <v>-120000</v>
      </c>
      <c r="I89" s="16">
        <f xml:space="preserve"> -(T36)</f>
        <v>-120000</v>
      </c>
      <c r="J89" s="16">
        <f xml:space="preserve"> -(T36)</f>
        <v>-120000</v>
      </c>
      <c r="K89" s="16">
        <f xml:space="preserve"> -(T36)</f>
        <v>-120000</v>
      </c>
      <c r="L89" s="16">
        <f xml:space="preserve"> -(T36)</f>
        <v>-120000</v>
      </c>
      <c r="M89" s="16">
        <f xml:space="preserve"> -(T36)</f>
        <v>-120000</v>
      </c>
      <c r="N89" s="16">
        <f xml:space="preserve"> -(T36)</f>
        <v>-120000</v>
      </c>
      <c r="O89" s="79">
        <f xml:space="preserve"> SUM(C89:N89)</f>
        <v>-1440000</v>
      </c>
    </row>
    <row r="90" spans="2:15" x14ac:dyDescent="0.3">
      <c r="B90" s="15" t="s">
        <v>8</v>
      </c>
      <c r="C90" s="5">
        <f t="shared" ref="C90:N90" si="31">$AA$13-$AE$13</f>
        <v>1300000</v>
      </c>
      <c r="D90" s="5">
        <f t="shared" si="31"/>
        <v>1300000</v>
      </c>
      <c r="E90" s="5">
        <f t="shared" si="31"/>
        <v>1300000</v>
      </c>
      <c r="F90" s="5">
        <f t="shared" si="31"/>
        <v>1300000</v>
      </c>
      <c r="G90" s="5">
        <f t="shared" si="31"/>
        <v>1300000</v>
      </c>
      <c r="H90" s="5">
        <f t="shared" si="31"/>
        <v>1300000</v>
      </c>
      <c r="I90" s="5">
        <f t="shared" si="31"/>
        <v>1300000</v>
      </c>
      <c r="J90" s="5">
        <f t="shared" si="31"/>
        <v>1300000</v>
      </c>
      <c r="K90" s="5">
        <f t="shared" si="31"/>
        <v>1300000</v>
      </c>
      <c r="L90" s="5">
        <f t="shared" si="31"/>
        <v>1300000</v>
      </c>
      <c r="M90" s="5">
        <f t="shared" si="31"/>
        <v>1300000</v>
      </c>
      <c r="N90" s="5">
        <f t="shared" si="31"/>
        <v>1300000</v>
      </c>
      <c r="O90" s="5">
        <f>SUM(C90:N90)</f>
        <v>15600000</v>
      </c>
    </row>
    <row r="91" spans="2:15" x14ac:dyDescent="0.3">
      <c r="B91" s="17" t="s">
        <v>10</v>
      </c>
      <c r="C91" s="78">
        <f t="shared" ref="C91:N91" si="32">C90+C89</f>
        <v>1180000</v>
      </c>
      <c r="D91" s="78">
        <f t="shared" si="32"/>
        <v>1180000</v>
      </c>
      <c r="E91" s="78">
        <f t="shared" si="32"/>
        <v>1180000</v>
      </c>
      <c r="F91" s="78">
        <f t="shared" si="32"/>
        <v>1180000</v>
      </c>
      <c r="G91" s="78">
        <f t="shared" si="32"/>
        <v>1180000</v>
      </c>
      <c r="H91" s="78">
        <f t="shared" si="32"/>
        <v>1180000</v>
      </c>
      <c r="I91" s="78">
        <f t="shared" si="32"/>
        <v>1180000</v>
      </c>
      <c r="J91" s="78">
        <f t="shared" si="32"/>
        <v>1180000</v>
      </c>
      <c r="K91" s="78">
        <f t="shared" si="32"/>
        <v>1180000</v>
      </c>
      <c r="L91" s="78">
        <f t="shared" si="32"/>
        <v>1180000</v>
      </c>
      <c r="M91" s="78">
        <f t="shared" si="32"/>
        <v>1180000</v>
      </c>
      <c r="N91" s="78">
        <f t="shared" si="32"/>
        <v>1180000</v>
      </c>
      <c r="O91" s="19"/>
    </row>
  </sheetData>
  <mergeCells count="11">
    <mergeCell ref="B8:C8"/>
    <mergeCell ref="K10:N10"/>
    <mergeCell ref="Z37:AA37"/>
    <mergeCell ref="Z38:AA38"/>
    <mergeCell ref="Z39:AA39"/>
    <mergeCell ref="B1:K1"/>
    <mergeCell ref="B2:C2"/>
    <mergeCell ref="B3:C3"/>
    <mergeCell ref="B4:C4"/>
    <mergeCell ref="B5:C5"/>
    <mergeCell ref="B7:C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07F28-A580-43E4-B6FB-0687D06C2DB6}">
  <dimension ref="B1:AQ91"/>
  <sheetViews>
    <sheetView zoomScale="65" zoomScaleNormal="92" workbookViewId="0">
      <selection activeCell="B2" sqref="B2:C2"/>
    </sheetView>
  </sheetViews>
  <sheetFormatPr baseColWidth="10" defaultColWidth="11.44140625" defaultRowHeight="14.4" x14ac:dyDescent="0.3"/>
  <cols>
    <col min="2" max="2" width="26.6640625" customWidth="1"/>
    <col min="3" max="3" width="16.33203125" customWidth="1"/>
    <col min="4" max="4" width="14.5546875" customWidth="1"/>
    <col min="5" max="5" width="14.109375" customWidth="1"/>
    <col min="6" max="6" width="15.88671875" bestFit="1" customWidth="1"/>
    <col min="7" max="9" width="14.33203125" bestFit="1" customWidth="1"/>
    <col min="10" max="10" width="15" customWidth="1"/>
    <col min="11" max="11" width="15.109375" customWidth="1"/>
    <col min="12" max="12" width="17.109375" customWidth="1"/>
    <col min="13" max="13" width="15.44140625" customWidth="1"/>
    <col min="14" max="14" width="14.33203125" customWidth="1"/>
    <col min="15" max="15" width="17.88671875" customWidth="1"/>
    <col min="16" max="16" width="15.6640625" customWidth="1"/>
    <col min="17" max="17" width="19.88671875" customWidth="1"/>
    <col min="18" max="18" width="18.88671875" customWidth="1"/>
    <col min="19" max="19" width="14.109375" customWidth="1"/>
    <col min="20" max="20" width="9.109375" bestFit="1" customWidth="1"/>
    <col min="21" max="21" width="14.88671875" bestFit="1" customWidth="1"/>
    <col min="22" max="22" width="15.88671875" customWidth="1"/>
    <col min="23" max="23" width="14.6640625" customWidth="1"/>
    <col min="24" max="24" width="13.6640625" bestFit="1" customWidth="1"/>
    <col min="25" max="25" width="22" customWidth="1"/>
    <col min="26" max="26" width="17.109375" customWidth="1"/>
    <col min="27" max="27" width="24.5546875" customWidth="1"/>
    <col min="28" max="28" width="21.109375" customWidth="1"/>
    <col min="29" max="29" width="20.33203125" customWidth="1"/>
    <col min="30" max="30" width="26.109375" customWidth="1"/>
    <col min="31" max="31" width="18.33203125" customWidth="1"/>
    <col min="32" max="32" width="19.33203125" customWidth="1"/>
    <col min="33" max="33" width="16.33203125" customWidth="1"/>
    <col min="34" max="34" width="15.33203125" customWidth="1"/>
    <col min="35" max="36" width="15.5546875" customWidth="1"/>
    <col min="37" max="37" width="17" customWidth="1"/>
    <col min="38" max="38" width="18" customWidth="1"/>
    <col min="39" max="39" width="18.44140625" customWidth="1"/>
    <col min="40" max="40" width="18.6640625" customWidth="1"/>
    <col min="41" max="41" width="16.44140625" customWidth="1"/>
    <col min="42" max="42" width="17" customWidth="1"/>
    <col min="43" max="43" width="16.5546875" customWidth="1"/>
  </cols>
  <sheetData>
    <row r="1" spans="2:31" x14ac:dyDescent="0.3">
      <c r="B1" s="91" t="s">
        <v>80</v>
      </c>
      <c r="C1" s="92"/>
      <c r="D1" s="92"/>
      <c r="E1" s="92"/>
      <c r="F1" s="92"/>
      <c r="G1" s="92"/>
      <c r="H1" s="92"/>
      <c r="I1" s="92"/>
      <c r="J1" s="92"/>
      <c r="K1" s="92"/>
      <c r="S1" s="30"/>
    </row>
    <row r="2" spans="2:31" x14ac:dyDescent="0.3">
      <c r="B2" s="82" t="s">
        <v>1</v>
      </c>
      <c r="C2" s="93"/>
      <c r="D2" s="3">
        <v>2021</v>
      </c>
      <c r="E2" s="3">
        <v>2022</v>
      </c>
      <c r="F2" s="3">
        <v>2023</v>
      </c>
      <c r="G2" s="3">
        <v>2024</v>
      </c>
      <c r="H2" s="3">
        <v>2025</v>
      </c>
      <c r="I2" s="3">
        <v>2026</v>
      </c>
      <c r="J2" s="3">
        <v>2027</v>
      </c>
      <c r="K2" s="3">
        <v>2028</v>
      </c>
      <c r="L2" s="3">
        <v>2029</v>
      </c>
      <c r="M2" s="3">
        <v>2030</v>
      </c>
      <c r="N2" s="3">
        <v>2031</v>
      </c>
      <c r="O2" s="3">
        <v>2032</v>
      </c>
      <c r="P2" s="3">
        <v>2033</v>
      </c>
      <c r="Q2" s="3">
        <v>2034</v>
      </c>
      <c r="R2" s="3">
        <v>2035</v>
      </c>
      <c r="S2" s="3">
        <v>2036</v>
      </c>
      <c r="T2" s="24" t="s">
        <v>2</v>
      </c>
      <c r="U2" s="25">
        <f>ABS(SUM(D3:S3))</f>
        <v>64403047.531943776</v>
      </c>
      <c r="X2" s="53" t="s">
        <v>1</v>
      </c>
      <c r="Y2" s="53" t="s">
        <v>3</v>
      </c>
      <c r="Z2" s="58" t="s">
        <v>4</v>
      </c>
      <c r="AA2" s="65" t="s">
        <v>5</v>
      </c>
      <c r="AB2" s="46"/>
      <c r="AC2" s="46"/>
      <c r="AE2" s="46"/>
    </row>
    <row r="3" spans="2:31" x14ac:dyDescent="0.3">
      <c r="B3" s="94" t="s">
        <v>6</v>
      </c>
      <c r="C3" s="95"/>
      <c r="D3" s="4">
        <f xml:space="preserve"> $O14</f>
        <v>-2458000</v>
      </c>
      <c r="E3" s="5">
        <f xml:space="preserve"> ($O19)</f>
        <v>-2523200</v>
      </c>
      <c r="F3" s="5">
        <f xml:space="preserve"> $O24</f>
        <v>-2580000</v>
      </c>
      <c r="G3" s="5">
        <f xml:space="preserve"> $O29</f>
        <v>-2517700</v>
      </c>
      <c r="H3" s="5">
        <f xml:space="preserve"> $O34</f>
        <v>-2010700</v>
      </c>
      <c r="I3" s="6">
        <f xml:space="preserve"> $O39</f>
        <v>-1760000</v>
      </c>
      <c r="J3" s="6">
        <f xml:space="preserve"> $O$44</f>
        <v>-4455344.7531943796</v>
      </c>
      <c r="K3" s="6">
        <f xml:space="preserve"> O49</f>
        <v>-10455344.753194375</v>
      </c>
      <c r="L3" s="6">
        <f xml:space="preserve"> $O$44</f>
        <v>-4455344.7531943796</v>
      </c>
      <c r="M3" s="6">
        <f xml:space="preserve"> $O$44</f>
        <v>-4455344.7531943796</v>
      </c>
      <c r="N3" s="6">
        <f xml:space="preserve"> $O$64</f>
        <v>-4455344.7531943796</v>
      </c>
      <c r="O3" s="6">
        <f xml:space="preserve"> $O$44</f>
        <v>-4455344.7531943796</v>
      </c>
      <c r="P3" s="6">
        <f xml:space="preserve"> $O$44</f>
        <v>-4455344.7531943796</v>
      </c>
      <c r="Q3" s="6">
        <f xml:space="preserve"> $O$44</f>
        <v>-4455344.7531943796</v>
      </c>
      <c r="R3" s="6">
        <f xml:space="preserve"> $O$44</f>
        <v>-4455344.7531943796</v>
      </c>
      <c r="S3" s="6">
        <f xml:space="preserve"> $O$44</f>
        <v>-4455344.7531943796</v>
      </c>
      <c r="T3" s="22" t="s">
        <v>7</v>
      </c>
      <c r="U3" s="23">
        <f>SUM(D4:S4)</f>
        <v>163413609</v>
      </c>
      <c r="X3" s="53">
        <v>2021</v>
      </c>
      <c r="Y3" s="56">
        <f>SUM(CÁLCULOS!A3:A4)</f>
        <v>346000</v>
      </c>
      <c r="Z3" s="57">
        <f>CÁLCULOS!$C9</f>
        <v>2112000</v>
      </c>
      <c r="AA3" s="59">
        <v>0</v>
      </c>
      <c r="AB3" s="69"/>
      <c r="AC3" s="69"/>
      <c r="AE3" s="69"/>
    </row>
    <row r="4" spans="2:31" x14ac:dyDescent="0.3">
      <c r="B4" s="94" t="s">
        <v>8</v>
      </c>
      <c r="C4" s="95"/>
      <c r="D4" s="5">
        <f>$O15</f>
        <v>0</v>
      </c>
      <c r="E4" s="5">
        <f>$O20</f>
        <v>0</v>
      </c>
      <c r="F4" s="5">
        <f>$O25</f>
        <v>0</v>
      </c>
      <c r="G4" s="5">
        <f>$O30</f>
        <v>0</v>
      </c>
      <c r="H4" s="5">
        <f>$O35</f>
        <v>0</v>
      </c>
      <c r="I4" s="7">
        <f>$O40</f>
        <v>0</v>
      </c>
      <c r="J4" s="7">
        <f>$O$45</f>
        <v>15600000</v>
      </c>
      <c r="K4" s="7">
        <f>$O$45</f>
        <v>15600000</v>
      </c>
      <c r="L4" s="7">
        <f>$O$45</f>
        <v>15600000</v>
      </c>
      <c r="M4" s="7">
        <f>O60</f>
        <v>23013609</v>
      </c>
      <c r="N4" s="7">
        <f>$O$65</f>
        <v>15600000</v>
      </c>
      <c r="O4" s="7">
        <f>$O$65</f>
        <v>15600000</v>
      </c>
      <c r="P4" s="7">
        <f>$O$65</f>
        <v>15600000</v>
      </c>
      <c r="Q4" s="7">
        <f>$O$65</f>
        <v>15600000</v>
      </c>
      <c r="R4" s="7">
        <f>$O$85</f>
        <v>15600000</v>
      </c>
      <c r="S4" s="7">
        <f>$O$85</f>
        <v>15600000</v>
      </c>
      <c r="T4" s="20" t="s">
        <v>9</v>
      </c>
      <c r="U4" s="21">
        <f>U3/U2</f>
        <v>2.5373583279416581</v>
      </c>
      <c r="X4" s="53">
        <v>2022</v>
      </c>
      <c r="Y4" s="56">
        <f>SUM(CÁLCULOS!A5:A6)</f>
        <v>411200</v>
      </c>
      <c r="Z4" s="57">
        <f>CÁLCULOS!$C9</f>
        <v>2112000</v>
      </c>
      <c r="AA4" s="59">
        <v>0</v>
      </c>
      <c r="AB4" s="69"/>
      <c r="AC4" s="69"/>
      <c r="AE4" s="69"/>
    </row>
    <row r="5" spans="2:31" x14ac:dyDescent="0.3">
      <c r="B5" s="88" t="s">
        <v>10</v>
      </c>
      <c r="C5" s="96"/>
      <c r="D5" s="71">
        <f t="shared" ref="D5:S5" si="0">D4+D3</f>
        <v>-2458000</v>
      </c>
      <c r="E5" s="71">
        <f t="shared" si="0"/>
        <v>-2523200</v>
      </c>
      <c r="F5" s="71">
        <f t="shared" si="0"/>
        <v>-2580000</v>
      </c>
      <c r="G5" s="71">
        <f t="shared" si="0"/>
        <v>-2517700</v>
      </c>
      <c r="H5" s="72">
        <f t="shared" si="0"/>
        <v>-2010700</v>
      </c>
      <c r="I5" s="73">
        <f t="shared" si="0"/>
        <v>-1760000</v>
      </c>
      <c r="J5" s="74">
        <f t="shared" si="0"/>
        <v>11144655.246805619</v>
      </c>
      <c r="K5" s="74">
        <f t="shared" si="0"/>
        <v>5144655.246805625</v>
      </c>
      <c r="L5" s="74">
        <f t="shared" si="0"/>
        <v>11144655.246805619</v>
      </c>
      <c r="M5" s="74">
        <f t="shared" si="0"/>
        <v>18558264.246805619</v>
      </c>
      <c r="N5" s="74">
        <f t="shared" si="0"/>
        <v>11144655.246805619</v>
      </c>
      <c r="O5" s="74">
        <f t="shared" si="0"/>
        <v>11144655.246805619</v>
      </c>
      <c r="P5" s="74">
        <f t="shared" si="0"/>
        <v>11144655.246805619</v>
      </c>
      <c r="Q5" s="74">
        <f t="shared" si="0"/>
        <v>11144655.246805619</v>
      </c>
      <c r="R5" s="74">
        <f t="shared" si="0"/>
        <v>11144655.246805619</v>
      </c>
      <c r="S5" s="74">
        <f t="shared" si="0"/>
        <v>11144655.246805619</v>
      </c>
      <c r="X5" s="53">
        <v>2023</v>
      </c>
      <c r="Y5" s="56">
        <f>SUM(CÁLCULOS!A7:A8)</f>
        <v>468000</v>
      </c>
      <c r="Z5" s="57">
        <f>CÁLCULOS!$C9</f>
        <v>2112000</v>
      </c>
      <c r="AA5" s="59">
        <v>0</v>
      </c>
      <c r="AB5" s="69"/>
      <c r="AC5" s="69"/>
      <c r="AE5" s="69"/>
    </row>
    <row r="6" spans="2:31" x14ac:dyDescent="0.3">
      <c r="T6" s="47"/>
      <c r="U6" s="47"/>
      <c r="V6" s="47"/>
      <c r="X6" s="53">
        <v>2024</v>
      </c>
      <c r="Y6" s="56">
        <f>SUM(CÁLCULOS!A9:A10)</f>
        <v>517700</v>
      </c>
      <c r="Z6" s="57">
        <f>CÁLCULOS!$D7</f>
        <v>1440000</v>
      </c>
      <c r="AA6" s="59">
        <v>0</v>
      </c>
      <c r="AB6" s="69"/>
      <c r="AC6" s="69"/>
      <c r="AE6" s="69"/>
    </row>
    <row r="7" spans="2:31" x14ac:dyDescent="0.3">
      <c r="B7" s="82" t="s">
        <v>1</v>
      </c>
      <c r="C7" s="83"/>
      <c r="D7" s="2">
        <v>2021</v>
      </c>
      <c r="E7" s="2">
        <v>2022</v>
      </c>
      <c r="F7" s="2">
        <v>2023</v>
      </c>
      <c r="G7" s="2">
        <v>2024</v>
      </c>
      <c r="H7" s="2">
        <v>2025</v>
      </c>
      <c r="I7" s="2">
        <v>2026</v>
      </c>
      <c r="J7" s="2">
        <v>2027</v>
      </c>
      <c r="K7" s="2">
        <v>2028</v>
      </c>
      <c r="L7" s="2">
        <v>2029</v>
      </c>
      <c r="M7" s="2">
        <v>2030</v>
      </c>
      <c r="N7" s="2">
        <v>2031</v>
      </c>
      <c r="O7" s="2">
        <v>2032</v>
      </c>
      <c r="P7" s="2">
        <v>2033</v>
      </c>
      <c r="Q7" s="2">
        <v>2034</v>
      </c>
      <c r="R7" s="2">
        <v>2035</v>
      </c>
      <c r="S7" s="2">
        <v>2036</v>
      </c>
      <c r="T7" s="47"/>
      <c r="U7" s="47"/>
      <c r="V7" s="47"/>
      <c r="X7" s="53">
        <v>2025</v>
      </c>
      <c r="Y7" s="56">
        <f>SUM(CÁLCULOS!A11:A12)</f>
        <v>570700</v>
      </c>
      <c r="Z7" s="57">
        <f>CÁLCULOS!$D7</f>
        <v>1440000</v>
      </c>
      <c r="AA7" s="59">
        <v>0</v>
      </c>
      <c r="AB7" s="69"/>
      <c r="AC7" s="69"/>
      <c r="AE7" s="69"/>
    </row>
    <row r="8" spans="2:31" x14ac:dyDescent="0.3">
      <c r="B8" s="88" t="s">
        <v>10</v>
      </c>
      <c r="C8" s="89"/>
      <c r="D8" s="75">
        <f t="shared" ref="D8:I8" si="1">D5</f>
        <v>-2458000</v>
      </c>
      <c r="E8" s="75">
        <f t="shared" si="1"/>
        <v>-2523200</v>
      </c>
      <c r="F8" s="75">
        <f t="shared" si="1"/>
        <v>-2580000</v>
      </c>
      <c r="G8" s="75">
        <f t="shared" si="1"/>
        <v>-2517700</v>
      </c>
      <c r="H8" s="75">
        <f t="shared" si="1"/>
        <v>-2010700</v>
      </c>
      <c r="I8" s="75">
        <f t="shared" si="1"/>
        <v>-1760000</v>
      </c>
      <c r="J8" s="76">
        <f>J5*1.1236</f>
        <v>12522134.635310793</v>
      </c>
      <c r="K8" s="76">
        <f>K5*1.1</f>
        <v>5659120.7714861883</v>
      </c>
      <c r="L8" s="76">
        <f>L5*1.07</f>
        <v>11924781.114082014</v>
      </c>
      <c r="M8" s="76">
        <f>M5*1.06</f>
        <v>19671760.101613957</v>
      </c>
      <c r="N8" s="76">
        <f>N5*1.06</f>
        <v>11813334.561613956</v>
      </c>
      <c r="O8" s="76">
        <f>O5*1.06</f>
        <v>11813334.561613956</v>
      </c>
      <c r="P8" s="76">
        <f>P5*(1+$R$25)</f>
        <v>11813334.561613956</v>
      </c>
      <c r="Q8" s="76">
        <f>Q5*1.06</f>
        <v>11813334.561613956</v>
      </c>
      <c r="R8" s="76">
        <f>R5*1.06</f>
        <v>11813334.561613956</v>
      </c>
      <c r="S8" s="76">
        <f>S5*1.06</f>
        <v>11813334.561613956</v>
      </c>
      <c r="T8" s="47"/>
      <c r="U8" s="47"/>
      <c r="V8" s="47"/>
      <c r="X8" s="53">
        <v>2026</v>
      </c>
      <c r="Y8" s="56">
        <f>CÁLCULOS!$A13</f>
        <v>320000</v>
      </c>
      <c r="Z8" s="57">
        <f>CÁLCULOS!$D7</f>
        <v>1440000</v>
      </c>
      <c r="AA8" s="59">
        <v>0</v>
      </c>
      <c r="AB8" s="69"/>
      <c r="AC8" s="69"/>
      <c r="AE8" s="69"/>
    </row>
    <row r="9" spans="2:31" x14ac:dyDescent="0.3">
      <c r="H9" s="36"/>
      <c r="T9" s="47"/>
      <c r="U9" s="47"/>
      <c r="V9" s="47"/>
      <c r="X9" s="53">
        <v>2027</v>
      </c>
      <c r="Y9" s="56">
        <f>R19</f>
        <v>3015344.7531943792</v>
      </c>
      <c r="Z9" s="57">
        <f>CÁLCULOS!$D7</f>
        <v>1440000</v>
      </c>
      <c r="AA9" s="59">
        <v>1300000</v>
      </c>
      <c r="AB9" s="69"/>
      <c r="AC9" s="69"/>
      <c r="AE9" s="69"/>
    </row>
    <row r="10" spans="2:31" x14ac:dyDescent="0.3">
      <c r="B10" s="8" t="s">
        <v>11</v>
      </c>
      <c r="C10" s="9">
        <v>5.1999999999999998E-2</v>
      </c>
      <c r="D10" s="34"/>
      <c r="H10" s="10" t="s">
        <v>12</v>
      </c>
      <c r="J10" s="77"/>
      <c r="K10" s="97"/>
      <c r="L10" s="97"/>
      <c r="M10" s="97"/>
      <c r="N10" s="97"/>
      <c r="Q10" s="30"/>
      <c r="R10" s="30"/>
      <c r="S10" s="30"/>
      <c r="T10" s="47"/>
      <c r="U10" s="47"/>
      <c r="V10" s="47"/>
      <c r="X10" s="53">
        <v>2028</v>
      </c>
      <c r="Y10" s="56">
        <f>R19</f>
        <v>3015344.7531943792</v>
      </c>
      <c r="Z10" s="57">
        <f>CÁLCULOS!$D7</f>
        <v>1440000</v>
      </c>
      <c r="AA10" s="59">
        <v>1300000</v>
      </c>
      <c r="AB10" s="69"/>
      <c r="AC10" s="69"/>
      <c r="AE10" s="69"/>
    </row>
    <row r="11" spans="2:31" x14ac:dyDescent="0.3">
      <c r="B11" s="11" t="s">
        <v>13</v>
      </c>
      <c r="C11" s="12">
        <f>NPV(C10,D8:S8)</f>
        <v>56099376.288683333</v>
      </c>
      <c r="D11" s="32"/>
      <c r="E11" s="33"/>
      <c r="F11" s="35"/>
      <c r="G11" s="36"/>
      <c r="H11" s="13">
        <f>IRR(D8:S8)</f>
        <v>0.331504948876165</v>
      </c>
      <c r="I11" s="36"/>
      <c r="J11" s="14"/>
      <c r="K11" s="14"/>
      <c r="T11" s="47"/>
      <c r="U11" s="47"/>
      <c r="V11" s="47"/>
      <c r="X11" s="53">
        <v>2029</v>
      </c>
      <c r="Y11" s="56">
        <f>R19</f>
        <v>3015344.7531943792</v>
      </c>
      <c r="Z11" s="57">
        <f>CÁLCULOS!$D7</f>
        <v>1440000</v>
      </c>
      <c r="AA11" s="59">
        <v>1300000</v>
      </c>
      <c r="AB11" s="69"/>
      <c r="AC11" s="69"/>
      <c r="AE11" s="69"/>
    </row>
    <row r="12" spans="2:31" x14ac:dyDescent="0.3">
      <c r="C12" s="35"/>
      <c r="D12" s="32"/>
      <c r="E12" s="32"/>
      <c r="F12" s="32"/>
      <c r="G12" s="32"/>
      <c r="H12" s="32"/>
      <c r="I12" s="32"/>
      <c r="J12" s="33"/>
      <c r="K12" s="33"/>
      <c r="T12" s="47"/>
      <c r="U12" s="47"/>
      <c r="V12" s="47"/>
      <c r="X12" s="53">
        <v>2030</v>
      </c>
      <c r="Y12" s="56">
        <f>R19</f>
        <v>3015344.7531943792</v>
      </c>
      <c r="Z12" s="57">
        <f>CÁLCULOS!$D7</f>
        <v>1440000</v>
      </c>
      <c r="AA12" s="59">
        <v>1300000</v>
      </c>
      <c r="AB12" s="69"/>
      <c r="AC12" s="69"/>
      <c r="AE12" s="69"/>
    </row>
    <row r="13" spans="2:31" x14ac:dyDescent="0.3">
      <c r="B13" s="15" t="s">
        <v>14</v>
      </c>
      <c r="C13" s="15" t="s">
        <v>15</v>
      </c>
      <c r="D13" s="15" t="s">
        <v>16</v>
      </c>
      <c r="E13" s="15" t="s">
        <v>17</v>
      </c>
      <c r="F13" s="15" t="s">
        <v>18</v>
      </c>
      <c r="G13" s="15" t="s">
        <v>19</v>
      </c>
      <c r="H13" s="15" t="s">
        <v>20</v>
      </c>
      <c r="I13" s="15" t="s">
        <v>21</v>
      </c>
      <c r="J13" s="15" t="s">
        <v>22</v>
      </c>
      <c r="K13" s="15" t="s">
        <v>23</v>
      </c>
      <c r="L13" s="15" t="s">
        <v>24</v>
      </c>
      <c r="M13" s="15" t="s">
        <v>25</v>
      </c>
      <c r="N13" s="15" t="s">
        <v>26</v>
      </c>
      <c r="O13" s="15" t="s">
        <v>27</v>
      </c>
      <c r="Q13" s="17" t="s">
        <v>28</v>
      </c>
      <c r="R13" s="26">
        <v>13289600</v>
      </c>
      <c r="S13" s="1"/>
      <c r="T13" s="47"/>
      <c r="U13" s="17" t="s">
        <v>29</v>
      </c>
      <c r="V13" s="17" t="s">
        <v>12</v>
      </c>
      <c r="X13" s="62">
        <v>2031</v>
      </c>
      <c r="Y13" s="63">
        <f>R19</f>
        <v>3015344.7531943792</v>
      </c>
      <c r="Z13" s="64">
        <f>CÁLCULOS!$D7</f>
        <v>1440000</v>
      </c>
      <c r="AA13" s="59">
        <v>1300000</v>
      </c>
      <c r="AB13" s="69"/>
      <c r="AC13" s="69"/>
      <c r="AE13" s="69"/>
    </row>
    <row r="14" spans="2:31" x14ac:dyDescent="0.3">
      <c r="B14" s="15" t="s">
        <v>6</v>
      </c>
      <c r="C14" s="16">
        <f xml:space="preserve"> -(S44)</f>
        <v>-176000</v>
      </c>
      <c r="D14" s="16">
        <f xml:space="preserve"> -(Q34+S44)</f>
        <v>-349000</v>
      </c>
      <c r="E14" s="16">
        <f xml:space="preserve"> -(S44)</f>
        <v>-176000</v>
      </c>
      <c r="F14" s="16">
        <f xml:space="preserve"> -(S44)</f>
        <v>-176000</v>
      </c>
      <c r="G14" s="16">
        <f xml:space="preserve"> -(S44)</f>
        <v>-176000</v>
      </c>
      <c r="H14" s="16">
        <f xml:space="preserve"> -(S44)</f>
        <v>-176000</v>
      </c>
      <c r="I14" s="16">
        <f xml:space="preserve"> -(S44)</f>
        <v>-176000</v>
      </c>
      <c r="J14" s="16">
        <f xml:space="preserve"> -(Q35+S44)</f>
        <v>-349000</v>
      </c>
      <c r="K14" s="16">
        <f xml:space="preserve"> -(S44)</f>
        <v>-176000</v>
      </c>
      <c r="L14" s="16">
        <f xml:space="preserve"> -(S44)</f>
        <v>-176000</v>
      </c>
      <c r="M14" s="16">
        <f xml:space="preserve"> -(S44)</f>
        <v>-176000</v>
      </c>
      <c r="N14" s="16">
        <f xml:space="preserve"> -(S44)</f>
        <v>-176000</v>
      </c>
      <c r="O14" s="79">
        <f>SUM(C14:N14)</f>
        <v>-2458000</v>
      </c>
      <c r="Q14" s="17" t="s">
        <v>30</v>
      </c>
      <c r="R14" s="27">
        <v>5.1999999999999998E-2</v>
      </c>
      <c r="T14" s="47"/>
      <c r="U14" s="17" t="s">
        <v>31</v>
      </c>
      <c r="V14" s="31" t="e">
        <f>IRR($D$8:D8)</f>
        <v>#NUM!</v>
      </c>
      <c r="X14" s="65">
        <v>2032</v>
      </c>
      <c r="Y14" s="59">
        <f>R19</f>
        <v>3015344.7531943792</v>
      </c>
      <c r="Z14" s="66">
        <f>CÁLCULOS!$D7</f>
        <v>1440000</v>
      </c>
      <c r="AA14" s="59">
        <v>1300000</v>
      </c>
      <c r="AB14" s="69"/>
      <c r="AC14" s="69"/>
      <c r="AE14" s="69"/>
    </row>
    <row r="15" spans="2:31" x14ac:dyDescent="0.3">
      <c r="B15" s="15" t="s">
        <v>8</v>
      </c>
      <c r="C15" s="5">
        <f>0</f>
        <v>0</v>
      </c>
      <c r="D15" s="5">
        <f>0</f>
        <v>0</v>
      </c>
      <c r="E15" s="5">
        <f>0</f>
        <v>0</v>
      </c>
      <c r="F15" s="5">
        <f>0</f>
        <v>0</v>
      </c>
      <c r="G15" s="5">
        <f>0</f>
        <v>0</v>
      </c>
      <c r="H15" s="5">
        <f>0</f>
        <v>0</v>
      </c>
      <c r="I15" s="5">
        <f>0</f>
        <v>0</v>
      </c>
      <c r="J15" s="5">
        <f>0</f>
        <v>0</v>
      </c>
      <c r="K15" s="5">
        <f>0</f>
        <v>0</v>
      </c>
      <c r="L15" s="5">
        <f>0</f>
        <v>0</v>
      </c>
      <c r="M15" s="5">
        <f>0</f>
        <v>0</v>
      </c>
      <c r="N15" s="5">
        <f>0</f>
        <v>0</v>
      </c>
      <c r="O15" s="5">
        <f>SUM(C15:N15)</f>
        <v>0</v>
      </c>
      <c r="Q15" s="17" t="s">
        <v>32</v>
      </c>
      <c r="R15" s="28">
        <f>((1+R14)^(1/12)-1)*100</f>
        <v>0.42333616592649115</v>
      </c>
      <c r="T15" s="47"/>
      <c r="U15" s="17" t="s">
        <v>33</v>
      </c>
      <c r="V15" s="31" t="e">
        <f>IRR($D$8:E8)</f>
        <v>#NUM!</v>
      </c>
      <c r="W15" s="47"/>
      <c r="X15" s="59" t="s">
        <v>27</v>
      </c>
      <c r="Y15" s="59">
        <f>SUM(Y3:Y8)</f>
        <v>2633600</v>
      </c>
      <c r="Z15" s="66">
        <f>SUM(Z3:Z8)</f>
        <v>10656000</v>
      </c>
      <c r="AA15" s="59"/>
      <c r="AB15" s="69"/>
      <c r="AC15" s="69"/>
      <c r="AE15" s="69"/>
    </row>
    <row r="16" spans="2:31" x14ac:dyDescent="0.3">
      <c r="B16" s="17" t="s">
        <v>10</v>
      </c>
      <c r="C16" s="18">
        <f t="shared" ref="C16:N16" si="2">C15+C14</f>
        <v>-176000</v>
      </c>
      <c r="D16" s="18">
        <f t="shared" si="2"/>
        <v>-349000</v>
      </c>
      <c r="E16" s="18">
        <f t="shared" si="2"/>
        <v>-176000</v>
      </c>
      <c r="F16" s="18">
        <f t="shared" si="2"/>
        <v>-176000</v>
      </c>
      <c r="G16" s="18">
        <f t="shared" si="2"/>
        <v>-176000</v>
      </c>
      <c r="H16" s="18">
        <f t="shared" si="2"/>
        <v>-176000</v>
      </c>
      <c r="I16" s="18">
        <f t="shared" si="2"/>
        <v>-176000</v>
      </c>
      <c r="J16" s="18">
        <f t="shared" si="2"/>
        <v>-349000</v>
      </c>
      <c r="K16" s="18">
        <f t="shared" si="2"/>
        <v>-176000</v>
      </c>
      <c r="L16" s="18">
        <f t="shared" si="2"/>
        <v>-176000</v>
      </c>
      <c r="M16" s="18">
        <f t="shared" si="2"/>
        <v>-176000</v>
      </c>
      <c r="N16" s="18">
        <f t="shared" si="2"/>
        <v>-176000</v>
      </c>
      <c r="O16" s="19"/>
      <c r="Q16" s="17" t="s">
        <v>34</v>
      </c>
      <c r="R16" s="26">
        <v>5</v>
      </c>
      <c r="T16" s="47"/>
      <c r="U16" s="17" t="s">
        <v>35</v>
      </c>
      <c r="V16" s="31" t="e">
        <f>IRR($D$8:F8)</f>
        <v>#NUM!</v>
      </c>
      <c r="W16" s="47"/>
      <c r="X16" s="30"/>
    </row>
    <row r="17" spans="2:33" x14ac:dyDescent="0.3">
      <c r="Q17" s="17" t="s">
        <v>36</v>
      </c>
      <c r="R17" s="26">
        <v>60</v>
      </c>
      <c r="T17" s="47"/>
      <c r="U17" s="17" t="s">
        <v>37</v>
      </c>
      <c r="V17" s="31" t="e">
        <f>IRR($D$8:G8)</f>
        <v>#NUM!</v>
      </c>
      <c r="W17" s="47"/>
      <c r="X17" s="30"/>
    </row>
    <row r="18" spans="2:33" x14ac:dyDescent="0.3">
      <c r="B18" s="15" t="s">
        <v>38</v>
      </c>
      <c r="C18" s="15" t="s">
        <v>15</v>
      </c>
      <c r="D18" s="15" t="s">
        <v>16</v>
      </c>
      <c r="E18" s="15" t="s">
        <v>17</v>
      </c>
      <c r="F18" s="15" t="s">
        <v>18</v>
      </c>
      <c r="G18" s="15" t="s">
        <v>19</v>
      </c>
      <c r="H18" s="15" t="s">
        <v>20</v>
      </c>
      <c r="I18" s="15" t="s">
        <v>21</v>
      </c>
      <c r="J18" s="15" t="s">
        <v>22</v>
      </c>
      <c r="K18" s="15" t="s">
        <v>23</v>
      </c>
      <c r="L18" s="15" t="s">
        <v>24</v>
      </c>
      <c r="M18" s="15" t="s">
        <v>25</v>
      </c>
      <c r="N18" s="15" t="s">
        <v>26</v>
      </c>
      <c r="O18" s="15" t="s">
        <v>27</v>
      </c>
      <c r="Q18" s="17" t="s">
        <v>39</v>
      </c>
      <c r="R18" s="28">
        <f>((R13*R15/100)/(1-(1+R15/100)^(-R17)))</f>
        <v>251278.72943286493</v>
      </c>
      <c r="S18" s="1"/>
      <c r="T18" s="47"/>
      <c r="U18" s="17" t="s">
        <v>40</v>
      </c>
      <c r="V18" s="31" t="e">
        <f>IRR($D$8:H$8)</f>
        <v>#NUM!</v>
      </c>
      <c r="W18" s="47"/>
      <c r="X18" s="30"/>
    </row>
    <row r="19" spans="2:33" x14ac:dyDescent="0.3">
      <c r="B19" s="15" t="s">
        <v>6</v>
      </c>
      <c r="C19" s="16">
        <f xml:space="preserve"> -(S44)</f>
        <v>-176000</v>
      </c>
      <c r="D19" s="16">
        <f xml:space="preserve"> -(Q36+S44)</f>
        <v>-366200</v>
      </c>
      <c r="E19" s="16">
        <f xml:space="preserve"> -(S44)</f>
        <v>-176000</v>
      </c>
      <c r="F19" s="16">
        <f xml:space="preserve"> -(S44)</f>
        <v>-176000</v>
      </c>
      <c r="G19" s="16">
        <f xml:space="preserve"> -(S44)</f>
        <v>-176000</v>
      </c>
      <c r="H19" s="16">
        <f xml:space="preserve"> -(S44)</f>
        <v>-176000</v>
      </c>
      <c r="I19" s="16">
        <f xml:space="preserve"> -(S44)</f>
        <v>-176000</v>
      </c>
      <c r="J19" s="16">
        <f xml:space="preserve"> -(Q37+S44)</f>
        <v>-397000</v>
      </c>
      <c r="K19" s="16">
        <f xml:space="preserve"> -(S44)</f>
        <v>-176000</v>
      </c>
      <c r="L19" s="16">
        <f xml:space="preserve"> -(S44)</f>
        <v>-176000</v>
      </c>
      <c r="M19" s="16">
        <f xml:space="preserve"> -(S44)</f>
        <v>-176000</v>
      </c>
      <c r="N19" s="16">
        <f xml:space="preserve"> -(S44)</f>
        <v>-176000</v>
      </c>
      <c r="O19" s="79">
        <f>SUM(C19:N19)</f>
        <v>-2523200</v>
      </c>
      <c r="Q19" s="17" t="s">
        <v>41</v>
      </c>
      <c r="R19" s="26">
        <f>12*R18</f>
        <v>3015344.7531943792</v>
      </c>
      <c r="U19" s="17" t="s">
        <v>42</v>
      </c>
      <c r="V19" s="31" t="e">
        <f>IRR($D$8:I$8)</f>
        <v>#NUM!</v>
      </c>
    </row>
    <row r="20" spans="2:33" ht="15.6" x14ac:dyDescent="0.3">
      <c r="B20" s="15" t="s">
        <v>8</v>
      </c>
      <c r="C20" s="5">
        <f>0</f>
        <v>0</v>
      </c>
      <c r="D20" s="5">
        <f>0</f>
        <v>0</v>
      </c>
      <c r="E20" s="5">
        <f>0</f>
        <v>0</v>
      </c>
      <c r="F20" s="5">
        <f>0</f>
        <v>0</v>
      </c>
      <c r="G20" s="5">
        <f>0</f>
        <v>0</v>
      </c>
      <c r="H20" s="5">
        <f>0</f>
        <v>0</v>
      </c>
      <c r="I20" s="5">
        <f>0</f>
        <v>0</v>
      </c>
      <c r="J20" s="5">
        <f>0</f>
        <v>0</v>
      </c>
      <c r="K20" s="5">
        <f>0</f>
        <v>0</v>
      </c>
      <c r="L20" s="5">
        <f>0</f>
        <v>0</v>
      </c>
      <c r="M20" s="5">
        <f>0</f>
        <v>0</v>
      </c>
      <c r="N20" s="5">
        <f>0</f>
        <v>0</v>
      </c>
      <c r="O20" s="5">
        <f>SUM(C20:N20)</f>
        <v>0</v>
      </c>
      <c r="R20" s="38"/>
      <c r="U20" s="17" t="s">
        <v>43</v>
      </c>
      <c r="V20" s="31">
        <f>IRR($D$8:J$8)</f>
        <v>-2.72539995675255E-2</v>
      </c>
      <c r="X20" s="48"/>
      <c r="Y20" s="48"/>
      <c r="Z20" s="48"/>
      <c r="AA20" s="48"/>
      <c r="AB20" s="48"/>
      <c r="AC20" s="48"/>
      <c r="AD20" s="48"/>
      <c r="AE20" s="48"/>
      <c r="AF20" s="48"/>
      <c r="AG20" s="48"/>
    </row>
    <row r="21" spans="2:33" x14ac:dyDescent="0.3">
      <c r="B21" s="17" t="s">
        <v>10</v>
      </c>
      <c r="C21" s="18">
        <f t="shared" ref="C21:N21" si="3">C20+C19</f>
        <v>-176000</v>
      </c>
      <c r="D21" s="18">
        <f t="shared" si="3"/>
        <v>-366200</v>
      </c>
      <c r="E21" s="18">
        <f t="shared" si="3"/>
        <v>-176000</v>
      </c>
      <c r="F21" s="18">
        <f t="shared" si="3"/>
        <v>-176000</v>
      </c>
      <c r="G21" s="18">
        <f t="shared" si="3"/>
        <v>-176000</v>
      </c>
      <c r="H21" s="18">
        <f t="shared" si="3"/>
        <v>-176000</v>
      </c>
      <c r="I21" s="18">
        <f t="shared" si="3"/>
        <v>-176000</v>
      </c>
      <c r="J21" s="18">
        <f t="shared" si="3"/>
        <v>-397000</v>
      </c>
      <c r="K21" s="18">
        <f t="shared" si="3"/>
        <v>-176000</v>
      </c>
      <c r="L21" s="18">
        <f t="shared" si="3"/>
        <v>-176000</v>
      </c>
      <c r="M21" s="18">
        <f t="shared" si="3"/>
        <v>-176000</v>
      </c>
      <c r="N21" s="18">
        <f t="shared" si="3"/>
        <v>-176000</v>
      </c>
      <c r="O21" s="19"/>
      <c r="Q21" s="17" t="s">
        <v>1</v>
      </c>
      <c r="R21" s="17" t="s">
        <v>44</v>
      </c>
      <c r="U21" s="17" t="s">
        <v>45</v>
      </c>
      <c r="V21" s="31">
        <f>IRR($D$8:K$8)</f>
        <v>6.9019320656748429E-2</v>
      </c>
      <c r="X21" s="48"/>
      <c r="Y21" s="48" t="s">
        <v>46</v>
      </c>
      <c r="Z21" s="48"/>
      <c r="AA21" s="48"/>
      <c r="AB21" s="48"/>
      <c r="AC21" s="48"/>
      <c r="AD21" s="48"/>
      <c r="AE21" s="48"/>
      <c r="AF21" s="48"/>
      <c r="AG21" s="48"/>
    </row>
    <row r="22" spans="2:33" x14ac:dyDescent="0.3">
      <c r="Q22" s="26">
        <v>2027</v>
      </c>
      <c r="R22" s="29">
        <v>0.1236</v>
      </c>
      <c r="U22" s="17" t="s">
        <v>47</v>
      </c>
      <c r="V22" s="31">
        <f>IRR($D$8:L$8)</f>
        <v>0.17508881966779843</v>
      </c>
      <c r="X22" s="48" t="s">
        <v>48</v>
      </c>
      <c r="Y22" s="48">
        <f>SUM(Y15:Z15)</f>
        <v>13289600</v>
      </c>
      <c r="Z22" s="48"/>
      <c r="AA22" s="48"/>
      <c r="AB22" s="48"/>
      <c r="AC22" s="48"/>
      <c r="AD22" s="48"/>
      <c r="AE22" s="48"/>
      <c r="AF22" s="48"/>
      <c r="AG22" s="48"/>
    </row>
    <row r="23" spans="2:33" x14ac:dyDescent="0.3">
      <c r="B23" s="15" t="s">
        <v>49</v>
      </c>
      <c r="C23" s="15" t="s">
        <v>15</v>
      </c>
      <c r="D23" s="15" t="s">
        <v>16</v>
      </c>
      <c r="E23" s="15" t="s">
        <v>17</v>
      </c>
      <c r="F23" s="15" t="s">
        <v>18</v>
      </c>
      <c r="G23" s="15" t="s">
        <v>19</v>
      </c>
      <c r="H23" s="15" t="s">
        <v>20</v>
      </c>
      <c r="I23" s="15" t="s">
        <v>21</v>
      </c>
      <c r="J23" s="15" t="s">
        <v>22</v>
      </c>
      <c r="K23" s="15" t="s">
        <v>23</v>
      </c>
      <c r="L23" s="15" t="s">
        <v>24</v>
      </c>
      <c r="M23" s="15" t="s">
        <v>25</v>
      </c>
      <c r="N23" s="15" t="s">
        <v>26</v>
      </c>
      <c r="O23" s="15" t="s">
        <v>27</v>
      </c>
      <c r="Q23" s="26">
        <v>2028</v>
      </c>
      <c r="R23" s="29">
        <v>0.1</v>
      </c>
      <c r="U23" s="17" t="s">
        <v>50</v>
      </c>
      <c r="V23" s="31">
        <f>IRR($D$8:M$8)</f>
        <v>0.25719696500903644</v>
      </c>
      <c r="X23" s="48"/>
      <c r="Y23" s="48"/>
      <c r="Z23" s="48"/>
      <c r="AA23" s="48"/>
      <c r="AB23" s="48"/>
      <c r="AC23" s="48"/>
      <c r="AD23" s="48"/>
      <c r="AE23" s="48"/>
      <c r="AF23" s="48"/>
      <c r="AG23" s="48"/>
    </row>
    <row r="24" spans="2:33" x14ac:dyDescent="0.3">
      <c r="B24" s="15" t="s">
        <v>6</v>
      </c>
      <c r="C24" s="16">
        <f xml:space="preserve"> -(S44)</f>
        <v>-176000</v>
      </c>
      <c r="D24" s="16">
        <f xml:space="preserve"> -(Q38+S44)</f>
        <v>-397000</v>
      </c>
      <c r="E24" s="16">
        <f xml:space="preserve"> -(S44)</f>
        <v>-176000</v>
      </c>
      <c r="F24" s="16">
        <f xml:space="preserve"> -(S44)</f>
        <v>-176000</v>
      </c>
      <c r="G24" s="16">
        <f xml:space="preserve"> -(S44)</f>
        <v>-176000</v>
      </c>
      <c r="H24" s="16">
        <f xml:space="preserve"> -(S44)</f>
        <v>-176000</v>
      </c>
      <c r="I24" s="16">
        <f xml:space="preserve"> -(S44)</f>
        <v>-176000</v>
      </c>
      <c r="J24" s="16">
        <f xml:space="preserve"> -(Q39+S44)</f>
        <v>-423000</v>
      </c>
      <c r="K24" s="16">
        <f xml:space="preserve"> -(S44)</f>
        <v>-176000</v>
      </c>
      <c r="L24" s="16">
        <f xml:space="preserve"> -(S44)</f>
        <v>-176000</v>
      </c>
      <c r="M24" s="16">
        <f xml:space="preserve"> -(S44)</f>
        <v>-176000</v>
      </c>
      <c r="N24" s="16">
        <f xml:space="preserve"> -(S44)</f>
        <v>-176000</v>
      </c>
      <c r="O24" s="79">
        <f>SUM(C24:N24)</f>
        <v>-2580000</v>
      </c>
      <c r="Q24" s="26">
        <v>2029</v>
      </c>
      <c r="R24" s="29">
        <v>7.0000000000000007E-2</v>
      </c>
      <c r="U24" s="17" t="s">
        <v>51</v>
      </c>
      <c r="V24" s="31">
        <f>IRR($D$8:N$8)</f>
        <v>0.28436127783310616</v>
      </c>
      <c r="X24" s="48"/>
      <c r="Y24" s="48"/>
      <c r="Z24" s="48"/>
      <c r="AA24" s="48"/>
      <c r="AB24" s="48"/>
      <c r="AC24" s="48"/>
      <c r="AD24" s="48"/>
      <c r="AE24" s="48"/>
      <c r="AF24" s="48"/>
      <c r="AG24" s="48"/>
    </row>
    <row r="25" spans="2:33" x14ac:dyDescent="0.3">
      <c r="B25" s="15" t="s">
        <v>8</v>
      </c>
      <c r="C25" s="5">
        <f>0</f>
        <v>0</v>
      </c>
      <c r="D25" s="5">
        <f>0</f>
        <v>0</v>
      </c>
      <c r="E25" s="5">
        <f>0</f>
        <v>0</v>
      </c>
      <c r="F25" s="5">
        <f>0</f>
        <v>0</v>
      </c>
      <c r="G25" s="5">
        <f>0</f>
        <v>0</v>
      </c>
      <c r="H25" s="5">
        <f>0</f>
        <v>0</v>
      </c>
      <c r="I25" s="5">
        <f>0</f>
        <v>0</v>
      </c>
      <c r="J25" s="5">
        <f>0</f>
        <v>0</v>
      </c>
      <c r="K25" s="5">
        <f>0</f>
        <v>0</v>
      </c>
      <c r="L25" s="5">
        <f>0</f>
        <v>0</v>
      </c>
      <c r="M25" s="5">
        <f>0</f>
        <v>0</v>
      </c>
      <c r="N25" s="5">
        <f>0</f>
        <v>0</v>
      </c>
      <c r="O25" s="5">
        <f>SUM(C25:N25)</f>
        <v>0</v>
      </c>
      <c r="Q25" s="26">
        <v>2030</v>
      </c>
      <c r="R25" s="29">
        <v>0.06</v>
      </c>
      <c r="U25" s="17" t="s">
        <v>52</v>
      </c>
      <c r="V25" s="31">
        <f>IRR($D$8:O$8)</f>
        <v>0.30198808540822109</v>
      </c>
      <c r="X25" s="48"/>
      <c r="Y25" s="48"/>
      <c r="Z25" s="48"/>
      <c r="AA25" s="48"/>
      <c r="AB25" s="48"/>
      <c r="AC25" s="48"/>
      <c r="AD25" s="48"/>
      <c r="AE25" s="48"/>
      <c r="AF25" s="48"/>
      <c r="AG25" s="48"/>
    </row>
    <row r="26" spans="2:33" x14ac:dyDescent="0.3">
      <c r="B26" s="17" t="s">
        <v>10</v>
      </c>
      <c r="C26" s="18">
        <f t="shared" ref="C26:N26" si="4">C25+C24</f>
        <v>-176000</v>
      </c>
      <c r="D26" s="18">
        <f t="shared" si="4"/>
        <v>-397000</v>
      </c>
      <c r="E26" s="18">
        <f t="shared" si="4"/>
        <v>-176000</v>
      </c>
      <c r="F26" s="18">
        <f t="shared" si="4"/>
        <v>-176000</v>
      </c>
      <c r="G26" s="18">
        <f t="shared" si="4"/>
        <v>-176000</v>
      </c>
      <c r="H26" s="18">
        <f t="shared" si="4"/>
        <v>-176000</v>
      </c>
      <c r="I26" s="18">
        <f t="shared" si="4"/>
        <v>-176000</v>
      </c>
      <c r="J26" s="18">
        <f t="shared" si="4"/>
        <v>-423000</v>
      </c>
      <c r="K26" s="18">
        <f t="shared" si="4"/>
        <v>-176000</v>
      </c>
      <c r="L26" s="18">
        <f t="shared" si="4"/>
        <v>-176000</v>
      </c>
      <c r="M26" s="18">
        <f t="shared" si="4"/>
        <v>-176000</v>
      </c>
      <c r="N26" s="18">
        <f t="shared" si="4"/>
        <v>-176000</v>
      </c>
      <c r="O26" s="19"/>
      <c r="Q26" s="26">
        <v>2031</v>
      </c>
      <c r="R26" s="29">
        <v>0.06</v>
      </c>
      <c r="U26" s="17" t="s">
        <v>53</v>
      </c>
      <c r="V26" s="31">
        <f>IRR($D$8:P$8)</f>
        <v>0.31378854907086295</v>
      </c>
      <c r="W26" s="44"/>
      <c r="X26" s="48"/>
      <c r="Y26" s="48"/>
      <c r="Z26" s="48"/>
      <c r="AA26" s="48"/>
      <c r="AB26" s="48"/>
      <c r="AC26" s="48"/>
      <c r="AD26" s="48"/>
      <c r="AE26" s="48"/>
      <c r="AF26" s="48"/>
      <c r="AG26" s="48"/>
    </row>
    <row r="27" spans="2:33" x14ac:dyDescent="0.3">
      <c r="Q27" s="26">
        <v>2032</v>
      </c>
      <c r="R27" s="29">
        <v>0.06</v>
      </c>
      <c r="U27" s="17" t="s">
        <v>54</v>
      </c>
      <c r="V27" s="31">
        <f>IRR($D$8:Q$8)</f>
        <v>0.32187491954705649</v>
      </c>
      <c r="W27" s="45"/>
      <c r="X27" s="48"/>
      <c r="Y27" s="48"/>
      <c r="Z27" s="48"/>
      <c r="AA27" s="48"/>
      <c r="AB27" s="48"/>
      <c r="AC27" s="48"/>
      <c r="AD27" s="48"/>
      <c r="AE27" s="48"/>
      <c r="AF27" s="48"/>
      <c r="AG27" s="48"/>
    </row>
    <row r="28" spans="2:33" x14ac:dyDescent="0.3">
      <c r="B28" s="15" t="s">
        <v>55</v>
      </c>
      <c r="C28" s="15" t="s">
        <v>15</v>
      </c>
      <c r="D28" s="15" t="s">
        <v>16</v>
      </c>
      <c r="E28" s="15" t="s">
        <v>17</v>
      </c>
      <c r="F28" s="15" t="s">
        <v>18</v>
      </c>
      <c r="G28" s="15" t="s">
        <v>19</v>
      </c>
      <c r="H28" s="15" t="s">
        <v>20</v>
      </c>
      <c r="I28" s="15" t="s">
        <v>21</v>
      </c>
      <c r="J28" s="15" t="s">
        <v>22</v>
      </c>
      <c r="K28" s="15" t="s">
        <v>23</v>
      </c>
      <c r="L28" s="15" t="s">
        <v>24</v>
      </c>
      <c r="M28" s="15" t="s">
        <v>25</v>
      </c>
      <c r="N28" s="15" t="s">
        <v>26</v>
      </c>
      <c r="O28" s="15" t="s">
        <v>27</v>
      </c>
      <c r="Q28" s="26">
        <v>2033</v>
      </c>
      <c r="R28" s="29">
        <v>0.06</v>
      </c>
      <c r="U28" s="17" t="s">
        <v>56</v>
      </c>
      <c r="V28" s="31">
        <f>IRR($D$8:R$8)</f>
        <v>0.3275156315688772</v>
      </c>
      <c r="W28" s="35"/>
      <c r="X28" s="48"/>
      <c r="Y28" s="48"/>
      <c r="Z28" s="48"/>
      <c r="AA28" s="48"/>
      <c r="AB28" s="48"/>
      <c r="AC28" s="48"/>
      <c r="AD28" s="48"/>
      <c r="AE28" s="48"/>
      <c r="AF28" s="48"/>
      <c r="AG28" s="48"/>
    </row>
    <row r="29" spans="2:33" x14ac:dyDescent="0.3">
      <c r="B29" s="15" t="s">
        <v>6</v>
      </c>
      <c r="C29" s="16">
        <f xml:space="preserve"> -(S44)</f>
        <v>-176000</v>
      </c>
      <c r="D29" s="16">
        <f xml:space="preserve"> -(Q40+T36)</f>
        <v>-367000</v>
      </c>
      <c r="E29" s="16">
        <f xml:space="preserve"> -(S44)</f>
        <v>-176000</v>
      </c>
      <c r="F29" s="16">
        <f xml:space="preserve"> -(S44)</f>
        <v>-176000</v>
      </c>
      <c r="G29" s="16">
        <f xml:space="preserve"> -(S44)</f>
        <v>-176000</v>
      </c>
      <c r="H29" s="16">
        <f xml:space="preserve"> -(S44)</f>
        <v>-176000</v>
      </c>
      <c r="I29" s="16">
        <f xml:space="preserve"> -(S44)</f>
        <v>-176000</v>
      </c>
      <c r="J29" s="16">
        <f xml:space="preserve"> -(Q41+T36)</f>
        <v>-390700</v>
      </c>
      <c r="K29" s="16">
        <f xml:space="preserve"> -(S44)</f>
        <v>-176000</v>
      </c>
      <c r="L29" s="16">
        <f xml:space="preserve"> -(S44)</f>
        <v>-176000</v>
      </c>
      <c r="M29" s="16">
        <f xml:space="preserve"> -(S44)</f>
        <v>-176000</v>
      </c>
      <c r="N29" s="16">
        <f xml:space="preserve"> -(S44)</f>
        <v>-176000</v>
      </c>
      <c r="O29" s="79">
        <f>SUM(C29:N29)</f>
        <v>-2517700</v>
      </c>
      <c r="Q29" s="26">
        <v>2034</v>
      </c>
      <c r="R29" s="29">
        <v>0.06</v>
      </c>
      <c r="U29" s="17" t="s">
        <v>57</v>
      </c>
      <c r="V29" s="31">
        <f>IRR($D$8:S$8)</f>
        <v>0.331504948876165</v>
      </c>
      <c r="X29" s="48"/>
      <c r="Y29" s="48"/>
      <c r="Z29" s="48"/>
      <c r="AA29" s="48"/>
      <c r="AB29" s="48"/>
      <c r="AC29" s="48"/>
      <c r="AD29" s="48"/>
      <c r="AE29" s="48"/>
      <c r="AF29" s="48"/>
      <c r="AG29" s="48"/>
    </row>
    <row r="30" spans="2:33" x14ac:dyDescent="0.3">
      <c r="B30" s="15" t="s">
        <v>8</v>
      </c>
      <c r="C30" s="5">
        <f>0</f>
        <v>0</v>
      </c>
      <c r="D30" s="5">
        <f>0</f>
        <v>0</v>
      </c>
      <c r="E30" s="5">
        <f>0</f>
        <v>0</v>
      </c>
      <c r="F30" s="5">
        <f>0</f>
        <v>0</v>
      </c>
      <c r="G30" s="5">
        <f>0</f>
        <v>0</v>
      </c>
      <c r="H30" s="5">
        <f>0</f>
        <v>0</v>
      </c>
      <c r="I30" s="5">
        <f>0</f>
        <v>0</v>
      </c>
      <c r="J30" s="5">
        <f>0</f>
        <v>0</v>
      </c>
      <c r="K30" s="5">
        <f>0</f>
        <v>0</v>
      </c>
      <c r="L30" s="5">
        <f>0</f>
        <v>0</v>
      </c>
      <c r="M30" s="5">
        <f>0</f>
        <v>0</v>
      </c>
      <c r="N30" s="5">
        <f>0</f>
        <v>0</v>
      </c>
      <c r="O30" s="5">
        <f>SUM(C30:N30)</f>
        <v>0</v>
      </c>
      <c r="Q30" s="26">
        <v>2035</v>
      </c>
      <c r="R30" s="29">
        <v>0.06</v>
      </c>
      <c r="X30" s="48"/>
      <c r="Y30" s="48"/>
      <c r="Z30" s="48"/>
      <c r="AA30" s="48"/>
      <c r="AB30" s="48"/>
      <c r="AC30" s="48"/>
      <c r="AD30" s="48"/>
      <c r="AE30" s="48"/>
      <c r="AF30" s="48"/>
      <c r="AG30" s="48"/>
    </row>
    <row r="31" spans="2:33" x14ac:dyDescent="0.3">
      <c r="B31" s="17" t="s">
        <v>10</v>
      </c>
      <c r="C31" s="18">
        <f t="shared" ref="C31:N31" si="5">C30+C29</f>
        <v>-176000</v>
      </c>
      <c r="D31" s="18">
        <f t="shared" si="5"/>
        <v>-367000</v>
      </c>
      <c r="E31" s="18">
        <f t="shared" si="5"/>
        <v>-176000</v>
      </c>
      <c r="F31" s="18">
        <f t="shared" si="5"/>
        <v>-176000</v>
      </c>
      <c r="G31" s="18">
        <f t="shared" si="5"/>
        <v>-176000</v>
      </c>
      <c r="H31" s="18">
        <f t="shared" si="5"/>
        <v>-176000</v>
      </c>
      <c r="I31" s="18">
        <f t="shared" si="5"/>
        <v>-176000</v>
      </c>
      <c r="J31" s="18">
        <f t="shared" si="5"/>
        <v>-390700</v>
      </c>
      <c r="K31" s="18">
        <f t="shared" si="5"/>
        <v>-176000</v>
      </c>
      <c r="L31" s="18">
        <f t="shared" si="5"/>
        <v>-176000</v>
      </c>
      <c r="M31" s="18">
        <f t="shared" si="5"/>
        <v>-176000</v>
      </c>
      <c r="N31" s="18">
        <f t="shared" si="5"/>
        <v>-176000</v>
      </c>
      <c r="O31" s="19"/>
      <c r="Q31" s="26">
        <v>2036</v>
      </c>
      <c r="R31" s="29">
        <v>0.06</v>
      </c>
    </row>
    <row r="32" spans="2:33" x14ac:dyDescent="0.3">
      <c r="Q32" s="37"/>
    </row>
    <row r="33" spans="2:43" x14ac:dyDescent="0.3">
      <c r="B33" s="15" t="s">
        <v>58</v>
      </c>
      <c r="C33" s="15" t="s">
        <v>15</v>
      </c>
      <c r="D33" s="15" t="s">
        <v>16</v>
      </c>
      <c r="E33" s="15" t="s">
        <v>17</v>
      </c>
      <c r="F33" s="15" t="s">
        <v>18</v>
      </c>
      <c r="G33" s="15" t="s">
        <v>19</v>
      </c>
      <c r="H33" s="15" t="s">
        <v>20</v>
      </c>
      <c r="I33" s="15" t="s">
        <v>21</v>
      </c>
      <c r="J33" s="15" t="s">
        <v>22</v>
      </c>
      <c r="K33" s="15" t="s">
        <v>23</v>
      </c>
      <c r="L33" s="15" t="s">
        <v>24</v>
      </c>
      <c r="M33" s="15" t="s">
        <v>25</v>
      </c>
      <c r="N33" s="15" t="s">
        <v>26</v>
      </c>
      <c r="O33" s="15" t="s">
        <v>27</v>
      </c>
      <c r="Q33" s="46" t="s">
        <v>59</v>
      </c>
      <c r="S33" s="46" t="s">
        <v>60</v>
      </c>
      <c r="T33" s="46" t="s">
        <v>61</v>
      </c>
    </row>
    <row r="34" spans="2:43" x14ac:dyDescent="0.3">
      <c r="B34" s="15" t="s">
        <v>6</v>
      </c>
      <c r="C34" s="16">
        <f xml:space="preserve"> -(T36)</f>
        <v>-120000</v>
      </c>
      <c r="D34" s="16">
        <f xml:space="preserve"> -(Q42+T36)</f>
        <v>-390700</v>
      </c>
      <c r="E34" s="16">
        <f xml:space="preserve"> -(T36)</f>
        <v>-120000</v>
      </c>
      <c r="F34" s="16">
        <f xml:space="preserve"> -(T36)</f>
        <v>-120000</v>
      </c>
      <c r="G34" s="16">
        <f xml:space="preserve"> -(T36)</f>
        <v>-120000</v>
      </c>
      <c r="H34" s="16">
        <f xml:space="preserve"> -(T36)</f>
        <v>-120000</v>
      </c>
      <c r="I34" s="16">
        <f xml:space="preserve"> -(T36)</f>
        <v>-120000</v>
      </c>
      <c r="J34" s="16">
        <f xml:space="preserve"> -(Q43+T36)</f>
        <v>-420000</v>
      </c>
      <c r="K34" s="16">
        <f xml:space="preserve"> -(T36)</f>
        <v>-120000</v>
      </c>
      <c r="L34" s="16">
        <f xml:space="preserve"> -(T36)</f>
        <v>-120000</v>
      </c>
      <c r="M34" s="16">
        <f xml:space="preserve"> -(T36)</f>
        <v>-120000</v>
      </c>
      <c r="N34" s="16">
        <f xml:space="preserve"> -(T36)</f>
        <v>-120000</v>
      </c>
      <c r="O34" s="79">
        <f>SUM(C34:N34)</f>
        <v>-2010700</v>
      </c>
      <c r="Q34" s="49">
        <v>173000</v>
      </c>
      <c r="S34" s="49">
        <v>8000</v>
      </c>
      <c r="T34" s="49">
        <v>30000</v>
      </c>
    </row>
    <row r="35" spans="2:43" x14ac:dyDescent="0.3">
      <c r="B35" s="15" t="s">
        <v>8</v>
      </c>
      <c r="C35" s="5">
        <f>0</f>
        <v>0</v>
      </c>
      <c r="D35" s="5">
        <f>0</f>
        <v>0</v>
      </c>
      <c r="E35" s="5">
        <f>0</f>
        <v>0</v>
      </c>
      <c r="F35" s="5">
        <f>0</f>
        <v>0</v>
      </c>
      <c r="G35" s="5">
        <f>0</f>
        <v>0</v>
      </c>
      <c r="H35" s="5">
        <f>0</f>
        <v>0</v>
      </c>
      <c r="I35" s="5">
        <f>0</f>
        <v>0</v>
      </c>
      <c r="J35" s="5">
        <f>0</f>
        <v>0</v>
      </c>
      <c r="K35" s="5">
        <f>0</f>
        <v>0</v>
      </c>
      <c r="L35" s="5">
        <f>0</f>
        <v>0</v>
      </c>
      <c r="M35" s="5">
        <f>0</f>
        <v>0</v>
      </c>
      <c r="N35" s="5">
        <f>0</f>
        <v>0</v>
      </c>
      <c r="O35" s="5">
        <f>SUM(C35:N35)</f>
        <v>0</v>
      </c>
      <c r="Q35" s="49">
        <v>173000</v>
      </c>
      <c r="S35" s="49">
        <v>4000</v>
      </c>
      <c r="T35" s="49">
        <v>4</v>
      </c>
    </row>
    <row r="36" spans="2:43" x14ac:dyDescent="0.3">
      <c r="B36" s="17" t="s">
        <v>10</v>
      </c>
      <c r="C36" s="18">
        <f t="shared" ref="C36:N36" si="6">C35+C34</f>
        <v>-120000</v>
      </c>
      <c r="D36" s="18">
        <f t="shared" si="6"/>
        <v>-390700</v>
      </c>
      <c r="E36" s="18">
        <f t="shared" si="6"/>
        <v>-120000</v>
      </c>
      <c r="F36" s="18">
        <f t="shared" si="6"/>
        <v>-120000</v>
      </c>
      <c r="G36" s="18">
        <f t="shared" si="6"/>
        <v>-120000</v>
      </c>
      <c r="H36" s="18">
        <f t="shared" si="6"/>
        <v>-120000</v>
      </c>
      <c r="I36" s="18">
        <f t="shared" si="6"/>
        <v>-120000</v>
      </c>
      <c r="J36" s="18">
        <f t="shared" si="6"/>
        <v>-420000</v>
      </c>
      <c r="K36" s="18">
        <f t="shared" si="6"/>
        <v>-120000</v>
      </c>
      <c r="L36" s="18">
        <f t="shared" si="6"/>
        <v>-120000</v>
      </c>
      <c r="M36" s="18">
        <f t="shared" si="6"/>
        <v>-120000</v>
      </c>
      <c r="N36" s="18">
        <f t="shared" si="6"/>
        <v>-120000</v>
      </c>
      <c r="O36" s="19"/>
      <c r="Q36" s="49">
        <v>190200</v>
      </c>
      <c r="S36" s="49">
        <v>20</v>
      </c>
      <c r="T36" s="52">
        <f>PRODUCT(T34:T35)</f>
        <v>120000</v>
      </c>
      <c r="Z36" s="8" t="s">
        <v>11</v>
      </c>
      <c r="AA36" s="9">
        <v>5.1999999999999998E-2</v>
      </c>
      <c r="AB36" s="40"/>
      <c r="AC36" s="40"/>
      <c r="AD36" s="40"/>
      <c r="AE36" s="40"/>
      <c r="AF36" s="40"/>
      <c r="AG36" s="40"/>
      <c r="AH36" s="40"/>
      <c r="AI36" s="40"/>
      <c r="AJ36" s="40"/>
      <c r="AK36" s="40"/>
      <c r="AL36" s="40"/>
      <c r="AM36" s="40"/>
      <c r="AN36" s="40"/>
      <c r="AO36" s="40"/>
      <c r="AP36" s="40"/>
      <c r="AQ36" s="41"/>
    </row>
    <row r="37" spans="2:43" x14ac:dyDescent="0.3">
      <c r="Q37" s="50">
        <v>221000</v>
      </c>
      <c r="S37" s="49">
        <v>4</v>
      </c>
      <c r="T37" t="s">
        <v>62</v>
      </c>
      <c r="Z37" s="82" t="s">
        <v>1</v>
      </c>
      <c r="AA37" s="83"/>
      <c r="AB37" s="2">
        <v>2021</v>
      </c>
      <c r="AC37" s="2">
        <v>2022</v>
      </c>
      <c r="AD37" s="2">
        <v>2023</v>
      </c>
      <c r="AE37" s="2">
        <v>2024</v>
      </c>
      <c r="AF37" s="2">
        <v>2025</v>
      </c>
      <c r="AG37" s="2">
        <v>2026</v>
      </c>
      <c r="AH37" s="2">
        <v>2027</v>
      </c>
      <c r="AI37" s="2">
        <v>2028</v>
      </c>
      <c r="AJ37" s="2">
        <v>2029</v>
      </c>
      <c r="AK37" s="2">
        <v>2030</v>
      </c>
      <c r="AL37" s="2">
        <v>2031</v>
      </c>
      <c r="AM37" s="2">
        <v>2032</v>
      </c>
      <c r="AN37" s="2">
        <v>2033</v>
      </c>
      <c r="AO37" s="2">
        <v>2034</v>
      </c>
      <c r="AP37" s="2">
        <v>2035</v>
      </c>
      <c r="AQ37" s="2">
        <v>2036</v>
      </c>
    </row>
    <row r="38" spans="2:43" x14ac:dyDescent="0.3">
      <c r="B38" s="15" t="s">
        <v>63</v>
      </c>
      <c r="C38" s="15" t="s">
        <v>15</v>
      </c>
      <c r="D38" s="15" t="s">
        <v>16</v>
      </c>
      <c r="E38" s="15" t="s">
        <v>17</v>
      </c>
      <c r="F38" s="15" t="s">
        <v>18</v>
      </c>
      <c r="G38" s="15" t="s">
        <v>19</v>
      </c>
      <c r="H38" s="15" t="s">
        <v>20</v>
      </c>
      <c r="I38" s="15" t="s">
        <v>21</v>
      </c>
      <c r="J38" s="15" t="s">
        <v>22</v>
      </c>
      <c r="K38" s="15" t="s">
        <v>23</v>
      </c>
      <c r="L38" s="15" t="s">
        <v>24</v>
      </c>
      <c r="M38" s="15" t="s">
        <v>25</v>
      </c>
      <c r="N38" s="15" t="s">
        <v>26</v>
      </c>
      <c r="O38" s="15" t="s">
        <v>27</v>
      </c>
      <c r="Q38" s="50">
        <v>221000</v>
      </c>
      <c r="S38" s="49">
        <f>S34*S36</f>
        <v>160000</v>
      </c>
      <c r="T38" s="69">
        <f>T36*12</f>
        <v>1440000</v>
      </c>
      <c r="Z38" s="84" t="s">
        <v>10</v>
      </c>
      <c r="AA38" s="85"/>
      <c r="AB38" s="39">
        <f t="shared" ref="AB38:AQ38" si="7">D8</f>
        <v>-2458000</v>
      </c>
      <c r="AC38" s="39">
        <f t="shared" si="7"/>
        <v>-2523200</v>
      </c>
      <c r="AD38" s="39">
        <f t="shared" si="7"/>
        <v>-2580000</v>
      </c>
      <c r="AE38" s="39">
        <f t="shared" si="7"/>
        <v>-2517700</v>
      </c>
      <c r="AF38" s="39">
        <f t="shared" si="7"/>
        <v>-2010700</v>
      </c>
      <c r="AG38" s="39">
        <f t="shared" si="7"/>
        <v>-1760000</v>
      </c>
      <c r="AH38" s="39">
        <f t="shared" si="7"/>
        <v>12522134.635310793</v>
      </c>
      <c r="AI38" s="39">
        <f t="shared" si="7"/>
        <v>5659120.7714861883</v>
      </c>
      <c r="AJ38" s="39">
        <f t="shared" si="7"/>
        <v>11924781.114082014</v>
      </c>
      <c r="AK38" s="39">
        <f t="shared" si="7"/>
        <v>19671760.101613957</v>
      </c>
      <c r="AL38" s="39">
        <f t="shared" si="7"/>
        <v>11813334.561613956</v>
      </c>
      <c r="AM38" s="39">
        <f t="shared" si="7"/>
        <v>11813334.561613956</v>
      </c>
      <c r="AN38" s="39">
        <f t="shared" si="7"/>
        <v>11813334.561613956</v>
      </c>
      <c r="AO38" s="39">
        <f t="shared" si="7"/>
        <v>11813334.561613956</v>
      </c>
      <c r="AP38" s="39">
        <f t="shared" si="7"/>
        <v>11813334.561613956</v>
      </c>
      <c r="AQ38" s="42">
        <f t="shared" si="7"/>
        <v>11813334.561613956</v>
      </c>
    </row>
    <row r="39" spans="2:43" x14ac:dyDescent="0.3">
      <c r="B39" s="15" t="s">
        <v>6</v>
      </c>
      <c r="C39" s="16">
        <f xml:space="preserve"> -(T36)</f>
        <v>-120000</v>
      </c>
      <c r="D39" s="16">
        <f xml:space="preserve"> -(Q44+T36)</f>
        <v>-440000</v>
      </c>
      <c r="E39" s="16">
        <f xml:space="preserve"> -(T36)</f>
        <v>-120000</v>
      </c>
      <c r="F39" s="16">
        <f xml:space="preserve"> -(T36)</f>
        <v>-120000</v>
      </c>
      <c r="G39" s="16">
        <f xml:space="preserve"> -(T36)</f>
        <v>-120000</v>
      </c>
      <c r="H39" s="16">
        <f xml:space="preserve"> -(T36)</f>
        <v>-120000</v>
      </c>
      <c r="I39" s="16">
        <f xml:space="preserve"> -(T36)</f>
        <v>-120000</v>
      </c>
      <c r="J39" s="16">
        <f xml:space="preserve"> -(T36)</f>
        <v>-120000</v>
      </c>
      <c r="K39" s="16">
        <f xml:space="preserve"> -(T36)</f>
        <v>-120000</v>
      </c>
      <c r="L39" s="16">
        <f xml:space="preserve"> -(T36)</f>
        <v>-120000</v>
      </c>
      <c r="M39" s="16">
        <f xml:space="preserve"> -(T36)</f>
        <v>-120000</v>
      </c>
      <c r="N39" s="16">
        <f xml:space="preserve"> -(T36)</f>
        <v>-120000</v>
      </c>
      <c r="O39" s="79">
        <f>SUM(C39:N39)</f>
        <v>-1760000</v>
      </c>
      <c r="Q39" s="50">
        <v>247000</v>
      </c>
      <c r="S39" s="49">
        <f>S35*S37</f>
        <v>16000</v>
      </c>
      <c r="Z39" s="86" t="s">
        <v>13</v>
      </c>
      <c r="AA39" s="87"/>
      <c r="AB39" s="43">
        <f>NPV(AA36,AB38)</f>
        <v>-2336501.9011406843</v>
      </c>
      <c r="AC39" s="43">
        <f>NPV(AA36,$AB$38:AC38)</f>
        <v>-4616424.9880726915</v>
      </c>
      <c r="AD39" s="43">
        <f>NPV($AA$36,$AB$38:AD38)</f>
        <v>-6832438.9203343745</v>
      </c>
      <c r="AE39" s="43">
        <f>NPV($AA$36,$AB$38:AE38)</f>
        <v>-8888050.3350097202</v>
      </c>
      <c r="AF39" s="43">
        <f>NPV($AA$36,$AB$38:AF38)</f>
        <v>-10448567.603353541</v>
      </c>
      <c r="AG39" s="43">
        <f>NPV($AA$36,$AB$38:AG38)</f>
        <v>-11746996.669581695</v>
      </c>
      <c r="AH39" s="43">
        <f>NPV($AA$36,$AB$38:AH38)</f>
        <v>-2965507.0925261895</v>
      </c>
      <c r="AI39" s="43">
        <f>NPV($AA$36,$AB$38:AI38)</f>
        <v>806939.01104780007</v>
      </c>
      <c r="AJ39" s="43">
        <f>NPV($AA$36,$AB$38:AJ38)</f>
        <v>8363231.4559234511</v>
      </c>
      <c r="AK39" s="43">
        <f>NPV($AA$36,$AB$38:AK38)</f>
        <v>20212343.91453201</v>
      </c>
      <c r="AL39" s="43">
        <f>NPV($AA$36,$AB$38:AL38)</f>
        <v>26976277.983005662</v>
      </c>
      <c r="AM39" s="43">
        <f>NPV($AA$36,$AB$38:AM38)</f>
        <v>33405873.105128907</v>
      </c>
      <c r="AN39" s="43">
        <f>NPV($AA$36,$AB$38:AN38)</f>
        <v>39517655.540607274</v>
      </c>
      <c r="AO39" s="43">
        <f>NPV($AA$36,$AB$38:AO38)</f>
        <v>45327334.661784425</v>
      </c>
      <c r="AP39" s="43">
        <f>NPV($AA$36,$AB$38:AP38)</f>
        <v>50849843.332104921</v>
      </c>
      <c r="AQ39" s="43">
        <f>NPV($AA$36,$AB$38:AQ38)</f>
        <v>56099376.288683333</v>
      </c>
    </row>
    <row r="40" spans="2:43" x14ac:dyDescent="0.3">
      <c r="B40" s="15" t="s">
        <v>8</v>
      </c>
      <c r="C40" s="5">
        <f>0</f>
        <v>0</v>
      </c>
      <c r="D40" s="5">
        <f>0</f>
        <v>0</v>
      </c>
      <c r="E40" s="5">
        <f>0</f>
        <v>0</v>
      </c>
      <c r="F40" s="5">
        <f>0</f>
        <v>0</v>
      </c>
      <c r="G40" s="5">
        <f>0</f>
        <v>0</v>
      </c>
      <c r="H40" s="5">
        <f>0</f>
        <v>0</v>
      </c>
      <c r="I40" s="5">
        <f>0</f>
        <v>0</v>
      </c>
      <c r="J40" s="5">
        <f>0</f>
        <v>0</v>
      </c>
      <c r="K40" s="5">
        <f>0</f>
        <v>0</v>
      </c>
      <c r="L40" s="5">
        <f>0</f>
        <v>0</v>
      </c>
      <c r="M40" s="5">
        <f>0</f>
        <v>0</v>
      </c>
      <c r="N40" s="5">
        <f>0</f>
        <v>0</v>
      </c>
      <c r="O40" s="5">
        <f>SUM(C40:N40)</f>
        <v>0</v>
      </c>
      <c r="Q40" s="50">
        <v>247000</v>
      </c>
      <c r="S40" s="52">
        <f>SUM(S38:S39)*12</f>
        <v>2112000</v>
      </c>
    </row>
    <row r="41" spans="2:43" x14ac:dyDescent="0.3">
      <c r="B41" s="17" t="s">
        <v>10</v>
      </c>
      <c r="C41" s="18">
        <f t="shared" ref="C41:N41" si="8">C40+C39</f>
        <v>-120000</v>
      </c>
      <c r="D41" s="18">
        <f t="shared" si="8"/>
        <v>-440000</v>
      </c>
      <c r="E41" s="18">
        <f t="shared" si="8"/>
        <v>-120000</v>
      </c>
      <c r="F41" s="18">
        <f t="shared" si="8"/>
        <v>-120000</v>
      </c>
      <c r="G41" s="18">
        <f t="shared" si="8"/>
        <v>-120000</v>
      </c>
      <c r="H41" s="18">
        <f t="shared" si="8"/>
        <v>-120000</v>
      </c>
      <c r="I41" s="18">
        <f t="shared" si="8"/>
        <v>-120000</v>
      </c>
      <c r="J41" s="18">
        <f t="shared" si="8"/>
        <v>-120000</v>
      </c>
      <c r="K41" s="18">
        <f t="shared" si="8"/>
        <v>-120000</v>
      </c>
      <c r="L41" s="18">
        <f t="shared" si="8"/>
        <v>-120000</v>
      </c>
      <c r="M41" s="18">
        <f t="shared" si="8"/>
        <v>-120000</v>
      </c>
      <c r="N41" s="18">
        <f t="shared" si="8"/>
        <v>-120000</v>
      </c>
      <c r="O41" s="19"/>
      <c r="Q41" s="50">
        <v>270700</v>
      </c>
      <c r="S41" s="52"/>
    </row>
    <row r="42" spans="2:43" x14ac:dyDescent="0.3">
      <c r="Q42" s="50">
        <v>270700</v>
      </c>
      <c r="S42" s="49"/>
    </row>
    <row r="43" spans="2:43" x14ac:dyDescent="0.3">
      <c r="B43" s="15" t="s">
        <v>64</v>
      </c>
      <c r="C43" s="15" t="s">
        <v>15</v>
      </c>
      <c r="D43" s="15" t="s">
        <v>16</v>
      </c>
      <c r="E43" s="15" t="s">
        <v>17</v>
      </c>
      <c r="F43" s="15" t="s">
        <v>18</v>
      </c>
      <c r="G43" s="15" t="s">
        <v>19</v>
      </c>
      <c r="H43" s="15" t="s">
        <v>20</v>
      </c>
      <c r="I43" s="15" t="s">
        <v>21</v>
      </c>
      <c r="J43" s="15" t="s">
        <v>22</v>
      </c>
      <c r="K43" s="15" t="s">
        <v>23</v>
      </c>
      <c r="L43" s="15" t="s">
        <v>24</v>
      </c>
      <c r="M43" s="15" t="s">
        <v>25</v>
      </c>
      <c r="N43" s="15" t="s">
        <v>26</v>
      </c>
      <c r="O43" s="15" t="s">
        <v>27</v>
      </c>
      <c r="Q43" s="50">
        <v>300000</v>
      </c>
      <c r="S43" s="46" t="s">
        <v>65</v>
      </c>
    </row>
    <row r="44" spans="2:43" x14ac:dyDescent="0.3">
      <c r="B44" s="15" t="s">
        <v>6</v>
      </c>
      <c r="C44" s="16">
        <f xml:space="preserve"> -(T36+R18)</f>
        <v>-371278.72943286493</v>
      </c>
      <c r="D44" s="16">
        <f xml:space="preserve"> -(T36+R18)</f>
        <v>-371278.72943286493</v>
      </c>
      <c r="E44" s="16">
        <f xml:space="preserve"> -(T36+R18)</f>
        <v>-371278.72943286493</v>
      </c>
      <c r="F44" s="16">
        <f xml:space="preserve"> -(T36+R18)</f>
        <v>-371278.72943286493</v>
      </c>
      <c r="G44" s="16">
        <f xml:space="preserve"> -(T36+R18)</f>
        <v>-371278.72943286493</v>
      </c>
      <c r="H44" s="16">
        <f xml:space="preserve"> -(T36+R18)</f>
        <v>-371278.72943286493</v>
      </c>
      <c r="I44" s="16">
        <f xml:space="preserve"> -(T36+R18)</f>
        <v>-371278.72943286493</v>
      </c>
      <c r="J44" s="16">
        <f xml:space="preserve"> -(T36+R18)</f>
        <v>-371278.72943286493</v>
      </c>
      <c r="K44" s="16">
        <f xml:space="preserve"> -(T36+R18)</f>
        <v>-371278.72943286493</v>
      </c>
      <c r="L44" s="16">
        <f xml:space="preserve"> -(T36+R18)</f>
        <v>-371278.72943286493</v>
      </c>
      <c r="M44" s="16">
        <f xml:space="preserve"> -(T36+R18)</f>
        <v>-371278.72943286493</v>
      </c>
      <c r="N44" s="16">
        <f xml:space="preserve"> -(T36+R18)</f>
        <v>-371278.72943286493</v>
      </c>
      <c r="O44" s="79">
        <f>SUM(C44:N44)</f>
        <v>-4455344.7531943796</v>
      </c>
      <c r="Q44" s="50">
        <v>320000</v>
      </c>
      <c r="S44" s="52">
        <f>SUM(S38:S39)</f>
        <v>176000</v>
      </c>
    </row>
    <row r="45" spans="2:43" x14ac:dyDescent="0.3">
      <c r="B45" s="15" t="s">
        <v>8</v>
      </c>
      <c r="C45" s="5">
        <f t="shared" ref="C45:N45" si="9">$AA$9-$AE$9</f>
        <v>1300000</v>
      </c>
      <c r="D45" s="5">
        <f t="shared" si="9"/>
        <v>1300000</v>
      </c>
      <c r="E45" s="5">
        <f t="shared" si="9"/>
        <v>1300000</v>
      </c>
      <c r="F45" s="5">
        <f t="shared" si="9"/>
        <v>1300000</v>
      </c>
      <c r="G45" s="5">
        <f t="shared" si="9"/>
        <v>1300000</v>
      </c>
      <c r="H45" s="5">
        <f t="shared" si="9"/>
        <v>1300000</v>
      </c>
      <c r="I45" s="5">
        <f t="shared" si="9"/>
        <v>1300000</v>
      </c>
      <c r="J45" s="5">
        <f t="shared" si="9"/>
        <v>1300000</v>
      </c>
      <c r="K45" s="5">
        <f t="shared" si="9"/>
        <v>1300000</v>
      </c>
      <c r="L45" s="5">
        <f t="shared" si="9"/>
        <v>1300000</v>
      </c>
      <c r="M45" s="5">
        <f t="shared" si="9"/>
        <v>1300000</v>
      </c>
      <c r="N45" s="5">
        <f t="shared" si="9"/>
        <v>1300000</v>
      </c>
      <c r="O45" s="5">
        <f>SUM(C45:N45)</f>
        <v>15600000</v>
      </c>
      <c r="Q45" s="51">
        <f>SUM(Q34:Q44)</f>
        <v>2633600</v>
      </c>
      <c r="S45" s="49"/>
    </row>
    <row r="46" spans="2:43" x14ac:dyDescent="0.3">
      <c r="B46" s="17" t="s">
        <v>10</v>
      </c>
      <c r="C46" s="78">
        <f t="shared" ref="C46:N46" si="10">C45+C44</f>
        <v>928721.27056713507</v>
      </c>
      <c r="D46" s="78">
        <f t="shared" si="10"/>
        <v>928721.27056713507</v>
      </c>
      <c r="E46" s="78">
        <f t="shared" si="10"/>
        <v>928721.27056713507</v>
      </c>
      <c r="F46" s="78">
        <f t="shared" si="10"/>
        <v>928721.27056713507</v>
      </c>
      <c r="G46" s="78">
        <f t="shared" si="10"/>
        <v>928721.27056713507</v>
      </c>
      <c r="H46" s="78">
        <f t="shared" si="10"/>
        <v>928721.27056713507</v>
      </c>
      <c r="I46" s="78">
        <f t="shared" si="10"/>
        <v>928721.27056713507</v>
      </c>
      <c r="J46" s="78">
        <f t="shared" si="10"/>
        <v>928721.27056713507</v>
      </c>
      <c r="K46" s="78">
        <f t="shared" si="10"/>
        <v>928721.27056713507</v>
      </c>
      <c r="L46" s="78">
        <f t="shared" si="10"/>
        <v>928721.27056713507</v>
      </c>
      <c r="M46" s="78">
        <f t="shared" si="10"/>
        <v>928721.27056713507</v>
      </c>
      <c r="N46" s="78">
        <f t="shared" si="10"/>
        <v>928721.27056713507</v>
      </c>
      <c r="O46" s="19"/>
    </row>
    <row r="48" spans="2:43" x14ac:dyDescent="0.3">
      <c r="B48" s="15" t="s">
        <v>66</v>
      </c>
      <c r="C48" s="15" t="s">
        <v>15</v>
      </c>
      <c r="D48" s="15" t="s">
        <v>16</v>
      </c>
      <c r="E48" s="15" t="s">
        <v>17</v>
      </c>
      <c r="F48" s="15" t="s">
        <v>18</v>
      </c>
      <c r="G48" s="15" t="s">
        <v>19</v>
      </c>
      <c r="H48" s="15" t="s">
        <v>20</v>
      </c>
      <c r="I48" s="15" t="s">
        <v>21</v>
      </c>
      <c r="J48" s="15" t="s">
        <v>22</v>
      </c>
      <c r="K48" s="15" t="s">
        <v>23</v>
      </c>
      <c r="L48" s="15" t="s">
        <v>24</v>
      </c>
      <c r="M48" s="15" t="s">
        <v>25</v>
      </c>
      <c r="N48" s="15" t="s">
        <v>26</v>
      </c>
      <c r="O48" s="15" t="s">
        <v>27</v>
      </c>
    </row>
    <row r="49" spans="2:15" x14ac:dyDescent="0.3">
      <c r="B49" s="15" t="s">
        <v>6</v>
      </c>
      <c r="C49" s="16">
        <f xml:space="preserve"> -(T36+R18+6000000)</f>
        <v>-6371278.729432865</v>
      </c>
      <c r="D49" s="16">
        <f xml:space="preserve"> -(T36+R18)</f>
        <v>-371278.72943286493</v>
      </c>
      <c r="E49" s="16">
        <f xml:space="preserve"> -(T36+R18)</f>
        <v>-371278.72943286493</v>
      </c>
      <c r="F49" s="16">
        <f xml:space="preserve"> -(T36+R18)</f>
        <v>-371278.72943286493</v>
      </c>
      <c r="G49" s="16">
        <f xml:space="preserve"> -(T36+R18)</f>
        <v>-371278.72943286493</v>
      </c>
      <c r="H49" s="16">
        <f xml:space="preserve"> -(T36+R18)</f>
        <v>-371278.72943286493</v>
      </c>
      <c r="I49" s="16">
        <f xml:space="preserve"> -(T36+R18)</f>
        <v>-371278.72943286493</v>
      </c>
      <c r="J49" s="16">
        <f xml:space="preserve"> -(T36+R18)</f>
        <v>-371278.72943286493</v>
      </c>
      <c r="K49" s="16">
        <f xml:space="preserve"> -(T36+R18)</f>
        <v>-371278.72943286493</v>
      </c>
      <c r="L49" s="16">
        <f xml:space="preserve"> -(T36+R18)</f>
        <v>-371278.72943286493</v>
      </c>
      <c r="M49" s="16">
        <f xml:space="preserve"> -(T36+R18)</f>
        <v>-371278.72943286493</v>
      </c>
      <c r="N49" s="16">
        <f xml:space="preserve"> -(T36+R18)</f>
        <v>-371278.72943286493</v>
      </c>
      <c r="O49" s="79">
        <f>SUM(C49:N49)</f>
        <v>-10455344.753194375</v>
      </c>
    </row>
    <row r="50" spans="2:15" x14ac:dyDescent="0.3">
      <c r="B50" s="15" t="s">
        <v>8</v>
      </c>
      <c r="C50" s="5">
        <f t="shared" ref="C50:N50" si="11">$AA$9-$AE$9</f>
        <v>1300000</v>
      </c>
      <c r="D50" s="5">
        <f t="shared" si="11"/>
        <v>1300000</v>
      </c>
      <c r="E50" s="5">
        <f t="shared" si="11"/>
        <v>1300000</v>
      </c>
      <c r="F50" s="5">
        <f t="shared" si="11"/>
        <v>1300000</v>
      </c>
      <c r="G50" s="5">
        <f t="shared" si="11"/>
        <v>1300000</v>
      </c>
      <c r="H50" s="5">
        <f t="shared" si="11"/>
        <v>1300000</v>
      </c>
      <c r="I50" s="5">
        <f t="shared" si="11"/>
        <v>1300000</v>
      </c>
      <c r="J50" s="5">
        <f t="shared" si="11"/>
        <v>1300000</v>
      </c>
      <c r="K50" s="5">
        <f t="shared" si="11"/>
        <v>1300000</v>
      </c>
      <c r="L50" s="5">
        <f t="shared" si="11"/>
        <v>1300000</v>
      </c>
      <c r="M50" s="5">
        <f t="shared" si="11"/>
        <v>1300000</v>
      </c>
      <c r="N50" s="5">
        <f t="shared" si="11"/>
        <v>1300000</v>
      </c>
      <c r="O50" s="5">
        <f>SUM(C50:N50)</f>
        <v>15600000</v>
      </c>
    </row>
    <row r="51" spans="2:15" x14ac:dyDescent="0.3">
      <c r="B51" s="17" t="s">
        <v>10</v>
      </c>
      <c r="C51" s="78">
        <f t="shared" ref="C51:N51" si="12">C50+C49</f>
        <v>-5071278.729432865</v>
      </c>
      <c r="D51" s="78">
        <f t="shared" si="12"/>
        <v>928721.27056713507</v>
      </c>
      <c r="E51" s="78">
        <f t="shared" si="12"/>
        <v>928721.27056713507</v>
      </c>
      <c r="F51" s="78">
        <f t="shared" si="12"/>
        <v>928721.27056713507</v>
      </c>
      <c r="G51" s="78">
        <f t="shared" si="12"/>
        <v>928721.27056713507</v>
      </c>
      <c r="H51" s="78">
        <f t="shared" si="12"/>
        <v>928721.27056713507</v>
      </c>
      <c r="I51" s="78">
        <f t="shared" si="12"/>
        <v>928721.27056713507</v>
      </c>
      <c r="J51" s="78">
        <f t="shared" si="12"/>
        <v>928721.27056713507</v>
      </c>
      <c r="K51" s="78">
        <f t="shared" si="12"/>
        <v>928721.27056713507</v>
      </c>
      <c r="L51" s="78">
        <f t="shared" si="12"/>
        <v>928721.27056713507</v>
      </c>
      <c r="M51" s="78">
        <f t="shared" si="12"/>
        <v>928721.27056713507</v>
      </c>
      <c r="N51" s="78">
        <f t="shared" si="12"/>
        <v>928721.27056713507</v>
      </c>
      <c r="O51" s="19"/>
    </row>
    <row r="53" spans="2:15" x14ac:dyDescent="0.3">
      <c r="B53" s="15" t="s">
        <v>67</v>
      </c>
      <c r="C53" s="15" t="s">
        <v>15</v>
      </c>
      <c r="D53" s="15" t="s">
        <v>16</v>
      </c>
      <c r="E53" s="15" t="s">
        <v>17</v>
      </c>
      <c r="F53" s="15" t="s">
        <v>18</v>
      </c>
      <c r="G53" s="15" t="s">
        <v>19</v>
      </c>
      <c r="H53" s="15" t="s">
        <v>20</v>
      </c>
      <c r="I53" s="15" t="s">
        <v>21</v>
      </c>
      <c r="J53" s="15" t="s">
        <v>22</v>
      </c>
      <c r="K53" s="15" t="s">
        <v>23</v>
      </c>
      <c r="L53" s="15" t="s">
        <v>24</v>
      </c>
      <c r="M53" s="15" t="s">
        <v>25</v>
      </c>
      <c r="N53" s="15" t="s">
        <v>26</v>
      </c>
      <c r="O53" s="15" t="s">
        <v>27</v>
      </c>
    </row>
    <row r="54" spans="2:15" x14ac:dyDescent="0.3">
      <c r="B54" s="15" t="s">
        <v>6</v>
      </c>
      <c r="C54" s="16">
        <f xml:space="preserve"> -(T36+R18)</f>
        <v>-371278.72943286493</v>
      </c>
      <c r="D54" s="16">
        <f xml:space="preserve"> -(T36+R18)</f>
        <v>-371278.72943286493</v>
      </c>
      <c r="E54" s="16">
        <f xml:space="preserve"> -(T36+R18)</f>
        <v>-371278.72943286493</v>
      </c>
      <c r="F54" s="16">
        <f xml:space="preserve"> -(T36+R18)</f>
        <v>-371278.72943286493</v>
      </c>
      <c r="G54" s="16">
        <f xml:space="preserve"> -(T36+R18)</f>
        <v>-371278.72943286493</v>
      </c>
      <c r="H54" s="16">
        <f xml:space="preserve"> -(T36+R18)</f>
        <v>-371278.72943286493</v>
      </c>
      <c r="I54" s="16">
        <f xml:space="preserve"> -(T36+R18)</f>
        <v>-371278.72943286493</v>
      </c>
      <c r="J54" s="16">
        <f xml:space="preserve"> -(T36+R18)</f>
        <v>-371278.72943286493</v>
      </c>
      <c r="K54" s="16">
        <f xml:space="preserve"> -(T36+R18)</f>
        <v>-371278.72943286493</v>
      </c>
      <c r="L54" s="16">
        <f xml:space="preserve"> -(T36+R18)</f>
        <v>-371278.72943286493</v>
      </c>
      <c r="M54" s="16">
        <f xml:space="preserve"> -(T36+R18)</f>
        <v>-371278.72943286493</v>
      </c>
      <c r="N54" s="16">
        <f xml:space="preserve"> -(T36+R18)</f>
        <v>-371278.72943286493</v>
      </c>
      <c r="O54" s="79">
        <f>SUM(C54:N54)</f>
        <v>-4455344.7531943796</v>
      </c>
    </row>
    <row r="55" spans="2:15" x14ac:dyDescent="0.3">
      <c r="B55" s="15" t="s">
        <v>8</v>
      </c>
      <c r="C55" s="5">
        <f t="shared" ref="C55:N55" si="13">$AA$9-$AE$9</f>
        <v>1300000</v>
      </c>
      <c r="D55" s="5">
        <f t="shared" si="13"/>
        <v>1300000</v>
      </c>
      <c r="E55" s="5">
        <f t="shared" si="13"/>
        <v>1300000</v>
      </c>
      <c r="F55" s="5">
        <f t="shared" si="13"/>
        <v>1300000</v>
      </c>
      <c r="G55" s="5">
        <f t="shared" si="13"/>
        <v>1300000</v>
      </c>
      <c r="H55" s="5">
        <f t="shared" si="13"/>
        <v>1300000</v>
      </c>
      <c r="I55" s="5">
        <f t="shared" si="13"/>
        <v>1300000</v>
      </c>
      <c r="J55" s="5">
        <f t="shared" si="13"/>
        <v>1300000</v>
      </c>
      <c r="K55" s="5">
        <f t="shared" si="13"/>
        <v>1300000</v>
      </c>
      <c r="L55" s="5">
        <f t="shared" si="13"/>
        <v>1300000</v>
      </c>
      <c r="M55" s="5">
        <f t="shared" si="13"/>
        <v>1300000</v>
      </c>
      <c r="N55" s="5">
        <f t="shared" si="13"/>
        <v>1300000</v>
      </c>
      <c r="O55" s="5">
        <f>SUM(C55:N55)</f>
        <v>15600000</v>
      </c>
    </row>
    <row r="56" spans="2:15" x14ac:dyDescent="0.3">
      <c r="B56" s="17" t="s">
        <v>10</v>
      </c>
      <c r="C56" s="78">
        <f t="shared" ref="C56:N56" si="14">C55+C54</f>
        <v>928721.27056713507</v>
      </c>
      <c r="D56" s="78">
        <f t="shared" si="14"/>
        <v>928721.27056713507</v>
      </c>
      <c r="E56" s="78">
        <f t="shared" si="14"/>
        <v>928721.27056713507</v>
      </c>
      <c r="F56" s="78">
        <f t="shared" si="14"/>
        <v>928721.27056713507</v>
      </c>
      <c r="G56" s="78">
        <f t="shared" si="14"/>
        <v>928721.27056713507</v>
      </c>
      <c r="H56" s="78">
        <f t="shared" si="14"/>
        <v>928721.27056713507</v>
      </c>
      <c r="I56" s="78">
        <f t="shared" si="14"/>
        <v>928721.27056713507</v>
      </c>
      <c r="J56" s="78">
        <f t="shared" si="14"/>
        <v>928721.27056713507</v>
      </c>
      <c r="K56" s="78">
        <f t="shared" si="14"/>
        <v>928721.27056713507</v>
      </c>
      <c r="L56" s="78">
        <f t="shared" si="14"/>
        <v>928721.27056713507</v>
      </c>
      <c r="M56" s="78">
        <f t="shared" si="14"/>
        <v>928721.27056713507</v>
      </c>
      <c r="N56" s="78">
        <f t="shared" si="14"/>
        <v>928721.27056713507</v>
      </c>
      <c r="O56" s="19"/>
    </row>
    <row r="58" spans="2:15" x14ac:dyDescent="0.3">
      <c r="B58" s="15" t="s">
        <v>68</v>
      </c>
      <c r="C58" s="15" t="s">
        <v>15</v>
      </c>
      <c r="D58" s="15" t="s">
        <v>16</v>
      </c>
      <c r="E58" s="15" t="s">
        <v>17</v>
      </c>
      <c r="F58" s="15" t="s">
        <v>18</v>
      </c>
      <c r="G58" s="15" t="s">
        <v>19</v>
      </c>
      <c r="H58" s="15" t="s">
        <v>20</v>
      </c>
      <c r="I58" s="15" t="s">
        <v>21</v>
      </c>
      <c r="J58" s="15" t="s">
        <v>22</v>
      </c>
      <c r="K58" s="15" t="s">
        <v>23</v>
      </c>
      <c r="L58" s="15" t="s">
        <v>24</v>
      </c>
      <c r="M58" s="15" t="s">
        <v>25</v>
      </c>
      <c r="N58" s="15" t="s">
        <v>26</v>
      </c>
      <c r="O58" s="15" t="s">
        <v>27</v>
      </c>
    </row>
    <row r="59" spans="2:15" x14ac:dyDescent="0.3">
      <c r="B59" s="15" t="s">
        <v>6</v>
      </c>
      <c r="C59" s="16">
        <f xml:space="preserve"> -(T36+R18)</f>
        <v>-371278.72943286493</v>
      </c>
      <c r="D59" s="16">
        <f xml:space="preserve"> -(T36+R18)</f>
        <v>-371278.72943286493</v>
      </c>
      <c r="E59" s="16">
        <f xml:space="preserve"> -(T36+R18)</f>
        <v>-371278.72943286493</v>
      </c>
      <c r="F59" s="16">
        <f xml:space="preserve"> -(T36+R18)</f>
        <v>-371278.72943286493</v>
      </c>
      <c r="G59" s="16">
        <f xml:space="preserve"> -(T36+R18)</f>
        <v>-371278.72943286493</v>
      </c>
      <c r="H59" s="16">
        <f xml:space="preserve"> -(T36+R18)</f>
        <v>-371278.72943286493</v>
      </c>
      <c r="I59" s="16">
        <f xml:space="preserve"> -(T36+R18)</f>
        <v>-371278.72943286493</v>
      </c>
      <c r="J59" s="16">
        <f xml:space="preserve"> -(T36+R18)</f>
        <v>-371278.72943286493</v>
      </c>
      <c r="K59" s="16">
        <f xml:space="preserve"> -(T36+R18)</f>
        <v>-371278.72943286493</v>
      </c>
      <c r="L59" s="16">
        <f xml:space="preserve"> -(T36+R18)</f>
        <v>-371278.72943286493</v>
      </c>
      <c r="M59" s="16">
        <f xml:space="preserve"> -(T36+R18)</f>
        <v>-371278.72943286493</v>
      </c>
      <c r="N59" s="16">
        <f xml:space="preserve"> -(T36+R18)</f>
        <v>-371278.72943286493</v>
      </c>
      <c r="O59" s="79">
        <f>SUM(C59:N59)</f>
        <v>-4455344.7531943796</v>
      </c>
    </row>
    <row r="60" spans="2:15" x14ac:dyDescent="0.3">
      <c r="B60" s="15" t="s">
        <v>8</v>
      </c>
      <c r="C60" s="5">
        <f>$AA$9-$AE$9 + 7413609</f>
        <v>8713609</v>
      </c>
      <c r="D60" s="5">
        <f t="shared" ref="D60:N60" si="15">$AA$9-$AE$9</f>
        <v>1300000</v>
      </c>
      <c r="E60" s="5">
        <f t="shared" si="15"/>
        <v>1300000</v>
      </c>
      <c r="F60" s="5">
        <f t="shared" si="15"/>
        <v>1300000</v>
      </c>
      <c r="G60" s="5">
        <f t="shared" si="15"/>
        <v>1300000</v>
      </c>
      <c r="H60" s="5">
        <f t="shared" si="15"/>
        <v>1300000</v>
      </c>
      <c r="I60" s="5">
        <f t="shared" si="15"/>
        <v>1300000</v>
      </c>
      <c r="J60" s="5">
        <f t="shared" si="15"/>
        <v>1300000</v>
      </c>
      <c r="K60" s="5">
        <f t="shared" si="15"/>
        <v>1300000</v>
      </c>
      <c r="L60" s="5">
        <f t="shared" si="15"/>
        <v>1300000</v>
      </c>
      <c r="M60" s="5">
        <f t="shared" si="15"/>
        <v>1300000</v>
      </c>
      <c r="N60" s="5">
        <f t="shared" si="15"/>
        <v>1300000</v>
      </c>
      <c r="O60" s="5">
        <f>SUM(C60:N60)</f>
        <v>23013609</v>
      </c>
    </row>
    <row r="61" spans="2:15" x14ac:dyDescent="0.3">
      <c r="B61" s="17" t="s">
        <v>10</v>
      </c>
      <c r="C61" s="78">
        <f t="shared" ref="C61:N61" si="16">C60+C59</f>
        <v>8342330.270567135</v>
      </c>
      <c r="D61" s="78">
        <f t="shared" si="16"/>
        <v>928721.27056713507</v>
      </c>
      <c r="E61" s="78">
        <f t="shared" si="16"/>
        <v>928721.27056713507</v>
      </c>
      <c r="F61" s="78">
        <f t="shared" si="16"/>
        <v>928721.27056713507</v>
      </c>
      <c r="G61" s="78">
        <f t="shared" si="16"/>
        <v>928721.27056713507</v>
      </c>
      <c r="H61" s="78">
        <f t="shared" si="16"/>
        <v>928721.27056713507</v>
      </c>
      <c r="I61" s="78">
        <f t="shared" si="16"/>
        <v>928721.27056713507</v>
      </c>
      <c r="J61" s="78">
        <f t="shared" si="16"/>
        <v>928721.27056713507</v>
      </c>
      <c r="K61" s="78">
        <f t="shared" si="16"/>
        <v>928721.27056713507</v>
      </c>
      <c r="L61" s="78">
        <f t="shared" si="16"/>
        <v>928721.27056713507</v>
      </c>
      <c r="M61" s="78">
        <f t="shared" si="16"/>
        <v>928721.27056713507</v>
      </c>
      <c r="N61" s="78">
        <f t="shared" si="16"/>
        <v>928721.27056713507</v>
      </c>
      <c r="O61" s="19"/>
    </row>
    <row r="63" spans="2:15" x14ac:dyDescent="0.3">
      <c r="B63" s="15" t="s">
        <v>69</v>
      </c>
      <c r="C63" s="15" t="s">
        <v>15</v>
      </c>
      <c r="D63" s="15" t="s">
        <v>16</v>
      </c>
      <c r="E63" s="15" t="s">
        <v>17</v>
      </c>
      <c r="F63" s="15" t="s">
        <v>18</v>
      </c>
      <c r="G63" s="15" t="s">
        <v>19</v>
      </c>
      <c r="H63" s="15" t="s">
        <v>20</v>
      </c>
      <c r="I63" s="15" t="s">
        <v>21</v>
      </c>
      <c r="J63" s="15" t="s">
        <v>22</v>
      </c>
      <c r="K63" s="15" t="s">
        <v>23</v>
      </c>
      <c r="L63" s="15" t="s">
        <v>24</v>
      </c>
      <c r="M63" s="15" t="s">
        <v>25</v>
      </c>
      <c r="N63" s="15" t="s">
        <v>26</v>
      </c>
      <c r="O63" s="15" t="s">
        <v>27</v>
      </c>
    </row>
    <row r="64" spans="2:15" x14ac:dyDescent="0.3">
      <c r="B64" s="15" t="s">
        <v>6</v>
      </c>
      <c r="C64" s="16">
        <f xml:space="preserve"> -(T36+R18)</f>
        <v>-371278.72943286493</v>
      </c>
      <c r="D64" s="16">
        <f xml:space="preserve"> -(T36+R18)</f>
        <v>-371278.72943286493</v>
      </c>
      <c r="E64" s="16">
        <f xml:space="preserve"> -(T36+R18)</f>
        <v>-371278.72943286493</v>
      </c>
      <c r="F64" s="16">
        <f xml:space="preserve"> -(T36+R18)</f>
        <v>-371278.72943286493</v>
      </c>
      <c r="G64" s="16">
        <f xml:space="preserve"> -(T36+R18)</f>
        <v>-371278.72943286493</v>
      </c>
      <c r="H64" s="16">
        <f xml:space="preserve"> -(T36+R18)</f>
        <v>-371278.72943286493</v>
      </c>
      <c r="I64" s="16">
        <f xml:space="preserve"> -(T36+R18)</f>
        <v>-371278.72943286493</v>
      </c>
      <c r="J64" s="16">
        <f xml:space="preserve"> -(T36+R18)</f>
        <v>-371278.72943286493</v>
      </c>
      <c r="K64" s="16">
        <f xml:space="preserve"> -(T36+R18)</f>
        <v>-371278.72943286493</v>
      </c>
      <c r="L64" s="16">
        <f xml:space="preserve"> -(T36+R18)</f>
        <v>-371278.72943286493</v>
      </c>
      <c r="M64" s="16">
        <f xml:space="preserve"> -(T36+R18)</f>
        <v>-371278.72943286493</v>
      </c>
      <c r="N64" s="16">
        <f xml:space="preserve"> -(T36+R18)</f>
        <v>-371278.72943286493</v>
      </c>
      <c r="O64" s="79">
        <f>SUM(C64:N64)</f>
        <v>-4455344.7531943796</v>
      </c>
    </row>
    <row r="65" spans="2:15" x14ac:dyDescent="0.3">
      <c r="B65" s="15" t="s">
        <v>8</v>
      </c>
      <c r="C65" s="5">
        <f t="shared" ref="C65:N65" si="17">$AA$13-$AE$13</f>
        <v>1300000</v>
      </c>
      <c r="D65" s="5">
        <f t="shared" si="17"/>
        <v>1300000</v>
      </c>
      <c r="E65" s="5">
        <f t="shared" si="17"/>
        <v>1300000</v>
      </c>
      <c r="F65" s="5">
        <f t="shared" si="17"/>
        <v>1300000</v>
      </c>
      <c r="G65" s="5">
        <f t="shared" si="17"/>
        <v>1300000</v>
      </c>
      <c r="H65" s="5">
        <f t="shared" si="17"/>
        <v>1300000</v>
      </c>
      <c r="I65" s="5">
        <f t="shared" si="17"/>
        <v>1300000</v>
      </c>
      <c r="J65" s="5">
        <f t="shared" si="17"/>
        <v>1300000</v>
      </c>
      <c r="K65" s="5">
        <f t="shared" si="17"/>
        <v>1300000</v>
      </c>
      <c r="L65" s="5">
        <f t="shared" si="17"/>
        <v>1300000</v>
      </c>
      <c r="M65" s="5">
        <f t="shared" si="17"/>
        <v>1300000</v>
      </c>
      <c r="N65" s="5">
        <f t="shared" si="17"/>
        <v>1300000</v>
      </c>
      <c r="O65" s="5">
        <f>SUM(C65:N65)</f>
        <v>15600000</v>
      </c>
    </row>
    <row r="66" spans="2:15" x14ac:dyDescent="0.3">
      <c r="B66" s="17" t="s">
        <v>10</v>
      </c>
      <c r="C66" s="78">
        <f t="shared" ref="C66:N66" si="18">C65+C64</f>
        <v>928721.27056713507</v>
      </c>
      <c r="D66" s="78">
        <f t="shared" si="18"/>
        <v>928721.27056713507</v>
      </c>
      <c r="E66" s="78">
        <f t="shared" si="18"/>
        <v>928721.27056713507</v>
      </c>
      <c r="F66" s="78">
        <f t="shared" si="18"/>
        <v>928721.27056713507</v>
      </c>
      <c r="G66" s="78">
        <f t="shared" si="18"/>
        <v>928721.27056713507</v>
      </c>
      <c r="H66" s="78">
        <f t="shared" si="18"/>
        <v>928721.27056713507</v>
      </c>
      <c r="I66" s="78">
        <f t="shared" si="18"/>
        <v>928721.27056713507</v>
      </c>
      <c r="J66" s="78">
        <f t="shared" si="18"/>
        <v>928721.27056713507</v>
      </c>
      <c r="K66" s="78">
        <f t="shared" si="18"/>
        <v>928721.27056713507</v>
      </c>
      <c r="L66" s="78">
        <f t="shared" si="18"/>
        <v>928721.27056713507</v>
      </c>
      <c r="M66" s="78">
        <f t="shared" si="18"/>
        <v>928721.27056713507</v>
      </c>
      <c r="N66" s="78">
        <f t="shared" si="18"/>
        <v>928721.27056713507</v>
      </c>
      <c r="O66" s="19"/>
    </row>
    <row r="68" spans="2:15" x14ac:dyDescent="0.3">
      <c r="B68" s="15" t="s">
        <v>70</v>
      </c>
      <c r="C68" s="15" t="s">
        <v>15</v>
      </c>
      <c r="D68" s="15" t="s">
        <v>16</v>
      </c>
      <c r="E68" s="15" t="s">
        <v>17</v>
      </c>
      <c r="F68" s="15" t="s">
        <v>18</v>
      </c>
      <c r="G68" s="15" t="s">
        <v>19</v>
      </c>
      <c r="H68" s="15" t="s">
        <v>20</v>
      </c>
      <c r="I68" s="15" t="s">
        <v>21</v>
      </c>
      <c r="J68" s="15" t="s">
        <v>22</v>
      </c>
      <c r="K68" s="15" t="s">
        <v>23</v>
      </c>
      <c r="L68" s="15" t="s">
        <v>24</v>
      </c>
      <c r="M68" s="15" t="s">
        <v>25</v>
      </c>
      <c r="N68" s="15" t="s">
        <v>26</v>
      </c>
      <c r="O68" s="15" t="s">
        <v>27</v>
      </c>
    </row>
    <row r="69" spans="2:15" x14ac:dyDescent="0.3">
      <c r="B69" s="15" t="s">
        <v>6</v>
      </c>
      <c r="C69" s="16">
        <f xml:space="preserve"> -(T36)</f>
        <v>-120000</v>
      </c>
      <c r="D69" s="16">
        <f xml:space="preserve"> -(T36)</f>
        <v>-120000</v>
      </c>
      <c r="E69" s="16">
        <f xml:space="preserve"> -(T36)</f>
        <v>-120000</v>
      </c>
      <c r="F69" s="16">
        <f xml:space="preserve"> -(T36)</f>
        <v>-120000</v>
      </c>
      <c r="G69" s="16">
        <f xml:space="preserve"> -(T36)</f>
        <v>-120000</v>
      </c>
      <c r="H69" s="16">
        <f xml:space="preserve"> -(T36)</f>
        <v>-120000</v>
      </c>
      <c r="I69" s="16">
        <f xml:space="preserve"> -(T36)</f>
        <v>-120000</v>
      </c>
      <c r="J69" s="16">
        <f xml:space="preserve"> -(T36)</f>
        <v>-120000</v>
      </c>
      <c r="K69" s="16">
        <f xml:space="preserve"> -(T36)</f>
        <v>-120000</v>
      </c>
      <c r="L69" s="16">
        <f xml:space="preserve"> -(T36)</f>
        <v>-120000</v>
      </c>
      <c r="M69" s="16">
        <f xml:space="preserve"> -(T36)</f>
        <v>-120000</v>
      </c>
      <c r="N69" s="16">
        <f xml:space="preserve"> -(T36)</f>
        <v>-120000</v>
      </c>
      <c r="O69" s="79">
        <f>SUM(C69:N69)</f>
        <v>-1440000</v>
      </c>
    </row>
    <row r="70" spans="2:15" x14ac:dyDescent="0.3">
      <c r="B70" s="15" t="s">
        <v>8</v>
      </c>
      <c r="C70" s="5">
        <f t="shared" ref="C70:N70" si="19">$AA$13-$AE$13</f>
        <v>1300000</v>
      </c>
      <c r="D70" s="5">
        <f t="shared" si="19"/>
        <v>1300000</v>
      </c>
      <c r="E70" s="5">
        <f t="shared" si="19"/>
        <v>1300000</v>
      </c>
      <c r="F70" s="5">
        <f t="shared" si="19"/>
        <v>1300000</v>
      </c>
      <c r="G70" s="5">
        <f t="shared" si="19"/>
        <v>1300000</v>
      </c>
      <c r="H70" s="5">
        <f t="shared" si="19"/>
        <v>1300000</v>
      </c>
      <c r="I70" s="5">
        <f t="shared" si="19"/>
        <v>1300000</v>
      </c>
      <c r="J70" s="5">
        <f t="shared" si="19"/>
        <v>1300000</v>
      </c>
      <c r="K70" s="5">
        <f t="shared" si="19"/>
        <v>1300000</v>
      </c>
      <c r="L70" s="5">
        <f t="shared" si="19"/>
        <v>1300000</v>
      </c>
      <c r="M70" s="5">
        <f t="shared" si="19"/>
        <v>1300000</v>
      </c>
      <c r="N70" s="5">
        <f t="shared" si="19"/>
        <v>1300000</v>
      </c>
      <c r="O70" s="5">
        <f>SUM(C70:N70)</f>
        <v>15600000</v>
      </c>
    </row>
    <row r="71" spans="2:15" x14ac:dyDescent="0.3">
      <c r="B71" s="17" t="s">
        <v>10</v>
      </c>
      <c r="C71" s="78">
        <f t="shared" ref="C71:N71" si="20">C70+C69</f>
        <v>1180000</v>
      </c>
      <c r="D71" s="78">
        <f t="shared" si="20"/>
        <v>1180000</v>
      </c>
      <c r="E71" s="78">
        <f t="shared" si="20"/>
        <v>1180000</v>
      </c>
      <c r="F71" s="78">
        <f t="shared" si="20"/>
        <v>1180000</v>
      </c>
      <c r="G71" s="78">
        <f t="shared" si="20"/>
        <v>1180000</v>
      </c>
      <c r="H71" s="78">
        <f t="shared" si="20"/>
        <v>1180000</v>
      </c>
      <c r="I71" s="78">
        <f t="shared" si="20"/>
        <v>1180000</v>
      </c>
      <c r="J71" s="78">
        <f t="shared" si="20"/>
        <v>1180000</v>
      </c>
      <c r="K71" s="78">
        <f t="shared" si="20"/>
        <v>1180000</v>
      </c>
      <c r="L71" s="78">
        <f t="shared" si="20"/>
        <v>1180000</v>
      </c>
      <c r="M71" s="78">
        <f t="shared" si="20"/>
        <v>1180000</v>
      </c>
      <c r="N71" s="78">
        <f t="shared" si="20"/>
        <v>1180000</v>
      </c>
      <c r="O71" s="19"/>
    </row>
    <row r="73" spans="2:15" x14ac:dyDescent="0.3">
      <c r="B73" s="15" t="s">
        <v>71</v>
      </c>
      <c r="C73" s="15" t="s">
        <v>15</v>
      </c>
      <c r="D73" s="15" t="s">
        <v>16</v>
      </c>
      <c r="E73" s="15" t="s">
        <v>17</v>
      </c>
      <c r="F73" s="15" t="s">
        <v>18</v>
      </c>
      <c r="G73" s="15" t="s">
        <v>19</v>
      </c>
      <c r="H73" s="15" t="s">
        <v>20</v>
      </c>
      <c r="I73" s="15" t="s">
        <v>21</v>
      </c>
      <c r="J73" s="15" t="s">
        <v>22</v>
      </c>
      <c r="K73" s="15" t="s">
        <v>23</v>
      </c>
      <c r="L73" s="15" t="s">
        <v>24</v>
      </c>
      <c r="M73" s="15" t="s">
        <v>25</v>
      </c>
      <c r="N73" s="15" t="s">
        <v>26</v>
      </c>
      <c r="O73" s="15" t="s">
        <v>27</v>
      </c>
    </row>
    <row r="74" spans="2:15" x14ac:dyDescent="0.3">
      <c r="B74" s="15" t="s">
        <v>6</v>
      </c>
      <c r="C74" s="16">
        <f xml:space="preserve"> -(T36)</f>
        <v>-120000</v>
      </c>
      <c r="D74" s="16">
        <f xml:space="preserve"> -(T36)</f>
        <v>-120000</v>
      </c>
      <c r="E74" s="16">
        <f xml:space="preserve"> -(T36)</f>
        <v>-120000</v>
      </c>
      <c r="F74" s="16">
        <f xml:space="preserve"> -(T36)</f>
        <v>-120000</v>
      </c>
      <c r="G74" s="16">
        <f xml:space="preserve"> -(T36)</f>
        <v>-120000</v>
      </c>
      <c r="H74" s="16">
        <f xml:space="preserve"> -(T36)</f>
        <v>-120000</v>
      </c>
      <c r="I74" s="16">
        <f xml:space="preserve"> -(T36)</f>
        <v>-120000</v>
      </c>
      <c r="J74" s="16">
        <f xml:space="preserve"> -(T36)</f>
        <v>-120000</v>
      </c>
      <c r="K74" s="16">
        <f xml:space="preserve"> -(T36)</f>
        <v>-120000</v>
      </c>
      <c r="L74" s="16">
        <f xml:space="preserve"> -(T36)</f>
        <v>-120000</v>
      </c>
      <c r="M74" s="16">
        <f xml:space="preserve"> -(T36)</f>
        <v>-120000</v>
      </c>
      <c r="N74" s="16">
        <f xml:space="preserve"> -(T36)</f>
        <v>-120000</v>
      </c>
      <c r="O74" s="79">
        <f>SUM(C74:N74)</f>
        <v>-1440000</v>
      </c>
    </row>
    <row r="75" spans="2:15" x14ac:dyDescent="0.3">
      <c r="B75" s="15" t="s">
        <v>8</v>
      </c>
      <c r="C75" s="5">
        <f t="shared" ref="C75:N75" si="21">$AA$13-$AE$13</f>
        <v>1300000</v>
      </c>
      <c r="D75" s="5">
        <f t="shared" si="21"/>
        <v>1300000</v>
      </c>
      <c r="E75" s="5">
        <f t="shared" si="21"/>
        <v>1300000</v>
      </c>
      <c r="F75" s="5">
        <f t="shared" si="21"/>
        <v>1300000</v>
      </c>
      <c r="G75" s="5">
        <f t="shared" si="21"/>
        <v>1300000</v>
      </c>
      <c r="H75" s="5">
        <f t="shared" si="21"/>
        <v>1300000</v>
      </c>
      <c r="I75" s="5">
        <f t="shared" si="21"/>
        <v>1300000</v>
      </c>
      <c r="J75" s="5">
        <f t="shared" si="21"/>
        <v>1300000</v>
      </c>
      <c r="K75" s="5">
        <f t="shared" si="21"/>
        <v>1300000</v>
      </c>
      <c r="L75" s="5">
        <f t="shared" si="21"/>
        <v>1300000</v>
      </c>
      <c r="M75" s="5">
        <f t="shared" si="21"/>
        <v>1300000</v>
      </c>
      <c r="N75" s="5">
        <f t="shared" si="21"/>
        <v>1300000</v>
      </c>
      <c r="O75" s="5">
        <f>SUM(C75:N75)</f>
        <v>15600000</v>
      </c>
    </row>
    <row r="76" spans="2:15" x14ac:dyDescent="0.3">
      <c r="B76" s="17" t="s">
        <v>10</v>
      </c>
      <c r="C76" s="78">
        <f t="shared" ref="C76:N76" si="22">C75+C74</f>
        <v>1180000</v>
      </c>
      <c r="D76" s="78">
        <f t="shared" si="22"/>
        <v>1180000</v>
      </c>
      <c r="E76" s="78">
        <f t="shared" si="22"/>
        <v>1180000</v>
      </c>
      <c r="F76" s="78">
        <f t="shared" si="22"/>
        <v>1180000</v>
      </c>
      <c r="G76" s="78">
        <f t="shared" si="22"/>
        <v>1180000</v>
      </c>
      <c r="H76" s="78">
        <f t="shared" si="22"/>
        <v>1180000</v>
      </c>
      <c r="I76" s="78">
        <f t="shared" si="22"/>
        <v>1180000</v>
      </c>
      <c r="J76" s="78">
        <f t="shared" si="22"/>
        <v>1180000</v>
      </c>
      <c r="K76" s="78">
        <f t="shared" si="22"/>
        <v>1180000</v>
      </c>
      <c r="L76" s="78">
        <f t="shared" si="22"/>
        <v>1180000</v>
      </c>
      <c r="M76" s="78">
        <f t="shared" si="22"/>
        <v>1180000</v>
      </c>
      <c r="N76" s="78">
        <f t="shared" si="22"/>
        <v>1180000</v>
      </c>
      <c r="O76" s="19"/>
    </row>
    <row r="78" spans="2:15" x14ac:dyDescent="0.3">
      <c r="B78" s="15" t="s">
        <v>72</v>
      </c>
      <c r="C78" s="15" t="s">
        <v>15</v>
      </c>
      <c r="D78" s="15" t="s">
        <v>16</v>
      </c>
      <c r="E78" s="15" t="s">
        <v>17</v>
      </c>
      <c r="F78" s="15" t="s">
        <v>18</v>
      </c>
      <c r="G78" s="15" t="s">
        <v>19</v>
      </c>
      <c r="H78" s="15" t="s">
        <v>20</v>
      </c>
      <c r="I78" s="15" t="s">
        <v>21</v>
      </c>
      <c r="J78" s="15" t="s">
        <v>22</v>
      </c>
      <c r="K78" s="15" t="s">
        <v>23</v>
      </c>
      <c r="L78" s="15" t="s">
        <v>24</v>
      </c>
      <c r="M78" s="15" t="s">
        <v>25</v>
      </c>
      <c r="N78" s="15" t="s">
        <v>26</v>
      </c>
      <c r="O78" s="15" t="s">
        <v>27</v>
      </c>
    </row>
    <row r="79" spans="2:15" x14ac:dyDescent="0.3">
      <c r="B79" s="15" t="s">
        <v>6</v>
      </c>
      <c r="C79" s="16">
        <f xml:space="preserve"> -(T36)</f>
        <v>-120000</v>
      </c>
      <c r="D79" s="16">
        <f xml:space="preserve"> -(T36)</f>
        <v>-120000</v>
      </c>
      <c r="E79" s="16">
        <f xml:space="preserve"> -(T36)</f>
        <v>-120000</v>
      </c>
      <c r="F79" s="16">
        <f xml:space="preserve"> -(T36)</f>
        <v>-120000</v>
      </c>
      <c r="G79" s="16">
        <f xml:space="preserve"> -(T36)</f>
        <v>-120000</v>
      </c>
      <c r="H79" s="16">
        <f xml:space="preserve"> -(T36)</f>
        <v>-120000</v>
      </c>
      <c r="I79" s="16">
        <f xml:space="preserve"> -(T36)</f>
        <v>-120000</v>
      </c>
      <c r="J79" s="16">
        <f xml:space="preserve"> -(T36)</f>
        <v>-120000</v>
      </c>
      <c r="K79" s="16">
        <f xml:space="preserve"> -(T36)</f>
        <v>-120000</v>
      </c>
      <c r="L79" s="16">
        <f xml:space="preserve"> -(T36)</f>
        <v>-120000</v>
      </c>
      <c r="M79" s="16">
        <f xml:space="preserve"> -(T36)</f>
        <v>-120000</v>
      </c>
      <c r="N79" s="16">
        <f xml:space="preserve"> -(T36)</f>
        <v>-120000</v>
      </c>
      <c r="O79" s="79">
        <f>SUM(C79:N79)</f>
        <v>-1440000</v>
      </c>
    </row>
    <row r="80" spans="2:15" x14ac:dyDescent="0.3">
      <c r="B80" s="15" t="s">
        <v>8</v>
      </c>
      <c r="C80" s="5">
        <f t="shared" ref="C80:N80" si="23">$AA$13-$AE$13</f>
        <v>1300000</v>
      </c>
      <c r="D80" s="5">
        <f t="shared" si="23"/>
        <v>1300000</v>
      </c>
      <c r="E80" s="5">
        <f t="shared" si="23"/>
        <v>1300000</v>
      </c>
      <c r="F80" s="5">
        <f t="shared" si="23"/>
        <v>1300000</v>
      </c>
      <c r="G80" s="5">
        <f t="shared" si="23"/>
        <v>1300000</v>
      </c>
      <c r="H80" s="5">
        <f t="shared" si="23"/>
        <v>1300000</v>
      </c>
      <c r="I80" s="5">
        <f t="shared" si="23"/>
        <v>1300000</v>
      </c>
      <c r="J80" s="5">
        <f t="shared" si="23"/>
        <v>1300000</v>
      </c>
      <c r="K80" s="5">
        <f t="shared" si="23"/>
        <v>1300000</v>
      </c>
      <c r="L80" s="5">
        <f t="shared" si="23"/>
        <v>1300000</v>
      </c>
      <c r="M80" s="5">
        <f t="shared" si="23"/>
        <v>1300000</v>
      </c>
      <c r="N80" s="5">
        <f t="shared" si="23"/>
        <v>1300000</v>
      </c>
      <c r="O80" s="5">
        <f>SUM(C80:N80)</f>
        <v>15600000</v>
      </c>
    </row>
    <row r="81" spans="2:15" x14ac:dyDescent="0.3">
      <c r="B81" s="17" t="s">
        <v>10</v>
      </c>
      <c r="C81" s="78">
        <f t="shared" ref="C81:N81" si="24">C80+C79</f>
        <v>1180000</v>
      </c>
      <c r="D81" s="78">
        <f t="shared" si="24"/>
        <v>1180000</v>
      </c>
      <c r="E81" s="78">
        <f t="shared" si="24"/>
        <v>1180000</v>
      </c>
      <c r="F81" s="78">
        <f t="shared" si="24"/>
        <v>1180000</v>
      </c>
      <c r="G81" s="78">
        <f t="shared" si="24"/>
        <v>1180000</v>
      </c>
      <c r="H81" s="78">
        <f t="shared" si="24"/>
        <v>1180000</v>
      </c>
      <c r="I81" s="78">
        <f t="shared" si="24"/>
        <v>1180000</v>
      </c>
      <c r="J81" s="78">
        <f t="shared" si="24"/>
        <v>1180000</v>
      </c>
      <c r="K81" s="78">
        <f t="shared" si="24"/>
        <v>1180000</v>
      </c>
      <c r="L81" s="78">
        <f t="shared" si="24"/>
        <v>1180000</v>
      </c>
      <c r="M81" s="78">
        <f t="shared" si="24"/>
        <v>1180000</v>
      </c>
      <c r="N81" s="78">
        <f t="shared" si="24"/>
        <v>1180000</v>
      </c>
      <c r="O81" s="19"/>
    </row>
    <row r="83" spans="2:15" x14ac:dyDescent="0.3">
      <c r="B83" s="15" t="s">
        <v>73</v>
      </c>
      <c r="C83" s="15" t="s">
        <v>15</v>
      </c>
      <c r="D83" s="15" t="s">
        <v>16</v>
      </c>
      <c r="E83" s="15" t="s">
        <v>17</v>
      </c>
      <c r="F83" s="15" t="s">
        <v>18</v>
      </c>
      <c r="G83" s="15" t="s">
        <v>19</v>
      </c>
      <c r="H83" s="15" t="s">
        <v>20</v>
      </c>
      <c r="I83" s="15" t="s">
        <v>21</v>
      </c>
      <c r="J83" s="15" t="s">
        <v>22</v>
      </c>
      <c r="K83" s="15" t="s">
        <v>23</v>
      </c>
      <c r="L83" s="15" t="s">
        <v>24</v>
      </c>
      <c r="M83" s="15" t="s">
        <v>25</v>
      </c>
      <c r="N83" s="15" t="s">
        <v>26</v>
      </c>
      <c r="O83" s="15" t="s">
        <v>27</v>
      </c>
    </row>
    <row r="84" spans="2:15" x14ac:dyDescent="0.3">
      <c r="B84" s="15" t="s">
        <v>6</v>
      </c>
      <c r="C84" s="16">
        <f xml:space="preserve"> -(T36)</f>
        <v>-120000</v>
      </c>
      <c r="D84" s="16">
        <f xml:space="preserve"> -(T36)</f>
        <v>-120000</v>
      </c>
      <c r="E84" s="16">
        <f xml:space="preserve"> -(T36)</f>
        <v>-120000</v>
      </c>
      <c r="F84" s="16">
        <f xml:space="preserve"> -(T36)</f>
        <v>-120000</v>
      </c>
      <c r="G84" s="16">
        <f xml:space="preserve"> -(T36)</f>
        <v>-120000</v>
      </c>
      <c r="H84" s="16">
        <f xml:space="preserve"> -(T36)</f>
        <v>-120000</v>
      </c>
      <c r="I84" s="16">
        <f xml:space="preserve"> -(T36)</f>
        <v>-120000</v>
      </c>
      <c r="J84" s="16">
        <f xml:space="preserve"> -(T36)</f>
        <v>-120000</v>
      </c>
      <c r="K84" s="16">
        <f xml:space="preserve"> -(T36)</f>
        <v>-120000</v>
      </c>
      <c r="L84" s="16">
        <f xml:space="preserve"> -(T36)</f>
        <v>-120000</v>
      </c>
      <c r="M84" s="16">
        <f xml:space="preserve"> -(T36)</f>
        <v>-120000</v>
      </c>
      <c r="N84" s="16">
        <f xml:space="preserve"> -(T36)</f>
        <v>-120000</v>
      </c>
      <c r="O84" s="79">
        <f xml:space="preserve"> SUM(C84:N84)</f>
        <v>-1440000</v>
      </c>
    </row>
    <row r="85" spans="2:15" x14ac:dyDescent="0.3">
      <c r="B85" s="15" t="s">
        <v>8</v>
      </c>
      <c r="C85" s="5">
        <f t="shared" ref="C85:N85" si="25">$AA$13-$AE$13</f>
        <v>1300000</v>
      </c>
      <c r="D85" s="5">
        <f t="shared" si="25"/>
        <v>1300000</v>
      </c>
      <c r="E85" s="5">
        <f t="shared" si="25"/>
        <v>1300000</v>
      </c>
      <c r="F85" s="5">
        <f t="shared" si="25"/>
        <v>1300000</v>
      </c>
      <c r="G85" s="5">
        <f t="shared" si="25"/>
        <v>1300000</v>
      </c>
      <c r="H85" s="5">
        <f t="shared" si="25"/>
        <v>1300000</v>
      </c>
      <c r="I85" s="5">
        <f t="shared" si="25"/>
        <v>1300000</v>
      </c>
      <c r="J85" s="5">
        <f t="shared" si="25"/>
        <v>1300000</v>
      </c>
      <c r="K85" s="5">
        <f t="shared" si="25"/>
        <v>1300000</v>
      </c>
      <c r="L85" s="5">
        <f t="shared" si="25"/>
        <v>1300000</v>
      </c>
      <c r="M85" s="5">
        <f t="shared" si="25"/>
        <v>1300000</v>
      </c>
      <c r="N85" s="5">
        <f t="shared" si="25"/>
        <v>1300000</v>
      </c>
      <c r="O85" s="5">
        <f>SUM(C85:N85)</f>
        <v>15600000</v>
      </c>
    </row>
    <row r="86" spans="2:15" x14ac:dyDescent="0.3">
      <c r="B86" s="17" t="s">
        <v>10</v>
      </c>
      <c r="C86" s="78">
        <f t="shared" ref="C86:N86" si="26">C85+C84</f>
        <v>1180000</v>
      </c>
      <c r="D86" s="78">
        <f t="shared" si="26"/>
        <v>1180000</v>
      </c>
      <c r="E86" s="78">
        <f t="shared" si="26"/>
        <v>1180000</v>
      </c>
      <c r="F86" s="78">
        <f t="shared" si="26"/>
        <v>1180000</v>
      </c>
      <c r="G86" s="78">
        <f t="shared" si="26"/>
        <v>1180000</v>
      </c>
      <c r="H86" s="78">
        <f t="shared" si="26"/>
        <v>1180000</v>
      </c>
      <c r="I86" s="78">
        <f t="shared" si="26"/>
        <v>1180000</v>
      </c>
      <c r="J86" s="78">
        <f t="shared" si="26"/>
        <v>1180000</v>
      </c>
      <c r="K86" s="78">
        <f t="shared" si="26"/>
        <v>1180000</v>
      </c>
      <c r="L86" s="78">
        <f t="shared" si="26"/>
        <v>1180000</v>
      </c>
      <c r="M86" s="78">
        <f t="shared" si="26"/>
        <v>1180000</v>
      </c>
      <c r="N86" s="78">
        <f t="shared" si="26"/>
        <v>1180000</v>
      </c>
      <c r="O86" s="19"/>
    </row>
    <row r="88" spans="2:15" x14ac:dyDescent="0.3">
      <c r="B88" s="15" t="s">
        <v>74</v>
      </c>
      <c r="C88" s="15" t="s">
        <v>15</v>
      </c>
      <c r="D88" s="15" t="s">
        <v>16</v>
      </c>
      <c r="E88" s="15" t="s">
        <v>17</v>
      </c>
      <c r="F88" s="15" t="s">
        <v>18</v>
      </c>
      <c r="G88" s="15" t="s">
        <v>19</v>
      </c>
      <c r="H88" s="15" t="s">
        <v>20</v>
      </c>
      <c r="I88" s="15" t="s">
        <v>21</v>
      </c>
      <c r="J88" s="15" t="s">
        <v>22</v>
      </c>
      <c r="K88" s="15" t="s">
        <v>23</v>
      </c>
      <c r="L88" s="15" t="s">
        <v>24</v>
      </c>
      <c r="M88" s="15" t="s">
        <v>25</v>
      </c>
      <c r="N88" s="15" t="s">
        <v>26</v>
      </c>
      <c r="O88" s="15" t="s">
        <v>27</v>
      </c>
    </row>
    <row r="89" spans="2:15" x14ac:dyDescent="0.3">
      <c r="B89" s="15" t="s">
        <v>6</v>
      </c>
      <c r="C89" s="16">
        <f xml:space="preserve"> -(T36)</f>
        <v>-120000</v>
      </c>
      <c r="D89" s="16">
        <f xml:space="preserve"> -(T36)</f>
        <v>-120000</v>
      </c>
      <c r="E89" s="16">
        <f xml:space="preserve"> -(T36)</f>
        <v>-120000</v>
      </c>
      <c r="F89" s="16">
        <f xml:space="preserve"> -(T36)</f>
        <v>-120000</v>
      </c>
      <c r="G89" s="16">
        <f xml:space="preserve"> -(T36)</f>
        <v>-120000</v>
      </c>
      <c r="H89" s="16">
        <f xml:space="preserve"> -(T36)</f>
        <v>-120000</v>
      </c>
      <c r="I89" s="16">
        <f xml:space="preserve"> -(T36)</f>
        <v>-120000</v>
      </c>
      <c r="J89" s="16">
        <f xml:space="preserve"> -(T36)</f>
        <v>-120000</v>
      </c>
      <c r="K89" s="16">
        <f xml:space="preserve"> -(T36)</f>
        <v>-120000</v>
      </c>
      <c r="L89" s="16">
        <f xml:space="preserve"> -(T36)</f>
        <v>-120000</v>
      </c>
      <c r="M89" s="16">
        <f xml:space="preserve"> -(T36)</f>
        <v>-120000</v>
      </c>
      <c r="N89" s="16">
        <f xml:space="preserve"> -(T36)</f>
        <v>-120000</v>
      </c>
      <c r="O89" s="79">
        <f xml:space="preserve"> SUM(C89:N89)</f>
        <v>-1440000</v>
      </c>
    </row>
    <row r="90" spans="2:15" x14ac:dyDescent="0.3">
      <c r="B90" s="15" t="s">
        <v>8</v>
      </c>
      <c r="C90" s="5">
        <f t="shared" ref="C90:N90" si="27">$AA$13-$AE$13</f>
        <v>1300000</v>
      </c>
      <c r="D90" s="5">
        <f t="shared" si="27"/>
        <v>1300000</v>
      </c>
      <c r="E90" s="5">
        <f t="shared" si="27"/>
        <v>1300000</v>
      </c>
      <c r="F90" s="5">
        <f t="shared" si="27"/>
        <v>1300000</v>
      </c>
      <c r="G90" s="5">
        <f t="shared" si="27"/>
        <v>1300000</v>
      </c>
      <c r="H90" s="5">
        <f t="shared" si="27"/>
        <v>1300000</v>
      </c>
      <c r="I90" s="5">
        <f t="shared" si="27"/>
        <v>1300000</v>
      </c>
      <c r="J90" s="5">
        <f t="shared" si="27"/>
        <v>1300000</v>
      </c>
      <c r="K90" s="5">
        <f t="shared" si="27"/>
        <v>1300000</v>
      </c>
      <c r="L90" s="5">
        <f t="shared" si="27"/>
        <v>1300000</v>
      </c>
      <c r="M90" s="5">
        <f t="shared" si="27"/>
        <v>1300000</v>
      </c>
      <c r="N90" s="5">
        <f t="shared" si="27"/>
        <v>1300000</v>
      </c>
      <c r="O90" s="5">
        <f>SUM(C90:N90)</f>
        <v>15600000</v>
      </c>
    </row>
    <row r="91" spans="2:15" x14ac:dyDescent="0.3">
      <c r="B91" s="17" t="s">
        <v>10</v>
      </c>
      <c r="C91" s="78">
        <f t="shared" ref="C91:N91" si="28">C90+C89</f>
        <v>1180000</v>
      </c>
      <c r="D91" s="78">
        <f t="shared" si="28"/>
        <v>1180000</v>
      </c>
      <c r="E91" s="78">
        <f t="shared" si="28"/>
        <v>1180000</v>
      </c>
      <c r="F91" s="78">
        <f t="shared" si="28"/>
        <v>1180000</v>
      </c>
      <c r="G91" s="78">
        <f t="shared" si="28"/>
        <v>1180000</v>
      </c>
      <c r="H91" s="78">
        <f t="shared" si="28"/>
        <v>1180000</v>
      </c>
      <c r="I91" s="78">
        <f t="shared" si="28"/>
        <v>1180000</v>
      </c>
      <c r="J91" s="78">
        <f t="shared" si="28"/>
        <v>1180000</v>
      </c>
      <c r="K91" s="78">
        <f t="shared" si="28"/>
        <v>1180000</v>
      </c>
      <c r="L91" s="78">
        <f t="shared" si="28"/>
        <v>1180000</v>
      </c>
      <c r="M91" s="78">
        <f t="shared" si="28"/>
        <v>1180000</v>
      </c>
      <c r="N91" s="78">
        <f t="shared" si="28"/>
        <v>1180000</v>
      </c>
      <c r="O91" s="19"/>
    </row>
  </sheetData>
  <mergeCells count="11">
    <mergeCell ref="B7:C7"/>
    <mergeCell ref="B1:K1"/>
    <mergeCell ref="B2:C2"/>
    <mergeCell ref="B3:C3"/>
    <mergeCell ref="B4:C4"/>
    <mergeCell ref="B5:C5"/>
    <mergeCell ref="B8:C8"/>
    <mergeCell ref="K10:N10"/>
    <mergeCell ref="Z37:AA37"/>
    <mergeCell ref="Z38:AA38"/>
    <mergeCell ref="Z39:AA39"/>
  </mergeCells>
  <phoneticPr fontId="10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71BFCC-B6AC-4D95-BED4-FAD7BD09A049}">
  <dimension ref="B1:AQ91"/>
  <sheetViews>
    <sheetView tabSelected="1" zoomScale="59" zoomScaleNormal="92" workbookViewId="0">
      <selection activeCell="B2" sqref="B2:C2"/>
    </sheetView>
  </sheetViews>
  <sheetFormatPr baseColWidth="10" defaultColWidth="11.44140625" defaultRowHeight="14.4" x14ac:dyDescent="0.3"/>
  <cols>
    <col min="2" max="2" width="26.6640625" customWidth="1"/>
    <col min="3" max="3" width="16.33203125" customWidth="1"/>
    <col min="4" max="4" width="14.5546875" customWidth="1"/>
    <col min="5" max="5" width="14.109375" customWidth="1"/>
    <col min="6" max="6" width="15.88671875" bestFit="1" customWidth="1"/>
    <col min="7" max="9" width="14.33203125" bestFit="1" customWidth="1"/>
    <col min="10" max="10" width="15" customWidth="1"/>
    <col min="11" max="11" width="15.109375" customWidth="1"/>
    <col min="12" max="12" width="17.109375" customWidth="1"/>
    <col min="13" max="13" width="15.44140625" customWidth="1"/>
    <col min="14" max="14" width="14.33203125" customWidth="1"/>
    <col min="15" max="15" width="17.88671875" customWidth="1"/>
    <col min="16" max="16" width="15.6640625" customWidth="1"/>
    <col min="17" max="17" width="19.88671875" customWidth="1"/>
    <col min="18" max="18" width="18.88671875" customWidth="1"/>
    <col min="19" max="19" width="14.109375" customWidth="1"/>
    <col min="20" max="20" width="9.109375" bestFit="1" customWidth="1"/>
    <col min="21" max="21" width="14.88671875" bestFit="1" customWidth="1"/>
    <col min="22" max="22" width="15.88671875" customWidth="1"/>
    <col min="23" max="23" width="14.6640625" customWidth="1"/>
    <col min="24" max="24" width="13.6640625" bestFit="1" customWidth="1"/>
    <col min="25" max="25" width="22" customWidth="1"/>
    <col min="26" max="26" width="17.109375" customWidth="1"/>
    <col min="27" max="27" width="24.5546875" customWidth="1"/>
    <col min="28" max="28" width="21.109375" customWidth="1"/>
    <col min="29" max="29" width="20.33203125" customWidth="1"/>
    <col min="30" max="30" width="26.109375" customWidth="1"/>
    <col min="31" max="31" width="18.33203125" customWidth="1"/>
    <col min="32" max="32" width="19.33203125" customWidth="1"/>
    <col min="33" max="33" width="16.33203125" customWidth="1"/>
    <col min="34" max="34" width="15.33203125" customWidth="1"/>
    <col min="35" max="36" width="15.5546875" customWidth="1"/>
    <col min="37" max="37" width="17" customWidth="1"/>
    <col min="38" max="38" width="18" customWidth="1"/>
    <col min="39" max="39" width="18.44140625" customWidth="1"/>
    <col min="40" max="40" width="18.6640625" customWidth="1"/>
    <col min="41" max="41" width="16.44140625" customWidth="1"/>
    <col min="42" max="42" width="17" customWidth="1"/>
    <col min="43" max="43" width="16.5546875" customWidth="1"/>
  </cols>
  <sheetData>
    <row r="1" spans="2:31" x14ac:dyDescent="0.3">
      <c r="B1" s="91" t="s">
        <v>81</v>
      </c>
      <c r="C1" s="92"/>
      <c r="D1" s="92"/>
      <c r="E1" s="92"/>
      <c r="F1" s="92"/>
      <c r="G1" s="92"/>
      <c r="H1" s="92"/>
      <c r="I1" s="92"/>
      <c r="J1" s="92"/>
      <c r="K1" s="92"/>
      <c r="S1" s="30"/>
    </row>
    <row r="2" spans="2:31" x14ac:dyDescent="0.3">
      <c r="B2" s="82" t="s">
        <v>1</v>
      </c>
      <c r="C2" s="93"/>
      <c r="D2" s="3">
        <v>2021</v>
      </c>
      <c r="E2" s="3">
        <v>2022</v>
      </c>
      <c r="F2" s="3">
        <v>2023</v>
      </c>
      <c r="G2" s="3">
        <v>2024</v>
      </c>
      <c r="H2" s="3">
        <v>2025</v>
      </c>
      <c r="I2" s="3">
        <v>2026</v>
      </c>
      <c r="J2" s="3">
        <v>2027</v>
      </c>
      <c r="K2" s="3">
        <v>2028</v>
      </c>
      <c r="L2" s="3">
        <v>2029</v>
      </c>
      <c r="M2" s="3">
        <v>2030</v>
      </c>
      <c r="N2" s="3">
        <v>2031</v>
      </c>
      <c r="O2" s="3">
        <v>2032</v>
      </c>
      <c r="P2" s="3">
        <v>2033</v>
      </c>
      <c r="Q2" s="3">
        <v>2034</v>
      </c>
      <c r="R2" s="3">
        <v>2035</v>
      </c>
      <c r="S2" s="3">
        <v>2036</v>
      </c>
      <c r="T2" s="24" t="s">
        <v>2</v>
      </c>
      <c r="U2" s="25">
        <f>ABS(SUM(D3:S3))</f>
        <v>338286323.76597196</v>
      </c>
      <c r="X2" s="53" t="s">
        <v>1</v>
      </c>
      <c r="Y2" s="53" t="s">
        <v>3</v>
      </c>
      <c r="Z2" s="58" t="s">
        <v>4</v>
      </c>
      <c r="AA2" s="65" t="s">
        <v>5</v>
      </c>
      <c r="AB2" s="46"/>
      <c r="AC2" s="46"/>
      <c r="AE2" s="46"/>
    </row>
    <row r="3" spans="2:31" x14ac:dyDescent="0.3">
      <c r="B3" s="94" t="s">
        <v>6</v>
      </c>
      <c r="C3" s="95"/>
      <c r="D3" s="4">
        <f xml:space="preserve"> $O14</f>
        <v>-2458000</v>
      </c>
      <c r="E3" s="5">
        <f xml:space="preserve"> ($O19)</f>
        <v>-2523200</v>
      </c>
      <c r="F3" s="5">
        <f xml:space="preserve"> $O24</f>
        <v>-2580000</v>
      </c>
      <c r="G3" s="5">
        <f xml:space="preserve"> $O29</f>
        <v>-2517700</v>
      </c>
      <c r="H3" s="5">
        <f xml:space="preserve"> $O34</f>
        <v>-2010700</v>
      </c>
      <c r="I3" s="6">
        <f xml:space="preserve"> $O39</f>
        <v>-1760000</v>
      </c>
      <c r="J3" s="6">
        <f xml:space="preserve"> $O$44</f>
        <v>-63447344.753194384</v>
      </c>
      <c r="K3" s="6">
        <f xml:space="preserve"> $O$44</f>
        <v>-63447344.753194384</v>
      </c>
      <c r="L3" s="6">
        <f xml:space="preserve"> $O$44</f>
        <v>-63447344.753194384</v>
      </c>
      <c r="M3" s="6">
        <f xml:space="preserve"> $O$44</f>
        <v>-63447344.753194384</v>
      </c>
      <c r="N3" s="6">
        <f xml:space="preserve"> $O$64</f>
        <v>-63447344.753194384</v>
      </c>
      <c r="O3" s="6">
        <f xml:space="preserve"> $O$69</f>
        <v>-1440000</v>
      </c>
      <c r="P3" s="6">
        <f xml:space="preserve"> $O$69</f>
        <v>-1440000</v>
      </c>
      <c r="Q3" s="6">
        <f xml:space="preserve"> $O$69</f>
        <v>-1440000</v>
      </c>
      <c r="R3" s="6">
        <f xml:space="preserve"> $O$69</f>
        <v>-1440000</v>
      </c>
      <c r="S3" s="6">
        <f xml:space="preserve"> $O$69</f>
        <v>-1440000</v>
      </c>
      <c r="T3" s="22" t="s">
        <v>7</v>
      </c>
      <c r="U3" s="23">
        <f>SUM(D4:S4)</f>
        <v>270400000</v>
      </c>
      <c r="X3" s="53">
        <v>2021</v>
      </c>
      <c r="Y3" s="56">
        <f>SUM(CÁLCULOS!A3:A4)</f>
        <v>346000</v>
      </c>
      <c r="Z3" s="57">
        <f>CÁLCULOS!$C9</f>
        <v>2112000</v>
      </c>
      <c r="AA3" s="59">
        <v>0</v>
      </c>
      <c r="AB3" s="69"/>
      <c r="AC3" s="69"/>
      <c r="AE3" s="69"/>
    </row>
    <row r="4" spans="2:31" x14ac:dyDescent="0.3">
      <c r="B4" s="94" t="s">
        <v>8</v>
      </c>
      <c r="C4" s="95"/>
      <c r="D4" s="5">
        <f>$O15</f>
        <v>0</v>
      </c>
      <c r="E4" s="5">
        <f>$O20</f>
        <v>0</v>
      </c>
      <c r="F4" s="5">
        <f>$O25</f>
        <v>0</v>
      </c>
      <c r="G4" s="5">
        <f>$O30</f>
        <v>0</v>
      </c>
      <c r="H4" s="5">
        <f>$O35</f>
        <v>0</v>
      </c>
      <c r="I4" s="7">
        <f>$O40</f>
        <v>0</v>
      </c>
      <c r="J4" s="7">
        <f>$O$45</f>
        <v>24400000</v>
      </c>
      <c r="K4" s="7">
        <f>$O$45</f>
        <v>24400000</v>
      </c>
      <c r="L4" s="7">
        <f>$O$45</f>
        <v>24400000</v>
      </c>
      <c r="M4" s="7">
        <f>$O$45</f>
        <v>24400000</v>
      </c>
      <c r="N4" s="7">
        <f>$O$65</f>
        <v>28800000</v>
      </c>
      <c r="O4" s="7">
        <f>$O$65</f>
        <v>28800000</v>
      </c>
      <c r="P4" s="7">
        <f>$O$65</f>
        <v>28800000</v>
      </c>
      <c r="Q4" s="7">
        <f>$O$65</f>
        <v>28800000</v>
      </c>
      <c r="R4" s="7">
        <f>$O$85</f>
        <v>28800000</v>
      </c>
      <c r="S4" s="7">
        <f>$O$85</f>
        <v>28800000</v>
      </c>
      <c r="T4" s="20" t="s">
        <v>9</v>
      </c>
      <c r="U4" s="21">
        <f>U3/U2</f>
        <v>0.79932288420581843</v>
      </c>
      <c r="X4" s="53">
        <v>2022</v>
      </c>
      <c r="Y4" s="56">
        <f>SUM(CÁLCULOS!A5:A6)</f>
        <v>411200</v>
      </c>
      <c r="Z4" s="57">
        <f>CÁLCULOS!$C9</f>
        <v>2112000</v>
      </c>
      <c r="AA4" s="59">
        <v>0</v>
      </c>
      <c r="AB4" s="69"/>
      <c r="AC4" s="69"/>
      <c r="AE4" s="69"/>
    </row>
    <row r="5" spans="2:31" x14ac:dyDescent="0.3">
      <c r="B5" s="88" t="s">
        <v>10</v>
      </c>
      <c r="C5" s="96"/>
      <c r="D5" s="71">
        <f t="shared" ref="D5:S5" si="0">D4+D3</f>
        <v>-2458000</v>
      </c>
      <c r="E5" s="71">
        <f t="shared" si="0"/>
        <v>-2523200</v>
      </c>
      <c r="F5" s="71">
        <f t="shared" si="0"/>
        <v>-2580000</v>
      </c>
      <c r="G5" s="71">
        <f t="shared" si="0"/>
        <v>-2517700</v>
      </c>
      <c r="H5" s="72">
        <f t="shared" si="0"/>
        <v>-2010700</v>
      </c>
      <c r="I5" s="73">
        <f t="shared" si="0"/>
        <v>-1760000</v>
      </c>
      <c r="J5" s="74">
        <f t="shared" si="0"/>
        <v>-39047344.753194384</v>
      </c>
      <c r="K5" s="74">
        <f t="shared" si="0"/>
        <v>-39047344.753194384</v>
      </c>
      <c r="L5" s="74">
        <f t="shared" si="0"/>
        <v>-39047344.753194384</v>
      </c>
      <c r="M5" s="74">
        <f t="shared" si="0"/>
        <v>-39047344.753194384</v>
      </c>
      <c r="N5" s="74">
        <f t="shared" si="0"/>
        <v>-34647344.753194384</v>
      </c>
      <c r="O5" s="74">
        <f t="shared" si="0"/>
        <v>27360000</v>
      </c>
      <c r="P5" s="74">
        <f t="shared" si="0"/>
        <v>27360000</v>
      </c>
      <c r="Q5" s="74">
        <f t="shared" si="0"/>
        <v>27360000</v>
      </c>
      <c r="R5" s="74">
        <f t="shared" si="0"/>
        <v>27360000</v>
      </c>
      <c r="S5" s="74">
        <f t="shared" si="0"/>
        <v>27360000</v>
      </c>
      <c r="X5" s="53">
        <v>2023</v>
      </c>
      <c r="Y5" s="56">
        <f>SUM(CÁLCULOS!A7:A8)</f>
        <v>468000</v>
      </c>
      <c r="Z5" s="57">
        <f>CÁLCULOS!$C9</f>
        <v>2112000</v>
      </c>
      <c r="AA5" s="59">
        <v>0</v>
      </c>
      <c r="AB5" s="69"/>
      <c r="AC5" s="69"/>
      <c r="AE5" s="69"/>
    </row>
    <row r="6" spans="2:31" x14ac:dyDescent="0.3">
      <c r="T6" s="47"/>
      <c r="U6" s="47"/>
      <c r="V6" s="47"/>
      <c r="X6" s="53">
        <v>2024</v>
      </c>
      <c r="Y6" s="56">
        <f>SUM(CÁLCULOS!A9:A10)</f>
        <v>517700</v>
      </c>
      <c r="Z6" s="57">
        <f>CÁLCULOS!$D7</f>
        <v>1440000</v>
      </c>
      <c r="AA6" s="59">
        <v>0</v>
      </c>
      <c r="AB6" s="69"/>
      <c r="AC6" s="69"/>
      <c r="AE6" s="69"/>
    </row>
    <row r="7" spans="2:31" x14ac:dyDescent="0.3">
      <c r="B7" s="82" t="s">
        <v>1</v>
      </c>
      <c r="C7" s="83"/>
      <c r="D7" s="2">
        <v>2021</v>
      </c>
      <c r="E7" s="2">
        <v>2022</v>
      </c>
      <c r="F7" s="2">
        <v>2023</v>
      </c>
      <c r="G7" s="2">
        <v>2024</v>
      </c>
      <c r="H7" s="2">
        <v>2025</v>
      </c>
      <c r="I7" s="2">
        <v>2026</v>
      </c>
      <c r="J7" s="2">
        <v>2027</v>
      </c>
      <c r="K7" s="2">
        <v>2028</v>
      </c>
      <c r="L7" s="2">
        <v>2029</v>
      </c>
      <c r="M7" s="2">
        <v>2030</v>
      </c>
      <c r="N7" s="2">
        <v>2031</v>
      </c>
      <c r="O7" s="2">
        <v>2032</v>
      </c>
      <c r="P7" s="2">
        <v>2033</v>
      </c>
      <c r="Q7" s="2">
        <v>2034</v>
      </c>
      <c r="R7" s="2">
        <v>2035</v>
      </c>
      <c r="S7" s="2">
        <v>2036</v>
      </c>
      <c r="T7" s="47"/>
      <c r="U7" s="47"/>
      <c r="V7" s="47"/>
      <c r="X7" s="53">
        <v>2025</v>
      </c>
      <c r="Y7" s="56">
        <f>SUM(CÁLCULOS!A11:A12)</f>
        <v>570700</v>
      </c>
      <c r="Z7" s="57">
        <f>CÁLCULOS!$D7</f>
        <v>1440000</v>
      </c>
      <c r="AA7" s="59">
        <v>0</v>
      </c>
      <c r="AB7" s="69"/>
      <c r="AC7" s="69"/>
      <c r="AE7" s="69"/>
    </row>
    <row r="8" spans="2:31" x14ac:dyDescent="0.3">
      <c r="B8" s="88" t="s">
        <v>10</v>
      </c>
      <c r="C8" s="89"/>
      <c r="D8" s="75">
        <f t="shared" ref="D8:I8" si="1">D5</f>
        <v>-2458000</v>
      </c>
      <c r="E8" s="75">
        <f t="shared" si="1"/>
        <v>-2523200</v>
      </c>
      <c r="F8" s="75">
        <f t="shared" si="1"/>
        <v>-2580000</v>
      </c>
      <c r="G8" s="75">
        <f t="shared" si="1"/>
        <v>-2517700</v>
      </c>
      <c r="H8" s="75">
        <f t="shared" si="1"/>
        <v>-2010700</v>
      </c>
      <c r="I8" s="75">
        <f t="shared" si="1"/>
        <v>-1760000</v>
      </c>
      <c r="J8" s="76">
        <f>J5*1.1236</f>
        <v>-43873596.564689204</v>
      </c>
      <c r="K8" s="76">
        <f>K5*1.1</f>
        <v>-42952079.228513829</v>
      </c>
      <c r="L8" s="76">
        <f>L5*1.07</f>
        <v>-41780658.885917991</v>
      </c>
      <c r="M8" s="76">
        <f>M5*1.06</f>
        <v>-41390185.438386053</v>
      </c>
      <c r="N8" s="76">
        <f>N5*1.06</f>
        <v>-36726185.438386053</v>
      </c>
      <c r="O8" s="76">
        <f>O5*1.06</f>
        <v>29001600</v>
      </c>
      <c r="P8" s="76">
        <f>P5*(1+$R$25)</f>
        <v>29001600</v>
      </c>
      <c r="Q8" s="76">
        <f>Q5*1.06</f>
        <v>29001600</v>
      </c>
      <c r="R8" s="76">
        <f>R5*1.06</f>
        <v>29001600</v>
      </c>
      <c r="S8" s="76">
        <f>S5*1.06</f>
        <v>29001600</v>
      </c>
      <c r="T8" s="47"/>
      <c r="U8" s="47"/>
      <c r="V8" s="47"/>
      <c r="X8" s="53">
        <v>2026</v>
      </c>
      <c r="Y8" s="56">
        <f>CÁLCULOS!$A13</f>
        <v>320000</v>
      </c>
      <c r="Z8" s="57">
        <f>CÁLCULOS!$D7</f>
        <v>1440000</v>
      </c>
      <c r="AA8" s="59">
        <v>0</v>
      </c>
      <c r="AB8" s="69"/>
      <c r="AC8" s="69"/>
      <c r="AE8" s="69"/>
    </row>
    <row r="9" spans="2:31" x14ac:dyDescent="0.3">
      <c r="H9" s="36"/>
      <c r="T9" s="47"/>
      <c r="U9" s="47"/>
      <c r="V9" s="47"/>
      <c r="X9" s="53">
        <v>2027</v>
      </c>
      <c r="Y9" s="56">
        <f>R19</f>
        <v>3015344.7531943792</v>
      </c>
      <c r="Z9" s="57">
        <f>CÁLCULOS!$D7</f>
        <v>1440000</v>
      </c>
      <c r="AA9" s="59">
        <v>1300000</v>
      </c>
      <c r="AB9" s="69"/>
      <c r="AC9" s="69"/>
      <c r="AE9" s="69"/>
    </row>
    <row r="10" spans="2:31" x14ac:dyDescent="0.3">
      <c r="B10" s="8" t="s">
        <v>11</v>
      </c>
      <c r="C10" s="9">
        <v>5.1999999999999998E-2</v>
      </c>
      <c r="D10" s="34"/>
      <c r="H10" s="10" t="s">
        <v>12</v>
      </c>
      <c r="J10" s="77"/>
      <c r="K10" s="97"/>
      <c r="L10" s="97"/>
      <c r="M10" s="97"/>
      <c r="N10" s="97"/>
      <c r="Q10" s="30"/>
      <c r="R10" s="30"/>
      <c r="S10" s="30"/>
      <c r="T10" s="47"/>
      <c r="U10" s="47"/>
      <c r="V10" s="47"/>
      <c r="X10" s="53">
        <v>2028</v>
      </c>
      <c r="Y10" s="56">
        <f>R19</f>
        <v>3015344.7531943792</v>
      </c>
      <c r="Z10" s="57">
        <f>CÁLCULOS!$D7</f>
        <v>1440000</v>
      </c>
      <c r="AA10" s="59">
        <v>1300000</v>
      </c>
      <c r="AB10" s="69"/>
      <c r="AC10" s="69"/>
      <c r="AE10" s="69"/>
    </row>
    <row r="11" spans="2:31" x14ac:dyDescent="0.3">
      <c r="B11" s="11" t="s">
        <v>13</v>
      </c>
      <c r="C11" s="12">
        <f>NPV(C10,D8:S8)</f>
        <v>-72084222.346283883</v>
      </c>
      <c r="D11" s="32"/>
      <c r="E11" s="33"/>
      <c r="F11" s="35"/>
      <c r="G11" s="36"/>
      <c r="H11" s="13">
        <f>IRR(D8:S8)</f>
        <v>-7.5201115537246066E-2</v>
      </c>
      <c r="I11" s="36"/>
      <c r="J11" s="14"/>
      <c r="K11" s="14"/>
      <c r="T11" s="47"/>
      <c r="U11" s="47"/>
      <c r="V11" s="47"/>
      <c r="X11" s="53">
        <v>2029</v>
      </c>
      <c r="Y11" s="56">
        <f>R19</f>
        <v>3015344.7531943792</v>
      </c>
      <c r="Z11" s="57">
        <f>CÁLCULOS!$D7</f>
        <v>1440000</v>
      </c>
      <c r="AA11" s="59">
        <v>1300000</v>
      </c>
      <c r="AB11" s="69"/>
      <c r="AC11" s="69"/>
      <c r="AE11" s="69"/>
    </row>
    <row r="12" spans="2:31" x14ac:dyDescent="0.3">
      <c r="C12" s="35"/>
      <c r="D12" s="32"/>
      <c r="E12" s="32"/>
      <c r="F12" s="32"/>
      <c r="G12" s="32"/>
      <c r="H12" s="32"/>
      <c r="I12" s="32"/>
      <c r="J12" s="33"/>
      <c r="K12" s="33"/>
      <c r="T12" s="47"/>
      <c r="U12" s="47"/>
      <c r="V12" s="47"/>
      <c r="X12" s="53">
        <v>2030</v>
      </c>
      <c r="Y12" s="56">
        <f>R19</f>
        <v>3015344.7531943792</v>
      </c>
      <c r="Z12" s="57">
        <f>CÁLCULOS!$D7</f>
        <v>1440000</v>
      </c>
      <c r="AA12" s="59">
        <v>1300000</v>
      </c>
      <c r="AB12" s="69"/>
      <c r="AC12" s="69"/>
      <c r="AE12" s="69"/>
    </row>
    <row r="13" spans="2:31" x14ac:dyDescent="0.3">
      <c r="B13" s="15" t="s">
        <v>14</v>
      </c>
      <c r="C13" s="15" t="s">
        <v>15</v>
      </c>
      <c r="D13" s="15" t="s">
        <v>16</v>
      </c>
      <c r="E13" s="15" t="s">
        <v>17</v>
      </c>
      <c r="F13" s="15" t="s">
        <v>18</v>
      </c>
      <c r="G13" s="15" t="s">
        <v>19</v>
      </c>
      <c r="H13" s="15" t="s">
        <v>20</v>
      </c>
      <c r="I13" s="15" t="s">
        <v>21</v>
      </c>
      <c r="J13" s="15" t="s">
        <v>22</v>
      </c>
      <c r="K13" s="15" t="s">
        <v>23</v>
      </c>
      <c r="L13" s="15" t="s">
        <v>24</v>
      </c>
      <c r="M13" s="15" t="s">
        <v>25</v>
      </c>
      <c r="N13" s="15" t="s">
        <v>26</v>
      </c>
      <c r="O13" s="15" t="s">
        <v>27</v>
      </c>
      <c r="Q13" s="17" t="s">
        <v>28</v>
      </c>
      <c r="R13" s="26">
        <v>13289600</v>
      </c>
      <c r="S13" s="1"/>
      <c r="T13" s="47"/>
      <c r="U13" s="17" t="s">
        <v>29</v>
      </c>
      <c r="V13" s="17" t="s">
        <v>12</v>
      </c>
      <c r="X13" s="62">
        <v>2031</v>
      </c>
      <c r="Y13" s="63">
        <f>R19</f>
        <v>3015344.7531943792</v>
      </c>
      <c r="Z13" s="64">
        <f>CÁLCULOS!$D7</f>
        <v>1440000</v>
      </c>
      <c r="AA13" s="59">
        <v>1300000</v>
      </c>
      <c r="AB13" s="69"/>
      <c r="AC13" s="69"/>
      <c r="AE13" s="69"/>
    </row>
    <row r="14" spans="2:31" x14ac:dyDescent="0.3">
      <c r="B14" s="15" t="s">
        <v>6</v>
      </c>
      <c r="C14" s="16">
        <f xml:space="preserve"> -(S44)</f>
        <v>-176000</v>
      </c>
      <c r="D14" s="16">
        <f xml:space="preserve"> -(Q34+S44)</f>
        <v>-349000</v>
      </c>
      <c r="E14" s="16">
        <f xml:space="preserve"> -(S44)</f>
        <v>-176000</v>
      </c>
      <c r="F14" s="16">
        <f xml:space="preserve"> -(S44)</f>
        <v>-176000</v>
      </c>
      <c r="G14" s="16">
        <f xml:space="preserve"> -(S44)</f>
        <v>-176000</v>
      </c>
      <c r="H14" s="16">
        <f xml:space="preserve"> -(S44)</f>
        <v>-176000</v>
      </c>
      <c r="I14" s="16">
        <f xml:space="preserve"> -(S44)</f>
        <v>-176000</v>
      </c>
      <c r="J14" s="16">
        <f xml:space="preserve"> -(Q35+S44)</f>
        <v>-349000</v>
      </c>
      <c r="K14" s="16">
        <f xml:space="preserve"> -(S44)</f>
        <v>-176000</v>
      </c>
      <c r="L14" s="16">
        <f xml:space="preserve"> -(S44)</f>
        <v>-176000</v>
      </c>
      <c r="M14" s="16">
        <f xml:space="preserve"> -(S44)</f>
        <v>-176000</v>
      </c>
      <c r="N14" s="16">
        <f xml:space="preserve"> -(S44)</f>
        <v>-176000</v>
      </c>
      <c r="O14" s="79">
        <f>SUM(C14:N14)</f>
        <v>-2458000</v>
      </c>
      <c r="Q14" s="17" t="s">
        <v>30</v>
      </c>
      <c r="R14" s="27">
        <v>5.1999999999999998E-2</v>
      </c>
      <c r="T14" s="47"/>
      <c r="U14" s="17" t="s">
        <v>31</v>
      </c>
      <c r="V14" s="31" t="e">
        <f>IRR($D$8:D8)</f>
        <v>#NUM!</v>
      </c>
      <c r="X14" s="65">
        <v>2032</v>
      </c>
      <c r="Y14" s="59">
        <f>R19</f>
        <v>3015344.7531943792</v>
      </c>
      <c r="Z14" s="66">
        <f>CÁLCULOS!$D7</f>
        <v>1440000</v>
      </c>
      <c r="AA14" s="59">
        <v>1300000</v>
      </c>
      <c r="AB14" s="69"/>
      <c r="AC14" s="69"/>
      <c r="AE14" s="69"/>
    </row>
    <row r="15" spans="2:31" x14ac:dyDescent="0.3">
      <c r="B15" s="15" t="s">
        <v>8</v>
      </c>
      <c r="C15" s="5">
        <f>0</f>
        <v>0</v>
      </c>
      <c r="D15" s="5">
        <f>0</f>
        <v>0</v>
      </c>
      <c r="E15" s="5">
        <f>0</f>
        <v>0</v>
      </c>
      <c r="F15" s="5">
        <f>0</f>
        <v>0</v>
      </c>
      <c r="G15" s="5">
        <f>0</f>
        <v>0</v>
      </c>
      <c r="H15" s="5">
        <f>0</f>
        <v>0</v>
      </c>
      <c r="I15" s="5">
        <f>0</f>
        <v>0</v>
      </c>
      <c r="J15" s="5">
        <f>0</f>
        <v>0</v>
      </c>
      <c r="K15" s="5">
        <f>0</f>
        <v>0</v>
      </c>
      <c r="L15" s="5">
        <f>0</f>
        <v>0</v>
      </c>
      <c r="M15" s="5">
        <f>0</f>
        <v>0</v>
      </c>
      <c r="N15" s="5">
        <f>0</f>
        <v>0</v>
      </c>
      <c r="O15" s="5">
        <f>SUM(C15:N15)</f>
        <v>0</v>
      </c>
      <c r="Q15" s="17" t="s">
        <v>32</v>
      </c>
      <c r="R15" s="28">
        <f>((1+R14)^(1/12)-1)*100</f>
        <v>0.42333616592649115</v>
      </c>
      <c r="T15" s="47"/>
      <c r="U15" s="17" t="s">
        <v>33</v>
      </c>
      <c r="V15" s="31" t="e">
        <f>IRR($D$8:E8)</f>
        <v>#NUM!</v>
      </c>
      <c r="W15" s="47"/>
      <c r="X15" s="59" t="s">
        <v>27</v>
      </c>
      <c r="Y15" s="59">
        <f>SUM(Y3:Y8)</f>
        <v>2633600</v>
      </c>
      <c r="Z15" s="66">
        <f>SUM(Z3:Z8)</f>
        <v>10656000</v>
      </c>
      <c r="AA15" s="59"/>
      <c r="AB15" s="69"/>
      <c r="AC15" s="69"/>
      <c r="AE15" s="69"/>
    </row>
    <row r="16" spans="2:31" x14ac:dyDescent="0.3">
      <c r="B16" s="17" t="s">
        <v>10</v>
      </c>
      <c r="C16" s="18">
        <f t="shared" ref="C16:N16" si="2">C15+C14</f>
        <v>-176000</v>
      </c>
      <c r="D16" s="18">
        <f t="shared" si="2"/>
        <v>-349000</v>
      </c>
      <c r="E16" s="18">
        <f t="shared" si="2"/>
        <v>-176000</v>
      </c>
      <c r="F16" s="18">
        <f t="shared" si="2"/>
        <v>-176000</v>
      </c>
      <c r="G16" s="18">
        <f t="shared" si="2"/>
        <v>-176000</v>
      </c>
      <c r="H16" s="18">
        <f t="shared" si="2"/>
        <v>-176000</v>
      </c>
      <c r="I16" s="18">
        <f t="shared" si="2"/>
        <v>-176000</v>
      </c>
      <c r="J16" s="18">
        <f t="shared" si="2"/>
        <v>-349000</v>
      </c>
      <c r="K16" s="18">
        <f t="shared" si="2"/>
        <v>-176000</v>
      </c>
      <c r="L16" s="18">
        <f t="shared" si="2"/>
        <v>-176000</v>
      </c>
      <c r="M16" s="18">
        <f t="shared" si="2"/>
        <v>-176000</v>
      </c>
      <c r="N16" s="18">
        <f t="shared" si="2"/>
        <v>-176000</v>
      </c>
      <c r="O16" s="19"/>
      <c r="Q16" s="17" t="s">
        <v>34</v>
      </c>
      <c r="R16" s="26">
        <v>5</v>
      </c>
      <c r="T16" s="47"/>
      <c r="U16" s="17" t="s">
        <v>35</v>
      </c>
      <c r="V16" s="31" t="e">
        <f>IRR($D$8:F8)</f>
        <v>#NUM!</v>
      </c>
      <c r="W16" s="47"/>
      <c r="X16" s="30"/>
    </row>
    <row r="17" spans="2:33" x14ac:dyDescent="0.3">
      <c r="Q17" s="17" t="s">
        <v>36</v>
      </c>
      <c r="R17" s="26">
        <v>60</v>
      </c>
      <c r="T17" s="47"/>
      <c r="U17" s="17" t="s">
        <v>37</v>
      </c>
      <c r="V17" s="31" t="e">
        <f>IRR($D$8:G8)</f>
        <v>#NUM!</v>
      </c>
      <c r="W17" s="47"/>
      <c r="X17" s="30"/>
    </row>
    <row r="18" spans="2:33" x14ac:dyDescent="0.3">
      <c r="B18" s="15" t="s">
        <v>38</v>
      </c>
      <c r="C18" s="15" t="s">
        <v>15</v>
      </c>
      <c r="D18" s="15" t="s">
        <v>16</v>
      </c>
      <c r="E18" s="15" t="s">
        <v>17</v>
      </c>
      <c r="F18" s="15" t="s">
        <v>18</v>
      </c>
      <c r="G18" s="15" t="s">
        <v>19</v>
      </c>
      <c r="H18" s="15" t="s">
        <v>20</v>
      </c>
      <c r="I18" s="15" t="s">
        <v>21</v>
      </c>
      <c r="J18" s="15" t="s">
        <v>22</v>
      </c>
      <c r="K18" s="15" t="s">
        <v>23</v>
      </c>
      <c r="L18" s="15" t="s">
        <v>24</v>
      </c>
      <c r="M18" s="15" t="s">
        <v>25</v>
      </c>
      <c r="N18" s="15" t="s">
        <v>26</v>
      </c>
      <c r="O18" s="15" t="s">
        <v>27</v>
      </c>
      <c r="Q18" s="17" t="s">
        <v>39</v>
      </c>
      <c r="R18" s="28">
        <f>((R13*R15/100)/(1-(1+R15/100)^(-R17)))</f>
        <v>251278.72943286493</v>
      </c>
      <c r="S18" s="1"/>
      <c r="T18" s="47"/>
      <c r="U18" s="17" t="s">
        <v>40</v>
      </c>
      <c r="V18" s="31" t="e">
        <f>IRR($D$8:H$8)</f>
        <v>#NUM!</v>
      </c>
      <c r="W18" s="47"/>
      <c r="X18" s="30"/>
    </row>
    <row r="19" spans="2:33" x14ac:dyDescent="0.3">
      <c r="B19" s="15" t="s">
        <v>6</v>
      </c>
      <c r="C19" s="16">
        <f xml:space="preserve"> -(S44)</f>
        <v>-176000</v>
      </c>
      <c r="D19" s="16">
        <f xml:space="preserve"> -(Q36+S44)</f>
        <v>-366200</v>
      </c>
      <c r="E19" s="16">
        <f xml:space="preserve"> -(S44)</f>
        <v>-176000</v>
      </c>
      <c r="F19" s="16">
        <f xml:space="preserve"> -(S44)</f>
        <v>-176000</v>
      </c>
      <c r="G19" s="16">
        <f xml:space="preserve"> -(S44)</f>
        <v>-176000</v>
      </c>
      <c r="H19" s="16">
        <f xml:space="preserve"> -(S44)</f>
        <v>-176000</v>
      </c>
      <c r="I19" s="16">
        <f xml:space="preserve"> -(S44)</f>
        <v>-176000</v>
      </c>
      <c r="J19" s="16">
        <f xml:space="preserve"> -(Q37+S44)</f>
        <v>-397000</v>
      </c>
      <c r="K19" s="16">
        <f xml:space="preserve"> -(S44)</f>
        <v>-176000</v>
      </c>
      <c r="L19" s="16">
        <f xml:space="preserve"> -(S44)</f>
        <v>-176000</v>
      </c>
      <c r="M19" s="16">
        <f xml:space="preserve"> -(S44)</f>
        <v>-176000</v>
      </c>
      <c r="N19" s="16">
        <f xml:space="preserve"> -(S44)</f>
        <v>-176000</v>
      </c>
      <c r="O19" s="79">
        <f>SUM(C19:N19)</f>
        <v>-2523200</v>
      </c>
      <c r="Q19" s="17" t="s">
        <v>41</v>
      </c>
      <c r="R19" s="26">
        <f>12*R18</f>
        <v>3015344.7531943792</v>
      </c>
      <c r="U19" s="17" t="s">
        <v>42</v>
      </c>
      <c r="V19" s="31" t="e">
        <f>IRR($D$8:I$8)</f>
        <v>#NUM!</v>
      </c>
    </row>
    <row r="20" spans="2:33" ht="15.6" x14ac:dyDescent="0.3">
      <c r="B20" s="15" t="s">
        <v>8</v>
      </c>
      <c r="C20" s="5">
        <f>0</f>
        <v>0</v>
      </c>
      <c r="D20" s="5">
        <f>0</f>
        <v>0</v>
      </c>
      <c r="E20" s="5">
        <f>0</f>
        <v>0</v>
      </c>
      <c r="F20" s="5">
        <f>0</f>
        <v>0</v>
      </c>
      <c r="G20" s="5">
        <f>0</f>
        <v>0</v>
      </c>
      <c r="H20" s="5">
        <f>0</f>
        <v>0</v>
      </c>
      <c r="I20" s="5">
        <f>0</f>
        <v>0</v>
      </c>
      <c r="J20" s="5">
        <f>0</f>
        <v>0</v>
      </c>
      <c r="K20" s="5">
        <f>0</f>
        <v>0</v>
      </c>
      <c r="L20" s="5">
        <f>0</f>
        <v>0</v>
      </c>
      <c r="M20" s="5">
        <f>0</f>
        <v>0</v>
      </c>
      <c r="N20" s="5">
        <f>0</f>
        <v>0</v>
      </c>
      <c r="O20" s="5">
        <f>SUM(C20:N20)</f>
        <v>0</v>
      </c>
      <c r="R20" s="38"/>
      <c r="U20" s="17" t="s">
        <v>43</v>
      </c>
      <c r="V20" s="31" t="e">
        <f>IRR($D$8:J$8)</f>
        <v>#NUM!</v>
      </c>
      <c r="X20" s="48"/>
      <c r="Y20" s="48"/>
      <c r="Z20" s="48"/>
      <c r="AA20" s="48"/>
      <c r="AB20" s="48"/>
      <c r="AC20" s="48"/>
      <c r="AD20" s="81"/>
      <c r="AE20" s="48"/>
      <c r="AF20" s="48"/>
      <c r="AG20" s="48"/>
    </row>
    <row r="21" spans="2:33" x14ac:dyDescent="0.3">
      <c r="B21" s="17" t="s">
        <v>10</v>
      </c>
      <c r="C21" s="18">
        <f t="shared" ref="C21:N21" si="3">C20+C19</f>
        <v>-176000</v>
      </c>
      <c r="D21" s="18">
        <f t="shared" si="3"/>
        <v>-366200</v>
      </c>
      <c r="E21" s="18">
        <f t="shared" si="3"/>
        <v>-176000</v>
      </c>
      <c r="F21" s="18">
        <f t="shared" si="3"/>
        <v>-176000</v>
      </c>
      <c r="G21" s="18">
        <f t="shared" si="3"/>
        <v>-176000</v>
      </c>
      <c r="H21" s="18">
        <f t="shared" si="3"/>
        <v>-176000</v>
      </c>
      <c r="I21" s="18">
        <f t="shared" si="3"/>
        <v>-176000</v>
      </c>
      <c r="J21" s="18">
        <f t="shared" si="3"/>
        <v>-397000</v>
      </c>
      <c r="K21" s="18">
        <f t="shared" si="3"/>
        <v>-176000</v>
      </c>
      <c r="L21" s="18">
        <f t="shared" si="3"/>
        <v>-176000</v>
      </c>
      <c r="M21" s="18">
        <f t="shared" si="3"/>
        <v>-176000</v>
      </c>
      <c r="N21" s="18">
        <f t="shared" si="3"/>
        <v>-176000</v>
      </c>
      <c r="O21" s="19"/>
      <c r="Q21" s="17" t="s">
        <v>1</v>
      </c>
      <c r="R21" s="17" t="s">
        <v>44</v>
      </c>
      <c r="U21" s="17" t="s">
        <v>45</v>
      </c>
      <c r="V21" s="31" t="e">
        <f>IRR($D$8:K$8)</f>
        <v>#NUM!</v>
      </c>
      <c r="X21" s="48"/>
      <c r="Y21" s="48" t="s">
        <v>46</v>
      </c>
      <c r="Z21" s="48"/>
      <c r="AA21" s="48"/>
      <c r="AB21" s="48"/>
      <c r="AC21" s="48"/>
      <c r="AD21" s="48"/>
      <c r="AE21" s="48"/>
      <c r="AF21" s="48"/>
      <c r="AG21" s="48"/>
    </row>
    <row r="22" spans="2:33" x14ac:dyDescent="0.3">
      <c r="Q22" s="26">
        <v>2027</v>
      </c>
      <c r="R22" s="29">
        <v>0.1236</v>
      </c>
      <c r="U22" s="17" t="s">
        <v>47</v>
      </c>
      <c r="V22" s="31" t="e">
        <f>IRR($D$8:L$8)</f>
        <v>#NUM!</v>
      </c>
      <c r="X22" s="48" t="s">
        <v>48</v>
      </c>
      <c r="Y22" s="48">
        <f>SUM(Y15:Z15)</f>
        <v>13289600</v>
      </c>
      <c r="Z22" s="48"/>
      <c r="AA22" s="48"/>
      <c r="AB22" s="48"/>
      <c r="AC22" s="48"/>
      <c r="AD22" s="48"/>
      <c r="AE22" s="48"/>
      <c r="AF22" s="48"/>
      <c r="AG22" s="48"/>
    </row>
    <row r="23" spans="2:33" x14ac:dyDescent="0.3">
      <c r="B23" s="15" t="s">
        <v>49</v>
      </c>
      <c r="C23" s="15" t="s">
        <v>15</v>
      </c>
      <c r="D23" s="15" t="s">
        <v>16</v>
      </c>
      <c r="E23" s="15" t="s">
        <v>17</v>
      </c>
      <c r="F23" s="15" t="s">
        <v>18</v>
      </c>
      <c r="G23" s="15" t="s">
        <v>19</v>
      </c>
      <c r="H23" s="15" t="s">
        <v>20</v>
      </c>
      <c r="I23" s="15" t="s">
        <v>21</v>
      </c>
      <c r="J23" s="15" t="s">
        <v>22</v>
      </c>
      <c r="K23" s="15" t="s">
        <v>23</v>
      </c>
      <c r="L23" s="15" t="s">
        <v>24</v>
      </c>
      <c r="M23" s="15" t="s">
        <v>25</v>
      </c>
      <c r="N23" s="15" t="s">
        <v>26</v>
      </c>
      <c r="O23" s="15" t="s">
        <v>27</v>
      </c>
      <c r="Q23" s="26">
        <v>2028</v>
      </c>
      <c r="R23" s="29">
        <v>0.1</v>
      </c>
      <c r="U23" s="17" t="s">
        <v>50</v>
      </c>
      <c r="V23" s="31" t="e">
        <f>IRR($D$8:M$8)</f>
        <v>#NUM!</v>
      </c>
      <c r="X23" s="48"/>
      <c r="Y23" s="48"/>
      <c r="Z23" s="48"/>
      <c r="AA23" s="48"/>
      <c r="AB23" s="48"/>
      <c r="AC23" s="48"/>
      <c r="AD23" s="48"/>
      <c r="AE23" s="48"/>
      <c r="AF23" s="48"/>
      <c r="AG23" s="48"/>
    </row>
    <row r="24" spans="2:33" x14ac:dyDescent="0.3">
      <c r="B24" s="15" t="s">
        <v>6</v>
      </c>
      <c r="C24" s="16">
        <f xml:space="preserve"> -(S44)</f>
        <v>-176000</v>
      </c>
      <c r="D24" s="16">
        <f xml:space="preserve"> -(Q38+S44)</f>
        <v>-397000</v>
      </c>
      <c r="E24" s="16">
        <f xml:space="preserve"> -(S44)</f>
        <v>-176000</v>
      </c>
      <c r="F24" s="16">
        <f xml:space="preserve"> -(S44)</f>
        <v>-176000</v>
      </c>
      <c r="G24" s="16">
        <f xml:space="preserve"> -(S44)</f>
        <v>-176000</v>
      </c>
      <c r="H24" s="16">
        <f xml:space="preserve"> -(S44)</f>
        <v>-176000</v>
      </c>
      <c r="I24" s="16">
        <f xml:space="preserve"> -(S44)</f>
        <v>-176000</v>
      </c>
      <c r="J24" s="16">
        <f xml:space="preserve"> -(Q39+S44)</f>
        <v>-423000</v>
      </c>
      <c r="K24" s="16">
        <f xml:space="preserve"> -(S44)</f>
        <v>-176000</v>
      </c>
      <c r="L24" s="16">
        <f xml:space="preserve"> -(S44)</f>
        <v>-176000</v>
      </c>
      <c r="M24" s="16">
        <f xml:space="preserve"> -(S44)</f>
        <v>-176000</v>
      </c>
      <c r="N24" s="16">
        <f xml:space="preserve"> -(S44)</f>
        <v>-176000</v>
      </c>
      <c r="O24" s="79">
        <f>SUM(C24:N24)</f>
        <v>-2580000</v>
      </c>
      <c r="Q24" s="26">
        <v>2029</v>
      </c>
      <c r="R24" s="29">
        <v>7.0000000000000007E-2</v>
      </c>
      <c r="U24" s="17" t="s">
        <v>51</v>
      </c>
      <c r="V24" s="31" t="e">
        <f>IRR($D$8:N$8)</f>
        <v>#NUM!</v>
      </c>
      <c r="X24" s="48"/>
      <c r="Y24" s="48"/>
      <c r="Z24" s="48"/>
      <c r="AA24" s="48"/>
      <c r="AB24" s="48"/>
      <c r="AC24" s="48"/>
      <c r="AD24" s="48"/>
      <c r="AE24" s="48"/>
      <c r="AF24" s="48"/>
      <c r="AG24" s="48"/>
    </row>
    <row r="25" spans="2:33" x14ac:dyDescent="0.3">
      <c r="B25" s="15" t="s">
        <v>8</v>
      </c>
      <c r="C25" s="5">
        <f>0</f>
        <v>0</v>
      </c>
      <c r="D25" s="5">
        <f>0</f>
        <v>0</v>
      </c>
      <c r="E25" s="5">
        <f>0</f>
        <v>0</v>
      </c>
      <c r="F25" s="5">
        <f>0</f>
        <v>0</v>
      </c>
      <c r="G25" s="5">
        <f>0</f>
        <v>0</v>
      </c>
      <c r="H25" s="5">
        <f>0</f>
        <v>0</v>
      </c>
      <c r="I25" s="5">
        <f>0</f>
        <v>0</v>
      </c>
      <c r="J25" s="5">
        <f>0</f>
        <v>0</v>
      </c>
      <c r="K25" s="5">
        <f>0</f>
        <v>0</v>
      </c>
      <c r="L25" s="5">
        <f>0</f>
        <v>0</v>
      </c>
      <c r="M25" s="5">
        <f>0</f>
        <v>0</v>
      </c>
      <c r="N25" s="5">
        <f>0</f>
        <v>0</v>
      </c>
      <c r="O25" s="5">
        <f>SUM(C25:N25)</f>
        <v>0</v>
      </c>
      <c r="Q25" s="26">
        <v>2030</v>
      </c>
      <c r="R25" s="29">
        <v>0.06</v>
      </c>
      <c r="U25" s="17" t="s">
        <v>52</v>
      </c>
      <c r="V25" s="31" t="e">
        <f>IRR($D$8:O$8)</f>
        <v>#NUM!</v>
      </c>
      <c r="X25" s="48"/>
      <c r="Y25" s="48"/>
      <c r="Z25" s="48"/>
      <c r="AA25" s="48"/>
      <c r="AB25" s="48"/>
      <c r="AC25" s="48"/>
      <c r="AD25" s="48"/>
      <c r="AE25" s="48"/>
      <c r="AF25" s="48"/>
      <c r="AG25" s="48"/>
    </row>
    <row r="26" spans="2:33" x14ac:dyDescent="0.3">
      <c r="B26" s="17" t="s">
        <v>10</v>
      </c>
      <c r="C26" s="18">
        <f t="shared" ref="C26:N26" si="4">C25+C24</f>
        <v>-176000</v>
      </c>
      <c r="D26" s="18">
        <f t="shared" si="4"/>
        <v>-397000</v>
      </c>
      <c r="E26" s="18">
        <f t="shared" si="4"/>
        <v>-176000</v>
      </c>
      <c r="F26" s="18">
        <f t="shared" si="4"/>
        <v>-176000</v>
      </c>
      <c r="G26" s="18">
        <f t="shared" si="4"/>
        <v>-176000</v>
      </c>
      <c r="H26" s="18">
        <f t="shared" si="4"/>
        <v>-176000</v>
      </c>
      <c r="I26" s="18">
        <f t="shared" si="4"/>
        <v>-176000</v>
      </c>
      <c r="J26" s="18">
        <f t="shared" si="4"/>
        <v>-423000</v>
      </c>
      <c r="K26" s="18">
        <f t="shared" si="4"/>
        <v>-176000</v>
      </c>
      <c r="L26" s="18">
        <f t="shared" si="4"/>
        <v>-176000</v>
      </c>
      <c r="M26" s="18">
        <f t="shared" si="4"/>
        <v>-176000</v>
      </c>
      <c r="N26" s="18">
        <f t="shared" si="4"/>
        <v>-176000</v>
      </c>
      <c r="O26" s="19"/>
      <c r="Q26" s="26">
        <v>2031</v>
      </c>
      <c r="R26" s="29">
        <v>0.06</v>
      </c>
      <c r="U26" s="17" t="s">
        <v>53</v>
      </c>
      <c r="V26" s="31" t="e">
        <f>IRR($D$8:P$8)</f>
        <v>#NUM!</v>
      </c>
      <c r="W26" s="44"/>
      <c r="X26" s="48"/>
      <c r="Y26" s="48"/>
      <c r="Z26" s="48"/>
      <c r="AA26" s="48"/>
      <c r="AB26" s="48"/>
      <c r="AC26" s="48"/>
      <c r="AD26" s="48"/>
      <c r="AE26" s="48"/>
      <c r="AF26" s="48"/>
      <c r="AG26" s="48"/>
    </row>
    <row r="27" spans="2:33" x14ac:dyDescent="0.3">
      <c r="Q27" s="26">
        <v>2032</v>
      </c>
      <c r="R27" s="29">
        <v>0.06</v>
      </c>
      <c r="U27" s="17" t="s">
        <v>54</v>
      </c>
      <c r="V27" s="31" t="e">
        <f>IRR($D$8:Q$8)</f>
        <v>#NUM!</v>
      </c>
      <c r="W27" s="45"/>
      <c r="X27" s="48"/>
      <c r="Y27" s="48"/>
      <c r="Z27" s="48"/>
      <c r="AA27" s="48"/>
      <c r="AB27" s="48"/>
      <c r="AC27" s="48"/>
      <c r="AD27" s="48"/>
      <c r="AE27" s="48"/>
      <c r="AF27" s="48"/>
      <c r="AG27" s="48"/>
    </row>
    <row r="28" spans="2:33" x14ac:dyDescent="0.3">
      <c r="B28" s="15" t="s">
        <v>55</v>
      </c>
      <c r="C28" s="15" t="s">
        <v>15</v>
      </c>
      <c r="D28" s="15" t="s">
        <v>16</v>
      </c>
      <c r="E28" s="15" t="s">
        <v>17</v>
      </c>
      <c r="F28" s="15" t="s">
        <v>18</v>
      </c>
      <c r="G28" s="15" t="s">
        <v>19</v>
      </c>
      <c r="H28" s="15" t="s">
        <v>20</v>
      </c>
      <c r="I28" s="15" t="s">
        <v>21</v>
      </c>
      <c r="J28" s="15" t="s">
        <v>22</v>
      </c>
      <c r="K28" s="15" t="s">
        <v>23</v>
      </c>
      <c r="L28" s="15" t="s">
        <v>24</v>
      </c>
      <c r="M28" s="15" t="s">
        <v>25</v>
      </c>
      <c r="N28" s="15" t="s">
        <v>26</v>
      </c>
      <c r="O28" s="15" t="s">
        <v>27</v>
      </c>
      <c r="Q28" s="26">
        <v>2033</v>
      </c>
      <c r="R28" s="29">
        <v>0.06</v>
      </c>
      <c r="U28" s="17" t="s">
        <v>56</v>
      </c>
      <c r="V28" s="31">
        <f>IRR($D$8:R$8)</f>
        <v>-0.12582270343148116</v>
      </c>
      <c r="W28" s="35"/>
      <c r="X28" s="48"/>
      <c r="Y28" s="48"/>
      <c r="Z28" s="48"/>
      <c r="AA28" s="48"/>
      <c r="AB28" s="48"/>
      <c r="AC28" s="48"/>
      <c r="AD28" s="48"/>
      <c r="AE28" s="48"/>
      <c r="AF28" s="48"/>
      <c r="AG28" s="48"/>
    </row>
    <row r="29" spans="2:33" x14ac:dyDescent="0.3">
      <c r="B29" s="15" t="s">
        <v>6</v>
      </c>
      <c r="C29" s="16">
        <f xml:space="preserve"> -(S44)</f>
        <v>-176000</v>
      </c>
      <c r="D29" s="16">
        <f xml:space="preserve"> -(Q40+T36)</f>
        <v>-367000</v>
      </c>
      <c r="E29" s="16">
        <f xml:space="preserve"> -(S44)</f>
        <v>-176000</v>
      </c>
      <c r="F29" s="16">
        <f xml:space="preserve"> -(S44)</f>
        <v>-176000</v>
      </c>
      <c r="G29" s="16">
        <f xml:space="preserve"> -(S44)</f>
        <v>-176000</v>
      </c>
      <c r="H29" s="16">
        <f xml:space="preserve"> -(S44)</f>
        <v>-176000</v>
      </c>
      <c r="I29" s="16">
        <f xml:space="preserve"> -(S44)</f>
        <v>-176000</v>
      </c>
      <c r="J29" s="16">
        <f xml:space="preserve"> -(Q41+T36)</f>
        <v>-390700</v>
      </c>
      <c r="K29" s="16">
        <f xml:space="preserve"> -(S44)</f>
        <v>-176000</v>
      </c>
      <c r="L29" s="16">
        <f xml:space="preserve"> -(S44)</f>
        <v>-176000</v>
      </c>
      <c r="M29" s="16">
        <f xml:space="preserve"> -(S44)</f>
        <v>-176000</v>
      </c>
      <c r="N29" s="16">
        <f xml:space="preserve"> -(S44)</f>
        <v>-176000</v>
      </c>
      <c r="O29" s="79">
        <f>SUM(C29:N29)</f>
        <v>-2517700</v>
      </c>
      <c r="Q29" s="26">
        <v>2034</v>
      </c>
      <c r="R29" s="29">
        <v>0.06</v>
      </c>
      <c r="U29" s="17" t="s">
        <v>57</v>
      </c>
      <c r="V29" s="31">
        <f>IRR($D$8:S$8)</f>
        <v>-7.5201115537246066E-2</v>
      </c>
      <c r="X29" s="48"/>
      <c r="Y29" s="48"/>
      <c r="Z29" s="48"/>
      <c r="AA29" s="48"/>
      <c r="AB29" s="48"/>
      <c r="AC29" s="48"/>
      <c r="AD29" s="48"/>
      <c r="AE29" s="48"/>
      <c r="AF29" s="48"/>
      <c r="AG29" s="48"/>
    </row>
    <row r="30" spans="2:33" x14ac:dyDescent="0.3">
      <c r="B30" s="15" t="s">
        <v>8</v>
      </c>
      <c r="C30" s="5">
        <f>0</f>
        <v>0</v>
      </c>
      <c r="D30" s="5">
        <f>0</f>
        <v>0</v>
      </c>
      <c r="E30" s="5">
        <f>0</f>
        <v>0</v>
      </c>
      <c r="F30" s="5">
        <f>0</f>
        <v>0</v>
      </c>
      <c r="G30" s="5">
        <f>0</f>
        <v>0</v>
      </c>
      <c r="H30" s="5">
        <f>0</f>
        <v>0</v>
      </c>
      <c r="I30" s="5">
        <f>0</f>
        <v>0</v>
      </c>
      <c r="J30" s="5">
        <f>0</f>
        <v>0</v>
      </c>
      <c r="K30" s="5">
        <f>0</f>
        <v>0</v>
      </c>
      <c r="L30" s="5">
        <f>0</f>
        <v>0</v>
      </c>
      <c r="M30" s="5">
        <f>0</f>
        <v>0</v>
      </c>
      <c r="N30" s="5">
        <f>0</f>
        <v>0</v>
      </c>
      <c r="O30" s="5">
        <f>SUM(C30:N30)</f>
        <v>0</v>
      </c>
      <c r="Q30" s="26">
        <v>2035</v>
      </c>
      <c r="R30" s="29">
        <v>0.06</v>
      </c>
      <c r="X30" s="48"/>
      <c r="Y30" s="48"/>
      <c r="Z30" s="48"/>
      <c r="AA30" s="48"/>
      <c r="AB30" s="48"/>
      <c r="AC30" s="48"/>
      <c r="AD30" s="48"/>
      <c r="AE30" s="48"/>
      <c r="AF30" s="48"/>
      <c r="AG30" s="48"/>
    </row>
    <row r="31" spans="2:33" x14ac:dyDescent="0.3">
      <c r="B31" s="17" t="s">
        <v>10</v>
      </c>
      <c r="C31" s="18">
        <f t="shared" ref="C31:N31" si="5">C30+C29</f>
        <v>-176000</v>
      </c>
      <c r="D31" s="18">
        <f t="shared" si="5"/>
        <v>-367000</v>
      </c>
      <c r="E31" s="18">
        <f t="shared" si="5"/>
        <v>-176000</v>
      </c>
      <c r="F31" s="18">
        <f t="shared" si="5"/>
        <v>-176000</v>
      </c>
      <c r="G31" s="18">
        <f t="shared" si="5"/>
        <v>-176000</v>
      </c>
      <c r="H31" s="18">
        <f t="shared" si="5"/>
        <v>-176000</v>
      </c>
      <c r="I31" s="18">
        <f t="shared" si="5"/>
        <v>-176000</v>
      </c>
      <c r="J31" s="18">
        <f t="shared" si="5"/>
        <v>-390700</v>
      </c>
      <c r="K31" s="18">
        <f t="shared" si="5"/>
        <v>-176000</v>
      </c>
      <c r="L31" s="18">
        <f t="shared" si="5"/>
        <v>-176000</v>
      </c>
      <c r="M31" s="18">
        <f t="shared" si="5"/>
        <v>-176000</v>
      </c>
      <c r="N31" s="18">
        <f t="shared" si="5"/>
        <v>-176000</v>
      </c>
      <c r="O31" s="19"/>
      <c r="Q31" s="26">
        <v>2036</v>
      </c>
      <c r="R31" s="29">
        <v>0.06</v>
      </c>
    </row>
    <row r="32" spans="2:33" x14ac:dyDescent="0.3">
      <c r="Q32" s="37"/>
    </row>
    <row r="33" spans="2:43" x14ac:dyDescent="0.3">
      <c r="B33" s="15" t="s">
        <v>58</v>
      </c>
      <c r="C33" s="15" t="s">
        <v>15</v>
      </c>
      <c r="D33" s="15" t="s">
        <v>16</v>
      </c>
      <c r="E33" s="15" t="s">
        <v>17</v>
      </c>
      <c r="F33" s="15" t="s">
        <v>18</v>
      </c>
      <c r="G33" s="15" t="s">
        <v>19</v>
      </c>
      <c r="H33" s="15" t="s">
        <v>20</v>
      </c>
      <c r="I33" s="15" t="s">
        <v>21</v>
      </c>
      <c r="J33" s="15" t="s">
        <v>22</v>
      </c>
      <c r="K33" s="15" t="s">
        <v>23</v>
      </c>
      <c r="L33" s="15" t="s">
        <v>24</v>
      </c>
      <c r="M33" s="15" t="s">
        <v>25</v>
      </c>
      <c r="N33" s="15" t="s">
        <v>26</v>
      </c>
      <c r="O33" s="15" t="s">
        <v>27</v>
      </c>
      <c r="Q33" s="46" t="s">
        <v>59</v>
      </c>
      <c r="S33" s="46" t="s">
        <v>60</v>
      </c>
      <c r="T33" s="46" t="s">
        <v>61</v>
      </c>
    </row>
    <row r="34" spans="2:43" x14ac:dyDescent="0.3">
      <c r="B34" s="15" t="s">
        <v>6</v>
      </c>
      <c r="C34" s="16">
        <f xml:space="preserve"> -(T36)</f>
        <v>-120000</v>
      </c>
      <c r="D34" s="16">
        <f xml:space="preserve"> -(Q42+T36)</f>
        <v>-390700</v>
      </c>
      <c r="E34" s="16">
        <f xml:space="preserve"> -(T36)</f>
        <v>-120000</v>
      </c>
      <c r="F34" s="16">
        <f xml:space="preserve"> -(T36)</f>
        <v>-120000</v>
      </c>
      <c r="G34" s="16">
        <f xml:space="preserve"> -(T36)</f>
        <v>-120000</v>
      </c>
      <c r="H34" s="16">
        <f xml:space="preserve"> -(T36)</f>
        <v>-120000</v>
      </c>
      <c r="I34" s="16">
        <f xml:space="preserve"> -(T36)</f>
        <v>-120000</v>
      </c>
      <c r="J34" s="16">
        <f xml:space="preserve"> -(Q43+T36)</f>
        <v>-420000</v>
      </c>
      <c r="K34" s="16">
        <f xml:space="preserve"> -(T36)</f>
        <v>-120000</v>
      </c>
      <c r="L34" s="16">
        <f xml:space="preserve"> -(T36)</f>
        <v>-120000</v>
      </c>
      <c r="M34" s="16">
        <f xml:space="preserve"> -(T36)</f>
        <v>-120000</v>
      </c>
      <c r="N34" s="16">
        <f xml:space="preserve"> -(T36)</f>
        <v>-120000</v>
      </c>
      <c r="O34" s="79">
        <f>SUM(C34:N34)</f>
        <v>-2010700</v>
      </c>
      <c r="Q34" s="49">
        <v>173000</v>
      </c>
      <c r="S34" s="49">
        <v>8000</v>
      </c>
      <c r="T34" s="49">
        <v>30000</v>
      </c>
    </row>
    <row r="35" spans="2:43" x14ac:dyDescent="0.3">
      <c r="B35" s="15" t="s">
        <v>8</v>
      </c>
      <c r="C35" s="5">
        <f>0</f>
        <v>0</v>
      </c>
      <c r="D35" s="5">
        <f>0</f>
        <v>0</v>
      </c>
      <c r="E35" s="5">
        <f>0</f>
        <v>0</v>
      </c>
      <c r="F35" s="5">
        <f>0</f>
        <v>0</v>
      </c>
      <c r="G35" s="5">
        <f>0</f>
        <v>0</v>
      </c>
      <c r="H35" s="5">
        <f>0</f>
        <v>0</v>
      </c>
      <c r="I35" s="5">
        <f>0</f>
        <v>0</v>
      </c>
      <c r="J35" s="5">
        <f>0</f>
        <v>0</v>
      </c>
      <c r="K35" s="5">
        <f>0</f>
        <v>0</v>
      </c>
      <c r="L35" s="5">
        <f>0</f>
        <v>0</v>
      </c>
      <c r="M35" s="5">
        <f>0</f>
        <v>0</v>
      </c>
      <c r="N35" s="5">
        <f>0</f>
        <v>0</v>
      </c>
      <c r="O35" s="5">
        <f>SUM(C35:N35)</f>
        <v>0</v>
      </c>
      <c r="Q35" s="49">
        <v>173000</v>
      </c>
      <c r="S35" s="49">
        <v>4000</v>
      </c>
      <c r="T35" s="49">
        <v>4</v>
      </c>
    </row>
    <row r="36" spans="2:43" x14ac:dyDescent="0.3">
      <c r="B36" s="17" t="s">
        <v>10</v>
      </c>
      <c r="C36" s="18">
        <f t="shared" ref="C36:N36" si="6">C35+C34</f>
        <v>-120000</v>
      </c>
      <c r="D36" s="18">
        <f t="shared" si="6"/>
        <v>-390700</v>
      </c>
      <c r="E36" s="18">
        <f t="shared" si="6"/>
        <v>-120000</v>
      </c>
      <c r="F36" s="18">
        <f t="shared" si="6"/>
        <v>-120000</v>
      </c>
      <c r="G36" s="18">
        <f t="shared" si="6"/>
        <v>-120000</v>
      </c>
      <c r="H36" s="18">
        <f t="shared" si="6"/>
        <v>-120000</v>
      </c>
      <c r="I36" s="18">
        <f t="shared" si="6"/>
        <v>-120000</v>
      </c>
      <c r="J36" s="18">
        <f t="shared" si="6"/>
        <v>-420000</v>
      </c>
      <c r="K36" s="18">
        <f t="shared" si="6"/>
        <v>-120000</v>
      </c>
      <c r="L36" s="18">
        <f t="shared" si="6"/>
        <v>-120000</v>
      </c>
      <c r="M36" s="18">
        <f t="shared" si="6"/>
        <v>-120000</v>
      </c>
      <c r="N36" s="18">
        <f t="shared" si="6"/>
        <v>-120000</v>
      </c>
      <c r="O36" s="19"/>
      <c r="Q36" s="49">
        <v>190200</v>
      </c>
      <c r="S36" s="49">
        <v>20</v>
      </c>
      <c r="T36" s="52">
        <f>PRODUCT(T34:T35)</f>
        <v>120000</v>
      </c>
      <c r="Z36" s="8" t="s">
        <v>11</v>
      </c>
      <c r="AA36" s="9">
        <v>5.1999999999999998E-2</v>
      </c>
      <c r="AB36" s="40"/>
      <c r="AC36" s="40"/>
      <c r="AD36" s="40"/>
      <c r="AE36" s="40"/>
      <c r="AF36" s="40"/>
      <c r="AG36" s="40"/>
      <c r="AH36" s="40"/>
      <c r="AI36" s="40"/>
      <c r="AJ36" s="40"/>
      <c r="AK36" s="40"/>
      <c r="AL36" s="40"/>
      <c r="AM36" s="40"/>
      <c r="AN36" s="40"/>
      <c r="AO36" s="40"/>
      <c r="AP36" s="40"/>
      <c r="AQ36" s="41"/>
    </row>
    <row r="37" spans="2:43" x14ac:dyDescent="0.3">
      <c r="Q37" s="50">
        <v>221000</v>
      </c>
      <c r="S37" s="49">
        <v>4</v>
      </c>
      <c r="T37" t="s">
        <v>62</v>
      </c>
      <c r="Z37" s="82" t="s">
        <v>1</v>
      </c>
      <c r="AA37" s="83"/>
      <c r="AB37" s="2">
        <v>2021</v>
      </c>
      <c r="AC37" s="2">
        <v>2022</v>
      </c>
      <c r="AD37" s="2">
        <v>2023</v>
      </c>
      <c r="AE37" s="2">
        <v>2024</v>
      </c>
      <c r="AF37" s="2">
        <v>2025</v>
      </c>
      <c r="AG37" s="2">
        <v>2026</v>
      </c>
      <c r="AH37" s="2">
        <v>2027</v>
      </c>
      <c r="AI37" s="2">
        <v>2028</v>
      </c>
      <c r="AJ37" s="2">
        <v>2029</v>
      </c>
      <c r="AK37" s="2">
        <v>2030</v>
      </c>
      <c r="AL37" s="2">
        <v>2031</v>
      </c>
      <c r="AM37" s="2">
        <v>2032</v>
      </c>
      <c r="AN37" s="2">
        <v>2033</v>
      </c>
      <c r="AO37" s="2">
        <v>2034</v>
      </c>
      <c r="AP37" s="2">
        <v>2035</v>
      </c>
      <c r="AQ37" s="2">
        <v>2036</v>
      </c>
    </row>
    <row r="38" spans="2:43" x14ac:dyDescent="0.3">
      <c r="B38" s="15" t="s">
        <v>63</v>
      </c>
      <c r="C38" s="15" t="s">
        <v>15</v>
      </c>
      <c r="D38" s="15" t="s">
        <v>16</v>
      </c>
      <c r="E38" s="15" t="s">
        <v>17</v>
      </c>
      <c r="F38" s="15" t="s">
        <v>18</v>
      </c>
      <c r="G38" s="15" t="s">
        <v>19</v>
      </c>
      <c r="H38" s="15" t="s">
        <v>20</v>
      </c>
      <c r="I38" s="15" t="s">
        <v>21</v>
      </c>
      <c r="J38" s="15" t="s">
        <v>22</v>
      </c>
      <c r="K38" s="15" t="s">
        <v>23</v>
      </c>
      <c r="L38" s="15" t="s">
        <v>24</v>
      </c>
      <c r="M38" s="15" t="s">
        <v>25</v>
      </c>
      <c r="N38" s="15" t="s">
        <v>26</v>
      </c>
      <c r="O38" s="15" t="s">
        <v>27</v>
      </c>
      <c r="Q38" s="50">
        <v>221000</v>
      </c>
      <c r="S38" s="49">
        <f>S34*S36</f>
        <v>160000</v>
      </c>
      <c r="T38" s="69">
        <f>T36*12</f>
        <v>1440000</v>
      </c>
      <c r="Z38" s="84" t="s">
        <v>10</v>
      </c>
      <c r="AA38" s="85"/>
      <c r="AB38" s="39">
        <f t="shared" ref="AB38:AQ38" si="7">D8</f>
        <v>-2458000</v>
      </c>
      <c r="AC38" s="39">
        <f t="shared" si="7"/>
        <v>-2523200</v>
      </c>
      <c r="AD38" s="39">
        <f t="shared" si="7"/>
        <v>-2580000</v>
      </c>
      <c r="AE38" s="39">
        <f t="shared" si="7"/>
        <v>-2517700</v>
      </c>
      <c r="AF38" s="39">
        <f t="shared" si="7"/>
        <v>-2010700</v>
      </c>
      <c r="AG38" s="39">
        <f t="shared" si="7"/>
        <v>-1760000</v>
      </c>
      <c r="AH38" s="39">
        <f t="shared" si="7"/>
        <v>-43873596.564689204</v>
      </c>
      <c r="AI38" s="39">
        <f t="shared" si="7"/>
        <v>-42952079.228513829</v>
      </c>
      <c r="AJ38" s="39">
        <f t="shared" si="7"/>
        <v>-41780658.885917991</v>
      </c>
      <c r="AK38" s="39">
        <f t="shared" si="7"/>
        <v>-41390185.438386053</v>
      </c>
      <c r="AL38" s="39">
        <f t="shared" si="7"/>
        <v>-36726185.438386053</v>
      </c>
      <c r="AM38" s="39">
        <f t="shared" si="7"/>
        <v>29001600</v>
      </c>
      <c r="AN38" s="39">
        <f t="shared" si="7"/>
        <v>29001600</v>
      </c>
      <c r="AO38" s="39">
        <f t="shared" si="7"/>
        <v>29001600</v>
      </c>
      <c r="AP38" s="39">
        <f t="shared" si="7"/>
        <v>29001600</v>
      </c>
      <c r="AQ38" s="42">
        <f t="shared" si="7"/>
        <v>29001600</v>
      </c>
    </row>
    <row r="39" spans="2:43" x14ac:dyDescent="0.3">
      <c r="B39" s="15" t="s">
        <v>6</v>
      </c>
      <c r="C39" s="16">
        <f xml:space="preserve"> -(T36)</f>
        <v>-120000</v>
      </c>
      <c r="D39" s="16">
        <f xml:space="preserve"> -(Q44+T36)</f>
        <v>-440000</v>
      </c>
      <c r="E39" s="16">
        <f xml:space="preserve"> -(T36)</f>
        <v>-120000</v>
      </c>
      <c r="F39" s="16">
        <f xml:space="preserve"> -(T36)</f>
        <v>-120000</v>
      </c>
      <c r="G39" s="16">
        <f xml:space="preserve"> -(T36)</f>
        <v>-120000</v>
      </c>
      <c r="H39" s="16">
        <f xml:space="preserve"> -(T36)</f>
        <v>-120000</v>
      </c>
      <c r="I39" s="16">
        <f xml:space="preserve"> -(T36)</f>
        <v>-120000</v>
      </c>
      <c r="J39" s="16">
        <f xml:space="preserve"> -(T36)</f>
        <v>-120000</v>
      </c>
      <c r="K39" s="16">
        <f xml:space="preserve"> -(T36)</f>
        <v>-120000</v>
      </c>
      <c r="L39" s="16">
        <f xml:space="preserve"> -(T36)</f>
        <v>-120000</v>
      </c>
      <c r="M39" s="16">
        <f xml:space="preserve"> -(T36)</f>
        <v>-120000</v>
      </c>
      <c r="N39" s="16">
        <f xml:space="preserve"> -(T36)</f>
        <v>-120000</v>
      </c>
      <c r="O39" s="79">
        <f>SUM(C39:N39)</f>
        <v>-1760000</v>
      </c>
      <c r="Q39" s="50">
        <v>247000</v>
      </c>
      <c r="S39" s="49">
        <f>S35*S37</f>
        <v>16000</v>
      </c>
      <c r="Z39" s="86" t="s">
        <v>13</v>
      </c>
      <c r="AA39" s="87"/>
      <c r="AB39" s="43">
        <f>NPV(AA36,AB38)</f>
        <v>-2336501.9011406843</v>
      </c>
      <c r="AC39" s="43">
        <f>NPV(AA36,$AB$38:AC38)</f>
        <v>-4616424.9880726915</v>
      </c>
      <c r="AD39" s="43">
        <f>NPV($AA$36,$AB$38:AD38)</f>
        <v>-6832438.9203343745</v>
      </c>
      <c r="AE39" s="43">
        <f>NPV($AA$36,$AB$38:AE38)</f>
        <v>-8888050.3350097202</v>
      </c>
      <c r="AF39" s="43">
        <f>NPV($AA$36,$AB$38:AF38)</f>
        <v>-10448567.603353541</v>
      </c>
      <c r="AG39" s="43">
        <f>NPV($AA$36,$AB$38:AG38)</f>
        <v>-11746996.669581695</v>
      </c>
      <c r="AH39" s="43">
        <f>NPV($AA$36,$AB$38:AH38)</f>
        <v>-42514556.846927933</v>
      </c>
      <c r="AI39" s="43">
        <f>NPV($AA$36,$AB$38:AI38)</f>
        <v>-71146991.189454809</v>
      </c>
      <c r="AJ39" s="43">
        <f>NPV($AA$36,$AB$38:AJ38)</f>
        <v>-97621848.384843469</v>
      </c>
      <c r="AK39" s="43">
        <f>NPV($AA$36,$AB$38:AK38)</f>
        <v>-122552864.18662021</v>
      </c>
      <c r="AL39" s="43">
        <f>NPV($AA$36,$AB$38:AL38)</f>
        <v>-143581092.54975918</v>
      </c>
      <c r="AM39" s="43">
        <f>NPV($AA$36,$AB$38:AM38)</f>
        <v>-127796510.73492788</v>
      </c>
      <c r="AN39" s="43">
        <f>NPV($AA$36,$AB$38:AN38)</f>
        <v>-112792155.3976358</v>
      </c>
      <c r="AO39" s="43">
        <f>NPV($AA$36,$AB$38:AO38)</f>
        <v>-98529460.210095793</v>
      </c>
      <c r="AP39" s="43">
        <f>NPV($AA$36,$AB$38:AP38)</f>
        <v>-84971765.164905667</v>
      </c>
      <c r="AQ39" s="43">
        <f>NPV($AA$36,$AB$38:AQ38)</f>
        <v>-72084222.346283883</v>
      </c>
    </row>
    <row r="40" spans="2:43" x14ac:dyDescent="0.3">
      <c r="B40" s="15" t="s">
        <v>8</v>
      </c>
      <c r="C40" s="5">
        <f>0</f>
        <v>0</v>
      </c>
      <c r="D40" s="5">
        <f>0</f>
        <v>0</v>
      </c>
      <c r="E40" s="5">
        <f>0</f>
        <v>0</v>
      </c>
      <c r="F40" s="5">
        <f>0</f>
        <v>0</v>
      </c>
      <c r="G40" s="5">
        <f>0</f>
        <v>0</v>
      </c>
      <c r="H40" s="5">
        <f>0</f>
        <v>0</v>
      </c>
      <c r="I40" s="5">
        <f>0</f>
        <v>0</v>
      </c>
      <c r="J40" s="5">
        <f>0</f>
        <v>0</v>
      </c>
      <c r="K40" s="5">
        <f>0</f>
        <v>0</v>
      </c>
      <c r="L40" s="5">
        <f>0</f>
        <v>0</v>
      </c>
      <c r="M40" s="5">
        <f>0</f>
        <v>0</v>
      </c>
      <c r="N40" s="5">
        <f>0</f>
        <v>0</v>
      </c>
      <c r="O40" s="5">
        <f>SUM(C40:N40)</f>
        <v>0</v>
      </c>
      <c r="Q40" s="50">
        <v>247000</v>
      </c>
      <c r="S40" s="52">
        <f>SUM(S38:S39)*12</f>
        <v>2112000</v>
      </c>
    </row>
    <row r="41" spans="2:43" x14ac:dyDescent="0.3">
      <c r="B41" s="17" t="s">
        <v>10</v>
      </c>
      <c r="C41" s="18">
        <f t="shared" ref="C41:N41" si="8">C40+C39</f>
        <v>-120000</v>
      </c>
      <c r="D41" s="18">
        <f t="shared" si="8"/>
        <v>-440000</v>
      </c>
      <c r="E41" s="18">
        <f t="shared" si="8"/>
        <v>-120000</v>
      </c>
      <c r="F41" s="18">
        <f t="shared" si="8"/>
        <v>-120000</v>
      </c>
      <c r="G41" s="18">
        <f t="shared" si="8"/>
        <v>-120000</v>
      </c>
      <c r="H41" s="18">
        <f t="shared" si="8"/>
        <v>-120000</v>
      </c>
      <c r="I41" s="18">
        <f t="shared" si="8"/>
        <v>-120000</v>
      </c>
      <c r="J41" s="18">
        <f t="shared" si="8"/>
        <v>-120000</v>
      </c>
      <c r="K41" s="18">
        <f t="shared" si="8"/>
        <v>-120000</v>
      </c>
      <c r="L41" s="18">
        <f t="shared" si="8"/>
        <v>-120000</v>
      </c>
      <c r="M41" s="18">
        <f t="shared" si="8"/>
        <v>-120000</v>
      </c>
      <c r="N41" s="18">
        <f t="shared" si="8"/>
        <v>-120000</v>
      </c>
      <c r="O41" s="19"/>
      <c r="Q41" s="50">
        <v>270700</v>
      </c>
      <c r="S41" s="52"/>
    </row>
    <row r="42" spans="2:43" x14ac:dyDescent="0.3">
      <c r="Q42" s="50">
        <v>270700</v>
      </c>
      <c r="S42" s="49"/>
    </row>
    <row r="43" spans="2:43" x14ac:dyDescent="0.3">
      <c r="B43" s="15" t="s">
        <v>64</v>
      </c>
      <c r="C43" s="15" t="s">
        <v>15</v>
      </c>
      <c r="D43" s="15" t="s">
        <v>16</v>
      </c>
      <c r="E43" s="15" t="s">
        <v>17</v>
      </c>
      <c r="F43" s="15" t="s">
        <v>18</v>
      </c>
      <c r="G43" s="15" t="s">
        <v>19</v>
      </c>
      <c r="H43" s="15" t="s">
        <v>20</v>
      </c>
      <c r="I43" s="15" t="s">
        <v>21</v>
      </c>
      <c r="J43" s="15" t="s">
        <v>22</v>
      </c>
      <c r="K43" s="15" t="s">
        <v>23</v>
      </c>
      <c r="L43" s="15" t="s">
        <v>24</v>
      </c>
      <c r="M43" s="15" t="s">
        <v>25</v>
      </c>
      <c r="N43" s="15" t="s">
        <v>26</v>
      </c>
      <c r="O43" s="15" t="s">
        <v>27</v>
      </c>
      <c r="Q43" s="50">
        <v>300000</v>
      </c>
      <c r="S43" s="46" t="s">
        <v>65</v>
      </c>
    </row>
    <row r="44" spans="2:43" x14ac:dyDescent="0.3">
      <c r="B44" s="15" t="s">
        <v>6</v>
      </c>
      <c r="C44" s="16">
        <f xml:space="preserve"> -(T36+R18 + 4916000)</f>
        <v>-5287278.729432865</v>
      </c>
      <c r="D44" s="16">
        <f xml:space="preserve"> -(T36+R18 + 4916000)</f>
        <v>-5287278.729432865</v>
      </c>
      <c r="E44" s="16">
        <f xml:space="preserve"> -(T36+R18 + 4916000)</f>
        <v>-5287278.729432865</v>
      </c>
      <c r="F44" s="16">
        <f xml:space="preserve"> -(T36+R18 + 4916000)</f>
        <v>-5287278.729432865</v>
      </c>
      <c r="G44" s="16">
        <f xml:space="preserve"> -(T36+R18 + 4916000)</f>
        <v>-5287278.729432865</v>
      </c>
      <c r="H44" s="16">
        <f xml:space="preserve"> -(T36+R18 + 4916000)</f>
        <v>-5287278.729432865</v>
      </c>
      <c r="I44" s="16">
        <f xml:space="preserve"> -(T36+R18 + 4916000)</f>
        <v>-5287278.729432865</v>
      </c>
      <c r="J44" s="16">
        <f xml:space="preserve"> -(T36+R18 + 4916000)</f>
        <v>-5287278.729432865</v>
      </c>
      <c r="K44" s="16">
        <f xml:space="preserve"> -(T36+R18 + 4916000)</f>
        <v>-5287278.729432865</v>
      </c>
      <c r="L44" s="16">
        <f xml:space="preserve"> -(T36+R18 + 4916000)</f>
        <v>-5287278.729432865</v>
      </c>
      <c r="M44" s="16">
        <f xml:space="preserve"> -(T36+R18 + 4916000)</f>
        <v>-5287278.729432865</v>
      </c>
      <c r="N44" s="16">
        <f xml:space="preserve"> -(T36+R18 + 4916000)</f>
        <v>-5287278.729432865</v>
      </c>
      <c r="O44" s="79">
        <f>SUM(C44:N44)</f>
        <v>-63447344.753194384</v>
      </c>
      <c r="Q44" s="50">
        <v>320000</v>
      </c>
      <c r="S44" s="52">
        <f>SUM(S38:S39)</f>
        <v>176000</v>
      </c>
    </row>
    <row r="45" spans="2:43" x14ac:dyDescent="0.3">
      <c r="B45" s="15" t="s">
        <v>8</v>
      </c>
      <c r="C45" s="5">
        <f>$AA$9-$AE$9</f>
        <v>1300000</v>
      </c>
      <c r="D45" s="5">
        <f>$AA$9-$AE$9</f>
        <v>1300000</v>
      </c>
      <c r="E45" s="5">
        <f>$AA$9-$AE$9</f>
        <v>1300000</v>
      </c>
      <c r="F45" s="5">
        <f>$AA$9-$AE$9</f>
        <v>1300000</v>
      </c>
      <c r="G45" s="5">
        <f t="shared" ref="G45:N45" si="9">$AA$9-$AE$9 + 1100000</f>
        <v>2400000</v>
      </c>
      <c r="H45" s="5">
        <f t="shared" si="9"/>
        <v>2400000</v>
      </c>
      <c r="I45" s="5">
        <f t="shared" si="9"/>
        <v>2400000</v>
      </c>
      <c r="J45" s="5">
        <f t="shared" si="9"/>
        <v>2400000</v>
      </c>
      <c r="K45" s="5">
        <f t="shared" si="9"/>
        <v>2400000</v>
      </c>
      <c r="L45" s="5">
        <f t="shared" si="9"/>
        <v>2400000</v>
      </c>
      <c r="M45" s="5">
        <f t="shared" si="9"/>
        <v>2400000</v>
      </c>
      <c r="N45" s="5">
        <f t="shared" si="9"/>
        <v>2400000</v>
      </c>
      <c r="O45" s="5">
        <f>SUM(C45:N45)</f>
        <v>24400000</v>
      </c>
      <c r="Q45" s="51">
        <f>SUM(Q34:Q44)</f>
        <v>2633600</v>
      </c>
      <c r="S45" s="49"/>
    </row>
    <row r="46" spans="2:43" x14ac:dyDescent="0.3">
      <c r="B46" s="17" t="s">
        <v>10</v>
      </c>
      <c r="C46" s="80">
        <f t="shared" ref="C46:N46" si="10">C45+C44</f>
        <v>-3987278.729432865</v>
      </c>
      <c r="D46" s="80">
        <f t="shared" si="10"/>
        <v>-3987278.729432865</v>
      </c>
      <c r="E46" s="80">
        <f t="shared" si="10"/>
        <v>-3987278.729432865</v>
      </c>
      <c r="F46" s="80">
        <f t="shared" si="10"/>
        <v>-3987278.729432865</v>
      </c>
      <c r="G46" s="80">
        <f t="shared" si="10"/>
        <v>-2887278.729432865</v>
      </c>
      <c r="H46" s="80">
        <f t="shared" si="10"/>
        <v>-2887278.729432865</v>
      </c>
      <c r="I46" s="80">
        <f t="shared" si="10"/>
        <v>-2887278.729432865</v>
      </c>
      <c r="J46" s="80">
        <f t="shared" si="10"/>
        <v>-2887278.729432865</v>
      </c>
      <c r="K46" s="80">
        <f t="shared" si="10"/>
        <v>-2887278.729432865</v>
      </c>
      <c r="L46" s="80">
        <f t="shared" si="10"/>
        <v>-2887278.729432865</v>
      </c>
      <c r="M46" s="80">
        <f t="shared" si="10"/>
        <v>-2887278.729432865</v>
      </c>
      <c r="N46" s="80">
        <f t="shared" si="10"/>
        <v>-2887278.729432865</v>
      </c>
      <c r="O46" s="19"/>
    </row>
    <row r="48" spans="2:43" x14ac:dyDescent="0.3">
      <c r="B48" s="15" t="s">
        <v>66</v>
      </c>
      <c r="C48" s="15" t="s">
        <v>15</v>
      </c>
      <c r="D48" s="15" t="s">
        <v>16</v>
      </c>
      <c r="E48" s="15" t="s">
        <v>17</v>
      </c>
      <c r="F48" s="15" t="s">
        <v>18</v>
      </c>
      <c r="G48" s="15" t="s">
        <v>19</v>
      </c>
      <c r="H48" s="15" t="s">
        <v>20</v>
      </c>
      <c r="I48" s="15" t="s">
        <v>21</v>
      </c>
      <c r="J48" s="15" t="s">
        <v>22</v>
      </c>
      <c r="K48" s="15" t="s">
        <v>23</v>
      </c>
      <c r="L48" s="15" t="s">
        <v>24</v>
      </c>
      <c r="M48" s="15" t="s">
        <v>25</v>
      </c>
      <c r="N48" s="15" t="s">
        <v>26</v>
      </c>
      <c r="O48" s="15" t="s">
        <v>27</v>
      </c>
    </row>
    <row r="49" spans="2:19" x14ac:dyDescent="0.3">
      <c r="B49" s="15" t="s">
        <v>6</v>
      </c>
      <c r="C49" s="16">
        <f xml:space="preserve"> -(T36+R18 + 4916000)</f>
        <v>-5287278.729432865</v>
      </c>
      <c r="D49" s="16">
        <f xml:space="preserve"> -(T36+R18 + 4916000)</f>
        <v>-5287278.729432865</v>
      </c>
      <c r="E49" s="16">
        <f xml:space="preserve"> -(T36+R18 + 4916000)</f>
        <v>-5287278.729432865</v>
      </c>
      <c r="F49" s="16">
        <f xml:space="preserve"> -(T36+R18 + 4916000)</f>
        <v>-5287278.729432865</v>
      </c>
      <c r="G49" s="16">
        <f xml:space="preserve"> -(T36+R18 + 4916000)</f>
        <v>-5287278.729432865</v>
      </c>
      <c r="H49" s="16">
        <f xml:space="preserve"> -(T36+R18 + 4916000)</f>
        <v>-5287278.729432865</v>
      </c>
      <c r="I49" s="16">
        <f xml:space="preserve"> -(T36+R18 + 4916000)</f>
        <v>-5287278.729432865</v>
      </c>
      <c r="J49" s="16">
        <f xml:space="preserve"> -(T36+R18 + 4916000)</f>
        <v>-5287278.729432865</v>
      </c>
      <c r="K49" s="16">
        <f xml:space="preserve"> -(T36+R18 + 4916000)</f>
        <v>-5287278.729432865</v>
      </c>
      <c r="L49" s="16">
        <f xml:space="preserve"> -(T36+R18 + 4916000)</f>
        <v>-5287278.729432865</v>
      </c>
      <c r="M49" s="16">
        <f xml:space="preserve"> -(T36+R18 + 4916000)</f>
        <v>-5287278.729432865</v>
      </c>
      <c r="N49" s="16">
        <f xml:space="preserve"> -(T36+R18 + 4916000)</f>
        <v>-5287278.729432865</v>
      </c>
      <c r="O49" s="79">
        <f>SUM(C49:N49)</f>
        <v>-63447344.753194384</v>
      </c>
    </row>
    <row r="50" spans="2:19" x14ac:dyDescent="0.3">
      <c r="B50" s="15" t="s">
        <v>8</v>
      </c>
      <c r="C50" s="5">
        <f t="shared" ref="C50:N50" si="11">$AA$9-$AE$9 + 1100000</f>
        <v>2400000</v>
      </c>
      <c r="D50" s="5">
        <f t="shared" si="11"/>
        <v>2400000</v>
      </c>
      <c r="E50" s="5">
        <f t="shared" si="11"/>
        <v>2400000</v>
      </c>
      <c r="F50" s="5">
        <f t="shared" si="11"/>
        <v>2400000</v>
      </c>
      <c r="G50" s="5">
        <f t="shared" si="11"/>
        <v>2400000</v>
      </c>
      <c r="H50" s="5">
        <f t="shared" si="11"/>
        <v>2400000</v>
      </c>
      <c r="I50" s="5">
        <f t="shared" si="11"/>
        <v>2400000</v>
      </c>
      <c r="J50" s="5">
        <f t="shared" si="11"/>
        <v>2400000</v>
      </c>
      <c r="K50" s="5">
        <f t="shared" si="11"/>
        <v>2400000</v>
      </c>
      <c r="L50" s="5">
        <f t="shared" si="11"/>
        <v>2400000</v>
      </c>
      <c r="M50" s="5">
        <f t="shared" si="11"/>
        <v>2400000</v>
      </c>
      <c r="N50" s="5">
        <f t="shared" si="11"/>
        <v>2400000</v>
      </c>
      <c r="O50" s="5">
        <f>SUM(C50:N50)</f>
        <v>28800000</v>
      </c>
    </row>
    <row r="51" spans="2:19" x14ac:dyDescent="0.3">
      <c r="B51" s="17" t="s">
        <v>10</v>
      </c>
      <c r="C51" s="80">
        <f t="shared" ref="C51:N51" si="12">C50+C49</f>
        <v>-2887278.729432865</v>
      </c>
      <c r="D51" s="80">
        <f t="shared" si="12"/>
        <v>-2887278.729432865</v>
      </c>
      <c r="E51" s="80">
        <f t="shared" si="12"/>
        <v>-2887278.729432865</v>
      </c>
      <c r="F51" s="80">
        <f t="shared" si="12"/>
        <v>-2887278.729432865</v>
      </c>
      <c r="G51" s="80">
        <f t="shared" si="12"/>
        <v>-2887278.729432865</v>
      </c>
      <c r="H51" s="80">
        <f t="shared" si="12"/>
        <v>-2887278.729432865</v>
      </c>
      <c r="I51" s="80">
        <f t="shared" si="12"/>
        <v>-2887278.729432865</v>
      </c>
      <c r="J51" s="80">
        <f t="shared" si="12"/>
        <v>-2887278.729432865</v>
      </c>
      <c r="K51" s="80">
        <f t="shared" si="12"/>
        <v>-2887278.729432865</v>
      </c>
      <c r="L51" s="80">
        <f t="shared" si="12"/>
        <v>-2887278.729432865</v>
      </c>
      <c r="M51" s="80">
        <f t="shared" si="12"/>
        <v>-2887278.729432865</v>
      </c>
      <c r="N51" s="80">
        <f t="shared" si="12"/>
        <v>-2887278.729432865</v>
      </c>
      <c r="O51" s="19"/>
      <c r="Q51" t="s">
        <v>75</v>
      </c>
      <c r="R51" t="s">
        <v>76</v>
      </c>
      <c r="S51" t="s">
        <v>77</v>
      </c>
    </row>
    <row r="52" spans="2:19" x14ac:dyDescent="0.3">
      <c r="Q52">
        <v>370000000</v>
      </c>
      <c r="R52">
        <v>8000000</v>
      </c>
      <c r="S52">
        <v>9000000</v>
      </c>
    </row>
    <row r="53" spans="2:19" x14ac:dyDescent="0.3">
      <c r="B53" s="15" t="s">
        <v>67</v>
      </c>
      <c r="C53" s="15" t="s">
        <v>15</v>
      </c>
      <c r="D53" s="15" t="s">
        <v>16</v>
      </c>
      <c r="E53" s="15" t="s">
        <v>17</v>
      </c>
      <c r="F53" s="15" t="s">
        <v>18</v>
      </c>
      <c r="G53" s="15" t="s">
        <v>19</v>
      </c>
      <c r="H53" s="15" t="s">
        <v>20</v>
      </c>
      <c r="I53" s="15" t="s">
        <v>21</v>
      </c>
      <c r="J53" s="15" t="s">
        <v>22</v>
      </c>
      <c r="K53" s="15" t="s">
        <v>23</v>
      </c>
      <c r="L53" s="15" t="s">
        <v>24</v>
      </c>
      <c r="M53" s="15" t="s">
        <v>25</v>
      </c>
      <c r="N53" s="15" t="s">
        <v>26</v>
      </c>
      <c r="O53" s="15" t="s">
        <v>27</v>
      </c>
    </row>
    <row r="54" spans="2:19" x14ac:dyDescent="0.3">
      <c r="B54" s="15" t="s">
        <v>6</v>
      </c>
      <c r="C54" s="16">
        <f xml:space="preserve"> -(T36+R18 + 4916000)</f>
        <v>-5287278.729432865</v>
      </c>
      <c r="D54" s="16">
        <f xml:space="preserve"> -(T36+R18 + 4916000)</f>
        <v>-5287278.729432865</v>
      </c>
      <c r="E54" s="16">
        <f xml:space="preserve"> -(T36+R18 + 4916000)</f>
        <v>-5287278.729432865</v>
      </c>
      <c r="F54" s="16">
        <f xml:space="preserve"> -(T36+R18 + 4916000)</f>
        <v>-5287278.729432865</v>
      </c>
      <c r="G54" s="16">
        <f xml:space="preserve"> -(T36+R18 + 4916000)</f>
        <v>-5287278.729432865</v>
      </c>
      <c r="H54" s="16">
        <f xml:space="preserve"> -(T36+R18 + 4916000)</f>
        <v>-5287278.729432865</v>
      </c>
      <c r="I54" s="16">
        <f xml:space="preserve"> -(T36+R18 + 4916000)</f>
        <v>-5287278.729432865</v>
      </c>
      <c r="J54" s="16">
        <f xml:space="preserve"> -(T36+R18 + 4916000)</f>
        <v>-5287278.729432865</v>
      </c>
      <c r="K54" s="16">
        <f xml:space="preserve"> -(T36+R18 + 4916000)</f>
        <v>-5287278.729432865</v>
      </c>
      <c r="L54" s="16">
        <f xml:space="preserve"> -(T36+R18 + 4916000)</f>
        <v>-5287278.729432865</v>
      </c>
      <c r="M54" s="16">
        <f xml:space="preserve"> -(T36+R18 + 4916000)</f>
        <v>-5287278.729432865</v>
      </c>
      <c r="N54" s="16">
        <f xml:space="preserve"> -(T36+R18 + 4916000)</f>
        <v>-5287278.729432865</v>
      </c>
      <c r="O54" s="79">
        <f>SUM(C54:N54)</f>
        <v>-63447344.753194384</v>
      </c>
    </row>
    <row r="55" spans="2:19" x14ac:dyDescent="0.3">
      <c r="B55" s="15" t="s">
        <v>8</v>
      </c>
      <c r="C55" s="5">
        <f t="shared" ref="C55:N55" si="13">$AA$9-$AE$9 + 1100000</f>
        <v>2400000</v>
      </c>
      <c r="D55" s="5">
        <f t="shared" si="13"/>
        <v>2400000</v>
      </c>
      <c r="E55" s="5">
        <f t="shared" si="13"/>
        <v>2400000</v>
      </c>
      <c r="F55" s="5">
        <f t="shared" si="13"/>
        <v>2400000</v>
      </c>
      <c r="G55" s="5">
        <f t="shared" si="13"/>
        <v>2400000</v>
      </c>
      <c r="H55" s="5">
        <f t="shared" si="13"/>
        <v>2400000</v>
      </c>
      <c r="I55" s="5">
        <f t="shared" si="13"/>
        <v>2400000</v>
      </c>
      <c r="J55" s="5">
        <f t="shared" si="13"/>
        <v>2400000</v>
      </c>
      <c r="K55" s="5">
        <f t="shared" si="13"/>
        <v>2400000</v>
      </c>
      <c r="L55" s="5">
        <f t="shared" si="13"/>
        <v>2400000</v>
      </c>
      <c r="M55" s="5">
        <f t="shared" si="13"/>
        <v>2400000</v>
      </c>
      <c r="N55" s="5">
        <f t="shared" si="13"/>
        <v>2400000</v>
      </c>
      <c r="O55" s="5">
        <f>SUM(C55:N55)</f>
        <v>28800000</v>
      </c>
    </row>
    <row r="56" spans="2:19" x14ac:dyDescent="0.3">
      <c r="B56" s="17" t="s">
        <v>10</v>
      </c>
      <c r="C56" s="80">
        <f t="shared" ref="C56:N56" si="14">C55+C54</f>
        <v>-2887278.729432865</v>
      </c>
      <c r="D56" s="80">
        <f t="shared" si="14"/>
        <v>-2887278.729432865</v>
      </c>
      <c r="E56" s="80">
        <f t="shared" si="14"/>
        <v>-2887278.729432865</v>
      </c>
      <c r="F56" s="80">
        <f t="shared" si="14"/>
        <v>-2887278.729432865</v>
      </c>
      <c r="G56" s="80">
        <f t="shared" si="14"/>
        <v>-2887278.729432865</v>
      </c>
      <c r="H56" s="80">
        <f t="shared" si="14"/>
        <v>-2887278.729432865</v>
      </c>
      <c r="I56" s="80">
        <f t="shared" si="14"/>
        <v>-2887278.729432865</v>
      </c>
      <c r="J56" s="80">
        <f t="shared" si="14"/>
        <v>-2887278.729432865</v>
      </c>
      <c r="K56" s="80">
        <f t="shared" si="14"/>
        <v>-2887278.729432865</v>
      </c>
      <c r="L56" s="80">
        <f t="shared" si="14"/>
        <v>-2887278.729432865</v>
      </c>
      <c r="M56" s="80">
        <f t="shared" si="14"/>
        <v>-2887278.729432865</v>
      </c>
      <c r="N56" s="80">
        <f t="shared" si="14"/>
        <v>-2887278.729432865</v>
      </c>
      <c r="O56" s="19"/>
    </row>
    <row r="58" spans="2:19" x14ac:dyDescent="0.3">
      <c r="B58" s="15" t="s">
        <v>68</v>
      </c>
      <c r="C58" s="15" t="s">
        <v>15</v>
      </c>
      <c r="D58" s="15" t="s">
        <v>16</v>
      </c>
      <c r="E58" s="15" t="s">
        <v>17</v>
      </c>
      <c r="F58" s="15" t="s">
        <v>18</v>
      </c>
      <c r="G58" s="15" t="s">
        <v>19</v>
      </c>
      <c r="H58" s="15" t="s">
        <v>20</v>
      </c>
      <c r="I58" s="15" t="s">
        <v>21</v>
      </c>
      <c r="J58" s="15" t="s">
        <v>22</v>
      </c>
      <c r="K58" s="15" t="s">
        <v>23</v>
      </c>
      <c r="L58" s="15" t="s">
        <v>24</v>
      </c>
      <c r="M58" s="15" t="s">
        <v>25</v>
      </c>
      <c r="N58" s="15" t="s">
        <v>26</v>
      </c>
      <c r="O58" s="15" t="s">
        <v>27</v>
      </c>
    </row>
    <row r="59" spans="2:19" x14ac:dyDescent="0.3">
      <c r="B59" s="15" t="s">
        <v>6</v>
      </c>
      <c r="C59" s="16">
        <f xml:space="preserve"> -(T36+R18 + 4916000)</f>
        <v>-5287278.729432865</v>
      </c>
      <c r="D59" s="16">
        <f xml:space="preserve"> -(T36+R18 + 4916000)</f>
        <v>-5287278.729432865</v>
      </c>
      <c r="E59" s="16">
        <f xml:space="preserve"> -(T36+R18 + 4916000)</f>
        <v>-5287278.729432865</v>
      </c>
      <c r="F59" s="16">
        <f xml:space="preserve"> -(T36+R18 + 4916000)</f>
        <v>-5287278.729432865</v>
      </c>
      <c r="G59" s="16">
        <f xml:space="preserve"> -(T36+R18 + 4916000)</f>
        <v>-5287278.729432865</v>
      </c>
      <c r="H59" s="16">
        <f xml:space="preserve"> -(T36+R18 + 4916000)</f>
        <v>-5287278.729432865</v>
      </c>
      <c r="I59" s="16">
        <f xml:space="preserve"> -(T36+R18 + 4916000)</f>
        <v>-5287278.729432865</v>
      </c>
      <c r="J59" s="16">
        <f xml:space="preserve"> -(T36+R18 + 4916000)</f>
        <v>-5287278.729432865</v>
      </c>
      <c r="K59" s="16">
        <f xml:space="preserve"> -(T36+R18 + 4916000)</f>
        <v>-5287278.729432865</v>
      </c>
      <c r="L59" s="16">
        <f xml:space="preserve"> -(T36+R18 + 4916000)</f>
        <v>-5287278.729432865</v>
      </c>
      <c r="M59" s="16">
        <f xml:space="preserve"> -(T36+R18 + 4916000)</f>
        <v>-5287278.729432865</v>
      </c>
      <c r="N59" s="16">
        <f xml:space="preserve"> -(T36+R18 + 4916000)</f>
        <v>-5287278.729432865</v>
      </c>
      <c r="O59" s="79">
        <f>SUM(C59:N59)</f>
        <v>-63447344.753194384</v>
      </c>
    </row>
    <row r="60" spans="2:19" x14ac:dyDescent="0.3">
      <c r="B60" s="15" t="s">
        <v>8</v>
      </c>
      <c r="C60" s="5">
        <f t="shared" ref="C60:N60" si="15">$AA$9-$AE$9 + 1100000</f>
        <v>2400000</v>
      </c>
      <c r="D60" s="5">
        <f t="shared" si="15"/>
        <v>2400000</v>
      </c>
      <c r="E60" s="5">
        <f t="shared" si="15"/>
        <v>2400000</v>
      </c>
      <c r="F60" s="5">
        <f t="shared" si="15"/>
        <v>2400000</v>
      </c>
      <c r="G60" s="5">
        <f t="shared" si="15"/>
        <v>2400000</v>
      </c>
      <c r="H60" s="5">
        <f t="shared" si="15"/>
        <v>2400000</v>
      </c>
      <c r="I60" s="5">
        <f t="shared" si="15"/>
        <v>2400000</v>
      </c>
      <c r="J60" s="5">
        <f t="shared" si="15"/>
        <v>2400000</v>
      </c>
      <c r="K60" s="5">
        <f t="shared" si="15"/>
        <v>2400000</v>
      </c>
      <c r="L60" s="5">
        <f t="shared" si="15"/>
        <v>2400000</v>
      </c>
      <c r="M60" s="5">
        <f t="shared" si="15"/>
        <v>2400000</v>
      </c>
      <c r="N60" s="5">
        <f t="shared" si="15"/>
        <v>2400000</v>
      </c>
      <c r="O60" s="5">
        <f>SUM(C60:N60)</f>
        <v>28800000</v>
      </c>
    </row>
    <row r="61" spans="2:19" x14ac:dyDescent="0.3">
      <c r="B61" s="17" t="s">
        <v>10</v>
      </c>
      <c r="C61" s="80">
        <f t="shared" ref="C61:N61" si="16">C60+C59</f>
        <v>-2887278.729432865</v>
      </c>
      <c r="D61" s="80">
        <f t="shared" si="16"/>
        <v>-2887278.729432865</v>
      </c>
      <c r="E61" s="80">
        <f t="shared" si="16"/>
        <v>-2887278.729432865</v>
      </c>
      <c r="F61" s="80">
        <f t="shared" si="16"/>
        <v>-2887278.729432865</v>
      </c>
      <c r="G61" s="80">
        <f t="shared" si="16"/>
        <v>-2887278.729432865</v>
      </c>
      <c r="H61" s="80">
        <f t="shared" si="16"/>
        <v>-2887278.729432865</v>
      </c>
      <c r="I61" s="80">
        <f t="shared" si="16"/>
        <v>-2887278.729432865</v>
      </c>
      <c r="J61" s="80">
        <f t="shared" si="16"/>
        <v>-2887278.729432865</v>
      </c>
      <c r="K61" s="80">
        <f t="shared" si="16"/>
        <v>-2887278.729432865</v>
      </c>
      <c r="L61" s="80">
        <f t="shared" si="16"/>
        <v>-2887278.729432865</v>
      </c>
      <c r="M61" s="80">
        <f t="shared" si="16"/>
        <v>-2887278.729432865</v>
      </c>
      <c r="N61" s="80">
        <f t="shared" si="16"/>
        <v>-2887278.729432865</v>
      </c>
      <c r="O61" s="19"/>
    </row>
    <row r="63" spans="2:19" x14ac:dyDescent="0.3">
      <c r="B63" s="15" t="s">
        <v>69</v>
      </c>
      <c r="C63" s="15" t="s">
        <v>15</v>
      </c>
      <c r="D63" s="15" t="s">
        <v>16</v>
      </c>
      <c r="E63" s="15" t="s">
        <v>17</v>
      </c>
      <c r="F63" s="15" t="s">
        <v>18</v>
      </c>
      <c r="G63" s="15" t="s">
        <v>19</v>
      </c>
      <c r="H63" s="15" t="s">
        <v>20</v>
      </c>
      <c r="I63" s="15" t="s">
        <v>21</v>
      </c>
      <c r="J63" s="15" t="s">
        <v>22</v>
      </c>
      <c r="K63" s="15" t="s">
        <v>23</v>
      </c>
      <c r="L63" s="15" t="s">
        <v>24</v>
      </c>
      <c r="M63" s="15" t="s">
        <v>25</v>
      </c>
      <c r="N63" s="15" t="s">
        <v>26</v>
      </c>
      <c r="O63" s="15" t="s">
        <v>27</v>
      </c>
    </row>
    <row r="64" spans="2:19" x14ac:dyDescent="0.3">
      <c r="B64" s="15" t="s">
        <v>6</v>
      </c>
      <c r="C64" s="16">
        <f xml:space="preserve"> -(T36+R18 + 4916000)</f>
        <v>-5287278.729432865</v>
      </c>
      <c r="D64" s="16">
        <f xml:space="preserve"> -(T36+R18 + 4916000)</f>
        <v>-5287278.729432865</v>
      </c>
      <c r="E64" s="16">
        <f xml:space="preserve"> -(T36+R18 + 4916000)</f>
        <v>-5287278.729432865</v>
      </c>
      <c r="F64" s="16">
        <f xml:space="preserve"> -(T36+R18 + 4916000)</f>
        <v>-5287278.729432865</v>
      </c>
      <c r="G64" s="16">
        <f xml:space="preserve"> -(T36+R18 + 4916000)</f>
        <v>-5287278.729432865</v>
      </c>
      <c r="H64" s="16">
        <f xml:space="preserve"> -(T36+R18 + 4916000)</f>
        <v>-5287278.729432865</v>
      </c>
      <c r="I64" s="16">
        <f xml:space="preserve"> -(T36+R18 + 4916000)</f>
        <v>-5287278.729432865</v>
      </c>
      <c r="J64" s="16">
        <f xml:space="preserve"> -(T36+R18 + 4916000)</f>
        <v>-5287278.729432865</v>
      </c>
      <c r="K64" s="16">
        <f xml:space="preserve"> -(T36+R18 + 4916000)</f>
        <v>-5287278.729432865</v>
      </c>
      <c r="L64" s="16">
        <f xml:space="preserve"> -(T36+R18 + 4916000)</f>
        <v>-5287278.729432865</v>
      </c>
      <c r="M64" s="16">
        <f xml:space="preserve"> -(T36+R18 + 4916000)</f>
        <v>-5287278.729432865</v>
      </c>
      <c r="N64" s="16">
        <f xml:space="preserve"> -(T36+R18 + 4916000)</f>
        <v>-5287278.729432865</v>
      </c>
      <c r="O64" s="79">
        <f>SUM(C64:N64)</f>
        <v>-63447344.753194384</v>
      </c>
    </row>
    <row r="65" spans="2:15" x14ac:dyDescent="0.3">
      <c r="B65" s="15" t="s">
        <v>8</v>
      </c>
      <c r="C65" s="5">
        <f t="shared" ref="C65:N65" si="17">$AA$9-$AE$9 + 1100000</f>
        <v>2400000</v>
      </c>
      <c r="D65" s="5">
        <f t="shared" si="17"/>
        <v>2400000</v>
      </c>
      <c r="E65" s="5">
        <f t="shared" si="17"/>
        <v>2400000</v>
      </c>
      <c r="F65" s="5">
        <f t="shared" si="17"/>
        <v>2400000</v>
      </c>
      <c r="G65" s="5">
        <f t="shared" si="17"/>
        <v>2400000</v>
      </c>
      <c r="H65" s="5">
        <f t="shared" si="17"/>
        <v>2400000</v>
      </c>
      <c r="I65" s="5">
        <f t="shared" si="17"/>
        <v>2400000</v>
      </c>
      <c r="J65" s="5">
        <f t="shared" si="17"/>
        <v>2400000</v>
      </c>
      <c r="K65" s="5">
        <f t="shared" si="17"/>
        <v>2400000</v>
      </c>
      <c r="L65" s="5">
        <f t="shared" si="17"/>
        <v>2400000</v>
      </c>
      <c r="M65" s="5">
        <f t="shared" si="17"/>
        <v>2400000</v>
      </c>
      <c r="N65" s="5">
        <f t="shared" si="17"/>
        <v>2400000</v>
      </c>
      <c r="O65" s="5">
        <f>SUM(C65:N65)</f>
        <v>28800000</v>
      </c>
    </row>
    <row r="66" spans="2:15" x14ac:dyDescent="0.3">
      <c r="B66" s="17" t="s">
        <v>10</v>
      </c>
      <c r="C66" s="80">
        <f t="shared" ref="C66:N66" si="18">C65+C64</f>
        <v>-2887278.729432865</v>
      </c>
      <c r="D66" s="80">
        <f t="shared" si="18"/>
        <v>-2887278.729432865</v>
      </c>
      <c r="E66" s="80">
        <f t="shared" si="18"/>
        <v>-2887278.729432865</v>
      </c>
      <c r="F66" s="80">
        <f t="shared" si="18"/>
        <v>-2887278.729432865</v>
      </c>
      <c r="G66" s="80">
        <f t="shared" si="18"/>
        <v>-2887278.729432865</v>
      </c>
      <c r="H66" s="80">
        <f t="shared" si="18"/>
        <v>-2887278.729432865</v>
      </c>
      <c r="I66" s="80">
        <f t="shared" si="18"/>
        <v>-2887278.729432865</v>
      </c>
      <c r="J66" s="80">
        <f t="shared" si="18"/>
        <v>-2887278.729432865</v>
      </c>
      <c r="K66" s="80">
        <f t="shared" si="18"/>
        <v>-2887278.729432865</v>
      </c>
      <c r="L66" s="80">
        <f t="shared" si="18"/>
        <v>-2887278.729432865</v>
      </c>
      <c r="M66" s="80">
        <f t="shared" si="18"/>
        <v>-2887278.729432865</v>
      </c>
      <c r="N66" s="80">
        <f t="shared" si="18"/>
        <v>-2887278.729432865</v>
      </c>
      <c r="O66" s="19"/>
    </row>
    <row r="68" spans="2:15" x14ac:dyDescent="0.3">
      <c r="B68" s="15" t="s">
        <v>70</v>
      </c>
      <c r="C68" s="15" t="s">
        <v>15</v>
      </c>
      <c r="D68" s="15" t="s">
        <v>16</v>
      </c>
      <c r="E68" s="15" t="s">
        <v>17</v>
      </c>
      <c r="F68" s="15" t="s">
        <v>18</v>
      </c>
      <c r="G68" s="15" t="s">
        <v>19</v>
      </c>
      <c r="H68" s="15" t="s">
        <v>20</v>
      </c>
      <c r="I68" s="15" t="s">
        <v>21</v>
      </c>
      <c r="J68" s="15" t="s">
        <v>22</v>
      </c>
      <c r="K68" s="15" t="s">
        <v>23</v>
      </c>
      <c r="L68" s="15" t="s">
        <v>24</v>
      </c>
      <c r="M68" s="15" t="s">
        <v>25</v>
      </c>
      <c r="N68" s="15" t="s">
        <v>26</v>
      </c>
      <c r="O68" s="15" t="s">
        <v>27</v>
      </c>
    </row>
    <row r="69" spans="2:15" x14ac:dyDescent="0.3">
      <c r="B69" s="15" t="s">
        <v>6</v>
      </c>
      <c r="C69" s="16">
        <f xml:space="preserve"> -(T36)</f>
        <v>-120000</v>
      </c>
      <c r="D69" s="16">
        <f xml:space="preserve"> -(T36)</f>
        <v>-120000</v>
      </c>
      <c r="E69" s="16">
        <f xml:space="preserve"> -(T36)</f>
        <v>-120000</v>
      </c>
      <c r="F69" s="16">
        <f xml:space="preserve"> -(T36)</f>
        <v>-120000</v>
      </c>
      <c r="G69" s="16">
        <f xml:space="preserve"> -(T36)</f>
        <v>-120000</v>
      </c>
      <c r="H69" s="16">
        <f xml:space="preserve"> -(T36)</f>
        <v>-120000</v>
      </c>
      <c r="I69" s="16">
        <f xml:space="preserve"> -(T36)</f>
        <v>-120000</v>
      </c>
      <c r="J69" s="16">
        <f xml:space="preserve"> -(T36)</f>
        <v>-120000</v>
      </c>
      <c r="K69" s="16">
        <f xml:space="preserve"> -(T36)</f>
        <v>-120000</v>
      </c>
      <c r="L69" s="16">
        <f xml:space="preserve"> -(T36)</f>
        <v>-120000</v>
      </c>
      <c r="M69" s="16">
        <f xml:space="preserve"> -(T36)</f>
        <v>-120000</v>
      </c>
      <c r="N69" s="16">
        <f xml:space="preserve"> -(T36)</f>
        <v>-120000</v>
      </c>
      <c r="O69" s="79">
        <f>SUM(C69:N69)</f>
        <v>-1440000</v>
      </c>
    </row>
    <row r="70" spans="2:15" x14ac:dyDescent="0.3">
      <c r="B70" s="15" t="s">
        <v>8</v>
      </c>
      <c r="C70" s="5">
        <f t="shared" ref="C70:N70" si="19">$AA$9-$AE$9 + 1100000</f>
        <v>2400000</v>
      </c>
      <c r="D70" s="5">
        <f t="shared" si="19"/>
        <v>2400000</v>
      </c>
      <c r="E70" s="5">
        <f t="shared" si="19"/>
        <v>2400000</v>
      </c>
      <c r="F70" s="5">
        <f t="shared" si="19"/>
        <v>2400000</v>
      </c>
      <c r="G70" s="5">
        <f t="shared" si="19"/>
        <v>2400000</v>
      </c>
      <c r="H70" s="5">
        <f t="shared" si="19"/>
        <v>2400000</v>
      </c>
      <c r="I70" s="5">
        <f t="shared" si="19"/>
        <v>2400000</v>
      </c>
      <c r="J70" s="5">
        <f t="shared" si="19"/>
        <v>2400000</v>
      </c>
      <c r="K70" s="5">
        <f t="shared" si="19"/>
        <v>2400000</v>
      </c>
      <c r="L70" s="5">
        <f t="shared" si="19"/>
        <v>2400000</v>
      </c>
      <c r="M70" s="5">
        <f t="shared" si="19"/>
        <v>2400000</v>
      </c>
      <c r="N70" s="5">
        <f t="shared" si="19"/>
        <v>2400000</v>
      </c>
      <c r="O70" s="5">
        <f>SUM(C70:N70)</f>
        <v>28800000</v>
      </c>
    </row>
    <row r="71" spans="2:15" x14ac:dyDescent="0.3">
      <c r="B71" s="17" t="s">
        <v>10</v>
      </c>
      <c r="C71" s="78">
        <f t="shared" ref="C71:N71" si="20">C70+C69</f>
        <v>2280000</v>
      </c>
      <c r="D71" s="78">
        <f t="shared" si="20"/>
        <v>2280000</v>
      </c>
      <c r="E71" s="78">
        <f t="shared" si="20"/>
        <v>2280000</v>
      </c>
      <c r="F71" s="78">
        <f t="shared" si="20"/>
        <v>2280000</v>
      </c>
      <c r="G71" s="78">
        <f t="shared" si="20"/>
        <v>2280000</v>
      </c>
      <c r="H71" s="78">
        <f t="shared" si="20"/>
        <v>2280000</v>
      </c>
      <c r="I71" s="78">
        <f t="shared" si="20"/>
        <v>2280000</v>
      </c>
      <c r="J71" s="78">
        <f t="shared" si="20"/>
        <v>2280000</v>
      </c>
      <c r="K71" s="78">
        <f t="shared" si="20"/>
        <v>2280000</v>
      </c>
      <c r="L71" s="78">
        <f t="shared" si="20"/>
        <v>2280000</v>
      </c>
      <c r="M71" s="78">
        <f t="shared" si="20"/>
        <v>2280000</v>
      </c>
      <c r="N71" s="78">
        <f t="shared" si="20"/>
        <v>2280000</v>
      </c>
      <c r="O71" s="19"/>
    </row>
    <row r="73" spans="2:15" x14ac:dyDescent="0.3">
      <c r="B73" s="15" t="s">
        <v>71</v>
      </c>
      <c r="C73" s="15" t="s">
        <v>15</v>
      </c>
      <c r="D73" s="15" t="s">
        <v>16</v>
      </c>
      <c r="E73" s="15" t="s">
        <v>17</v>
      </c>
      <c r="F73" s="15" t="s">
        <v>18</v>
      </c>
      <c r="G73" s="15" t="s">
        <v>19</v>
      </c>
      <c r="H73" s="15" t="s">
        <v>20</v>
      </c>
      <c r="I73" s="15" t="s">
        <v>21</v>
      </c>
      <c r="J73" s="15" t="s">
        <v>22</v>
      </c>
      <c r="K73" s="15" t="s">
        <v>23</v>
      </c>
      <c r="L73" s="15" t="s">
        <v>24</v>
      </c>
      <c r="M73" s="15" t="s">
        <v>25</v>
      </c>
      <c r="N73" s="15" t="s">
        <v>26</v>
      </c>
      <c r="O73" s="15" t="s">
        <v>27</v>
      </c>
    </row>
    <row r="74" spans="2:15" x14ac:dyDescent="0.3">
      <c r="B74" s="15" t="s">
        <v>6</v>
      </c>
      <c r="C74" s="16">
        <f xml:space="preserve"> -(T36)</f>
        <v>-120000</v>
      </c>
      <c r="D74" s="16">
        <f xml:space="preserve"> -(T36)</f>
        <v>-120000</v>
      </c>
      <c r="E74" s="16">
        <f xml:space="preserve"> -(T36)</f>
        <v>-120000</v>
      </c>
      <c r="F74" s="16">
        <f xml:space="preserve"> -(T36)</f>
        <v>-120000</v>
      </c>
      <c r="G74" s="16">
        <f xml:space="preserve"> -(T36)</f>
        <v>-120000</v>
      </c>
      <c r="H74" s="16">
        <f xml:space="preserve"> -(T36)</f>
        <v>-120000</v>
      </c>
      <c r="I74" s="16">
        <f xml:space="preserve"> -(T36)</f>
        <v>-120000</v>
      </c>
      <c r="J74" s="16">
        <f xml:space="preserve"> -(T36)</f>
        <v>-120000</v>
      </c>
      <c r="K74" s="16">
        <f xml:space="preserve"> -(T36)</f>
        <v>-120000</v>
      </c>
      <c r="L74" s="16">
        <f xml:space="preserve"> -(T36)</f>
        <v>-120000</v>
      </c>
      <c r="M74" s="16">
        <f xml:space="preserve"> -(T36)</f>
        <v>-120000</v>
      </c>
      <c r="N74" s="16">
        <f xml:space="preserve"> -(T36)</f>
        <v>-120000</v>
      </c>
      <c r="O74" s="79">
        <f>SUM(C74:N74)</f>
        <v>-1440000</v>
      </c>
    </row>
    <row r="75" spans="2:15" x14ac:dyDescent="0.3">
      <c r="B75" s="15" t="s">
        <v>8</v>
      </c>
      <c r="C75" s="5">
        <f t="shared" ref="C75:N75" si="21">$AA$9-$AE$9 + 1100000</f>
        <v>2400000</v>
      </c>
      <c r="D75" s="5">
        <f t="shared" si="21"/>
        <v>2400000</v>
      </c>
      <c r="E75" s="5">
        <f t="shared" si="21"/>
        <v>2400000</v>
      </c>
      <c r="F75" s="5">
        <f t="shared" si="21"/>
        <v>2400000</v>
      </c>
      <c r="G75" s="5">
        <f t="shared" si="21"/>
        <v>2400000</v>
      </c>
      <c r="H75" s="5">
        <f t="shared" si="21"/>
        <v>2400000</v>
      </c>
      <c r="I75" s="5">
        <f t="shared" si="21"/>
        <v>2400000</v>
      </c>
      <c r="J75" s="5">
        <f t="shared" si="21"/>
        <v>2400000</v>
      </c>
      <c r="K75" s="5">
        <f t="shared" si="21"/>
        <v>2400000</v>
      </c>
      <c r="L75" s="5">
        <f t="shared" si="21"/>
        <v>2400000</v>
      </c>
      <c r="M75" s="5">
        <f t="shared" si="21"/>
        <v>2400000</v>
      </c>
      <c r="N75" s="5">
        <f t="shared" si="21"/>
        <v>2400000</v>
      </c>
      <c r="O75" s="5">
        <f>SUM(C75:N75)</f>
        <v>28800000</v>
      </c>
    </row>
    <row r="76" spans="2:15" x14ac:dyDescent="0.3">
      <c r="B76" s="17" t="s">
        <v>10</v>
      </c>
      <c r="C76" s="78">
        <f t="shared" ref="C76:N76" si="22">C75+C74</f>
        <v>2280000</v>
      </c>
      <c r="D76" s="78">
        <f t="shared" si="22"/>
        <v>2280000</v>
      </c>
      <c r="E76" s="78">
        <f t="shared" si="22"/>
        <v>2280000</v>
      </c>
      <c r="F76" s="78">
        <f t="shared" si="22"/>
        <v>2280000</v>
      </c>
      <c r="G76" s="78">
        <f t="shared" si="22"/>
        <v>2280000</v>
      </c>
      <c r="H76" s="78">
        <f t="shared" si="22"/>
        <v>2280000</v>
      </c>
      <c r="I76" s="78">
        <f t="shared" si="22"/>
        <v>2280000</v>
      </c>
      <c r="J76" s="78">
        <f t="shared" si="22"/>
        <v>2280000</v>
      </c>
      <c r="K76" s="78">
        <f t="shared" si="22"/>
        <v>2280000</v>
      </c>
      <c r="L76" s="78">
        <f t="shared" si="22"/>
        <v>2280000</v>
      </c>
      <c r="M76" s="78">
        <f t="shared" si="22"/>
        <v>2280000</v>
      </c>
      <c r="N76" s="78">
        <f t="shared" si="22"/>
        <v>2280000</v>
      </c>
      <c r="O76" s="19"/>
    </row>
    <row r="78" spans="2:15" x14ac:dyDescent="0.3">
      <c r="B78" s="15" t="s">
        <v>72</v>
      </c>
      <c r="C78" s="15" t="s">
        <v>15</v>
      </c>
      <c r="D78" s="15" t="s">
        <v>16</v>
      </c>
      <c r="E78" s="15" t="s">
        <v>17</v>
      </c>
      <c r="F78" s="15" t="s">
        <v>18</v>
      </c>
      <c r="G78" s="15" t="s">
        <v>19</v>
      </c>
      <c r="H78" s="15" t="s">
        <v>20</v>
      </c>
      <c r="I78" s="15" t="s">
        <v>21</v>
      </c>
      <c r="J78" s="15" t="s">
        <v>22</v>
      </c>
      <c r="K78" s="15" t="s">
        <v>23</v>
      </c>
      <c r="L78" s="15" t="s">
        <v>24</v>
      </c>
      <c r="M78" s="15" t="s">
        <v>25</v>
      </c>
      <c r="N78" s="15" t="s">
        <v>26</v>
      </c>
      <c r="O78" s="15" t="s">
        <v>27</v>
      </c>
    </row>
    <row r="79" spans="2:15" x14ac:dyDescent="0.3">
      <c r="B79" s="15" t="s">
        <v>6</v>
      </c>
      <c r="C79" s="16">
        <f xml:space="preserve"> -(T36)</f>
        <v>-120000</v>
      </c>
      <c r="D79" s="16">
        <f xml:space="preserve"> -(T36)</f>
        <v>-120000</v>
      </c>
      <c r="E79" s="16">
        <f xml:space="preserve"> -(T36)</f>
        <v>-120000</v>
      </c>
      <c r="F79" s="16">
        <f xml:space="preserve"> -(T36)</f>
        <v>-120000</v>
      </c>
      <c r="G79" s="16">
        <f xml:space="preserve"> -(T36)</f>
        <v>-120000</v>
      </c>
      <c r="H79" s="16">
        <f xml:space="preserve"> -(T36)</f>
        <v>-120000</v>
      </c>
      <c r="I79" s="16">
        <f xml:space="preserve"> -(T36)</f>
        <v>-120000</v>
      </c>
      <c r="J79" s="16">
        <f xml:space="preserve"> -(T36)</f>
        <v>-120000</v>
      </c>
      <c r="K79" s="16">
        <f xml:space="preserve"> -(T36)</f>
        <v>-120000</v>
      </c>
      <c r="L79" s="16">
        <f xml:space="preserve"> -(T36)</f>
        <v>-120000</v>
      </c>
      <c r="M79" s="16">
        <f xml:space="preserve"> -(T36)</f>
        <v>-120000</v>
      </c>
      <c r="N79" s="16">
        <f xml:space="preserve"> -(T36)</f>
        <v>-120000</v>
      </c>
      <c r="O79" s="79">
        <f>SUM(C79:N79)</f>
        <v>-1440000</v>
      </c>
    </row>
    <row r="80" spans="2:15" x14ac:dyDescent="0.3">
      <c r="B80" s="15" t="s">
        <v>8</v>
      </c>
      <c r="C80" s="5">
        <f t="shared" ref="C80:N80" si="23">$AA$9-$AE$9 + 1100000</f>
        <v>2400000</v>
      </c>
      <c r="D80" s="5">
        <f t="shared" si="23"/>
        <v>2400000</v>
      </c>
      <c r="E80" s="5">
        <f t="shared" si="23"/>
        <v>2400000</v>
      </c>
      <c r="F80" s="5">
        <f t="shared" si="23"/>
        <v>2400000</v>
      </c>
      <c r="G80" s="5">
        <f t="shared" si="23"/>
        <v>2400000</v>
      </c>
      <c r="H80" s="5">
        <f t="shared" si="23"/>
        <v>2400000</v>
      </c>
      <c r="I80" s="5">
        <f t="shared" si="23"/>
        <v>2400000</v>
      </c>
      <c r="J80" s="5">
        <f t="shared" si="23"/>
        <v>2400000</v>
      </c>
      <c r="K80" s="5">
        <f t="shared" si="23"/>
        <v>2400000</v>
      </c>
      <c r="L80" s="5">
        <f t="shared" si="23"/>
        <v>2400000</v>
      </c>
      <c r="M80" s="5">
        <f t="shared" si="23"/>
        <v>2400000</v>
      </c>
      <c r="N80" s="5">
        <f t="shared" si="23"/>
        <v>2400000</v>
      </c>
      <c r="O80" s="5">
        <f>SUM(C80:N80)</f>
        <v>28800000</v>
      </c>
    </row>
    <row r="81" spans="2:15" x14ac:dyDescent="0.3">
      <c r="B81" s="17" t="s">
        <v>10</v>
      </c>
      <c r="C81" s="78">
        <f t="shared" ref="C81:N81" si="24">C80+C79</f>
        <v>2280000</v>
      </c>
      <c r="D81" s="78">
        <f t="shared" si="24"/>
        <v>2280000</v>
      </c>
      <c r="E81" s="78">
        <f t="shared" si="24"/>
        <v>2280000</v>
      </c>
      <c r="F81" s="78">
        <f t="shared" si="24"/>
        <v>2280000</v>
      </c>
      <c r="G81" s="78">
        <f t="shared" si="24"/>
        <v>2280000</v>
      </c>
      <c r="H81" s="78">
        <f t="shared" si="24"/>
        <v>2280000</v>
      </c>
      <c r="I81" s="78">
        <f t="shared" si="24"/>
        <v>2280000</v>
      </c>
      <c r="J81" s="78">
        <f t="shared" si="24"/>
        <v>2280000</v>
      </c>
      <c r="K81" s="78">
        <f t="shared" si="24"/>
        <v>2280000</v>
      </c>
      <c r="L81" s="78">
        <f t="shared" si="24"/>
        <v>2280000</v>
      </c>
      <c r="M81" s="78">
        <f t="shared" si="24"/>
        <v>2280000</v>
      </c>
      <c r="N81" s="78">
        <f t="shared" si="24"/>
        <v>2280000</v>
      </c>
      <c r="O81" s="19"/>
    </row>
    <row r="83" spans="2:15" x14ac:dyDescent="0.3">
      <c r="B83" s="15" t="s">
        <v>73</v>
      </c>
      <c r="C83" s="15" t="s">
        <v>15</v>
      </c>
      <c r="D83" s="15" t="s">
        <v>16</v>
      </c>
      <c r="E83" s="15" t="s">
        <v>17</v>
      </c>
      <c r="F83" s="15" t="s">
        <v>18</v>
      </c>
      <c r="G83" s="15" t="s">
        <v>19</v>
      </c>
      <c r="H83" s="15" t="s">
        <v>20</v>
      </c>
      <c r="I83" s="15" t="s">
        <v>21</v>
      </c>
      <c r="J83" s="15" t="s">
        <v>22</v>
      </c>
      <c r="K83" s="15" t="s">
        <v>23</v>
      </c>
      <c r="L83" s="15" t="s">
        <v>24</v>
      </c>
      <c r="M83" s="15" t="s">
        <v>25</v>
      </c>
      <c r="N83" s="15" t="s">
        <v>26</v>
      </c>
      <c r="O83" s="15" t="s">
        <v>27</v>
      </c>
    </row>
    <row r="84" spans="2:15" x14ac:dyDescent="0.3">
      <c r="B84" s="15" t="s">
        <v>6</v>
      </c>
      <c r="C84" s="16">
        <f xml:space="preserve"> -(T36)</f>
        <v>-120000</v>
      </c>
      <c r="D84" s="16">
        <f xml:space="preserve"> -(T36)</f>
        <v>-120000</v>
      </c>
      <c r="E84" s="16">
        <f xml:space="preserve"> -(T36)</f>
        <v>-120000</v>
      </c>
      <c r="F84" s="16">
        <f xml:space="preserve"> -(T36)</f>
        <v>-120000</v>
      </c>
      <c r="G84" s="16">
        <f xml:space="preserve"> -(T36)</f>
        <v>-120000</v>
      </c>
      <c r="H84" s="16">
        <f xml:space="preserve"> -(T36)</f>
        <v>-120000</v>
      </c>
      <c r="I84" s="16">
        <f xml:space="preserve"> -(T36)</f>
        <v>-120000</v>
      </c>
      <c r="J84" s="16">
        <f xml:space="preserve"> -(T36)</f>
        <v>-120000</v>
      </c>
      <c r="K84" s="16">
        <f xml:space="preserve"> -(T36)</f>
        <v>-120000</v>
      </c>
      <c r="L84" s="16">
        <f xml:space="preserve"> -(T36)</f>
        <v>-120000</v>
      </c>
      <c r="M84" s="16">
        <f xml:space="preserve"> -(T36)</f>
        <v>-120000</v>
      </c>
      <c r="N84" s="16">
        <f xml:space="preserve"> -(T36)</f>
        <v>-120000</v>
      </c>
      <c r="O84" s="79">
        <f xml:space="preserve"> SUM(C84:N84)</f>
        <v>-1440000</v>
      </c>
    </row>
    <row r="85" spans="2:15" x14ac:dyDescent="0.3">
      <c r="B85" s="15" t="s">
        <v>8</v>
      </c>
      <c r="C85" s="5">
        <f t="shared" ref="C85:N85" si="25">$AA$9-$AE$9 + 1100000</f>
        <v>2400000</v>
      </c>
      <c r="D85" s="5">
        <f t="shared" si="25"/>
        <v>2400000</v>
      </c>
      <c r="E85" s="5">
        <f t="shared" si="25"/>
        <v>2400000</v>
      </c>
      <c r="F85" s="5">
        <f t="shared" si="25"/>
        <v>2400000</v>
      </c>
      <c r="G85" s="5">
        <f t="shared" si="25"/>
        <v>2400000</v>
      </c>
      <c r="H85" s="5">
        <f t="shared" si="25"/>
        <v>2400000</v>
      </c>
      <c r="I85" s="5">
        <f t="shared" si="25"/>
        <v>2400000</v>
      </c>
      <c r="J85" s="5">
        <f t="shared" si="25"/>
        <v>2400000</v>
      </c>
      <c r="K85" s="5">
        <f t="shared" si="25"/>
        <v>2400000</v>
      </c>
      <c r="L85" s="5">
        <f t="shared" si="25"/>
        <v>2400000</v>
      </c>
      <c r="M85" s="5">
        <f t="shared" si="25"/>
        <v>2400000</v>
      </c>
      <c r="N85" s="5">
        <f t="shared" si="25"/>
        <v>2400000</v>
      </c>
      <c r="O85" s="5">
        <f>SUM(C85:N85)</f>
        <v>28800000</v>
      </c>
    </row>
    <row r="86" spans="2:15" x14ac:dyDescent="0.3">
      <c r="B86" s="17" t="s">
        <v>10</v>
      </c>
      <c r="C86" s="78">
        <f t="shared" ref="C86:N86" si="26">C85+C84</f>
        <v>2280000</v>
      </c>
      <c r="D86" s="78">
        <f t="shared" si="26"/>
        <v>2280000</v>
      </c>
      <c r="E86" s="78">
        <f t="shared" si="26"/>
        <v>2280000</v>
      </c>
      <c r="F86" s="78">
        <f t="shared" si="26"/>
        <v>2280000</v>
      </c>
      <c r="G86" s="78">
        <f t="shared" si="26"/>
        <v>2280000</v>
      </c>
      <c r="H86" s="78">
        <f t="shared" si="26"/>
        <v>2280000</v>
      </c>
      <c r="I86" s="78">
        <f t="shared" si="26"/>
        <v>2280000</v>
      </c>
      <c r="J86" s="78">
        <f t="shared" si="26"/>
        <v>2280000</v>
      </c>
      <c r="K86" s="78">
        <f t="shared" si="26"/>
        <v>2280000</v>
      </c>
      <c r="L86" s="78">
        <f t="shared" si="26"/>
        <v>2280000</v>
      </c>
      <c r="M86" s="78">
        <f t="shared" si="26"/>
        <v>2280000</v>
      </c>
      <c r="N86" s="78">
        <f t="shared" si="26"/>
        <v>2280000</v>
      </c>
      <c r="O86" s="19"/>
    </row>
    <row r="88" spans="2:15" x14ac:dyDescent="0.3">
      <c r="B88" s="15" t="s">
        <v>74</v>
      </c>
      <c r="C88" s="15" t="s">
        <v>15</v>
      </c>
      <c r="D88" s="15" t="s">
        <v>16</v>
      </c>
      <c r="E88" s="15" t="s">
        <v>17</v>
      </c>
      <c r="F88" s="15" t="s">
        <v>18</v>
      </c>
      <c r="G88" s="15" t="s">
        <v>19</v>
      </c>
      <c r="H88" s="15" t="s">
        <v>20</v>
      </c>
      <c r="I88" s="15" t="s">
        <v>21</v>
      </c>
      <c r="J88" s="15" t="s">
        <v>22</v>
      </c>
      <c r="K88" s="15" t="s">
        <v>23</v>
      </c>
      <c r="L88" s="15" t="s">
        <v>24</v>
      </c>
      <c r="M88" s="15" t="s">
        <v>25</v>
      </c>
      <c r="N88" s="15" t="s">
        <v>26</v>
      </c>
      <c r="O88" s="15" t="s">
        <v>27</v>
      </c>
    </row>
    <row r="89" spans="2:15" x14ac:dyDescent="0.3">
      <c r="B89" s="15" t="s">
        <v>6</v>
      </c>
      <c r="C89" s="16">
        <f xml:space="preserve"> -(T36)</f>
        <v>-120000</v>
      </c>
      <c r="D89" s="16">
        <f xml:space="preserve"> -(T36)</f>
        <v>-120000</v>
      </c>
      <c r="E89" s="16">
        <f xml:space="preserve"> -(T36)</f>
        <v>-120000</v>
      </c>
      <c r="F89" s="16">
        <f xml:space="preserve"> -(T36)</f>
        <v>-120000</v>
      </c>
      <c r="G89" s="16">
        <f xml:space="preserve"> -(T36)</f>
        <v>-120000</v>
      </c>
      <c r="H89" s="16">
        <f xml:space="preserve"> -(T36)</f>
        <v>-120000</v>
      </c>
      <c r="I89" s="16">
        <f xml:space="preserve"> -(T36)</f>
        <v>-120000</v>
      </c>
      <c r="J89" s="16">
        <f xml:space="preserve"> -(T36)</f>
        <v>-120000</v>
      </c>
      <c r="K89" s="16">
        <f xml:space="preserve"> -(T36)</f>
        <v>-120000</v>
      </c>
      <c r="L89" s="16">
        <f xml:space="preserve"> -(T36)</f>
        <v>-120000</v>
      </c>
      <c r="M89" s="16">
        <f xml:space="preserve"> -(T36)</f>
        <v>-120000</v>
      </c>
      <c r="N89" s="16">
        <f xml:space="preserve"> -(T36)</f>
        <v>-120000</v>
      </c>
      <c r="O89" s="79">
        <f xml:space="preserve"> SUM(C89:N89)</f>
        <v>-1440000</v>
      </c>
    </row>
    <row r="90" spans="2:15" x14ac:dyDescent="0.3">
      <c r="B90" s="15" t="s">
        <v>8</v>
      </c>
      <c r="C90" s="5">
        <f t="shared" ref="C90:N90" si="27">$AA$9-$AE$9 + 1100000</f>
        <v>2400000</v>
      </c>
      <c r="D90" s="5">
        <f t="shared" si="27"/>
        <v>2400000</v>
      </c>
      <c r="E90" s="5">
        <f t="shared" si="27"/>
        <v>2400000</v>
      </c>
      <c r="F90" s="5">
        <f t="shared" si="27"/>
        <v>2400000</v>
      </c>
      <c r="G90" s="5">
        <f t="shared" si="27"/>
        <v>2400000</v>
      </c>
      <c r="H90" s="5">
        <f t="shared" si="27"/>
        <v>2400000</v>
      </c>
      <c r="I90" s="5">
        <f t="shared" si="27"/>
        <v>2400000</v>
      </c>
      <c r="J90" s="5">
        <f t="shared" si="27"/>
        <v>2400000</v>
      </c>
      <c r="K90" s="5">
        <f t="shared" si="27"/>
        <v>2400000</v>
      </c>
      <c r="L90" s="5">
        <f t="shared" si="27"/>
        <v>2400000</v>
      </c>
      <c r="M90" s="5">
        <f t="shared" si="27"/>
        <v>2400000</v>
      </c>
      <c r="N90" s="5">
        <f t="shared" si="27"/>
        <v>2400000</v>
      </c>
      <c r="O90" s="5">
        <f>SUM(C90:N90)</f>
        <v>28800000</v>
      </c>
    </row>
    <row r="91" spans="2:15" x14ac:dyDescent="0.3">
      <c r="B91" s="17" t="s">
        <v>10</v>
      </c>
      <c r="C91" s="78">
        <f t="shared" ref="C91:N91" si="28">C90+C89</f>
        <v>2280000</v>
      </c>
      <c r="D91" s="78">
        <f t="shared" si="28"/>
        <v>2280000</v>
      </c>
      <c r="E91" s="78">
        <f t="shared" si="28"/>
        <v>2280000</v>
      </c>
      <c r="F91" s="78">
        <f t="shared" si="28"/>
        <v>2280000</v>
      </c>
      <c r="G91" s="78">
        <f t="shared" si="28"/>
        <v>2280000</v>
      </c>
      <c r="H91" s="78">
        <f t="shared" si="28"/>
        <v>2280000</v>
      </c>
      <c r="I91" s="78">
        <f t="shared" si="28"/>
        <v>2280000</v>
      </c>
      <c r="J91" s="78">
        <f t="shared" si="28"/>
        <v>2280000</v>
      </c>
      <c r="K91" s="78">
        <f t="shared" si="28"/>
        <v>2280000</v>
      </c>
      <c r="L91" s="78">
        <f t="shared" si="28"/>
        <v>2280000</v>
      </c>
      <c r="M91" s="78">
        <f t="shared" si="28"/>
        <v>2280000</v>
      </c>
      <c r="N91" s="78">
        <f t="shared" si="28"/>
        <v>2280000</v>
      </c>
      <c r="O91" s="19"/>
    </row>
  </sheetData>
  <mergeCells count="11">
    <mergeCell ref="B7:C7"/>
    <mergeCell ref="B1:K1"/>
    <mergeCell ref="B2:C2"/>
    <mergeCell ref="B3:C3"/>
    <mergeCell ref="B4:C4"/>
    <mergeCell ref="B5:C5"/>
    <mergeCell ref="B8:C8"/>
    <mergeCell ref="K10:N10"/>
    <mergeCell ref="Z37:AA37"/>
    <mergeCell ref="Z38:AA38"/>
    <mergeCell ref="Z39:AA39"/>
  </mergeCells>
  <phoneticPr fontId="10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4FD92-A15B-4BB0-9C61-7A85683A60BB}">
  <dimension ref="A2:H14"/>
  <sheetViews>
    <sheetView workbookViewId="0">
      <selection activeCell="A2" sqref="A2:D15"/>
    </sheetView>
  </sheetViews>
  <sheetFormatPr baseColWidth="10" defaultColWidth="11.44140625" defaultRowHeight="14.4" x14ac:dyDescent="0.3"/>
  <cols>
    <col min="1" max="1" width="19.33203125" customWidth="1"/>
    <col min="3" max="3" width="19.44140625" customWidth="1"/>
    <col min="4" max="4" width="24.33203125" customWidth="1"/>
    <col min="6" max="6" width="15.6640625" customWidth="1"/>
  </cols>
  <sheetData>
    <row r="2" spans="1:8" x14ac:dyDescent="0.3">
      <c r="A2" s="46" t="s">
        <v>59</v>
      </c>
      <c r="C2" s="46" t="s">
        <v>60</v>
      </c>
      <c r="D2" s="46" t="s">
        <v>61</v>
      </c>
      <c r="F2" s="46" t="s">
        <v>78</v>
      </c>
      <c r="H2" s="44" t="s">
        <v>79</v>
      </c>
    </row>
    <row r="3" spans="1:8" x14ac:dyDescent="0.3">
      <c r="A3" s="49">
        <v>173000</v>
      </c>
      <c r="C3" s="49">
        <v>8000</v>
      </c>
      <c r="D3" s="49">
        <v>30000</v>
      </c>
      <c r="F3" s="49">
        <v>40000</v>
      </c>
      <c r="H3" s="49">
        <v>600000</v>
      </c>
    </row>
    <row r="4" spans="1:8" x14ac:dyDescent="0.3">
      <c r="A4" s="49">
        <v>173000</v>
      </c>
      <c r="C4" s="49">
        <v>4000</v>
      </c>
      <c r="D4" s="49">
        <v>4</v>
      </c>
      <c r="F4" s="49">
        <v>28</v>
      </c>
      <c r="H4" s="49">
        <v>12</v>
      </c>
    </row>
    <row r="5" spans="1:8" x14ac:dyDescent="0.3">
      <c r="A5" s="49">
        <v>190200</v>
      </c>
      <c r="C5" s="49">
        <v>20</v>
      </c>
      <c r="D5" s="52">
        <f>PRODUCT(D3:D4)</f>
        <v>120000</v>
      </c>
      <c r="F5" s="54">
        <f>PRODUCT(F3:F4)*12</f>
        <v>13440000</v>
      </c>
      <c r="H5" s="52">
        <f>PRODUCT(H3:H4)</f>
        <v>7200000</v>
      </c>
    </row>
    <row r="6" spans="1:8" x14ac:dyDescent="0.3">
      <c r="A6" s="50">
        <v>221000</v>
      </c>
      <c r="C6" s="49">
        <v>4</v>
      </c>
      <c r="D6" t="s">
        <v>62</v>
      </c>
    </row>
    <row r="7" spans="1:8" x14ac:dyDescent="0.3">
      <c r="A7" s="50">
        <v>221000</v>
      </c>
      <c r="C7" s="49">
        <f>C3*C5</f>
        <v>160000</v>
      </c>
      <c r="D7" s="69">
        <f>D5*12</f>
        <v>1440000</v>
      </c>
    </row>
    <row r="8" spans="1:8" x14ac:dyDescent="0.3">
      <c r="A8" s="50">
        <v>247000</v>
      </c>
      <c r="C8" s="49">
        <f>C4*C6</f>
        <v>16000</v>
      </c>
    </row>
    <row r="9" spans="1:8" x14ac:dyDescent="0.3">
      <c r="A9" s="50">
        <v>247000</v>
      </c>
      <c r="C9" s="52">
        <f>SUM(C7:C8)*12</f>
        <v>2112000</v>
      </c>
    </row>
    <row r="10" spans="1:8" x14ac:dyDescent="0.3">
      <c r="A10" s="50">
        <v>270700</v>
      </c>
      <c r="C10" s="52"/>
    </row>
    <row r="11" spans="1:8" x14ac:dyDescent="0.3">
      <c r="A11" s="50">
        <v>270700</v>
      </c>
      <c r="C11" s="49"/>
    </row>
    <row r="12" spans="1:8" x14ac:dyDescent="0.3">
      <c r="A12" s="50">
        <v>300000</v>
      </c>
      <c r="C12" s="46" t="s">
        <v>65</v>
      </c>
    </row>
    <row r="13" spans="1:8" x14ac:dyDescent="0.3">
      <c r="A13" s="50">
        <v>320000</v>
      </c>
      <c r="C13" s="52">
        <f>SUM(C7:C8)</f>
        <v>176000</v>
      </c>
    </row>
    <row r="14" spans="1:8" x14ac:dyDescent="0.3">
      <c r="A14" s="51">
        <f>SUM(A3:A13)</f>
        <v>2633600</v>
      </c>
      <c r="C14" s="4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ICETEX (100%)</vt:lpstr>
      <vt:lpstr>ICETEX (40%)</vt:lpstr>
      <vt:lpstr>CORTO PLAZO</vt:lpstr>
      <vt:lpstr>LARGO PLAZO</vt:lpstr>
      <vt:lpstr>CÁLCULOS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Nicolas Naro</dc:creator>
  <cp:keywords/>
  <dc:description/>
  <cp:lastModifiedBy>J Ferb</cp:lastModifiedBy>
  <cp:revision/>
  <dcterms:created xsi:type="dcterms:W3CDTF">2025-04-27T04:52:35Z</dcterms:created>
  <dcterms:modified xsi:type="dcterms:W3CDTF">2025-05-20T13:10:06Z</dcterms:modified>
  <cp:category/>
  <cp:contentStatus/>
</cp:coreProperties>
</file>