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9 - INGENIERÍA ELECTRÓNICA\FORMULACIÓN Y EVALUAVIÓN DE PROYECTOS\TALLER 4\"/>
    </mc:Choice>
  </mc:AlternateContent>
  <xr:revisionPtr revIDLastSave="0" documentId="13_ncr:1_{F03C5EE3-D2FD-4B92-9560-8CC47AC385A9}" xr6:coauthVersionLast="47" xr6:coauthVersionMax="47" xr10:uidLastSave="{00000000-0000-0000-0000-000000000000}"/>
  <bookViews>
    <workbookView xWindow="-108" yWindow="-108" windowWidth="23256" windowHeight="13176" activeTab="2" xr2:uid="{AE92E4CA-D5CB-4483-A6C4-20381C8832B8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9" i="1" l="1"/>
  <c r="C22" i="1"/>
  <c r="N52" i="3"/>
  <c r="J52" i="3"/>
  <c r="F52" i="3"/>
  <c r="E52" i="3"/>
  <c r="D52" i="3"/>
  <c r="G52" i="3"/>
  <c r="H52" i="3"/>
  <c r="I52" i="3"/>
  <c r="I54" i="3" s="1"/>
  <c r="J54" i="3"/>
  <c r="K52" i="3"/>
  <c r="L52" i="3"/>
  <c r="M52" i="3"/>
  <c r="N54" i="3"/>
  <c r="C52" i="3"/>
  <c r="N46" i="3"/>
  <c r="H46" i="3"/>
  <c r="N40" i="3"/>
  <c r="H40" i="3"/>
  <c r="D46" i="3"/>
  <c r="E46" i="3"/>
  <c r="F46" i="3"/>
  <c r="G46" i="3"/>
  <c r="I46" i="3"/>
  <c r="J46" i="3"/>
  <c r="K46" i="3"/>
  <c r="K48" i="3" s="1"/>
  <c r="L46" i="3"/>
  <c r="L48" i="3" s="1"/>
  <c r="M46" i="3"/>
  <c r="N48" i="3"/>
  <c r="C46" i="3"/>
  <c r="D40" i="3"/>
  <c r="E40" i="3"/>
  <c r="F40" i="3"/>
  <c r="G40" i="3"/>
  <c r="I40" i="3"/>
  <c r="O40" i="3" s="1"/>
  <c r="G5" i="3" s="1"/>
  <c r="J40" i="3"/>
  <c r="K40" i="3"/>
  <c r="L40" i="3"/>
  <c r="M40" i="3"/>
  <c r="M42" i="3" s="1"/>
  <c r="N42" i="3"/>
  <c r="C40" i="3"/>
  <c r="N34" i="3"/>
  <c r="H34" i="3"/>
  <c r="D34" i="3"/>
  <c r="E34" i="3"/>
  <c r="F34" i="3"/>
  <c r="G34" i="3"/>
  <c r="G36" i="3" s="1"/>
  <c r="H36" i="3"/>
  <c r="I34" i="3"/>
  <c r="I36" i="3" s="1"/>
  <c r="J34" i="3"/>
  <c r="K34" i="3"/>
  <c r="L34" i="3"/>
  <c r="M34" i="3"/>
  <c r="N36" i="3"/>
  <c r="C34" i="3"/>
  <c r="N28" i="3"/>
  <c r="H28" i="3"/>
  <c r="D28" i="3"/>
  <c r="E28" i="3"/>
  <c r="F28" i="3"/>
  <c r="G28" i="3"/>
  <c r="G30" i="3" s="1"/>
  <c r="I28" i="3"/>
  <c r="I30" i="3" s="1"/>
  <c r="J28" i="3"/>
  <c r="J30" i="3" s="1"/>
  <c r="K28" i="3"/>
  <c r="L28" i="3"/>
  <c r="L30" i="3" s="1"/>
  <c r="M28" i="3"/>
  <c r="M30" i="3" s="1"/>
  <c r="N30" i="3"/>
  <c r="C28" i="3"/>
  <c r="N22" i="3"/>
  <c r="H22" i="3"/>
  <c r="F22" i="3"/>
  <c r="D22" i="3"/>
  <c r="E22" i="3"/>
  <c r="G22" i="3"/>
  <c r="I22" i="3"/>
  <c r="J22" i="3"/>
  <c r="J24" i="3" s="1"/>
  <c r="K22" i="3"/>
  <c r="K24" i="3" s="1"/>
  <c r="L22" i="3"/>
  <c r="L24" i="3" s="1"/>
  <c r="M22" i="3"/>
  <c r="M24" i="3" s="1"/>
  <c r="N24" i="3"/>
  <c r="C22" i="3"/>
  <c r="D59" i="3"/>
  <c r="C5" i="3"/>
  <c r="M54" i="3"/>
  <c r="L54" i="3"/>
  <c r="K54" i="3"/>
  <c r="C54" i="3"/>
  <c r="O53" i="3"/>
  <c r="I6" i="3" s="1"/>
  <c r="H54" i="3"/>
  <c r="G54" i="3"/>
  <c r="F54" i="3"/>
  <c r="E54" i="3"/>
  <c r="D54" i="3"/>
  <c r="O52" i="3"/>
  <c r="I5" i="3" s="1"/>
  <c r="M48" i="3"/>
  <c r="E48" i="3"/>
  <c r="D48" i="3"/>
  <c r="C48" i="3"/>
  <c r="O47" i="3"/>
  <c r="J48" i="3"/>
  <c r="I48" i="3"/>
  <c r="H48" i="3"/>
  <c r="G48" i="3"/>
  <c r="F48" i="3"/>
  <c r="O46" i="3"/>
  <c r="H5" i="3" s="1"/>
  <c r="G42" i="3"/>
  <c r="F42" i="3"/>
  <c r="E42" i="3"/>
  <c r="D42" i="3"/>
  <c r="C42" i="3"/>
  <c r="O41" i="3"/>
  <c r="L42" i="3"/>
  <c r="K42" i="3"/>
  <c r="J42" i="3"/>
  <c r="I42" i="3"/>
  <c r="H42" i="3"/>
  <c r="F36" i="3"/>
  <c r="E36" i="3"/>
  <c r="O35" i="3"/>
  <c r="M36" i="3"/>
  <c r="L36" i="3"/>
  <c r="K36" i="3"/>
  <c r="J36" i="3"/>
  <c r="D36" i="3"/>
  <c r="C36" i="3"/>
  <c r="O29" i="3"/>
  <c r="K30" i="3"/>
  <c r="H30" i="3"/>
  <c r="F30" i="3"/>
  <c r="E30" i="3"/>
  <c r="D30" i="3"/>
  <c r="C30" i="3"/>
  <c r="O23" i="3"/>
  <c r="D6" i="3" s="1"/>
  <c r="I24" i="3"/>
  <c r="H24" i="3"/>
  <c r="G24" i="3"/>
  <c r="F24" i="3"/>
  <c r="E24" i="3"/>
  <c r="D24" i="3"/>
  <c r="C24" i="3"/>
  <c r="C12" i="3"/>
  <c r="G9" i="3"/>
  <c r="H9" i="3" s="1"/>
  <c r="I9" i="3" s="1"/>
  <c r="H6" i="3"/>
  <c r="G6" i="3"/>
  <c r="F6" i="3"/>
  <c r="E6" i="3"/>
  <c r="C7" i="3"/>
  <c r="C10" i="3" s="1"/>
  <c r="I4" i="3"/>
  <c r="H4" i="3"/>
  <c r="G4" i="3"/>
  <c r="F4" i="3"/>
  <c r="B58" i="3"/>
  <c r="J3" i="2"/>
  <c r="H12" i="2"/>
  <c r="H6" i="2"/>
  <c r="G6" i="2"/>
  <c r="F6" i="2"/>
  <c r="E6" i="2"/>
  <c r="D6" i="2"/>
  <c r="C6" i="2"/>
  <c r="M45" i="2"/>
  <c r="N45" i="2"/>
  <c r="L45" i="2"/>
  <c r="D51" i="2"/>
  <c r="E51" i="2"/>
  <c r="F51" i="2"/>
  <c r="G51" i="2"/>
  <c r="H51" i="2"/>
  <c r="I51" i="2"/>
  <c r="J51" i="2"/>
  <c r="J53" i="2" s="1"/>
  <c r="K51" i="2"/>
  <c r="K53" i="2" s="1"/>
  <c r="L51" i="2"/>
  <c r="L53" i="2" s="1"/>
  <c r="M51" i="2"/>
  <c r="M53" i="2" s="1"/>
  <c r="N51" i="2"/>
  <c r="N53" i="2" s="1"/>
  <c r="C51" i="2"/>
  <c r="D45" i="2"/>
  <c r="E45" i="2"/>
  <c r="F45" i="2"/>
  <c r="G45" i="2"/>
  <c r="H45" i="2"/>
  <c r="I45" i="2"/>
  <c r="J45" i="2"/>
  <c r="J47" i="2" s="1"/>
  <c r="K45" i="2"/>
  <c r="K47" i="2" s="1"/>
  <c r="L47" i="2"/>
  <c r="M47" i="2"/>
  <c r="N47" i="2"/>
  <c r="C45" i="2"/>
  <c r="D39" i="2"/>
  <c r="E39" i="2"/>
  <c r="F39" i="2"/>
  <c r="G39" i="2"/>
  <c r="H39" i="2"/>
  <c r="I39" i="2"/>
  <c r="I41" i="2" s="1"/>
  <c r="J39" i="2"/>
  <c r="J41" i="2" s="1"/>
  <c r="K39" i="2"/>
  <c r="K41" i="2" s="1"/>
  <c r="L39" i="2"/>
  <c r="L41" i="2" s="1"/>
  <c r="M39" i="2"/>
  <c r="M41" i="2" s="1"/>
  <c r="N39" i="2"/>
  <c r="N41" i="2" s="1"/>
  <c r="C39" i="2"/>
  <c r="D33" i="2"/>
  <c r="E33" i="2"/>
  <c r="F33" i="2"/>
  <c r="G33" i="2"/>
  <c r="H33" i="2"/>
  <c r="I33" i="2"/>
  <c r="J33" i="2"/>
  <c r="J35" i="2" s="1"/>
  <c r="K33" i="2"/>
  <c r="K35" i="2" s="1"/>
  <c r="L33" i="2"/>
  <c r="L35" i="2" s="1"/>
  <c r="M33" i="2"/>
  <c r="M35" i="2" s="1"/>
  <c r="N33" i="2"/>
  <c r="N35" i="2" s="1"/>
  <c r="C33" i="2"/>
  <c r="D27" i="2"/>
  <c r="E27" i="2"/>
  <c r="F27" i="2"/>
  <c r="G27" i="2"/>
  <c r="H27" i="2"/>
  <c r="I27" i="2"/>
  <c r="I29" i="2" s="1"/>
  <c r="J27" i="2"/>
  <c r="J29" i="2" s="1"/>
  <c r="K27" i="2"/>
  <c r="K29" i="2" s="1"/>
  <c r="L27" i="2"/>
  <c r="L29" i="2" s="1"/>
  <c r="M27" i="2"/>
  <c r="M29" i="2" s="1"/>
  <c r="N27" i="2"/>
  <c r="N29" i="2" s="1"/>
  <c r="C27" i="2"/>
  <c r="C21" i="2"/>
  <c r="D21" i="2"/>
  <c r="E21" i="2"/>
  <c r="F21" i="2"/>
  <c r="G21" i="2"/>
  <c r="H21" i="2"/>
  <c r="I21" i="2"/>
  <c r="O21" i="2" s="1"/>
  <c r="C4" i="2" s="1"/>
  <c r="J21" i="2"/>
  <c r="J23" i="2" s="1"/>
  <c r="K21" i="2"/>
  <c r="K23" i="2" s="1"/>
  <c r="L21" i="2"/>
  <c r="L23" i="2" s="1"/>
  <c r="M21" i="2"/>
  <c r="M23" i="2" s="1"/>
  <c r="N21" i="2"/>
  <c r="I53" i="2"/>
  <c r="H53" i="2"/>
  <c r="G53" i="2"/>
  <c r="F53" i="2"/>
  <c r="E53" i="2"/>
  <c r="D53" i="2"/>
  <c r="C53" i="2"/>
  <c r="I47" i="2"/>
  <c r="H47" i="2"/>
  <c r="G47" i="2"/>
  <c r="F47" i="2"/>
  <c r="E47" i="2"/>
  <c r="D47" i="2"/>
  <c r="C47" i="2"/>
  <c r="H41" i="2"/>
  <c r="G41" i="2"/>
  <c r="F41" i="2"/>
  <c r="E41" i="2"/>
  <c r="D41" i="2"/>
  <c r="C41" i="2"/>
  <c r="I35" i="2"/>
  <c r="H35" i="2"/>
  <c r="G35" i="2"/>
  <c r="F35" i="2"/>
  <c r="E35" i="2"/>
  <c r="D35" i="2"/>
  <c r="C35" i="2"/>
  <c r="H29" i="2"/>
  <c r="G29" i="2"/>
  <c r="F29" i="2"/>
  <c r="E29" i="2"/>
  <c r="D29" i="2"/>
  <c r="C29" i="2"/>
  <c r="N23" i="2"/>
  <c r="H23" i="2"/>
  <c r="G23" i="2"/>
  <c r="F23" i="2"/>
  <c r="E23" i="2"/>
  <c r="D23" i="2"/>
  <c r="C23" i="2"/>
  <c r="J4" i="2"/>
  <c r="C11" i="2"/>
  <c r="F5" i="1"/>
  <c r="I5" i="1"/>
  <c r="H5" i="1"/>
  <c r="G5" i="1"/>
  <c r="E5" i="1"/>
  <c r="C5" i="1"/>
  <c r="I7" i="1"/>
  <c r="H7" i="1"/>
  <c r="G7" i="1"/>
  <c r="F7" i="1"/>
  <c r="E7" i="1"/>
  <c r="C7" i="1"/>
  <c r="C10" i="1" s="1"/>
  <c r="N52" i="1"/>
  <c r="M52" i="1"/>
  <c r="L52" i="1"/>
  <c r="K52" i="1"/>
  <c r="J52" i="1"/>
  <c r="I52" i="1"/>
  <c r="H52" i="1"/>
  <c r="G52" i="1"/>
  <c r="F52" i="1"/>
  <c r="E52" i="1"/>
  <c r="D52" i="1"/>
  <c r="C52" i="1"/>
  <c r="N46" i="1"/>
  <c r="M46" i="1"/>
  <c r="L46" i="1"/>
  <c r="K46" i="1"/>
  <c r="J46" i="1"/>
  <c r="I46" i="1"/>
  <c r="H46" i="1"/>
  <c r="G46" i="1"/>
  <c r="F46" i="1"/>
  <c r="E46" i="1"/>
  <c r="D46" i="1"/>
  <c r="C46" i="1"/>
  <c r="N40" i="1"/>
  <c r="M40" i="1"/>
  <c r="L40" i="1"/>
  <c r="K40" i="1"/>
  <c r="J40" i="1"/>
  <c r="I40" i="1"/>
  <c r="H40" i="1"/>
  <c r="G40" i="1"/>
  <c r="F40" i="1"/>
  <c r="E40" i="1"/>
  <c r="D40" i="1"/>
  <c r="C40" i="1"/>
  <c r="N34" i="1"/>
  <c r="M34" i="1"/>
  <c r="L34" i="1"/>
  <c r="K34" i="1"/>
  <c r="J34" i="1"/>
  <c r="I34" i="1"/>
  <c r="H34" i="1"/>
  <c r="G34" i="1"/>
  <c r="F34" i="1"/>
  <c r="E34" i="1"/>
  <c r="D34" i="1"/>
  <c r="C34" i="1"/>
  <c r="N28" i="1"/>
  <c r="M28" i="1"/>
  <c r="L28" i="1"/>
  <c r="K28" i="1"/>
  <c r="J28" i="1"/>
  <c r="I28" i="1"/>
  <c r="H28" i="1"/>
  <c r="G28" i="1"/>
  <c r="F28" i="1"/>
  <c r="E28" i="1"/>
  <c r="D28" i="1"/>
  <c r="C28" i="1"/>
  <c r="N22" i="1"/>
  <c r="M22" i="1"/>
  <c r="L22" i="1"/>
  <c r="K22" i="1"/>
  <c r="J22" i="1"/>
  <c r="I22" i="1"/>
  <c r="H22" i="1"/>
  <c r="G22" i="1"/>
  <c r="F22" i="1"/>
  <c r="E22" i="1"/>
  <c r="D22" i="1"/>
  <c r="N54" i="1"/>
  <c r="M54" i="1"/>
  <c r="L54" i="1"/>
  <c r="K54" i="1"/>
  <c r="J54" i="1"/>
  <c r="I54" i="1"/>
  <c r="H54" i="1"/>
  <c r="G54" i="1"/>
  <c r="F54" i="1"/>
  <c r="E54" i="1"/>
  <c r="D54" i="1"/>
  <c r="C54" i="1"/>
  <c r="N48" i="1"/>
  <c r="M48" i="1"/>
  <c r="L48" i="1"/>
  <c r="K48" i="1"/>
  <c r="J48" i="1"/>
  <c r="I48" i="1"/>
  <c r="H48" i="1"/>
  <c r="G48" i="1"/>
  <c r="F48" i="1"/>
  <c r="E48" i="1"/>
  <c r="D48" i="1"/>
  <c r="C48" i="1"/>
  <c r="N42" i="1"/>
  <c r="M42" i="1"/>
  <c r="L42" i="1"/>
  <c r="K42" i="1"/>
  <c r="J42" i="1"/>
  <c r="I42" i="1"/>
  <c r="H42" i="1"/>
  <c r="G42" i="1"/>
  <c r="F42" i="1"/>
  <c r="E42" i="1"/>
  <c r="D42" i="1"/>
  <c r="C42" i="1"/>
  <c r="N36" i="1"/>
  <c r="M36" i="1"/>
  <c r="L36" i="1"/>
  <c r="K36" i="1"/>
  <c r="J36" i="1"/>
  <c r="I36" i="1"/>
  <c r="H36" i="1"/>
  <c r="G36" i="1"/>
  <c r="F36" i="1"/>
  <c r="E36" i="1"/>
  <c r="D36" i="1"/>
  <c r="C36" i="1"/>
  <c r="N30" i="1"/>
  <c r="M30" i="1"/>
  <c r="L30" i="1"/>
  <c r="K30" i="1"/>
  <c r="J30" i="1"/>
  <c r="I30" i="1"/>
  <c r="H30" i="1"/>
  <c r="G30" i="1"/>
  <c r="F30" i="1"/>
  <c r="E30" i="1"/>
  <c r="D30" i="1"/>
  <c r="C30" i="1"/>
  <c r="N24" i="1"/>
  <c r="M24" i="1"/>
  <c r="L24" i="1"/>
  <c r="K24" i="1"/>
  <c r="J24" i="1"/>
  <c r="I24" i="1"/>
  <c r="H24" i="1"/>
  <c r="G24" i="1"/>
  <c r="F24" i="1"/>
  <c r="E24" i="1"/>
  <c r="D24" i="1"/>
  <c r="C24" i="1"/>
  <c r="B58" i="2"/>
  <c r="O52" i="2"/>
  <c r="H5" i="2" s="1"/>
  <c r="O46" i="2"/>
  <c r="G5" i="2" s="1"/>
  <c r="O40" i="2"/>
  <c r="F5" i="2" s="1"/>
  <c r="O34" i="2"/>
  <c r="E5" i="2" s="1"/>
  <c r="O28" i="2"/>
  <c r="D5" i="2" s="1"/>
  <c r="O22" i="2"/>
  <c r="C5" i="2" s="1"/>
  <c r="F8" i="2"/>
  <c r="G8" i="2" s="1"/>
  <c r="H8" i="2" s="1"/>
  <c r="E3" i="2"/>
  <c r="F3" i="2" s="1"/>
  <c r="G3" i="2" s="1"/>
  <c r="H3" i="2" s="1"/>
  <c r="E91" i="1"/>
  <c r="G9" i="1"/>
  <c r="H9" i="1" s="1"/>
  <c r="I9" i="1" s="1"/>
  <c r="C12" i="1"/>
  <c r="F4" i="1"/>
  <c r="G4" i="1" s="1"/>
  <c r="H4" i="1" s="1"/>
  <c r="I4" i="1" s="1"/>
  <c r="F6" i="1"/>
  <c r="G6" i="1"/>
  <c r="I6" i="1"/>
  <c r="O53" i="1"/>
  <c r="O47" i="1"/>
  <c r="H6" i="1" s="1"/>
  <c r="O41" i="1"/>
  <c r="O35" i="1"/>
  <c r="O29" i="1"/>
  <c r="E6" i="1" s="1"/>
  <c r="O23" i="1"/>
  <c r="D6" i="1" s="1"/>
  <c r="I7" i="3" l="1"/>
  <c r="I10" i="3" s="1"/>
  <c r="G7" i="3"/>
  <c r="G10" i="3" s="1"/>
  <c r="K5" i="3"/>
  <c r="H7" i="3"/>
  <c r="H10" i="3" s="1"/>
  <c r="O22" i="3"/>
  <c r="D5" i="3" s="1"/>
  <c r="O34" i="3"/>
  <c r="F5" i="3" s="1"/>
  <c r="F7" i="3" s="1"/>
  <c r="F10" i="3" s="1"/>
  <c r="O28" i="3"/>
  <c r="E5" i="3" s="1"/>
  <c r="E7" i="3" s="1"/>
  <c r="E10" i="3" s="1"/>
  <c r="I23" i="2"/>
  <c r="C9" i="2"/>
  <c r="O27" i="2"/>
  <c r="D4" i="2" s="1"/>
  <c r="O33" i="2"/>
  <c r="E4" i="2" s="1"/>
  <c r="E9" i="2" s="1"/>
  <c r="O39" i="2"/>
  <c r="F4" i="2" s="1"/>
  <c r="F9" i="2" s="1"/>
  <c r="O45" i="2"/>
  <c r="G4" i="2" s="1"/>
  <c r="G9" i="2" s="1"/>
  <c r="O51" i="2"/>
  <c r="H4" i="2" s="1"/>
  <c r="H9" i="2" s="1"/>
  <c r="K5" i="1"/>
  <c r="O28" i="1"/>
  <c r="E10" i="1" s="1"/>
  <c r="O22" i="1"/>
  <c r="O40" i="1"/>
  <c r="G10" i="1" s="1"/>
  <c r="O46" i="1"/>
  <c r="H10" i="1" s="1"/>
  <c r="O52" i="1"/>
  <c r="I10" i="1" s="1"/>
  <c r="O34" i="1"/>
  <c r="D5" i="1" l="1"/>
  <c r="K4" i="3"/>
  <c r="K6" i="3" s="1"/>
  <c r="D7" i="3"/>
  <c r="D10" i="3" s="1"/>
  <c r="J5" i="2"/>
  <c r="D7" i="1" l="1"/>
  <c r="D10" i="1" s="1"/>
  <c r="K4" i="1"/>
  <c r="K6" i="1" s="1"/>
  <c r="C13" i="3"/>
  <c r="H13" i="3"/>
  <c r="D9" i="2"/>
  <c r="F10" i="1"/>
  <c r="H13" i="1" s="1"/>
  <c r="C12" i="2" l="1"/>
  <c r="C13" i="1"/>
</calcChain>
</file>

<file path=xl/sharedStrings.xml><?xml version="1.0" encoding="utf-8"?>
<sst xmlns="http://schemas.openxmlformats.org/spreadsheetml/2006/main" count="360" uniqueCount="40">
  <si>
    <t xml:space="preserve">CASO 1: </t>
  </si>
  <si>
    <t>Año</t>
  </si>
  <si>
    <t>Costos</t>
  </si>
  <si>
    <t>Inversión - Egresos</t>
  </si>
  <si>
    <t>Beneficios</t>
  </si>
  <si>
    <t>Ingresos</t>
  </si>
  <si>
    <t>Razón B/C</t>
  </si>
  <si>
    <t>FLUJO NETO DE CAJA</t>
  </si>
  <si>
    <t>Tasa de descuento</t>
  </si>
  <si>
    <t>TIR</t>
  </si>
  <si>
    <t>VPN</t>
  </si>
  <si>
    <t>Año (2020)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</si>
  <si>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</si>
  <si>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</si>
  <si>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</si>
  <si>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</si>
  <si>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</si>
  <si>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</si>
  <si>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</si>
  <si>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</si>
  <si>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</si>
  <si>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</si>
  <si>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</si>
  <si>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</si>
  <si>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</si>
  <si>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Año (2021)</t>
  </si>
  <si>
    <t>Año (2022)</t>
  </si>
  <si>
    <t>Año (2023)</t>
  </si>
  <si>
    <t>Año (2024)</t>
  </si>
  <si>
    <t>Año (2025)</t>
  </si>
  <si>
    <t xml:space="preserve">Calculo de cuota buses mensual </t>
  </si>
  <si>
    <t>cuota mensual</t>
  </si>
  <si>
    <t xml:space="preserve">Valor moto </t>
  </si>
  <si>
    <t>interes 2% anual</t>
  </si>
  <si>
    <t>Precio bus 2020</t>
  </si>
  <si>
    <t>2024 (oct)</t>
  </si>
  <si>
    <t>Año (2019)</t>
  </si>
  <si>
    <t>cuota</t>
  </si>
  <si>
    <t xml:space="preserve">CASO 3: </t>
  </si>
  <si>
    <t xml:space="preserve">CASO 2: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</si>
</sst>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&quot;$&quot;#,##0.0;[Red]\-&quot;$&quot;#,##0.0"/>
    <numFmt numFmtId="166" formatCode="&quot;$&quot;#,##0.00;[Red]\-&quot;$&quot;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rgb="FF00B050"/>
      <name val="Times New Roman"/>
      <family val="1"/>
    </font>
    <font>
      <sz val="12"/>
      <color theme="8" tint="0.39997558519241921"/>
      <name val="Times New Roman"/>
      <family val="1"/>
    </font>
    <font>
      <sz val="12"/>
      <color rgb="FF00B050"/>
      <name val="Times New Roman"/>
      <family val="1"/>
    </font>
    <font>
      <sz val="12"/>
      <color rgb="FF0070C0"/>
      <name val="Times New Roman"/>
      <family val="1"/>
    </font>
    <font>
      <sz val="12"/>
      <color theme="9" tint="-0.249977111117893"/>
      <name val="Times New Roman"/>
      <family val="1"/>
    </font>
    <font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10" xfId="0" applyFont="1" applyBorder="1"/>
    <xf numFmtId="164" fontId="4" fillId="0" borderId="11" xfId="0" applyNumberFormat="1" applyFont="1" applyBorder="1"/>
    <xf numFmtId="164" fontId="2" fillId="0" borderId="11" xfId="0" applyNumberFormat="1" applyFont="1" applyBorder="1"/>
    <xf numFmtId="164" fontId="2" fillId="0" borderId="12" xfId="0" applyNumberFormat="1" applyFont="1" applyBorder="1"/>
    <xf numFmtId="164" fontId="5" fillId="0" borderId="0" xfId="0" applyNumberFormat="1" applyFont="1"/>
    <xf numFmtId="2" fontId="5" fillId="0" borderId="0" xfId="0" applyNumberFormat="1" applyFont="1"/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/>
    <xf numFmtId="164" fontId="6" fillId="0" borderId="10" xfId="0" applyNumberFormat="1" applyFont="1" applyBorder="1"/>
    <xf numFmtId="164" fontId="2" fillId="0" borderId="16" xfId="0" applyNumberFormat="1" applyFont="1" applyBorder="1"/>
    <xf numFmtId="164" fontId="2" fillId="0" borderId="17" xfId="0" applyNumberFormat="1" applyFont="1" applyBorder="1"/>
    <xf numFmtId="164" fontId="2" fillId="0" borderId="15" xfId="0" applyNumberFormat="1" applyFont="1" applyBorder="1"/>
    <xf numFmtId="0" fontId="3" fillId="0" borderId="18" xfId="0" applyFont="1" applyBorder="1" applyAlignment="1">
      <alignment vertical="center"/>
    </xf>
    <xf numFmtId="9" fontId="3" fillId="0" borderId="19" xfId="1" applyFont="1" applyBorder="1"/>
    <xf numFmtId="0" fontId="3" fillId="0" borderId="20" xfId="0" applyFont="1" applyBorder="1" applyAlignment="1">
      <alignment horizontal="center"/>
    </xf>
    <xf numFmtId="165" fontId="7" fillId="0" borderId="21" xfId="0" applyNumberFormat="1" applyFont="1" applyBorder="1"/>
    <xf numFmtId="0" fontId="8" fillId="0" borderId="0" xfId="0" applyFont="1"/>
    <xf numFmtId="9" fontId="2" fillId="0" borderId="0" xfId="0" applyNumberFormat="1" applyFont="1"/>
    <xf numFmtId="164" fontId="8" fillId="0" borderId="7" xfId="0" applyNumberFormat="1" applyFont="1" applyBorder="1" applyAlignment="1">
      <alignment horizontal="center" vertical="center"/>
    </xf>
    <xf numFmtId="0" fontId="3" fillId="0" borderId="7" xfId="0" applyFont="1" applyBorder="1"/>
    <xf numFmtId="164" fontId="10" fillId="0" borderId="7" xfId="0" applyNumberFormat="1" applyFont="1" applyBorder="1"/>
    <xf numFmtId="164" fontId="2" fillId="0" borderId="7" xfId="0" applyNumberFormat="1" applyFont="1" applyBorder="1"/>
    <xf numFmtId="0" fontId="3" fillId="0" borderId="0" xfId="0" applyFont="1" applyAlignment="1">
      <alignment horizontal="center" vertical="top"/>
    </xf>
    <xf numFmtId="164" fontId="2" fillId="0" borderId="23" xfId="0" applyNumberFormat="1" applyFont="1" applyBorder="1" applyAlignment="1">
      <alignment horizontal="center" vertical="center"/>
    </xf>
    <xf numFmtId="164" fontId="2" fillId="0" borderId="22" xfId="0" applyNumberFormat="1" applyFont="1" applyBorder="1"/>
    <xf numFmtId="0" fontId="3" fillId="0" borderId="0" xfId="0" applyFont="1" applyBorder="1" applyAlignment="1">
      <alignment horizontal="center" vertical="center"/>
    </xf>
    <xf numFmtId="164" fontId="2" fillId="0" borderId="0" xfId="0" applyNumberFormat="1" applyFont="1" applyBorder="1"/>
    <xf numFmtId="0" fontId="2" fillId="0" borderId="0" xfId="0" applyFont="1" applyBorder="1"/>
    <xf numFmtId="0" fontId="3" fillId="0" borderId="0" xfId="0" applyFont="1" applyBorder="1"/>
    <xf numFmtId="165" fontId="2" fillId="0" borderId="0" xfId="0" applyNumberFormat="1" applyFont="1" applyBorder="1"/>
    <xf numFmtId="0" fontId="8" fillId="0" borderId="0" xfId="0" applyFont="1" applyBorder="1"/>
    <xf numFmtId="0" fontId="0" fillId="0" borderId="0" xfId="0" applyBorder="1"/>
    <xf numFmtId="0" fontId="9" fillId="0" borderId="0" xfId="0" applyFont="1" applyBorder="1"/>
    <xf numFmtId="166" fontId="2" fillId="0" borderId="0" xfId="0" applyNumberFormat="1" applyFont="1" applyBorder="1"/>
    <xf numFmtId="0" fontId="3" fillId="0" borderId="0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2" fillId="0" borderId="24" xfId="0" applyFont="1" applyBorder="1"/>
    <xf numFmtId="10" fontId="2" fillId="0" borderId="25" xfId="0" applyNumberFormat="1" applyFont="1" applyBorder="1"/>
    <xf numFmtId="164" fontId="3" fillId="0" borderId="6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5" fillId="0" borderId="10" xfId="0" applyNumberFormat="1" applyFont="1" applyBorder="1"/>
    <xf numFmtId="2" fontId="5" fillId="0" borderId="12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Año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Hoja1!$B$22</c:f>
              <c:strCache>
                <c:ptCount val="1"/>
                <c:pt idx="0">
                  <c:v>Inversión - Egresos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Hoja1!$C$21:$N$21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Hoja1!$C$22:$N$22</c:f>
              <c:numCache>
                <c:formatCode>"$"#,##0</c:formatCode>
                <c:ptCount val="12"/>
                <c:pt idx="0">
                  <c:v>-58917</c:v>
                </c:pt>
                <c:pt idx="1">
                  <c:v>-98917</c:v>
                </c:pt>
                <c:pt idx="2">
                  <c:v>-78917</c:v>
                </c:pt>
                <c:pt idx="3">
                  <c:v>-258917</c:v>
                </c:pt>
                <c:pt idx="4">
                  <c:v>-78917</c:v>
                </c:pt>
                <c:pt idx="5">
                  <c:v>-58917</c:v>
                </c:pt>
                <c:pt idx="6">
                  <c:v>-78917</c:v>
                </c:pt>
                <c:pt idx="7">
                  <c:v>-78917</c:v>
                </c:pt>
                <c:pt idx="8">
                  <c:v>-58917</c:v>
                </c:pt>
                <c:pt idx="9">
                  <c:v>-163917</c:v>
                </c:pt>
                <c:pt idx="10">
                  <c:v>-78917</c:v>
                </c:pt>
                <c:pt idx="11">
                  <c:v>-58917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D-4777-BCE4-6E889147421F}"/>
            </c:ext>
          </c:extLst>
        </c:ser>
        <c:ser>
          <c:idx val="1"/>
          <c:order val="1"/>
          <c:tx>
            <c:strRef>
              <c:f>Hoja1!$B$23</c:f>
              <c:strCache>
                <c:ptCount val="1"/>
                <c:pt idx="0">
                  <c:v>Ingresos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Hoja1!$C$21:$N$21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Hoja1!$C$23:$N$23</c:f>
              <c:numCache>
                <c:formatCode>"$"#,##0</c:formatCode>
                <c:ptCount val="12"/>
                <c:pt idx="0">
                  <c:v>167200</c:v>
                </c:pt>
                <c:pt idx="1">
                  <c:v>167200</c:v>
                </c:pt>
                <c:pt idx="2">
                  <c:v>167200</c:v>
                </c:pt>
                <c:pt idx="3">
                  <c:v>167200</c:v>
                </c:pt>
                <c:pt idx="4">
                  <c:v>167200</c:v>
                </c:pt>
                <c:pt idx="5">
                  <c:v>167200</c:v>
                </c:pt>
                <c:pt idx="6">
                  <c:v>167200</c:v>
                </c:pt>
                <c:pt idx="7">
                  <c:v>167200</c:v>
                </c:pt>
                <c:pt idx="8">
                  <c:v>167200</c:v>
                </c:pt>
                <c:pt idx="9">
                  <c:v>167200</c:v>
                </c:pt>
                <c:pt idx="10">
                  <c:v>167200</c:v>
                </c:pt>
                <c:pt idx="11">
                  <c:v>167200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FD-4777-BCE4-6E8891474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196800"/>
        <c:axId val="519198048"/>
      </c:barChart>
      <c:catAx>
        <c:axId val="51919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9198048"/>
        <c:crosses val="autoZero"/>
        <c:auto val="1"/>
        <c:lblAlgn val="ctr"/>
        <c:lblOffset val="100"/>
        <c:noMultiLvlLbl val="0"/>
      </c:catAx>
      <c:valAx>
        <c:axId val="51919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919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Año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Hoja2!$B$39</c:f>
              <c:strCache>
                <c:ptCount val="1"/>
                <c:pt idx="0">
                  <c:v>Inversión - Egresos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Hoja2!$C$38:$N$38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Hoja2!$C$39:$N$39</c:f>
              <c:numCache>
                <c:formatCode>"$"#,##0</c:formatCode>
                <c:ptCount val="12"/>
                <c:pt idx="0">
                  <c:v>-193600</c:v>
                </c:pt>
                <c:pt idx="1">
                  <c:v>-193600</c:v>
                </c:pt>
                <c:pt idx="2">
                  <c:v>-193600</c:v>
                </c:pt>
                <c:pt idx="3">
                  <c:v>-193600</c:v>
                </c:pt>
                <c:pt idx="4">
                  <c:v>-193600</c:v>
                </c:pt>
                <c:pt idx="5">
                  <c:v>-193600</c:v>
                </c:pt>
                <c:pt idx="6">
                  <c:v>-193600</c:v>
                </c:pt>
                <c:pt idx="7">
                  <c:v>-193600</c:v>
                </c:pt>
                <c:pt idx="8">
                  <c:v>-193600</c:v>
                </c:pt>
                <c:pt idx="9">
                  <c:v>-193600</c:v>
                </c:pt>
                <c:pt idx="10">
                  <c:v>-193600</c:v>
                </c:pt>
                <c:pt idx="11">
                  <c:v>-193600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1-4AFD-BE4F-E061675E0CF7}"/>
            </c:ext>
          </c:extLst>
        </c:ser>
        <c:ser>
          <c:idx val="1"/>
          <c:order val="1"/>
          <c:tx>
            <c:strRef>
              <c:f>Hoja2!$B$40</c:f>
              <c:strCache>
                <c:ptCount val="1"/>
                <c:pt idx="0">
                  <c:v>Ingresos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Hoja2!$C$38:$N$38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Hoja2!$C$40:$N$40</c:f>
              <c:numCache>
                <c:formatCode>"$"#,##0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1-4AFD-BE4F-E061675E0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4139104"/>
        <c:axId val="1964140768"/>
      </c:barChart>
      <c:catAx>
        <c:axId val="196413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4140768"/>
        <c:crosses val="autoZero"/>
        <c:auto val="1"/>
        <c:lblAlgn val="ctr"/>
        <c:lblOffset val="100"/>
        <c:noMultiLvlLbl val="0"/>
      </c:catAx>
      <c:valAx>
        <c:axId val="19641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413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Año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Hoja2!$B$45</c:f>
              <c:strCache>
                <c:ptCount val="1"/>
                <c:pt idx="0">
                  <c:v>Inversión - Egresos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Hoja2!$C$44:$N$44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Hoja2!$C$45:$N$45</c:f>
              <c:numCache>
                <c:formatCode>"$"#,##0</c:formatCode>
                <c:ptCount val="12"/>
                <c:pt idx="0">
                  <c:v>-202400</c:v>
                </c:pt>
                <c:pt idx="1">
                  <c:v>-202400</c:v>
                </c:pt>
                <c:pt idx="2">
                  <c:v>-202400</c:v>
                </c:pt>
                <c:pt idx="3">
                  <c:v>-202400</c:v>
                </c:pt>
                <c:pt idx="4">
                  <c:v>-202400</c:v>
                </c:pt>
                <c:pt idx="5">
                  <c:v>-202400</c:v>
                </c:pt>
                <c:pt idx="6">
                  <c:v>-202400</c:v>
                </c:pt>
                <c:pt idx="7">
                  <c:v>-202400</c:v>
                </c:pt>
                <c:pt idx="8">
                  <c:v>-202400</c:v>
                </c:pt>
                <c:pt idx="9">
                  <c:v>-211200</c:v>
                </c:pt>
                <c:pt idx="10">
                  <c:v>-211200</c:v>
                </c:pt>
                <c:pt idx="11">
                  <c:v>-211200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5-43AC-914B-6386637129C8}"/>
            </c:ext>
          </c:extLst>
        </c:ser>
        <c:ser>
          <c:idx val="1"/>
          <c:order val="1"/>
          <c:tx>
            <c:strRef>
              <c:f>Hoja2!$B$46</c:f>
              <c:strCache>
                <c:ptCount val="1"/>
                <c:pt idx="0">
                  <c:v>Ingresos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Hoja2!$C$44:$N$44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Hoja2!$C$46:$N$46</c:f>
              <c:numCache>
                <c:formatCode>"$"#,##0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95-43AC-914B-638663712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503952"/>
        <c:axId val="758493968"/>
      </c:barChart>
      <c:catAx>
        <c:axId val="75850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8493968"/>
        <c:crosses val="autoZero"/>
        <c:auto val="1"/>
        <c:lblAlgn val="ctr"/>
        <c:lblOffset val="100"/>
        <c:noMultiLvlLbl val="0"/>
      </c:catAx>
      <c:valAx>
        <c:axId val="75849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850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Año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Hoja2!$B$51</c:f>
              <c:strCache>
                <c:ptCount val="1"/>
                <c:pt idx="0">
                  <c:v>Inversión - Egresos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Hoja2!$C$50:$N$50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Hoja2!$C$51:$N$51</c:f>
              <c:numCache>
                <c:formatCode>"$"#,##0</c:formatCode>
                <c:ptCount val="12"/>
                <c:pt idx="0">
                  <c:v>-220000</c:v>
                </c:pt>
                <c:pt idx="1">
                  <c:v>-220000</c:v>
                </c:pt>
                <c:pt idx="2">
                  <c:v>-220000</c:v>
                </c:pt>
                <c:pt idx="3">
                  <c:v>-220000</c:v>
                </c:pt>
                <c:pt idx="4">
                  <c:v>-220000</c:v>
                </c:pt>
                <c:pt idx="5">
                  <c:v>-220000</c:v>
                </c:pt>
                <c:pt idx="6">
                  <c:v>-220000</c:v>
                </c:pt>
                <c:pt idx="7">
                  <c:v>-220000</c:v>
                </c:pt>
                <c:pt idx="8">
                  <c:v>-220000</c:v>
                </c:pt>
                <c:pt idx="9">
                  <c:v>-220000</c:v>
                </c:pt>
                <c:pt idx="10">
                  <c:v>-220000</c:v>
                </c:pt>
                <c:pt idx="11">
                  <c:v>-220000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B-49FF-815B-3D62DF3C914C}"/>
            </c:ext>
          </c:extLst>
        </c:ser>
        <c:ser>
          <c:idx val="1"/>
          <c:order val="1"/>
          <c:tx>
            <c:strRef>
              <c:f>Hoja2!$B$52</c:f>
              <c:strCache>
                <c:ptCount val="1"/>
                <c:pt idx="0">
                  <c:v>Ingresos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Hoja2!$C$50:$N$50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Hoja2!$C$52:$N$52</c:f>
              <c:numCache>
                <c:formatCode>"$"#,##0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7B-49FF-815B-3D62DF3C9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384640"/>
        <c:axId val="567382144"/>
      </c:barChart>
      <c:catAx>
        <c:axId val="56738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7382144"/>
        <c:crosses val="autoZero"/>
        <c:auto val="1"/>
        <c:lblAlgn val="ctr"/>
        <c:lblOffset val="100"/>
        <c:noMultiLvlLbl val="0"/>
      </c:catAx>
      <c:valAx>
        <c:axId val="5673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738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Año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Hoja3!$B$22</c:f>
              <c:strCache>
                <c:ptCount val="1"/>
                <c:pt idx="0">
                  <c:v>Inversión - Egresos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Hoja3!$C$21:$N$21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Hoja3!$C$22:$N$22</c:f>
              <c:numCache>
                <c:formatCode>"$"#,##0</c:formatCode>
                <c:ptCount val="12"/>
                <c:pt idx="0">
                  <c:v>-22126</c:v>
                </c:pt>
                <c:pt idx="1">
                  <c:v>-22126</c:v>
                </c:pt>
                <c:pt idx="2">
                  <c:v>-22126</c:v>
                </c:pt>
                <c:pt idx="3">
                  <c:v>-22126</c:v>
                </c:pt>
                <c:pt idx="4">
                  <c:v>-22126</c:v>
                </c:pt>
                <c:pt idx="5">
                  <c:v>-72126</c:v>
                </c:pt>
                <c:pt idx="6">
                  <c:v>-22126</c:v>
                </c:pt>
                <c:pt idx="7">
                  <c:v>-22126</c:v>
                </c:pt>
                <c:pt idx="8">
                  <c:v>-22126</c:v>
                </c:pt>
                <c:pt idx="9">
                  <c:v>-22126</c:v>
                </c:pt>
                <c:pt idx="10">
                  <c:v>-22126</c:v>
                </c:pt>
                <c:pt idx="11">
                  <c:v>-72126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5-49CF-8710-01B108C292CD}"/>
            </c:ext>
          </c:extLst>
        </c:ser>
        <c:ser>
          <c:idx val="1"/>
          <c:order val="1"/>
          <c:tx>
            <c:strRef>
              <c:f>Hoja3!$B$23</c:f>
              <c:strCache>
                <c:ptCount val="1"/>
                <c:pt idx="0">
                  <c:v>Ingresos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Hoja3!$C$21:$N$21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Hoja3!$C$23:$N$23</c:f>
              <c:numCache>
                <c:formatCode>"$"#,##0</c:formatCode>
                <c:ptCount val="12"/>
                <c:pt idx="0">
                  <c:v>167200</c:v>
                </c:pt>
                <c:pt idx="1">
                  <c:v>167200</c:v>
                </c:pt>
                <c:pt idx="2">
                  <c:v>167200</c:v>
                </c:pt>
                <c:pt idx="3">
                  <c:v>167200</c:v>
                </c:pt>
                <c:pt idx="4">
                  <c:v>167200</c:v>
                </c:pt>
                <c:pt idx="5">
                  <c:v>167200</c:v>
                </c:pt>
                <c:pt idx="6">
                  <c:v>167200</c:v>
                </c:pt>
                <c:pt idx="7">
                  <c:v>167200</c:v>
                </c:pt>
                <c:pt idx="8">
                  <c:v>167200</c:v>
                </c:pt>
                <c:pt idx="9">
                  <c:v>167200</c:v>
                </c:pt>
                <c:pt idx="10">
                  <c:v>167200</c:v>
                </c:pt>
                <c:pt idx="11">
                  <c:v>167200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5-49CF-8710-01B108C29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2026384"/>
        <c:axId val="852028880"/>
      </c:barChart>
      <c:catAx>
        <c:axId val="85202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2028880"/>
        <c:crosses val="autoZero"/>
        <c:auto val="1"/>
        <c:lblAlgn val="ctr"/>
        <c:lblOffset val="100"/>
        <c:noMultiLvlLbl val="0"/>
      </c:catAx>
      <c:valAx>
        <c:axId val="8520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202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Año 2021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Hoja3!$B$28</c:f>
              <c:strCache>
                <c:ptCount val="1"/>
                <c:pt idx="0">
                  <c:v>Inversión - Egresos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Hoja3!$C$27:$N$27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Hoja3!$C$28:$N$28</c:f>
              <c:numCache>
                <c:formatCode>"$"#,##0</c:formatCode>
                <c:ptCount val="12"/>
                <c:pt idx="0">
                  <c:v>-22126</c:v>
                </c:pt>
                <c:pt idx="1">
                  <c:v>-22126</c:v>
                </c:pt>
                <c:pt idx="2">
                  <c:v>-22126</c:v>
                </c:pt>
                <c:pt idx="3">
                  <c:v>-22126</c:v>
                </c:pt>
                <c:pt idx="4">
                  <c:v>-22126</c:v>
                </c:pt>
                <c:pt idx="5">
                  <c:v>-82126</c:v>
                </c:pt>
                <c:pt idx="6">
                  <c:v>-22126</c:v>
                </c:pt>
                <c:pt idx="7">
                  <c:v>-22126</c:v>
                </c:pt>
                <c:pt idx="8">
                  <c:v>-22126</c:v>
                </c:pt>
                <c:pt idx="9">
                  <c:v>-22126</c:v>
                </c:pt>
                <c:pt idx="10">
                  <c:v>-22126</c:v>
                </c:pt>
                <c:pt idx="11">
                  <c:v>-82126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D-45D3-8067-3F14299CA2AC}"/>
            </c:ext>
          </c:extLst>
        </c:ser>
        <c:ser>
          <c:idx val="1"/>
          <c:order val="1"/>
          <c:tx>
            <c:strRef>
              <c:f>Hoja3!$B$29</c:f>
              <c:strCache>
                <c:ptCount val="1"/>
                <c:pt idx="0">
                  <c:v>Ingresos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Hoja3!$C$27:$N$27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Hoja3!$C$29:$N$29</c:f>
              <c:numCache>
                <c:formatCode>"$"#,##0</c:formatCode>
                <c:ptCount val="12"/>
                <c:pt idx="0">
                  <c:v>167200</c:v>
                </c:pt>
                <c:pt idx="1">
                  <c:v>167200</c:v>
                </c:pt>
                <c:pt idx="2">
                  <c:v>167200</c:v>
                </c:pt>
                <c:pt idx="3">
                  <c:v>167200</c:v>
                </c:pt>
                <c:pt idx="4">
                  <c:v>167200</c:v>
                </c:pt>
                <c:pt idx="5">
                  <c:v>167200</c:v>
                </c:pt>
                <c:pt idx="6">
                  <c:v>167200</c:v>
                </c:pt>
                <c:pt idx="7">
                  <c:v>167200</c:v>
                </c:pt>
                <c:pt idx="8">
                  <c:v>167200</c:v>
                </c:pt>
                <c:pt idx="9">
                  <c:v>167200</c:v>
                </c:pt>
                <c:pt idx="10">
                  <c:v>167200</c:v>
                </c:pt>
                <c:pt idx="11">
                  <c:v>167200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8D-45D3-8067-3F14299CA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4141184"/>
        <c:axId val="1964142016"/>
      </c:barChart>
      <c:catAx>
        <c:axId val="196414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4142016"/>
        <c:crosses val="autoZero"/>
        <c:auto val="1"/>
        <c:lblAlgn val="ctr"/>
        <c:lblOffset val="100"/>
        <c:noMultiLvlLbl val="0"/>
      </c:catAx>
      <c:valAx>
        <c:axId val="196414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414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Año 2022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Hoja3!$B$34</c:f>
              <c:strCache>
                <c:ptCount val="1"/>
                <c:pt idx="0">
                  <c:v>Inversión - Egresos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Hoja3!$C$33:$N$33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Hoja3!$C$34:$N$34</c:f>
              <c:numCache>
                <c:formatCode>"$"#,##0</c:formatCode>
                <c:ptCount val="12"/>
                <c:pt idx="0">
                  <c:v>-22126</c:v>
                </c:pt>
                <c:pt idx="1">
                  <c:v>-22126</c:v>
                </c:pt>
                <c:pt idx="2">
                  <c:v>-22126</c:v>
                </c:pt>
                <c:pt idx="3">
                  <c:v>-22126</c:v>
                </c:pt>
                <c:pt idx="4">
                  <c:v>-22126</c:v>
                </c:pt>
                <c:pt idx="5">
                  <c:v>-92126</c:v>
                </c:pt>
                <c:pt idx="6">
                  <c:v>-22126</c:v>
                </c:pt>
                <c:pt idx="7">
                  <c:v>-22126</c:v>
                </c:pt>
                <c:pt idx="8">
                  <c:v>-22126</c:v>
                </c:pt>
                <c:pt idx="9">
                  <c:v>-22126</c:v>
                </c:pt>
                <c:pt idx="10">
                  <c:v>-22126</c:v>
                </c:pt>
                <c:pt idx="11">
                  <c:v>-92126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B-4DB0-861D-8B158960B06D}"/>
            </c:ext>
          </c:extLst>
        </c:ser>
        <c:ser>
          <c:idx val="1"/>
          <c:order val="1"/>
          <c:tx>
            <c:strRef>
              <c:f>Hoja3!$B$35</c:f>
              <c:strCache>
                <c:ptCount val="1"/>
                <c:pt idx="0">
                  <c:v>Ingresos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Hoja3!$C$33:$N$33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Hoja3!$C$35:$N$35</c:f>
              <c:numCache>
                <c:formatCode>"$"#,##0</c:formatCode>
                <c:ptCount val="12"/>
                <c:pt idx="0">
                  <c:v>176000</c:v>
                </c:pt>
                <c:pt idx="1">
                  <c:v>176000</c:v>
                </c:pt>
                <c:pt idx="2">
                  <c:v>176000</c:v>
                </c:pt>
                <c:pt idx="3">
                  <c:v>176000</c:v>
                </c:pt>
                <c:pt idx="4">
                  <c:v>176000</c:v>
                </c:pt>
                <c:pt idx="5">
                  <c:v>176000</c:v>
                </c:pt>
                <c:pt idx="6">
                  <c:v>176000</c:v>
                </c:pt>
                <c:pt idx="7">
                  <c:v>176000</c:v>
                </c:pt>
                <c:pt idx="8">
                  <c:v>176000</c:v>
                </c:pt>
                <c:pt idx="9">
                  <c:v>176000</c:v>
                </c:pt>
                <c:pt idx="10">
                  <c:v>176000</c:v>
                </c:pt>
                <c:pt idx="11">
                  <c:v>176000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3B-4DB0-861D-8B158960B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814736"/>
        <c:axId val="766815152"/>
      </c:barChart>
      <c:catAx>
        <c:axId val="76681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66815152"/>
        <c:crosses val="autoZero"/>
        <c:auto val="1"/>
        <c:lblAlgn val="ctr"/>
        <c:lblOffset val="100"/>
        <c:noMultiLvlLbl val="0"/>
      </c:catAx>
      <c:valAx>
        <c:axId val="76681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6681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Año 2023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Hoja3!$B$40</c:f>
              <c:strCache>
                <c:ptCount val="1"/>
                <c:pt idx="0">
                  <c:v>Inversión - Egresos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Hoja3!$C$39:$N$39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Hoja3!$C$40:$N$40</c:f>
              <c:numCache>
                <c:formatCode>"$"#,##0</c:formatCode>
                <c:ptCount val="12"/>
                <c:pt idx="0">
                  <c:v>-22126</c:v>
                </c:pt>
                <c:pt idx="1">
                  <c:v>-22126</c:v>
                </c:pt>
                <c:pt idx="2">
                  <c:v>-22126</c:v>
                </c:pt>
                <c:pt idx="3">
                  <c:v>-22126</c:v>
                </c:pt>
                <c:pt idx="4">
                  <c:v>-22126</c:v>
                </c:pt>
                <c:pt idx="5">
                  <c:v>-92126</c:v>
                </c:pt>
                <c:pt idx="6">
                  <c:v>-22126</c:v>
                </c:pt>
                <c:pt idx="7">
                  <c:v>-22126</c:v>
                </c:pt>
                <c:pt idx="8">
                  <c:v>-22126</c:v>
                </c:pt>
                <c:pt idx="9">
                  <c:v>-22126</c:v>
                </c:pt>
                <c:pt idx="10">
                  <c:v>-22126</c:v>
                </c:pt>
                <c:pt idx="11">
                  <c:v>-92126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C-49CB-B2DF-DB091A6E8D5F}"/>
            </c:ext>
          </c:extLst>
        </c:ser>
        <c:ser>
          <c:idx val="1"/>
          <c:order val="1"/>
          <c:tx>
            <c:strRef>
              <c:f>Hoja3!$B$41</c:f>
              <c:strCache>
                <c:ptCount val="1"/>
                <c:pt idx="0">
                  <c:v>Ingresos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Hoja3!$C$39:$N$39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Hoja3!$C$41:$N$41</c:f>
              <c:numCache>
                <c:formatCode>"$"#,##0</c:formatCode>
                <c:ptCount val="12"/>
                <c:pt idx="0">
                  <c:v>193600</c:v>
                </c:pt>
                <c:pt idx="1">
                  <c:v>193600</c:v>
                </c:pt>
                <c:pt idx="2">
                  <c:v>193600</c:v>
                </c:pt>
                <c:pt idx="3">
                  <c:v>193600</c:v>
                </c:pt>
                <c:pt idx="4">
                  <c:v>193600</c:v>
                </c:pt>
                <c:pt idx="5">
                  <c:v>193600</c:v>
                </c:pt>
                <c:pt idx="6">
                  <c:v>193600</c:v>
                </c:pt>
                <c:pt idx="7">
                  <c:v>193600</c:v>
                </c:pt>
                <c:pt idx="8">
                  <c:v>193600</c:v>
                </c:pt>
                <c:pt idx="9">
                  <c:v>193600</c:v>
                </c:pt>
                <c:pt idx="10">
                  <c:v>193600</c:v>
                </c:pt>
                <c:pt idx="11">
                  <c:v>193600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6C-49CB-B2DF-DB091A6E8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639376"/>
        <c:axId val="523636880"/>
      </c:barChart>
      <c:catAx>
        <c:axId val="52363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636880"/>
        <c:crosses val="autoZero"/>
        <c:auto val="1"/>
        <c:lblAlgn val="ctr"/>
        <c:lblOffset val="100"/>
        <c:noMultiLvlLbl val="0"/>
      </c:catAx>
      <c:valAx>
        <c:axId val="52363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63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Año 2024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Hoja3!$B$46</c:f>
              <c:strCache>
                <c:ptCount val="1"/>
                <c:pt idx="0">
                  <c:v>Inversión - Egresos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Hoja3!$C$45:$N$45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Hoja3!$C$46:$N$46</c:f>
              <c:numCache>
                <c:formatCode>"$"#,##0</c:formatCode>
                <c:ptCount val="12"/>
                <c:pt idx="0">
                  <c:v>-22126</c:v>
                </c:pt>
                <c:pt idx="1">
                  <c:v>-22126</c:v>
                </c:pt>
                <c:pt idx="2">
                  <c:v>-22126</c:v>
                </c:pt>
                <c:pt idx="3">
                  <c:v>-22126</c:v>
                </c:pt>
                <c:pt idx="4">
                  <c:v>-22126</c:v>
                </c:pt>
                <c:pt idx="5">
                  <c:v>-97126</c:v>
                </c:pt>
                <c:pt idx="6">
                  <c:v>-22126</c:v>
                </c:pt>
                <c:pt idx="7">
                  <c:v>-22126</c:v>
                </c:pt>
                <c:pt idx="8">
                  <c:v>-22126</c:v>
                </c:pt>
                <c:pt idx="9">
                  <c:v>-22126</c:v>
                </c:pt>
                <c:pt idx="10">
                  <c:v>-22126</c:v>
                </c:pt>
                <c:pt idx="11">
                  <c:v>-97126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2-4E15-B421-134BF35E7089}"/>
            </c:ext>
          </c:extLst>
        </c:ser>
        <c:ser>
          <c:idx val="1"/>
          <c:order val="1"/>
          <c:tx>
            <c:strRef>
              <c:f>Hoja3!$B$47</c:f>
              <c:strCache>
                <c:ptCount val="1"/>
                <c:pt idx="0">
                  <c:v>Ingresos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Hoja3!$C$45:$N$45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Hoja3!$C$47:$N$47</c:f>
              <c:numCache>
                <c:formatCode>"$"#,##0</c:formatCode>
                <c:ptCount val="12"/>
                <c:pt idx="0">
                  <c:v>202400</c:v>
                </c:pt>
                <c:pt idx="1">
                  <c:v>202400</c:v>
                </c:pt>
                <c:pt idx="2">
                  <c:v>202400</c:v>
                </c:pt>
                <c:pt idx="3">
                  <c:v>202400</c:v>
                </c:pt>
                <c:pt idx="4">
                  <c:v>202400</c:v>
                </c:pt>
                <c:pt idx="5">
                  <c:v>202400</c:v>
                </c:pt>
                <c:pt idx="6">
                  <c:v>202400</c:v>
                </c:pt>
                <c:pt idx="7">
                  <c:v>202400</c:v>
                </c:pt>
                <c:pt idx="8">
                  <c:v>202400</c:v>
                </c:pt>
                <c:pt idx="9">
                  <c:v>211200</c:v>
                </c:pt>
                <c:pt idx="10">
                  <c:v>211200</c:v>
                </c:pt>
                <c:pt idx="11">
                  <c:v>211200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42-4E15-B421-134BF35E7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264784"/>
        <c:axId val="422263536"/>
      </c:barChart>
      <c:catAx>
        <c:axId val="42226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2263536"/>
        <c:crosses val="autoZero"/>
        <c:auto val="1"/>
        <c:lblAlgn val="ctr"/>
        <c:lblOffset val="100"/>
        <c:noMultiLvlLbl val="0"/>
      </c:catAx>
      <c:valAx>
        <c:axId val="42226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226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Año 2025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Hoja3!$B$52</c:f>
              <c:strCache>
                <c:ptCount val="1"/>
                <c:pt idx="0">
                  <c:v>Inversión - Egresos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Hoja3!$C$51:$N$51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Hoja3!$C$52:$N$52</c:f>
              <c:numCache>
                <c:formatCode>"$"#,##0</c:formatCode>
                <c:ptCount val="12"/>
                <c:pt idx="0">
                  <c:v>-22126</c:v>
                </c:pt>
                <c:pt idx="1">
                  <c:v>-22126</c:v>
                </c:pt>
                <c:pt idx="2">
                  <c:v>-22126</c:v>
                </c:pt>
                <c:pt idx="3">
                  <c:v>-97126</c:v>
                </c:pt>
                <c:pt idx="4">
                  <c:v>-22126</c:v>
                </c:pt>
                <c:pt idx="5">
                  <c:v>-22126</c:v>
                </c:pt>
                <c:pt idx="6">
                  <c:v>-22126</c:v>
                </c:pt>
                <c:pt idx="7">
                  <c:v>-97126</c:v>
                </c:pt>
                <c:pt idx="8">
                  <c:v>-22126</c:v>
                </c:pt>
                <c:pt idx="9">
                  <c:v>-22126</c:v>
                </c:pt>
                <c:pt idx="10">
                  <c:v>-22126</c:v>
                </c:pt>
                <c:pt idx="11">
                  <c:v>-97126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7-48A7-907A-4887B5C3BD2D}"/>
            </c:ext>
          </c:extLst>
        </c:ser>
        <c:ser>
          <c:idx val="1"/>
          <c:order val="1"/>
          <c:tx>
            <c:strRef>
              <c:f>Hoja3!$B$53</c:f>
              <c:strCache>
                <c:ptCount val="1"/>
                <c:pt idx="0">
                  <c:v>Ingresos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Hoja3!$C$51:$N$51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Hoja3!$C$53:$N$53</c:f>
              <c:numCache>
                <c:formatCode>"$"#,##0</c:formatCode>
                <c:ptCount val="12"/>
                <c:pt idx="0">
                  <c:v>220000</c:v>
                </c:pt>
                <c:pt idx="1">
                  <c:v>220000</c:v>
                </c:pt>
                <c:pt idx="2">
                  <c:v>220000</c:v>
                </c:pt>
                <c:pt idx="3">
                  <c:v>220000</c:v>
                </c:pt>
                <c:pt idx="4">
                  <c:v>220000</c:v>
                </c:pt>
                <c:pt idx="5">
                  <c:v>220000</c:v>
                </c:pt>
                <c:pt idx="6">
                  <c:v>220000</c:v>
                </c:pt>
                <c:pt idx="7">
                  <c:v>220000</c:v>
                </c:pt>
                <c:pt idx="8">
                  <c:v>220000</c:v>
                </c:pt>
                <c:pt idx="9">
                  <c:v>220000</c:v>
                </c:pt>
                <c:pt idx="10">
                  <c:v>220000</c:v>
                </c:pt>
                <c:pt idx="11">
                  <c:v>220000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77-48A7-907A-4887B5C3B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561664"/>
        <c:axId val="433562080"/>
      </c:barChart>
      <c:catAx>
        <c:axId val="43356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3562080"/>
        <c:crosses val="autoZero"/>
        <c:auto val="1"/>
        <c:lblAlgn val="ctr"/>
        <c:lblOffset val="100"/>
        <c:noMultiLvlLbl val="0"/>
      </c:catAx>
      <c:valAx>
        <c:axId val="4335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356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Año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Hoja1!$B$28</c:f>
              <c:strCache>
                <c:ptCount val="1"/>
                <c:pt idx="0">
                  <c:v>Inversión - Egresos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Hoja1!$C$27:$N$27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Hoja1!$C$28:$N$28</c:f>
              <c:numCache>
                <c:formatCode>"$"#,##0</c:formatCode>
                <c:ptCount val="12"/>
                <c:pt idx="0">
                  <c:v>-698917</c:v>
                </c:pt>
                <c:pt idx="1">
                  <c:v>-98917</c:v>
                </c:pt>
                <c:pt idx="2">
                  <c:v>-78917</c:v>
                </c:pt>
                <c:pt idx="3">
                  <c:v>-163917</c:v>
                </c:pt>
                <c:pt idx="4">
                  <c:v>-78917</c:v>
                </c:pt>
                <c:pt idx="5">
                  <c:v>-58917</c:v>
                </c:pt>
                <c:pt idx="6">
                  <c:v>-78917</c:v>
                </c:pt>
                <c:pt idx="7">
                  <c:v>-78917</c:v>
                </c:pt>
                <c:pt idx="8">
                  <c:v>-58917</c:v>
                </c:pt>
                <c:pt idx="9">
                  <c:v>-178917</c:v>
                </c:pt>
                <c:pt idx="10">
                  <c:v>-78917</c:v>
                </c:pt>
                <c:pt idx="11">
                  <c:v>-58917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C-42AE-BE59-C984CCDCE401}"/>
            </c:ext>
          </c:extLst>
        </c:ser>
        <c:ser>
          <c:idx val="1"/>
          <c:order val="1"/>
          <c:tx>
            <c:strRef>
              <c:f>Hoja1!$B$29</c:f>
              <c:strCache>
                <c:ptCount val="1"/>
                <c:pt idx="0">
                  <c:v>Ingresos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Hoja1!$C$27:$N$27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Hoja1!$C$29:$N$29</c:f>
              <c:numCache>
                <c:formatCode>"$"#,##0</c:formatCode>
                <c:ptCount val="12"/>
                <c:pt idx="0">
                  <c:v>167200</c:v>
                </c:pt>
                <c:pt idx="1">
                  <c:v>167200</c:v>
                </c:pt>
                <c:pt idx="2">
                  <c:v>167200</c:v>
                </c:pt>
                <c:pt idx="3">
                  <c:v>167200</c:v>
                </c:pt>
                <c:pt idx="4">
                  <c:v>167200</c:v>
                </c:pt>
                <c:pt idx="5">
                  <c:v>167200</c:v>
                </c:pt>
                <c:pt idx="6">
                  <c:v>167200</c:v>
                </c:pt>
                <c:pt idx="7">
                  <c:v>167200</c:v>
                </c:pt>
                <c:pt idx="8">
                  <c:v>167200</c:v>
                </c:pt>
                <c:pt idx="9">
                  <c:v>167200</c:v>
                </c:pt>
                <c:pt idx="10">
                  <c:v>167200</c:v>
                </c:pt>
                <c:pt idx="11">
                  <c:v>167200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CC-42AE-BE59-C984CCDCE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080128"/>
        <c:axId val="771077632"/>
      </c:barChart>
      <c:catAx>
        <c:axId val="77108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71077632"/>
        <c:crosses val="autoZero"/>
        <c:auto val="1"/>
        <c:lblAlgn val="ctr"/>
        <c:lblOffset val="100"/>
        <c:noMultiLvlLbl val="0"/>
      </c:catAx>
      <c:valAx>
        <c:axId val="77107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7108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Año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Hoja1!$B$34</c:f>
              <c:strCache>
                <c:ptCount val="1"/>
                <c:pt idx="0">
                  <c:v>Inversión - Egresos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Hoja1!$C$33:$N$33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Hoja1!$C$34:$N$34</c:f>
              <c:numCache>
                <c:formatCode>"$"#,##0</c:formatCode>
                <c:ptCount val="12"/>
                <c:pt idx="0">
                  <c:v>-708917</c:v>
                </c:pt>
                <c:pt idx="1">
                  <c:v>-98917</c:v>
                </c:pt>
                <c:pt idx="2">
                  <c:v>-78917</c:v>
                </c:pt>
                <c:pt idx="3">
                  <c:v>-163917</c:v>
                </c:pt>
                <c:pt idx="4">
                  <c:v>-78917</c:v>
                </c:pt>
                <c:pt idx="5">
                  <c:v>-58917</c:v>
                </c:pt>
                <c:pt idx="6">
                  <c:v>-78917</c:v>
                </c:pt>
                <c:pt idx="7">
                  <c:v>-78917</c:v>
                </c:pt>
                <c:pt idx="8">
                  <c:v>-58917</c:v>
                </c:pt>
                <c:pt idx="9">
                  <c:v>-178917</c:v>
                </c:pt>
                <c:pt idx="10">
                  <c:v>-78917</c:v>
                </c:pt>
                <c:pt idx="11">
                  <c:v>-58917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E-4E08-9869-EB12EEEDC6A0}"/>
            </c:ext>
          </c:extLst>
        </c:ser>
        <c:ser>
          <c:idx val="1"/>
          <c:order val="1"/>
          <c:tx>
            <c:strRef>
              <c:f>Hoja1!$B$35</c:f>
              <c:strCache>
                <c:ptCount val="1"/>
                <c:pt idx="0">
                  <c:v>Ingresos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Hoja1!$C$33:$N$33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Hoja1!$C$35:$N$35</c:f>
              <c:numCache>
                <c:formatCode>"$"#,##0</c:formatCode>
                <c:ptCount val="12"/>
                <c:pt idx="0">
                  <c:v>176000</c:v>
                </c:pt>
                <c:pt idx="1">
                  <c:v>176000</c:v>
                </c:pt>
                <c:pt idx="2">
                  <c:v>176000</c:v>
                </c:pt>
                <c:pt idx="3">
                  <c:v>176000</c:v>
                </c:pt>
                <c:pt idx="4">
                  <c:v>176000</c:v>
                </c:pt>
                <c:pt idx="5">
                  <c:v>176000</c:v>
                </c:pt>
                <c:pt idx="6">
                  <c:v>176000</c:v>
                </c:pt>
                <c:pt idx="7">
                  <c:v>176000</c:v>
                </c:pt>
                <c:pt idx="8">
                  <c:v>176000</c:v>
                </c:pt>
                <c:pt idx="9">
                  <c:v>176000</c:v>
                </c:pt>
                <c:pt idx="10">
                  <c:v>176000</c:v>
                </c:pt>
                <c:pt idx="11">
                  <c:v>176000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CE-4E08-9869-EB12EEEDC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727184"/>
        <c:axId val="639725104"/>
      </c:barChart>
      <c:catAx>
        <c:axId val="63972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9725104"/>
        <c:crosses val="autoZero"/>
        <c:auto val="1"/>
        <c:lblAlgn val="ctr"/>
        <c:lblOffset val="100"/>
        <c:noMultiLvlLbl val="0"/>
      </c:catAx>
      <c:valAx>
        <c:axId val="63972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972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Año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Hoja1!$B$40</c:f>
              <c:strCache>
                <c:ptCount val="1"/>
                <c:pt idx="0">
                  <c:v>Inversión - Egresos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Hoja1!$C$39:$N$39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Hoja1!$C$40:$N$40</c:f>
              <c:numCache>
                <c:formatCode>"$"#,##0</c:formatCode>
                <c:ptCount val="12"/>
                <c:pt idx="0">
                  <c:v>-558917</c:v>
                </c:pt>
                <c:pt idx="1">
                  <c:v>-98917</c:v>
                </c:pt>
                <c:pt idx="2">
                  <c:v>-78917</c:v>
                </c:pt>
                <c:pt idx="3">
                  <c:v>-163917</c:v>
                </c:pt>
                <c:pt idx="4">
                  <c:v>-78917</c:v>
                </c:pt>
                <c:pt idx="5">
                  <c:v>-58917</c:v>
                </c:pt>
                <c:pt idx="6">
                  <c:v>-78917</c:v>
                </c:pt>
                <c:pt idx="7">
                  <c:v>-78917</c:v>
                </c:pt>
                <c:pt idx="8">
                  <c:v>-58917</c:v>
                </c:pt>
                <c:pt idx="9">
                  <c:v>-178917</c:v>
                </c:pt>
                <c:pt idx="10">
                  <c:v>-78917</c:v>
                </c:pt>
                <c:pt idx="11">
                  <c:v>-58917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F-422B-82BA-435DF1A435B3}"/>
            </c:ext>
          </c:extLst>
        </c:ser>
        <c:ser>
          <c:idx val="1"/>
          <c:order val="1"/>
          <c:tx>
            <c:strRef>
              <c:f>Hoja1!$B$41</c:f>
              <c:strCache>
                <c:ptCount val="1"/>
                <c:pt idx="0">
                  <c:v>Ingresos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Hoja1!$C$39:$N$39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Hoja1!$C$41:$N$41</c:f>
              <c:numCache>
                <c:formatCode>"$"#,##0</c:formatCode>
                <c:ptCount val="12"/>
                <c:pt idx="0">
                  <c:v>193600</c:v>
                </c:pt>
                <c:pt idx="1">
                  <c:v>193600</c:v>
                </c:pt>
                <c:pt idx="2">
                  <c:v>193600</c:v>
                </c:pt>
                <c:pt idx="3">
                  <c:v>193600</c:v>
                </c:pt>
                <c:pt idx="4">
                  <c:v>193600</c:v>
                </c:pt>
                <c:pt idx="5">
                  <c:v>193600</c:v>
                </c:pt>
                <c:pt idx="6">
                  <c:v>193600</c:v>
                </c:pt>
                <c:pt idx="7">
                  <c:v>193600</c:v>
                </c:pt>
                <c:pt idx="8">
                  <c:v>193600</c:v>
                </c:pt>
                <c:pt idx="9">
                  <c:v>193600</c:v>
                </c:pt>
                <c:pt idx="10">
                  <c:v>193600</c:v>
                </c:pt>
                <c:pt idx="11">
                  <c:v>193600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F-422B-82BA-435DF1A43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492304"/>
        <c:axId val="758494800"/>
      </c:barChart>
      <c:catAx>
        <c:axId val="75849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8494800"/>
        <c:crosses val="autoZero"/>
        <c:auto val="1"/>
        <c:lblAlgn val="ctr"/>
        <c:lblOffset val="100"/>
        <c:noMultiLvlLbl val="0"/>
      </c:catAx>
      <c:valAx>
        <c:axId val="75849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849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Año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Hoja1!$B$46</c:f>
              <c:strCache>
                <c:ptCount val="1"/>
                <c:pt idx="0">
                  <c:v>Inversión - Egresos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Hoja1!$C$45:$N$45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Hoja1!$C$46:$N$46</c:f>
              <c:numCache>
                <c:formatCode>"$"#,##0</c:formatCode>
                <c:ptCount val="12"/>
                <c:pt idx="0">
                  <c:v>-558917</c:v>
                </c:pt>
                <c:pt idx="1">
                  <c:v>-98917</c:v>
                </c:pt>
                <c:pt idx="2">
                  <c:v>-78917</c:v>
                </c:pt>
                <c:pt idx="3">
                  <c:v>-163917</c:v>
                </c:pt>
                <c:pt idx="4">
                  <c:v>-78917</c:v>
                </c:pt>
                <c:pt idx="5">
                  <c:v>-58917</c:v>
                </c:pt>
                <c:pt idx="6">
                  <c:v>-78917</c:v>
                </c:pt>
                <c:pt idx="7">
                  <c:v>-78917</c:v>
                </c:pt>
                <c:pt idx="8">
                  <c:v>-58917</c:v>
                </c:pt>
                <c:pt idx="9">
                  <c:v>-178917</c:v>
                </c:pt>
                <c:pt idx="10">
                  <c:v>-78917</c:v>
                </c:pt>
                <c:pt idx="11">
                  <c:v>-58917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B1-4DDB-8D00-6A4870387822}"/>
            </c:ext>
          </c:extLst>
        </c:ser>
        <c:ser>
          <c:idx val="1"/>
          <c:order val="1"/>
          <c:tx>
            <c:strRef>
              <c:f>Hoja1!$B$47</c:f>
              <c:strCache>
                <c:ptCount val="1"/>
                <c:pt idx="0">
                  <c:v>Ingresos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Hoja1!$C$45:$N$45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Hoja1!$C$47:$N$47</c:f>
              <c:numCache>
                <c:formatCode>"$"#,##0</c:formatCode>
                <c:ptCount val="12"/>
                <c:pt idx="0">
                  <c:v>202400</c:v>
                </c:pt>
                <c:pt idx="1">
                  <c:v>202400</c:v>
                </c:pt>
                <c:pt idx="2">
                  <c:v>202400</c:v>
                </c:pt>
                <c:pt idx="3">
                  <c:v>202400</c:v>
                </c:pt>
                <c:pt idx="4">
                  <c:v>202400</c:v>
                </c:pt>
                <c:pt idx="5">
                  <c:v>202400</c:v>
                </c:pt>
                <c:pt idx="6">
                  <c:v>202400</c:v>
                </c:pt>
                <c:pt idx="7">
                  <c:v>202400</c:v>
                </c:pt>
                <c:pt idx="8">
                  <c:v>202400</c:v>
                </c:pt>
                <c:pt idx="9">
                  <c:v>211200</c:v>
                </c:pt>
                <c:pt idx="10">
                  <c:v>211200</c:v>
                </c:pt>
                <c:pt idx="11">
                  <c:v>211200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B1-4DDB-8D00-6A4870387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095024"/>
        <c:axId val="841093776"/>
      </c:barChart>
      <c:catAx>
        <c:axId val="84109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1093776"/>
        <c:crosses val="autoZero"/>
        <c:auto val="0"/>
        <c:lblAlgn val="ctr"/>
        <c:lblOffset val="100"/>
        <c:noMultiLvlLbl val="0"/>
      </c:catAx>
      <c:valAx>
        <c:axId val="84109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109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Año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Hoja1!$B$52</c:f>
              <c:strCache>
                <c:ptCount val="1"/>
                <c:pt idx="0">
                  <c:v>Inversión - Egresos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Hoja1!$C$51:$N$51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Hoja1!$C$52:$N$52</c:f>
              <c:numCache>
                <c:formatCode>"$"#,##0</c:formatCode>
                <c:ptCount val="12"/>
                <c:pt idx="0">
                  <c:v>-558917</c:v>
                </c:pt>
                <c:pt idx="1">
                  <c:v>-98917</c:v>
                </c:pt>
                <c:pt idx="2">
                  <c:v>-78917</c:v>
                </c:pt>
                <c:pt idx="3">
                  <c:v>-163917</c:v>
                </c:pt>
                <c:pt idx="4">
                  <c:v>-78917</c:v>
                </c:pt>
                <c:pt idx="5">
                  <c:v>-58917</c:v>
                </c:pt>
                <c:pt idx="6">
                  <c:v>-78917</c:v>
                </c:pt>
                <c:pt idx="7">
                  <c:v>-78917</c:v>
                </c:pt>
                <c:pt idx="8">
                  <c:v>-58917</c:v>
                </c:pt>
                <c:pt idx="9">
                  <c:v>-178917</c:v>
                </c:pt>
                <c:pt idx="10">
                  <c:v>-78917</c:v>
                </c:pt>
                <c:pt idx="11">
                  <c:v>-58917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A-4F8B-85F9-24A271789BBA}"/>
            </c:ext>
          </c:extLst>
        </c:ser>
        <c:ser>
          <c:idx val="1"/>
          <c:order val="1"/>
          <c:tx>
            <c:strRef>
              <c:f>Hoja1!$B$53</c:f>
              <c:strCache>
                <c:ptCount val="1"/>
                <c:pt idx="0">
                  <c:v>Ingresos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Hoja1!$C$51:$N$51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Hoja1!$C$53:$N$53</c:f>
              <c:numCache>
                <c:formatCode>"$"#,##0</c:formatCode>
                <c:ptCount val="12"/>
                <c:pt idx="0">
                  <c:v>220000</c:v>
                </c:pt>
                <c:pt idx="1">
                  <c:v>220000</c:v>
                </c:pt>
                <c:pt idx="2">
                  <c:v>220000</c:v>
                </c:pt>
                <c:pt idx="3">
                  <c:v>220000</c:v>
                </c:pt>
                <c:pt idx="4">
                  <c:v>220000</c:v>
                </c:pt>
                <c:pt idx="5">
                  <c:v>220000</c:v>
                </c:pt>
                <c:pt idx="6">
                  <c:v>220000</c:v>
                </c:pt>
                <c:pt idx="7">
                  <c:v>220000</c:v>
                </c:pt>
                <c:pt idx="8">
                  <c:v>220000</c:v>
                </c:pt>
                <c:pt idx="9">
                  <c:v>220000</c:v>
                </c:pt>
                <c:pt idx="10">
                  <c:v>220000</c:v>
                </c:pt>
                <c:pt idx="11">
                  <c:v>220000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0A-4F8B-85F9-24A271789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964752"/>
        <c:axId val="645965584"/>
      </c:barChart>
      <c:catAx>
        <c:axId val="64596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5965584"/>
        <c:crosses val="autoZero"/>
        <c:auto val="1"/>
        <c:lblAlgn val="ctr"/>
        <c:lblOffset val="100"/>
        <c:noMultiLvlLbl val="0"/>
      </c:catAx>
      <c:valAx>
        <c:axId val="6459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596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Año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Hoja2!$B$21</c:f>
              <c:strCache>
                <c:ptCount val="1"/>
                <c:pt idx="0">
                  <c:v>Inversión - Egresos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Hoja2!$C$20:$N$20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Hoja2!$C$21:$N$21</c:f>
              <c:numCache>
                <c:formatCode>"$"#,##0</c:formatCode>
                <c:ptCount val="12"/>
                <c:pt idx="0">
                  <c:v>-167200</c:v>
                </c:pt>
                <c:pt idx="1">
                  <c:v>-167200</c:v>
                </c:pt>
                <c:pt idx="2">
                  <c:v>-167200</c:v>
                </c:pt>
                <c:pt idx="3">
                  <c:v>-167200</c:v>
                </c:pt>
                <c:pt idx="4">
                  <c:v>-167200</c:v>
                </c:pt>
                <c:pt idx="5">
                  <c:v>-167200</c:v>
                </c:pt>
                <c:pt idx="6">
                  <c:v>-167200</c:v>
                </c:pt>
                <c:pt idx="7">
                  <c:v>-167200</c:v>
                </c:pt>
                <c:pt idx="8">
                  <c:v>-167200</c:v>
                </c:pt>
                <c:pt idx="9">
                  <c:v>-167200</c:v>
                </c:pt>
                <c:pt idx="10">
                  <c:v>-167200</c:v>
                </c:pt>
                <c:pt idx="11">
                  <c:v>-167200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8-4E85-A8AB-9D0CC6F859B3}"/>
            </c:ext>
          </c:extLst>
        </c:ser>
        <c:ser>
          <c:idx val="1"/>
          <c:order val="1"/>
          <c:tx>
            <c:strRef>
              <c:f>Hoja2!$B$22</c:f>
              <c:strCache>
                <c:ptCount val="1"/>
                <c:pt idx="0">
                  <c:v>Ingresos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Hoja2!$C$20:$N$20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Hoja2!$C$22:$N$22</c:f>
              <c:numCache>
                <c:formatCode>"$"#,##0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78-4E85-A8AB-9D0CC6F85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492880"/>
        <c:axId val="422494960"/>
      </c:barChart>
      <c:catAx>
        <c:axId val="42249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2494960"/>
        <c:crosses val="autoZero"/>
        <c:auto val="1"/>
        <c:lblAlgn val="ctr"/>
        <c:lblOffset val="100"/>
        <c:noMultiLvlLbl val="0"/>
      </c:catAx>
      <c:valAx>
        <c:axId val="42249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249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Año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Hoja2!$B$27</c:f>
              <c:strCache>
                <c:ptCount val="1"/>
                <c:pt idx="0">
                  <c:v>Inversión - Egresos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Hoja2!$C$26:$N$26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Hoja2!$C$27:$N$27</c:f>
              <c:numCache>
                <c:formatCode>"$"#,##0</c:formatCode>
                <c:ptCount val="12"/>
                <c:pt idx="0">
                  <c:v>-167200</c:v>
                </c:pt>
                <c:pt idx="1">
                  <c:v>-167200</c:v>
                </c:pt>
                <c:pt idx="2">
                  <c:v>-167200</c:v>
                </c:pt>
                <c:pt idx="3">
                  <c:v>-167200</c:v>
                </c:pt>
                <c:pt idx="4">
                  <c:v>-167200</c:v>
                </c:pt>
                <c:pt idx="5">
                  <c:v>-167200</c:v>
                </c:pt>
                <c:pt idx="6">
                  <c:v>-167200</c:v>
                </c:pt>
                <c:pt idx="7">
                  <c:v>-167200</c:v>
                </c:pt>
                <c:pt idx="8">
                  <c:v>-167200</c:v>
                </c:pt>
                <c:pt idx="9">
                  <c:v>-167200</c:v>
                </c:pt>
                <c:pt idx="10">
                  <c:v>-167200</c:v>
                </c:pt>
                <c:pt idx="11">
                  <c:v>-167200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F-4F1A-9418-3728A5D8D9AA}"/>
            </c:ext>
          </c:extLst>
        </c:ser>
        <c:ser>
          <c:idx val="1"/>
          <c:order val="1"/>
          <c:tx>
            <c:strRef>
              <c:f>Hoja2!$B$28</c:f>
              <c:strCache>
                <c:ptCount val="1"/>
                <c:pt idx="0">
                  <c:v>Ingresos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Hoja2!$C$26:$N$26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Hoja2!$C$28:$N$28</c:f>
              <c:numCache>
                <c:formatCode>"$"#,##0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AF-4F1A-9418-3728A5D8D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8569840"/>
        <c:axId val="838574000"/>
      </c:barChart>
      <c:catAx>
        <c:axId val="83856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8574000"/>
        <c:crosses val="autoZero"/>
        <c:auto val="1"/>
        <c:lblAlgn val="ctr"/>
        <c:lblOffset val="100"/>
        <c:noMultiLvlLbl val="0"/>
      </c:catAx>
      <c:valAx>
        <c:axId val="8385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856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Año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Hoja2!$B$33</c:f>
              <c:strCache>
                <c:ptCount val="1"/>
                <c:pt idx="0">
                  <c:v>Inversión - Egresos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Hoja2!$C$32:$N$32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Hoja2!$C$33:$N$33</c:f>
              <c:numCache>
                <c:formatCode>"$"#,##0</c:formatCode>
                <c:ptCount val="12"/>
                <c:pt idx="0">
                  <c:v>-176000</c:v>
                </c:pt>
                <c:pt idx="1">
                  <c:v>-176000</c:v>
                </c:pt>
                <c:pt idx="2">
                  <c:v>-176000</c:v>
                </c:pt>
                <c:pt idx="3">
                  <c:v>-176000</c:v>
                </c:pt>
                <c:pt idx="4">
                  <c:v>-176000</c:v>
                </c:pt>
                <c:pt idx="5">
                  <c:v>-176000</c:v>
                </c:pt>
                <c:pt idx="6">
                  <c:v>-176000</c:v>
                </c:pt>
                <c:pt idx="7">
                  <c:v>-176000</c:v>
                </c:pt>
                <c:pt idx="8">
                  <c:v>-176000</c:v>
                </c:pt>
                <c:pt idx="9">
                  <c:v>-176000</c:v>
                </c:pt>
                <c:pt idx="10">
                  <c:v>-176000</c:v>
                </c:pt>
                <c:pt idx="11">
                  <c:v>-176000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6-4459-96B5-5602C8CE08E0}"/>
            </c:ext>
          </c:extLst>
        </c:ser>
        <c:ser>
          <c:idx val="1"/>
          <c:order val="1"/>
          <c:tx>
            <c:strRef>
              <c:f>Hoja2!$B$34</c:f>
              <c:strCache>
                <c:ptCount val="1"/>
                <c:pt idx="0">
                  <c:v>Ingresos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Hoja2!$C$32:$N$32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Hoja2!$C$34:$N$34</c:f>
              <c:numCache>
                <c:formatCode>"$"#,##0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66-4459-96B5-5602C8CE0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506864"/>
        <c:axId val="758496048"/>
      </c:barChart>
      <c:catAx>
        <c:axId val="75850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8496048"/>
        <c:crosses val="autoZero"/>
        <c:auto val="1"/>
        <c:lblAlgn val="ctr"/>
        <c:lblOffset val="100"/>
        <c:noMultiLvlLbl val="0"/>
      </c:catAx>
      <c:valAx>
        <c:axId val="75849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850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82571</xdr:colOff>
      <xdr:row>3</xdr:row>
      <xdr:rowOff>103909</xdr:rowOff>
    </xdr:from>
    <xdr:to>
      <xdr:col>23</xdr:col>
      <xdr:colOff>225137</xdr:colOff>
      <xdr:row>17</xdr:row>
      <xdr:rowOff>173182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598615-4611-45F3-A48D-DA9A47441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54119</xdr:colOff>
      <xdr:row>3</xdr:row>
      <xdr:rowOff>205436</xdr:rowOff>
    </xdr:from>
    <xdr:to>
      <xdr:col>29</xdr:col>
      <xdr:colOff>346434</xdr:colOff>
      <xdr:row>17</xdr:row>
      <xdr:rowOff>3750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AAC9FDA-7563-498D-9A5B-E4C24F6AD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208900</xdr:colOff>
      <xdr:row>19</xdr:row>
      <xdr:rowOff>12771</xdr:rowOff>
    </xdr:from>
    <xdr:to>
      <xdr:col>22</xdr:col>
      <xdr:colOff>501215</xdr:colOff>
      <xdr:row>32</xdr:row>
      <xdr:rowOff>18902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101BCB1-547F-402E-9159-8203D1746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55200</xdr:colOff>
      <xdr:row>19</xdr:row>
      <xdr:rowOff>198943</xdr:rowOff>
    </xdr:from>
    <xdr:to>
      <xdr:col>29</xdr:col>
      <xdr:colOff>347515</xdr:colOff>
      <xdr:row>32</xdr:row>
      <xdr:rowOff>205074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91DCE82-3209-414E-AB60-5A4C8B3FB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602887</xdr:colOff>
      <xdr:row>33</xdr:row>
      <xdr:rowOff>27926</xdr:rowOff>
    </xdr:from>
    <xdr:to>
      <xdr:col>22</xdr:col>
      <xdr:colOff>133202</xdr:colOff>
      <xdr:row>45</xdr:row>
      <xdr:rowOff>81814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5FECFDD-DECB-4E05-9C38-E9D4EE39A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501143</xdr:colOff>
      <xdr:row>32</xdr:row>
      <xdr:rowOff>164305</xdr:rowOff>
    </xdr:from>
    <xdr:to>
      <xdr:col>30</xdr:col>
      <xdr:colOff>31458</xdr:colOff>
      <xdr:row>45</xdr:row>
      <xdr:rowOff>170437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D97D97B-21FF-4B33-92D9-14B0396A9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536863</xdr:colOff>
      <xdr:row>2</xdr:row>
      <xdr:rowOff>91786</xdr:rowOff>
    </xdr:from>
    <xdr:to>
      <xdr:col>21</xdr:col>
      <xdr:colOff>536863</xdr:colOff>
      <xdr:row>15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29D264-749E-4665-B08D-24F077AF9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216476</xdr:colOff>
      <xdr:row>2</xdr:row>
      <xdr:rowOff>74469</xdr:rowOff>
    </xdr:from>
    <xdr:to>
      <xdr:col>28</xdr:col>
      <xdr:colOff>216476</xdr:colOff>
      <xdr:row>15</xdr:row>
      <xdr:rowOff>116032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427CBAD-B13D-49F0-A9FD-039729B0F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207817</xdr:colOff>
      <xdr:row>19</xdr:row>
      <xdr:rowOff>39831</xdr:rowOff>
    </xdr:from>
    <xdr:to>
      <xdr:col>22</xdr:col>
      <xdr:colOff>207817</xdr:colOff>
      <xdr:row>32</xdr:row>
      <xdr:rowOff>81394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09166E4-CA41-40FF-8FF1-D74E70AF4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623454</xdr:colOff>
      <xdr:row>18</xdr:row>
      <xdr:rowOff>109104</xdr:rowOff>
    </xdr:from>
    <xdr:to>
      <xdr:col>28</xdr:col>
      <xdr:colOff>623454</xdr:colOff>
      <xdr:row>31</xdr:row>
      <xdr:rowOff>150667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716F615-47FE-4398-9A6B-572D83394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147203</xdr:colOff>
      <xdr:row>35</xdr:row>
      <xdr:rowOff>74469</xdr:rowOff>
    </xdr:from>
    <xdr:to>
      <xdr:col>22</xdr:col>
      <xdr:colOff>147203</xdr:colOff>
      <xdr:row>48</xdr:row>
      <xdr:rowOff>116032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DCDAFDF-44A2-40A4-AEBB-96AFD804E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77932</xdr:colOff>
      <xdr:row>35</xdr:row>
      <xdr:rowOff>57149</xdr:rowOff>
    </xdr:from>
    <xdr:to>
      <xdr:col>29</xdr:col>
      <xdr:colOff>77932</xdr:colOff>
      <xdr:row>48</xdr:row>
      <xdr:rowOff>98712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4153900-73FA-4BA6-A038-80A2A56F6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60614</xdr:colOff>
      <xdr:row>4</xdr:row>
      <xdr:rowOff>5194</xdr:rowOff>
    </xdr:from>
    <xdr:to>
      <xdr:col>21</xdr:col>
      <xdr:colOff>60614</xdr:colOff>
      <xdr:row>17</xdr:row>
      <xdr:rowOff>46758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BDEAFDA-A937-42CC-BC35-4450B061C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424295</xdr:colOff>
      <xdr:row>4</xdr:row>
      <xdr:rowOff>5195</xdr:rowOff>
    </xdr:from>
    <xdr:to>
      <xdr:col>27</xdr:col>
      <xdr:colOff>424295</xdr:colOff>
      <xdr:row>17</xdr:row>
      <xdr:rowOff>46759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5EDE100-CACE-4E99-B2ED-6009DC50C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493568</xdr:colOff>
      <xdr:row>18</xdr:row>
      <xdr:rowOff>91785</xdr:rowOff>
    </xdr:from>
    <xdr:to>
      <xdr:col>21</xdr:col>
      <xdr:colOff>493568</xdr:colOff>
      <xdr:row>31</xdr:row>
      <xdr:rowOff>133348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E9B7F2F-4135-4C2D-B7FE-5F38DD10A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112568</xdr:colOff>
      <xdr:row>18</xdr:row>
      <xdr:rowOff>91786</xdr:rowOff>
    </xdr:from>
    <xdr:to>
      <xdr:col>28</xdr:col>
      <xdr:colOff>112568</xdr:colOff>
      <xdr:row>31</xdr:row>
      <xdr:rowOff>133349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D4F6C66-0DF2-494B-8B36-9584B9E8C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562841</xdr:colOff>
      <xdr:row>32</xdr:row>
      <xdr:rowOff>195695</xdr:rowOff>
    </xdr:from>
    <xdr:to>
      <xdr:col>21</xdr:col>
      <xdr:colOff>562841</xdr:colOff>
      <xdr:row>46</xdr:row>
      <xdr:rowOff>29441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96BF31C-E776-4C5B-8B51-215A365F1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147204</xdr:colOff>
      <xdr:row>32</xdr:row>
      <xdr:rowOff>178376</xdr:rowOff>
    </xdr:from>
    <xdr:to>
      <xdr:col>28</xdr:col>
      <xdr:colOff>147204</xdr:colOff>
      <xdr:row>46</xdr:row>
      <xdr:rowOff>12122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9C2624B-1EE5-4A50-81BF-C12EAB20E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17148-CFD4-48D6-81A8-FAC33BEAAC1B}">
  <sheetPr codeName="Hoja1"/>
  <dimension ref="A1:T117"/>
  <sheetViews>
    <sheetView zoomScale="62" zoomScaleNormal="85" workbookViewId="0">
      <selection activeCell="E14" sqref="E14"/>
    </sheetView>
  </sheetViews>
  <sheetFormatPr baseColWidth="10" defaultRowHeight="14.4" x14ac:dyDescent="0.3"/>
  <cols>
    <col min="1" max="1" width="4.44140625" customWidth="1"/>
    <col min="2" max="2" width="32" customWidth="1"/>
    <col min="3" max="3" width="26" customWidth="1"/>
    <col min="4" max="4" width="19.6640625" customWidth="1"/>
    <col min="5" max="5" width="20.109375" customWidth="1"/>
    <col min="6" max="6" width="19.109375" customWidth="1"/>
    <col min="7" max="7" width="17.109375" customWidth="1"/>
    <col min="8" max="8" width="18.44140625" customWidth="1"/>
    <col min="9" max="9" width="19" customWidth="1"/>
    <col min="10" max="11" width="16.44140625" customWidth="1"/>
    <col min="12" max="12" width="14.44140625" customWidth="1"/>
    <col min="13" max="13" width="14.109375" customWidth="1"/>
    <col min="14" max="14" width="14.33203125" customWidth="1"/>
    <col min="15" max="15" width="15.44140625" customWidth="1"/>
  </cols>
  <sheetData>
    <row r="1" spans="1:20" ht="16.2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</row>
    <row r="2" spans="1:20" ht="16.2" thickBot="1" x14ac:dyDescent="0.35">
      <c r="A2" s="1"/>
      <c r="B2" s="58" t="s">
        <v>0</v>
      </c>
      <c r="C2" s="59"/>
      <c r="D2" s="59"/>
      <c r="E2" s="59"/>
      <c r="F2" s="59"/>
      <c r="G2" s="59"/>
      <c r="H2" s="60"/>
      <c r="I2" s="3"/>
      <c r="J2" s="3"/>
      <c r="K2" s="3"/>
      <c r="L2" s="3"/>
      <c r="M2" s="3"/>
      <c r="N2" s="3"/>
      <c r="O2" s="3"/>
      <c r="P2" s="3"/>
      <c r="Q2" s="1"/>
      <c r="R2" s="1"/>
      <c r="S2" s="2"/>
    </row>
    <row r="3" spans="1:20" ht="16.2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</row>
    <row r="4" spans="1:20" ht="15.6" x14ac:dyDescent="0.3">
      <c r="A4" s="3"/>
      <c r="B4" s="4" t="s">
        <v>1</v>
      </c>
      <c r="C4" s="5">
        <v>2019</v>
      </c>
      <c r="D4" s="5">
        <v>2020</v>
      </c>
      <c r="E4" s="5">
        <v>2021</v>
      </c>
      <c r="F4" s="5">
        <f>E4+1</f>
        <v>2022</v>
      </c>
      <c r="G4" s="5">
        <f t="shared" ref="G4" si="0">F4+1</f>
        <v>2023</v>
      </c>
      <c r="H4" s="5">
        <f t="shared" ref="H4" si="1">G4+1</f>
        <v>2024</v>
      </c>
      <c r="I4" s="6">
        <f t="shared" ref="I4" si="2">H4+1</f>
        <v>2025</v>
      </c>
      <c r="J4" s="4" t="s">
        <v>2</v>
      </c>
      <c r="K4" s="53">
        <f>ABS(SUM(C5:I5))</f>
        <v>13302024</v>
      </c>
      <c r="L4" s="3"/>
      <c r="M4" s="3"/>
      <c r="N4" s="3"/>
      <c r="O4" s="3"/>
      <c r="P4" s="3"/>
      <c r="Q4" s="3"/>
      <c r="R4" s="3"/>
      <c r="S4" s="8"/>
    </row>
    <row r="5" spans="1:20" ht="15.6" x14ac:dyDescent="0.3">
      <c r="A5" s="3"/>
      <c r="B5" s="9" t="s">
        <v>3</v>
      </c>
      <c r="C5" s="10">
        <f>-(4000000)</f>
        <v>-4000000</v>
      </c>
      <c r="D5" s="10">
        <f xml:space="preserve"> $O22</f>
        <v>-1152004</v>
      </c>
      <c r="E5" s="11">
        <f xml:space="preserve"> ($O28)</f>
        <v>-1712004</v>
      </c>
      <c r="F5" s="11">
        <f xml:space="preserve"> $O34</f>
        <v>-1722004</v>
      </c>
      <c r="G5" s="11">
        <f xml:space="preserve"> $O40</f>
        <v>-1572004</v>
      </c>
      <c r="H5" s="11">
        <f xml:space="preserve"> $O46</f>
        <v>-1572004</v>
      </c>
      <c r="I5" s="12">
        <f xml:space="preserve"> $O52</f>
        <v>-1572004</v>
      </c>
      <c r="J5" s="9" t="s">
        <v>4</v>
      </c>
      <c r="K5" s="54">
        <f>SUM(C6:I6)</f>
        <v>13710400</v>
      </c>
      <c r="L5" s="13"/>
      <c r="M5" s="13"/>
      <c r="N5" s="13"/>
      <c r="O5" s="13"/>
      <c r="P5" s="13"/>
      <c r="Q5" s="13"/>
      <c r="R5" s="3"/>
      <c r="S5" s="8"/>
    </row>
    <row r="6" spans="1:20" ht="16.2" thickBot="1" x14ac:dyDescent="0.35">
      <c r="A6" s="3"/>
      <c r="B6" s="9" t="s">
        <v>5</v>
      </c>
      <c r="C6" s="11">
        <v>167200</v>
      </c>
      <c r="D6" s="11">
        <f>$O23</f>
        <v>2006400</v>
      </c>
      <c r="E6" s="11">
        <f>$O29</f>
        <v>2006400</v>
      </c>
      <c r="F6" s="11">
        <f>$O35</f>
        <v>2112000</v>
      </c>
      <c r="G6" s="11">
        <f>$O41</f>
        <v>2323200</v>
      </c>
      <c r="H6" s="11">
        <f>$O47</f>
        <v>2455200</v>
      </c>
      <c r="I6" s="38">
        <f>$O53</f>
        <v>2640000</v>
      </c>
      <c r="J6" s="55" t="s">
        <v>6</v>
      </c>
      <c r="K6" s="56">
        <f>K5/K4</f>
        <v>1.0307002904219689</v>
      </c>
      <c r="L6" s="13"/>
      <c r="M6" s="13"/>
      <c r="N6" s="13"/>
      <c r="O6" s="13"/>
      <c r="P6" s="13"/>
      <c r="Q6" s="13"/>
      <c r="R6" s="3"/>
      <c r="S6" s="8"/>
    </row>
    <row r="7" spans="1:20" ht="16.2" thickBot="1" x14ac:dyDescent="0.35">
      <c r="A7" s="1"/>
      <c r="B7" s="14" t="s">
        <v>7</v>
      </c>
      <c r="C7" s="15">
        <f t="shared" ref="C7:I7" si="3">C6+C5</f>
        <v>-3832800</v>
      </c>
      <c r="D7" s="16">
        <f t="shared" si="3"/>
        <v>854396</v>
      </c>
      <c r="E7" s="16">
        <f t="shared" si="3"/>
        <v>294396</v>
      </c>
      <c r="F7" s="16">
        <f t="shared" si="3"/>
        <v>389996</v>
      </c>
      <c r="G7" s="16">
        <f t="shared" si="3"/>
        <v>751196</v>
      </c>
      <c r="H7" s="17">
        <f t="shared" si="3"/>
        <v>883196</v>
      </c>
      <c r="I7" s="39">
        <f t="shared" si="3"/>
        <v>1067996</v>
      </c>
      <c r="J7" s="2"/>
      <c r="K7" s="2"/>
      <c r="L7" s="2"/>
      <c r="M7" s="2"/>
      <c r="N7" s="2"/>
      <c r="O7" s="2"/>
      <c r="P7" s="2"/>
      <c r="Q7" s="2"/>
      <c r="R7" s="18"/>
      <c r="S7" s="19"/>
    </row>
    <row r="8" spans="1:20" ht="16.2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</row>
    <row r="9" spans="1:20" ht="15.6" x14ac:dyDescent="0.3">
      <c r="A9" s="3"/>
      <c r="B9" s="20" t="s">
        <v>1</v>
      </c>
      <c r="C9" s="4">
        <v>2019</v>
      </c>
      <c r="D9" s="4">
        <v>2020</v>
      </c>
      <c r="E9" s="4">
        <v>2021</v>
      </c>
      <c r="F9" s="5">
        <v>2022</v>
      </c>
      <c r="G9" s="5">
        <f>F9+1</f>
        <v>2023</v>
      </c>
      <c r="H9" s="21">
        <f t="shared" ref="H9" si="4">G9+1</f>
        <v>2024</v>
      </c>
      <c r="I9" s="20">
        <f t="shared" ref="I9" si="5">H9+1</f>
        <v>2025</v>
      </c>
      <c r="J9" s="40"/>
      <c r="K9" s="3"/>
      <c r="L9" s="3"/>
      <c r="M9" s="3"/>
      <c r="N9" s="3"/>
      <c r="O9" s="3"/>
      <c r="P9" s="3"/>
      <c r="Q9" s="3"/>
      <c r="R9" s="3"/>
      <c r="S9" s="8"/>
    </row>
    <row r="10" spans="1:20" ht="16.2" thickBot="1" x14ac:dyDescent="0.35">
      <c r="A10" s="1"/>
      <c r="B10" s="22" t="s">
        <v>7</v>
      </c>
      <c r="C10" s="23">
        <f>C7</f>
        <v>-3832800</v>
      </c>
      <c r="D10" s="23">
        <f>D7*1.05</f>
        <v>897115.8</v>
      </c>
      <c r="E10" s="23">
        <f>E7*1.04</f>
        <v>306171.84000000003</v>
      </c>
      <c r="F10" s="24">
        <f>F7*1.06</f>
        <v>413395.76</v>
      </c>
      <c r="G10" s="24">
        <f>G7*1.05</f>
        <v>788755.8</v>
      </c>
      <c r="H10" s="25">
        <f>H7*1.05</f>
        <v>927355.8</v>
      </c>
      <c r="I10" s="26">
        <f>I7*1.05</f>
        <v>1121395.8</v>
      </c>
      <c r="J10" s="41"/>
      <c r="K10" s="2"/>
      <c r="L10" s="2"/>
      <c r="M10" s="2"/>
      <c r="N10" s="2"/>
      <c r="O10" s="2"/>
      <c r="P10" s="2"/>
      <c r="Q10" s="2"/>
      <c r="R10" s="2"/>
      <c r="S10" s="2"/>
    </row>
    <row r="11" spans="1:20" ht="16.2" thickBo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</row>
    <row r="12" spans="1:20" ht="15.6" x14ac:dyDescent="0.3">
      <c r="A12" s="1"/>
      <c r="B12" s="27" t="s">
        <v>8</v>
      </c>
      <c r="C12" s="28">
        <f>2%+15%*0</f>
        <v>0.02</v>
      </c>
      <c r="D12" s="1"/>
      <c r="E12" s="1"/>
      <c r="F12" s="1"/>
      <c r="G12" s="1"/>
      <c r="H12" s="51" t="s">
        <v>9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</row>
    <row r="13" spans="1:20" ht="16.2" thickBot="1" x14ac:dyDescent="0.35">
      <c r="A13" s="1"/>
      <c r="B13" s="29" t="s">
        <v>10</v>
      </c>
      <c r="C13" s="30">
        <f>NPV(C12,C10:I10)</f>
        <v>289167.35528924799</v>
      </c>
      <c r="D13" s="1"/>
      <c r="E13" s="31"/>
      <c r="F13" s="1"/>
      <c r="G13" s="1"/>
      <c r="H13" s="52">
        <f>IRR(C10:I10)</f>
        <v>4.0224537992897602E-2</v>
      </c>
      <c r="I13" s="32"/>
      <c r="J13" s="32"/>
      <c r="K13" s="32"/>
      <c r="L13" s="32"/>
      <c r="M13" s="32"/>
      <c r="N13" s="32"/>
      <c r="O13" s="32"/>
      <c r="P13" s="32"/>
      <c r="Q13" s="1"/>
      <c r="R13" s="1"/>
      <c r="S13" s="2"/>
    </row>
    <row r="14" spans="1:20" ht="15.6" x14ac:dyDescent="0.3">
      <c r="A14" s="42"/>
      <c r="B14" s="43"/>
      <c r="C14" s="44"/>
      <c r="D14" s="42"/>
      <c r="E14" s="45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1"/>
      <c r="T14" s="46"/>
    </row>
    <row r="15" spans="1:20" ht="15.6" x14ac:dyDescent="0.3">
      <c r="A15" s="42"/>
      <c r="B15" s="47"/>
      <c r="C15" s="48"/>
      <c r="D15" s="42"/>
      <c r="E15" s="45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1"/>
      <c r="T15" s="46"/>
    </row>
    <row r="16" spans="1:20" ht="15.6" x14ac:dyDescent="0.3">
      <c r="A16" s="42"/>
      <c r="B16" s="61"/>
      <c r="C16" s="61"/>
      <c r="D16" s="61"/>
      <c r="E16" s="61"/>
      <c r="F16" s="61"/>
      <c r="G16" s="61"/>
      <c r="H16" s="61"/>
      <c r="I16" s="40"/>
      <c r="J16" s="40"/>
      <c r="K16" s="40"/>
      <c r="L16" s="40"/>
      <c r="M16" s="40"/>
      <c r="N16" s="40"/>
      <c r="O16" s="40"/>
      <c r="P16" s="40"/>
      <c r="Q16" s="42"/>
      <c r="R16" s="42"/>
      <c r="S16" s="41"/>
      <c r="T16" s="46"/>
    </row>
    <row r="17" spans="1:20" ht="15.6" x14ac:dyDescent="0.3">
      <c r="A17" s="42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42"/>
      <c r="S17" s="41"/>
      <c r="T17" s="46"/>
    </row>
    <row r="18" spans="1:20" ht="15.6" x14ac:dyDescent="0.3">
      <c r="A18" s="40"/>
      <c r="B18" s="1" t="s">
        <v>36</v>
      </c>
      <c r="C18" s="1">
        <v>-4000000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40"/>
      <c r="S18" s="50"/>
      <c r="T18" s="46"/>
    </row>
    <row r="19" spans="1:20" ht="15.6" x14ac:dyDescent="0.3">
      <c r="A19" s="40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46"/>
      <c r="S19" s="46"/>
      <c r="T19" s="46"/>
    </row>
    <row r="20" spans="1:20" ht="15.6" x14ac:dyDescent="0.3">
      <c r="A20" s="40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46"/>
      <c r="S20" s="46"/>
      <c r="T20" s="46"/>
    </row>
    <row r="21" spans="1:20" ht="15.6" x14ac:dyDescent="0.3">
      <c r="A21" s="42"/>
      <c r="B21" s="7" t="s">
        <v>11</v>
      </c>
      <c r="C21" s="7" t="s">
        <v>12</v>
      </c>
      <c r="D21" s="7" t="s">
        <v>13</v>
      </c>
      <c r="E21" s="7" t="s">
        <v>14</v>
      </c>
      <c r="F21" s="7" t="s">
        <v>15</v>
      </c>
      <c r="G21" s="7" t="s">
        <v>16</v>
      </c>
      <c r="H21" s="7" t="s">
        <v>17</v>
      </c>
      <c r="I21" s="7" t="s">
        <v>18</v>
      </c>
      <c r="J21" s="7" t="s">
        <v>19</v>
      </c>
      <c r="K21" s="7" t="s">
        <v>20</v>
      </c>
      <c r="L21" s="7" t="s">
        <v>21</v>
      </c>
      <c r="M21" s="7" t="s">
        <v>22</v>
      </c>
      <c r="N21" s="7" t="s">
        <v>23</v>
      </c>
      <c r="O21" s="7" t="s">
        <v>24</v>
      </c>
      <c r="P21" s="3"/>
      <c r="Q21" s="3"/>
      <c r="R21" s="46"/>
      <c r="S21" s="46"/>
      <c r="T21" s="46"/>
    </row>
    <row r="22" spans="1:20" ht="15.6" x14ac:dyDescent="0.3">
      <c r="A22" s="42"/>
      <c r="B22" s="7" t="s">
        <v>3</v>
      </c>
      <c r="C22" s="33">
        <f xml:space="preserve"> -(D59)</f>
        <v>-58917</v>
      </c>
      <c r="D22" s="11">
        <f xml:space="preserve"> -(40000+D59)</f>
        <v>-98917</v>
      </c>
      <c r="E22" s="11">
        <f xml:space="preserve"> -(20000+D59)</f>
        <v>-78917</v>
      </c>
      <c r="F22" s="11">
        <f xml:space="preserve"> -(200000+D59)</f>
        <v>-258917</v>
      </c>
      <c r="G22" s="11">
        <f xml:space="preserve"> -(20000+D59)</f>
        <v>-78917</v>
      </c>
      <c r="H22" s="11">
        <f xml:space="preserve"> -(D59)</f>
        <v>-58917</v>
      </c>
      <c r="I22" s="11">
        <f xml:space="preserve"> -(20000+D59)</f>
        <v>-78917</v>
      </c>
      <c r="J22" s="11">
        <f xml:space="preserve"> -(20000+D59)</f>
        <v>-78917</v>
      </c>
      <c r="K22" s="11">
        <f xml:space="preserve"> -(D59)</f>
        <v>-58917</v>
      </c>
      <c r="L22" s="11">
        <f xml:space="preserve"> -(20000+85000+D59)</f>
        <v>-163917</v>
      </c>
      <c r="M22" s="11">
        <f xml:space="preserve"> -(20000+D59)</f>
        <v>-78917</v>
      </c>
      <c r="N22" s="11">
        <f xml:space="preserve"> -(D59)</f>
        <v>-58917</v>
      </c>
      <c r="O22" s="11">
        <f>SUM(C22:N22)</f>
        <v>-1152004</v>
      </c>
      <c r="P22" s="13"/>
      <c r="Q22" s="13"/>
      <c r="R22" s="42"/>
      <c r="S22" s="41"/>
      <c r="T22" s="46"/>
    </row>
    <row r="23" spans="1:20" ht="15.6" x14ac:dyDescent="0.3">
      <c r="A23" s="40"/>
      <c r="B23" s="7" t="s">
        <v>5</v>
      </c>
      <c r="C23" s="11">
        <v>167200</v>
      </c>
      <c r="D23" s="11">
        <v>167200</v>
      </c>
      <c r="E23" s="11">
        <v>167200</v>
      </c>
      <c r="F23" s="11">
        <v>167200</v>
      </c>
      <c r="G23" s="11">
        <v>167200</v>
      </c>
      <c r="H23" s="11">
        <v>167200</v>
      </c>
      <c r="I23" s="11">
        <v>167200</v>
      </c>
      <c r="J23" s="11">
        <v>167200</v>
      </c>
      <c r="K23" s="11">
        <v>167200</v>
      </c>
      <c r="L23" s="11">
        <v>167200</v>
      </c>
      <c r="M23" s="11">
        <v>167200</v>
      </c>
      <c r="N23" s="11">
        <v>167200</v>
      </c>
      <c r="O23" s="11">
        <f>SUM(C23:N23)</f>
        <v>2006400</v>
      </c>
      <c r="P23" s="13"/>
      <c r="Q23" s="13"/>
      <c r="R23" s="40"/>
      <c r="S23" s="50"/>
      <c r="T23" s="46"/>
    </row>
    <row r="24" spans="1:20" ht="15.6" x14ac:dyDescent="0.3">
      <c r="A24" s="42"/>
      <c r="B24" s="34" t="s">
        <v>7</v>
      </c>
      <c r="C24" s="35">
        <f t="shared" ref="C24:N24" si="6">C23+C22</f>
        <v>108283</v>
      </c>
      <c r="D24" s="36">
        <f t="shared" si="6"/>
        <v>68283</v>
      </c>
      <c r="E24" s="36">
        <f t="shared" si="6"/>
        <v>88283</v>
      </c>
      <c r="F24" s="36">
        <f t="shared" si="6"/>
        <v>-91717</v>
      </c>
      <c r="G24" s="36">
        <f t="shared" si="6"/>
        <v>88283</v>
      </c>
      <c r="H24" s="36">
        <f t="shared" si="6"/>
        <v>108283</v>
      </c>
      <c r="I24" s="36">
        <f t="shared" si="6"/>
        <v>88283</v>
      </c>
      <c r="J24" s="36">
        <f t="shared" si="6"/>
        <v>88283</v>
      </c>
      <c r="K24" s="36">
        <f t="shared" si="6"/>
        <v>108283</v>
      </c>
      <c r="L24" s="36">
        <f t="shared" si="6"/>
        <v>3283</v>
      </c>
      <c r="M24" s="36">
        <f t="shared" si="6"/>
        <v>88283</v>
      </c>
      <c r="N24" s="36">
        <f t="shared" si="6"/>
        <v>108283</v>
      </c>
      <c r="O24" s="2"/>
      <c r="P24" s="2"/>
      <c r="Q24" s="2"/>
      <c r="R24" s="41"/>
      <c r="S24" s="41"/>
      <c r="T24" s="46"/>
    </row>
    <row r="25" spans="1:20" ht="15.6" x14ac:dyDescent="0.3">
      <c r="A25" s="42"/>
      <c r="B25" s="37"/>
      <c r="C25" s="2"/>
      <c r="D25" s="1"/>
      <c r="E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42"/>
      <c r="S25" s="41"/>
      <c r="T25" s="46"/>
    </row>
    <row r="26" spans="1:20" ht="15.6" x14ac:dyDescent="0.3">
      <c r="A26" s="4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42"/>
      <c r="S26" s="41"/>
      <c r="T26" s="46"/>
    </row>
    <row r="27" spans="1:20" ht="15.6" x14ac:dyDescent="0.3">
      <c r="A27" s="42"/>
      <c r="B27" s="7" t="s">
        <v>25</v>
      </c>
      <c r="C27" s="7" t="s">
        <v>12</v>
      </c>
      <c r="D27" s="7" t="s">
        <v>13</v>
      </c>
      <c r="E27" s="7" t="s">
        <v>14</v>
      </c>
      <c r="F27" s="7" t="s">
        <v>15</v>
      </c>
      <c r="G27" s="7" t="s">
        <v>16</v>
      </c>
      <c r="H27" s="7" t="s">
        <v>17</v>
      </c>
      <c r="I27" s="7" t="s">
        <v>18</v>
      </c>
      <c r="J27" s="7" t="s">
        <v>19</v>
      </c>
      <c r="K27" s="7" t="s">
        <v>20</v>
      </c>
      <c r="L27" s="7" t="s">
        <v>21</v>
      </c>
      <c r="M27" s="7" t="s">
        <v>22</v>
      </c>
      <c r="N27" s="7" t="s">
        <v>23</v>
      </c>
      <c r="O27" s="7" t="s">
        <v>24</v>
      </c>
      <c r="P27" s="1"/>
      <c r="Q27" s="1"/>
      <c r="R27" s="42"/>
      <c r="S27" s="41"/>
      <c r="T27" s="46"/>
    </row>
    <row r="28" spans="1:20" ht="15.6" x14ac:dyDescent="0.3">
      <c r="A28" s="42"/>
      <c r="B28" s="7" t="s">
        <v>3</v>
      </c>
      <c r="C28" s="33">
        <f xml:space="preserve"> -((20000+620000)+D59)</f>
        <v>-698917</v>
      </c>
      <c r="D28" s="11">
        <f xml:space="preserve"> -(40000+D59)</f>
        <v>-98917</v>
      </c>
      <c r="E28" s="11">
        <f xml:space="preserve"> -(20000+D59)</f>
        <v>-78917</v>
      </c>
      <c r="F28" s="11">
        <f xml:space="preserve"> -(105000+D59)</f>
        <v>-163917</v>
      </c>
      <c r="G28" s="11">
        <f xml:space="preserve"> -(20000+D59)</f>
        <v>-78917</v>
      </c>
      <c r="H28" s="11">
        <f xml:space="preserve"> -(D59)</f>
        <v>-58917</v>
      </c>
      <c r="I28" s="11">
        <f xml:space="preserve"> -(20000+D59)</f>
        <v>-78917</v>
      </c>
      <c r="J28" s="11">
        <f xml:space="preserve"> -(20000+D59)</f>
        <v>-78917</v>
      </c>
      <c r="K28" s="11">
        <f xml:space="preserve"> -(D59)</f>
        <v>-58917</v>
      </c>
      <c r="L28" s="11">
        <f xml:space="preserve"> -(20000+100000+D59)</f>
        <v>-178917</v>
      </c>
      <c r="M28" s="11">
        <f xml:space="preserve"> -(20000+D59)</f>
        <v>-78917</v>
      </c>
      <c r="N28" s="11">
        <f xml:space="preserve"> -(D59)</f>
        <v>-58917</v>
      </c>
      <c r="O28" s="11">
        <f>SUM(C28:N28)</f>
        <v>-1712004</v>
      </c>
      <c r="P28" s="1"/>
      <c r="Q28" s="1"/>
      <c r="R28" s="42"/>
      <c r="S28" s="41"/>
      <c r="T28" s="46"/>
    </row>
    <row r="29" spans="1:20" ht="15.6" x14ac:dyDescent="0.3">
      <c r="A29" s="42"/>
      <c r="B29" s="7" t="s">
        <v>5</v>
      </c>
      <c r="C29" s="11">
        <v>167200</v>
      </c>
      <c r="D29" s="11">
        <v>167200</v>
      </c>
      <c r="E29" s="11">
        <v>167200</v>
      </c>
      <c r="F29" s="11">
        <v>167200</v>
      </c>
      <c r="G29" s="11">
        <v>167200</v>
      </c>
      <c r="H29" s="11">
        <v>167200</v>
      </c>
      <c r="I29" s="11">
        <v>167200</v>
      </c>
      <c r="J29" s="11">
        <v>167200</v>
      </c>
      <c r="K29" s="11">
        <v>167200</v>
      </c>
      <c r="L29" s="11">
        <v>167200</v>
      </c>
      <c r="M29" s="11">
        <v>167200</v>
      </c>
      <c r="N29" s="11">
        <v>167200</v>
      </c>
      <c r="O29" s="11">
        <f>SUM(C29:N29)</f>
        <v>2006400</v>
      </c>
      <c r="P29" s="1"/>
      <c r="Q29" s="1"/>
      <c r="R29" s="42"/>
      <c r="S29" s="41"/>
      <c r="T29" s="46"/>
    </row>
    <row r="30" spans="1:20" ht="15.6" x14ac:dyDescent="0.3">
      <c r="A30" s="42"/>
      <c r="B30" s="34" t="s">
        <v>7</v>
      </c>
      <c r="C30" s="35">
        <f t="shared" ref="C30:N30" si="7">C29+C28</f>
        <v>-531717</v>
      </c>
      <c r="D30" s="36">
        <f t="shared" si="7"/>
        <v>68283</v>
      </c>
      <c r="E30" s="36">
        <f t="shared" si="7"/>
        <v>88283</v>
      </c>
      <c r="F30" s="36">
        <f t="shared" si="7"/>
        <v>3283</v>
      </c>
      <c r="G30" s="36">
        <f t="shared" si="7"/>
        <v>88283</v>
      </c>
      <c r="H30" s="36">
        <f t="shared" si="7"/>
        <v>108283</v>
      </c>
      <c r="I30" s="36">
        <f t="shared" si="7"/>
        <v>88283</v>
      </c>
      <c r="J30" s="36">
        <f t="shared" si="7"/>
        <v>88283</v>
      </c>
      <c r="K30" s="36">
        <f t="shared" si="7"/>
        <v>108283</v>
      </c>
      <c r="L30" s="36">
        <f t="shared" si="7"/>
        <v>-11717</v>
      </c>
      <c r="M30" s="36">
        <f t="shared" si="7"/>
        <v>88283</v>
      </c>
      <c r="N30" s="36">
        <f t="shared" si="7"/>
        <v>108283</v>
      </c>
      <c r="O30" s="2"/>
      <c r="P30" s="1"/>
      <c r="Q30" s="1"/>
      <c r="R30" s="42"/>
      <c r="S30" s="41"/>
      <c r="T30" s="46"/>
    </row>
    <row r="31" spans="1:20" ht="15.6" x14ac:dyDescent="0.3">
      <c r="A31" s="4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42"/>
      <c r="S31" s="41"/>
      <c r="T31" s="46"/>
    </row>
    <row r="32" spans="1:20" ht="15.6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2"/>
    </row>
    <row r="33" spans="1:19" ht="15.6" x14ac:dyDescent="0.3">
      <c r="A33" s="1"/>
      <c r="B33" s="7" t="s">
        <v>26</v>
      </c>
      <c r="C33" s="7" t="s">
        <v>12</v>
      </c>
      <c r="D33" s="7" t="s">
        <v>13</v>
      </c>
      <c r="E33" s="7" t="s">
        <v>14</v>
      </c>
      <c r="F33" s="7" t="s">
        <v>15</v>
      </c>
      <c r="G33" s="7" t="s">
        <v>16</v>
      </c>
      <c r="H33" s="7" t="s">
        <v>17</v>
      </c>
      <c r="I33" s="7" t="s">
        <v>18</v>
      </c>
      <c r="J33" s="7" t="s">
        <v>19</v>
      </c>
      <c r="K33" s="7" t="s">
        <v>20</v>
      </c>
      <c r="L33" s="7" t="s">
        <v>21</v>
      </c>
      <c r="M33" s="7" t="s">
        <v>22</v>
      </c>
      <c r="N33" s="7" t="s">
        <v>23</v>
      </c>
      <c r="O33" s="7" t="s">
        <v>24</v>
      </c>
      <c r="P33" s="1"/>
      <c r="Q33" s="1"/>
      <c r="R33" s="1"/>
      <c r="S33" s="2"/>
    </row>
    <row r="34" spans="1:19" ht="15.6" x14ac:dyDescent="0.3">
      <c r="A34" s="1"/>
      <c r="B34" s="7" t="s">
        <v>3</v>
      </c>
      <c r="C34" s="33">
        <f xml:space="preserve"> -(100000+D65+550000)</f>
        <v>-708917</v>
      </c>
      <c r="D34" s="11">
        <f xml:space="preserve"> -(40000+D65)</f>
        <v>-98917</v>
      </c>
      <c r="E34" s="11">
        <f xml:space="preserve"> -(20000+D65)</f>
        <v>-78917</v>
      </c>
      <c r="F34" s="11">
        <f xml:space="preserve"> -(105000+D65)</f>
        <v>-163917</v>
      </c>
      <c r="G34" s="11">
        <f xml:space="preserve"> -(20000+D65)</f>
        <v>-78917</v>
      </c>
      <c r="H34" s="11">
        <f xml:space="preserve"> -(D65)</f>
        <v>-58917</v>
      </c>
      <c r="I34" s="11">
        <f xml:space="preserve"> -(20000+D65)</f>
        <v>-78917</v>
      </c>
      <c r="J34" s="11">
        <f xml:space="preserve"> -(20000+D65)</f>
        <v>-78917</v>
      </c>
      <c r="K34" s="11">
        <f xml:space="preserve"> -(D65)</f>
        <v>-58917</v>
      </c>
      <c r="L34" s="11">
        <f xml:space="preserve"> -(20000+100000+D65)</f>
        <v>-178917</v>
      </c>
      <c r="M34" s="11">
        <f xml:space="preserve"> -(20000+D65)</f>
        <v>-78917</v>
      </c>
      <c r="N34" s="11">
        <f xml:space="preserve"> -(D65)</f>
        <v>-58917</v>
      </c>
      <c r="O34" s="11">
        <f>SUM(C34:N34)</f>
        <v>-1722004</v>
      </c>
      <c r="P34" s="1"/>
      <c r="Q34" s="1"/>
      <c r="R34" s="1"/>
      <c r="S34" s="2"/>
    </row>
    <row r="35" spans="1:19" ht="15.6" x14ac:dyDescent="0.3">
      <c r="A35" s="1"/>
      <c r="B35" s="7" t="s">
        <v>5</v>
      </c>
      <c r="C35" s="11">
        <v>176000</v>
      </c>
      <c r="D35" s="11">
        <v>176000</v>
      </c>
      <c r="E35" s="11">
        <v>176000</v>
      </c>
      <c r="F35" s="11">
        <v>176000</v>
      </c>
      <c r="G35" s="11">
        <v>176000</v>
      </c>
      <c r="H35" s="11">
        <v>176000</v>
      </c>
      <c r="I35" s="11">
        <v>176000</v>
      </c>
      <c r="J35" s="11">
        <v>176000</v>
      </c>
      <c r="K35" s="11">
        <v>176000</v>
      </c>
      <c r="L35" s="11">
        <v>176000</v>
      </c>
      <c r="M35" s="11">
        <v>176000</v>
      </c>
      <c r="N35" s="11">
        <v>176000</v>
      </c>
      <c r="O35" s="11">
        <f>SUM(C35:N35)</f>
        <v>2112000</v>
      </c>
      <c r="P35" s="1"/>
      <c r="Q35" s="1"/>
      <c r="R35" s="1"/>
      <c r="S35" s="2"/>
    </row>
    <row r="36" spans="1:19" ht="15.6" x14ac:dyDescent="0.3">
      <c r="A36" s="1"/>
      <c r="B36" s="34" t="s">
        <v>7</v>
      </c>
      <c r="C36" s="35">
        <f t="shared" ref="C36:N36" si="8">C35+C34</f>
        <v>-532917</v>
      </c>
      <c r="D36" s="36">
        <f t="shared" si="8"/>
        <v>77083</v>
      </c>
      <c r="E36" s="36">
        <f t="shared" si="8"/>
        <v>97083</v>
      </c>
      <c r="F36" s="36">
        <f t="shared" si="8"/>
        <v>12083</v>
      </c>
      <c r="G36" s="36">
        <f t="shared" si="8"/>
        <v>97083</v>
      </c>
      <c r="H36" s="36">
        <f t="shared" si="8"/>
        <v>117083</v>
      </c>
      <c r="I36" s="36">
        <f t="shared" si="8"/>
        <v>97083</v>
      </c>
      <c r="J36" s="36">
        <f t="shared" si="8"/>
        <v>97083</v>
      </c>
      <c r="K36" s="36">
        <f t="shared" si="8"/>
        <v>117083</v>
      </c>
      <c r="L36" s="36">
        <f t="shared" si="8"/>
        <v>-2917</v>
      </c>
      <c r="M36" s="36">
        <f t="shared" si="8"/>
        <v>97083</v>
      </c>
      <c r="N36" s="36">
        <f t="shared" si="8"/>
        <v>117083</v>
      </c>
      <c r="O36" s="2"/>
      <c r="P36" s="1"/>
      <c r="Q36" s="1"/>
      <c r="R36" s="1"/>
      <c r="S36" s="2"/>
    </row>
    <row r="37" spans="1:19" ht="15.6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2"/>
    </row>
    <row r="38" spans="1:19" ht="15.6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2"/>
    </row>
    <row r="39" spans="1:19" ht="15.6" x14ac:dyDescent="0.3">
      <c r="A39" s="1"/>
      <c r="B39" s="7" t="s">
        <v>27</v>
      </c>
      <c r="C39" s="7" t="s">
        <v>12</v>
      </c>
      <c r="D39" s="7" t="s">
        <v>13</v>
      </c>
      <c r="E39" s="7" t="s">
        <v>14</v>
      </c>
      <c r="F39" s="7" t="s">
        <v>15</v>
      </c>
      <c r="G39" s="7" t="s">
        <v>16</v>
      </c>
      <c r="H39" s="7" t="s">
        <v>17</v>
      </c>
      <c r="I39" s="7" t="s">
        <v>18</v>
      </c>
      <c r="J39" s="7" t="s">
        <v>19</v>
      </c>
      <c r="K39" s="7" t="s">
        <v>20</v>
      </c>
      <c r="L39" s="7" t="s">
        <v>21</v>
      </c>
      <c r="M39" s="7" t="s">
        <v>22</v>
      </c>
      <c r="N39" s="7" t="s">
        <v>23</v>
      </c>
      <c r="O39" s="7" t="s">
        <v>24</v>
      </c>
      <c r="P39" s="1"/>
      <c r="Q39" s="1"/>
      <c r="R39" s="1"/>
      <c r="S39" s="2"/>
    </row>
    <row r="40" spans="1:19" ht="15.6" x14ac:dyDescent="0.3">
      <c r="A40" s="1"/>
      <c r="B40" s="7" t="s">
        <v>3</v>
      </c>
      <c r="C40" s="33">
        <f xml:space="preserve"> -(D71+500000)</f>
        <v>-558917</v>
      </c>
      <c r="D40" s="11">
        <f xml:space="preserve"> -(40000+D71)</f>
        <v>-98917</v>
      </c>
      <c r="E40" s="11">
        <f xml:space="preserve"> -(20000+D71)</f>
        <v>-78917</v>
      </c>
      <c r="F40" s="11">
        <f xml:space="preserve"> -(105000+D71)</f>
        <v>-163917</v>
      </c>
      <c r="G40" s="11">
        <f xml:space="preserve"> -(20000+D71)</f>
        <v>-78917</v>
      </c>
      <c r="H40" s="11">
        <f xml:space="preserve"> -(D71)</f>
        <v>-58917</v>
      </c>
      <c r="I40" s="11">
        <f xml:space="preserve"> -(20000+D71)</f>
        <v>-78917</v>
      </c>
      <c r="J40" s="11">
        <f xml:space="preserve"> -(20000+D71)</f>
        <v>-78917</v>
      </c>
      <c r="K40" s="11">
        <f xml:space="preserve"> -(D71)</f>
        <v>-58917</v>
      </c>
      <c r="L40" s="11">
        <f xml:space="preserve"> -(20000+100000+D71)</f>
        <v>-178917</v>
      </c>
      <c r="M40" s="11">
        <f xml:space="preserve"> -(20000+D71)</f>
        <v>-78917</v>
      </c>
      <c r="N40" s="11">
        <f xml:space="preserve"> -(D71)</f>
        <v>-58917</v>
      </c>
      <c r="O40" s="11">
        <f>SUM(C40:N40)</f>
        <v>-1572004</v>
      </c>
      <c r="P40" s="1"/>
      <c r="Q40" s="1"/>
      <c r="R40" s="1"/>
      <c r="S40" s="2"/>
    </row>
    <row r="41" spans="1:19" ht="15.6" x14ac:dyDescent="0.3">
      <c r="A41" s="1"/>
      <c r="B41" s="7" t="s">
        <v>5</v>
      </c>
      <c r="C41" s="11">
        <v>193600</v>
      </c>
      <c r="D41" s="11">
        <v>193600</v>
      </c>
      <c r="E41" s="11">
        <v>193600</v>
      </c>
      <c r="F41" s="11">
        <v>193600</v>
      </c>
      <c r="G41" s="11">
        <v>193600</v>
      </c>
      <c r="H41" s="11">
        <v>193600</v>
      </c>
      <c r="I41" s="11">
        <v>193600</v>
      </c>
      <c r="J41" s="11">
        <v>193600</v>
      </c>
      <c r="K41" s="11">
        <v>193600</v>
      </c>
      <c r="L41" s="11">
        <v>193600</v>
      </c>
      <c r="M41" s="11">
        <v>193600</v>
      </c>
      <c r="N41" s="11">
        <v>193600</v>
      </c>
      <c r="O41" s="11">
        <f>SUM(C41:N41)</f>
        <v>2323200</v>
      </c>
      <c r="P41" s="1"/>
      <c r="Q41" s="1"/>
      <c r="R41" s="1"/>
      <c r="S41" s="2"/>
    </row>
    <row r="42" spans="1:19" ht="15.6" x14ac:dyDescent="0.3">
      <c r="A42" s="1"/>
      <c r="B42" s="34" t="s">
        <v>7</v>
      </c>
      <c r="C42" s="35">
        <f t="shared" ref="C42:N42" si="9">C41+C40</f>
        <v>-365317</v>
      </c>
      <c r="D42" s="36">
        <f t="shared" si="9"/>
        <v>94683</v>
      </c>
      <c r="E42" s="36">
        <f t="shared" si="9"/>
        <v>114683</v>
      </c>
      <c r="F42" s="36">
        <f t="shared" si="9"/>
        <v>29683</v>
      </c>
      <c r="G42" s="36">
        <f t="shared" si="9"/>
        <v>114683</v>
      </c>
      <c r="H42" s="36">
        <f t="shared" si="9"/>
        <v>134683</v>
      </c>
      <c r="I42" s="36">
        <f t="shared" si="9"/>
        <v>114683</v>
      </c>
      <c r="J42" s="36">
        <f t="shared" si="9"/>
        <v>114683</v>
      </c>
      <c r="K42" s="36">
        <f t="shared" si="9"/>
        <v>134683</v>
      </c>
      <c r="L42" s="36">
        <f t="shared" si="9"/>
        <v>14683</v>
      </c>
      <c r="M42" s="36">
        <f t="shared" si="9"/>
        <v>114683</v>
      </c>
      <c r="N42" s="36">
        <f t="shared" si="9"/>
        <v>134683</v>
      </c>
      <c r="O42" s="2"/>
      <c r="P42" s="1"/>
      <c r="Q42" s="1"/>
      <c r="R42" s="1"/>
      <c r="S42" s="2"/>
    </row>
    <row r="43" spans="1:19" ht="15.6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2"/>
    </row>
    <row r="44" spans="1:19" ht="15.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2"/>
    </row>
    <row r="45" spans="1:19" ht="15.6" x14ac:dyDescent="0.3">
      <c r="A45" s="1"/>
      <c r="B45" s="7" t="s">
        <v>28</v>
      </c>
      <c r="C45" s="7" t="s">
        <v>12</v>
      </c>
      <c r="D45" s="7" t="s">
        <v>13</v>
      </c>
      <c r="E45" s="7" t="s">
        <v>14</v>
      </c>
      <c r="F45" s="7" t="s">
        <v>15</v>
      </c>
      <c r="G45" s="7" t="s">
        <v>16</v>
      </c>
      <c r="H45" s="7" t="s">
        <v>17</v>
      </c>
      <c r="I45" s="7" t="s">
        <v>18</v>
      </c>
      <c r="J45" s="7" t="s">
        <v>19</v>
      </c>
      <c r="K45" s="7" t="s">
        <v>20</v>
      </c>
      <c r="L45" s="7" t="s">
        <v>21</v>
      </c>
      <c r="M45" s="7" t="s">
        <v>22</v>
      </c>
      <c r="N45" s="7" t="s">
        <v>23</v>
      </c>
      <c r="O45" s="7" t="s">
        <v>24</v>
      </c>
      <c r="P45" s="1"/>
      <c r="Q45" s="1"/>
      <c r="R45" s="1"/>
      <c r="S45" s="2"/>
    </row>
    <row r="46" spans="1:19" ht="15.6" x14ac:dyDescent="0.3">
      <c r="A46" s="1"/>
      <c r="B46" s="7" t="s">
        <v>3</v>
      </c>
      <c r="C46" s="33">
        <f xml:space="preserve"> -(D77+500000)</f>
        <v>-558917</v>
      </c>
      <c r="D46" s="11">
        <f xml:space="preserve"> -(40000+D77)</f>
        <v>-98917</v>
      </c>
      <c r="E46" s="11">
        <f xml:space="preserve"> -(20000+D77)</f>
        <v>-78917</v>
      </c>
      <c r="F46" s="11">
        <f xml:space="preserve"> -(105000+D77)</f>
        <v>-163917</v>
      </c>
      <c r="G46" s="11">
        <f xml:space="preserve"> -(20000+D77)</f>
        <v>-78917</v>
      </c>
      <c r="H46" s="11">
        <f xml:space="preserve"> -(D77)</f>
        <v>-58917</v>
      </c>
      <c r="I46" s="11">
        <f xml:space="preserve"> -(20000+D77)</f>
        <v>-78917</v>
      </c>
      <c r="J46" s="11">
        <f xml:space="preserve"> -(20000+D77)</f>
        <v>-78917</v>
      </c>
      <c r="K46" s="11">
        <f xml:space="preserve"> -(D77)</f>
        <v>-58917</v>
      </c>
      <c r="L46" s="11">
        <f xml:space="preserve"> -(20000+100000+D77)</f>
        <v>-178917</v>
      </c>
      <c r="M46" s="11">
        <f xml:space="preserve"> -(20000+D77)</f>
        <v>-78917</v>
      </c>
      <c r="N46" s="11">
        <f xml:space="preserve"> -(D77)</f>
        <v>-58917</v>
      </c>
      <c r="O46" s="11">
        <f>SUM(C46:N46)</f>
        <v>-1572004</v>
      </c>
      <c r="P46" s="1"/>
      <c r="Q46" s="1"/>
      <c r="R46" s="1"/>
      <c r="S46" s="2"/>
    </row>
    <row r="47" spans="1:19" ht="15.6" x14ac:dyDescent="0.3">
      <c r="A47" s="1"/>
      <c r="B47" s="7" t="s">
        <v>5</v>
      </c>
      <c r="C47" s="11">
        <v>202400</v>
      </c>
      <c r="D47" s="11">
        <v>202400</v>
      </c>
      <c r="E47" s="11">
        <v>202400</v>
      </c>
      <c r="F47" s="11">
        <v>202400</v>
      </c>
      <c r="G47" s="11">
        <v>202400</v>
      </c>
      <c r="H47" s="11">
        <v>202400</v>
      </c>
      <c r="I47" s="11">
        <v>202400</v>
      </c>
      <c r="J47" s="11">
        <v>202400</v>
      </c>
      <c r="K47" s="11">
        <v>202400</v>
      </c>
      <c r="L47" s="11">
        <v>211200</v>
      </c>
      <c r="M47" s="11">
        <v>211200</v>
      </c>
      <c r="N47" s="11">
        <v>211200</v>
      </c>
      <c r="O47" s="11">
        <f>SUM(C47:N47)</f>
        <v>2455200</v>
      </c>
      <c r="P47" s="1"/>
      <c r="Q47" s="1"/>
      <c r="R47" s="1"/>
      <c r="S47" s="2"/>
    </row>
    <row r="48" spans="1:19" ht="15.6" x14ac:dyDescent="0.3">
      <c r="A48" s="1"/>
      <c r="B48" s="34" t="s">
        <v>7</v>
      </c>
      <c r="C48" s="35">
        <f t="shared" ref="C48:N48" si="10">C47+C46</f>
        <v>-356517</v>
      </c>
      <c r="D48" s="36">
        <f t="shared" si="10"/>
        <v>103483</v>
      </c>
      <c r="E48" s="36">
        <f t="shared" si="10"/>
        <v>123483</v>
      </c>
      <c r="F48" s="36">
        <f t="shared" si="10"/>
        <v>38483</v>
      </c>
      <c r="G48" s="36">
        <f t="shared" si="10"/>
        <v>123483</v>
      </c>
      <c r="H48" s="36">
        <f t="shared" si="10"/>
        <v>143483</v>
      </c>
      <c r="I48" s="36">
        <f t="shared" si="10"/>
        <v>123483</v>
      </c>
      <c r="J48" s="36">
        <f t="shared" si="10"/>
        <v>123483</v>
      </c>
      <c r="K48" s="36">
        <f t="shared" si="10"/>
        <v>143483</v>
      </c>
      <c r="L48" s="36">
        <f t="shared" si="10"/>
        <v>32283</v>
      </c>
      <c r="M48" s="36">
        <f t="shared" si="10"/>
        <v>132283</v>
      </c>
      <c r="N48" s="36">
        <f t="shared" si="10"/>
        <v>152283</v>
      </c>
      <c r="O48" s="2"/>
      <c r="P48" s="1"/>
      <c r="Q48" s="1"/>
      <c r="R48" s="1"/>
      <c r="S48" s="2"/>
    </row>
    <row r="49" spans="1:19" ht="15.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2"/>
    </row>
    <row r="50" spans="1:19" ht="15.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2"/>
    </row>
    <row r="51" spans="1:19" ht="15.6" x14ac:dyDescent="0.3">
      <c r="A51" s="1"/>
      <c r="B51" s="7" t="s">
        <v>29</v>
      </c>
      <c r="C51" s="7" t="s">
        <v>12</v>
      </c>
      <c r="D51" s="7" t="s">
        <v>13</v>
      </c>
      <c r="E51" s="7" t="s">
        <v>14</v>
      </c>
      <c r="F51" s="7" t="s">
        <v>15</v>
      </c>
      <c r="G51" s="7" t="s">
        <v>16</v>
      </c>
      <c r="H51" s="7" t="s">
        <v>17</v>
      </c>
      <c r="I51" s="7" t="s">
        <v>18</v>
      </c>
      <c r="J51" s="7" t="s">
        <v>19</v>
      </c>
      <c r="K51" s="7" t="s">
        <v>20</v>
      </c>
      <c r="L51" s="7" t="s">
        <v>21</v>
      </c>
      <c r="M51" s="7" t="s">
        <v>22</v>
      </c>
      <c r="N51" s="7" t="s">
        <v>23</v>
      </c>
      <c r="O51" s="7" t="s">
        <v>24</v>
      </c>
      <c r="P51" s="1"/>
      <c r="Q51" s="1"/>
      <c r="R51" s="1"/>
      <c r="S51" s="2"/>
    </row>
    <row r="52" spans="1:19" ht="15.6" x14ac:dyDescent="0.3">
      <c r="A52" s="1"/>
      <c r="B52" s="7" t="s">
        <v>3</v>
      </c>
      <c r="C52" s="33">
        <f xml:space="preserve"> -(D83+500000)</f>
        <v>-558917</v>
      </c>
      <c r="D52" s="11">
        <f xml:space="preserve"> -(40000+D83)</f>
        <v>-98917</v>
      </c>
      <c r="E52" s="11">
        <f xml:space="preserve"> -(20000+D83)</f>
        <v>-78917</v>
      </c>
      <c r="F52" s="11">
        <f xml:space="preserve"> -(105000+D83)</f>
        <v>-163917</v>
      </c>
      <c r="G52" s="11">
        <f xml:space="preserve"> -(20000+D83)</f>
        <v>-78917</v>
      </c>
      <c r="H52" s="11">
        <f xml:space="preserve"> -(D83)</f>
        <v>-58917</v>
      </c>
      <c r="I52" s="11">
        <f xml:space="preserve"> -(20000+D83)</f>
        <v>-78917</v>
      </c>
      <c r="J52" s="11">
        <f xml:space="preserve"> -(20000+D83)</f>
        <v>-78917</v>
      </c>
      <c r="K52" s="11">
        <f xml:space="preserve"> -(D83)</f>
        <v>-58917</v>
      </c>
      <c r="L52" s="11">
        <f xml:space="preserve"> -(20000+100000+D83)</f>
        <v>-178917</v>
      </c>
      <c r="M52" s="11">
        <f xml:space="preserve"> -(20000+D83)</f>
        <v>-78917</v>
      </c>
      <c r="N52" s="11">
        <f xml:space="preserve"> -(D83)</f>
        <v>-58917</v>
      </c>
      <c r="O52" s="11">
        <f>SUM(C52:N52)</f>
        <v>-1572004</v>
      </c>
      <c r="P52" s="1"/>
      <c r="Q52" s="1"/>
      <c r="R52" s="1"/>
      <c r="S52" s="2"/>
    </row>
    <row r="53" spans="1:19" ht="15.6" x14ac:dyDescent="0.3">
      <c r="A53" s="1"/>
      <c r="B53" s="7" t="s">
        <v>5</v>
      </c>
      <c r="C53" s="11">
        <v>220000</v>
      </c>
      <c r="D53" s="11">
        <v>220000</v>
      </c>
      <c r="E53" s="11">
        <v>220000</v>
      </c>
      <c r="F53" s="11">
        <v>220000</v>
      </c>
      <c r="G53" s="11">
        <v>220000</v>
      </c>
      <c r="H53" s="11">
        <v>220000</v>
      </c>
      <c r="I53" s="11">
        <v>220000</v>
      </c>
      <c r="J53" s="11">
        <v>220000</v>
      </c>
      <c r="K53" s="11">
        <v>220000</v>
      </c>
      <c r="L53" s="11">
        <v>220000</v>
      </c>
      <c r="M53" s="11">
        <v>220000</v>
      </c>
      <c r="N53" s="11">
        <v>220000</v>
      </c>
      <c r="O53" s="11">
        <f>SUM(C53:N53)</f>
        <v>2640000</v>
      </c>
      <c r="P53" s="1"/>
      <c r="Q53" s="1"/>
      <c r="R53" s="1"/>
      <c r="S53" s="2"/>
    </row>
    <row r="54" spans="1:19" ht="15.6" x14ac:dyDescent="0.3">
      <c r="A54" s="1"/>
      <c r="B54" s="34" t="s">
        <v>7</v>
      </c>
      <c r="C54" s="35">
        <f t="shared" ref="C54:N54" si="11">C53+C52</f>
        <v>-338917</v>
      </c>
      <c r="D54" s="36">
        <f t="shared" si="11"/>
        <v>121083</v>
      </c>
      <c r="E54" s="36">
        <f t="shared" si="11"/>
        <v>141083</v>
      </c>
      <c r="F54" s="36">
        <f t="shared" si="11"/>
        <v>56083</v>
      </c>
      <c r="G54" s="36">
        <f t="shared" si="11"/>
        <v>141083</v>
      </c>
      <c r="H54" s="36">
        <f t="shared" si="11"/>
        <v>161083</v>
      </c>
      <c r="I54" s="36">
        <f t="shared" si="11"/>
        <v>141083</v>
      </c>
      <c r="J54" s="36">
        <f t="shared" si="11"/>
        <v>141083</v>
      </c>
      <c r="K54" s="36">
        <f t="shared" si="11"/>
        <v>161083</v>
      </c>
      <c r="L54" s="36">
        <f t="shared" si="11"/>
        <v>41083</v>
      </c>
      <c r="M54" s="36">
        <f t="shared" si="11"/>
        <v>141083</v>
      </c>
      <c r="N54" s="36">
        <f t="shared" si="11"/>
        <v>161083</v>
      </c>
      <c r="O54" s="2"/>
      <c r="P54" s="1"/>
      <c r="Q54" s="1"/>
      <c r="R54" s="1"/>
      <c r="S54" s="2"/>
    </row>
    <row r="55" spans="1:19" ht="15.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2"/>
    </row>
    <row r="56" spans="1:19" ht="15.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2"/>
    </row>
    <row r="57" spans="1:19" ht="15.6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2"/>
    </row>
    <row r="58" spans="1:19" ht="15.6" x14ac:dyDescent="0.3">
      <c r="A58" s="1"/>
      <c r="B58" s="1" t="s">
        <v>30</v>
      </c>
      <c r="C58" s="1"/>
      <c r="D58" s="1" t="s">
        <v>31</v>
      </c>
      <c r="E58" s="1"/>
      <c r="F58" s="1" t="s">
        <v>32</v>
      </c>
      <c r="G58" s="1"/>
      <c r="H58" s="1" t="s">
        <v>33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2"/>
    </row>
    <row r="59" spans="1:19" ht="15.6" x14ac:dyDescent="0.3">
      <c r="A59" s="1"/>
      <c r="B59" s="1">
        <f>(((4*B68)*5)+(B68*2))*4</f>
        <v>220000</v>
      </c>
      <c r="C59" s="1"/>
      <c r="D59" s="11">
        <v>58917</v>
      </c>
      <c r="E59" s="1"/>
      <c r="F59" s="11">
        <v>4000000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2"/>
    </row>
    <row r="60" spans="1:19" ht="15.6" x14ac:dyDescent="0.3">
      <c r="A60" s="1"/>
      <c r="B60" s="1"/>
      <c r="C60" s="1"/>
      <c r="D60" s="11">
        <v>58917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2"/>
    </row>
    <row r="61" spans="1:19" ht="15.6" x14ac:dyDescent="0.3">
      <c r="A61" s="1"/>
      <c r="B61" s="1" t="s">
        <v>34</v>
      </c>
      <c r="C61" s="1"/>
      <c r="D61" s="11">
        <v>58917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2"/>
    </row>
    <row r="62" spans="1:19" ht="15.6" x14ac:dyDescent="0.3">
      <c r="A62" s="1"/>
      <c r="B62" s="1">
        <v>1900</v>
      </c>
      <c r="C62" s="1">
        <v>2020</v>
      </c>
      <c r="D62" s="11">
        <v>58917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2"/>
    </row>
    <row r="63" spans="1:19" ht="15.6" x14ac:dyDescent="0.3">
      <c r="A63" s="1"/>
      <c r="B63" s="1">
        <v>1900</v>
      </c>
      <c r="C63" s="1">
        <v>2021</v>
      </c>
      <c r="D63" s="11">
        <v>58917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2"/>
    </row>
    <row r="64" spans="1:19" ht="15.6" x14ac:dyDescent="0.3">
      <c r="A64" s="1"/>
      <c r="B64" s="1">
        <v>2000</v>
      </c>
      <c r="C64" s="1">
        <v>2022</v>
      </c>
      <c r="D64" s="11">
        <v>58917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2"/>
    </row>
    <row r="65" spans="1:19" ht="15.6" x14ac:dyDescent="0.3">
      <c r="A65" s="1"/>
      <c r="B65" s="1">
        <v>2200</v>
      </c>
      <c r="C65" s="1">
        <v>2023</v>
      </c>
      <c r="D65" s="11">
        <v>58917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2"/>
    </row>
    <row r="66" spans="1:19" ht="15.6" x14ac:dyDescent="0.3">
      <c r="A66" s="1"/>
      <c r="B66" s="1">
        <v>2300</v>
      </c>
      <c r="C66" s="1">
        <v>2024</v>
      </c>
      <c r="D66" s="11">
        <v>58917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2"/>
    </row>
    <row r="67" spans="1:19" ht="15.6" x14ac:dyDescent="0.3">
      <c r="A67" s="1"/>
      <c r="B67" s="1">
        <v>2400</v>
      </c>
      <c r="C67" s="1" t="s">
        <v>35</v>
      </c>
      <c r="D67" s="11">
        <v>58917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2"/>
    </row>
    <row r="68" spans="1:19" ht="15.6" x14ac:dyDescent="0.3">
      <c r="A68" s="1"/>
      <c r="B68" s="1">
        <v>2500</v>
      </c>
      <c r="C68" s="1">
        <v>2025</v>
      </c>
      <c r="D68" s="11">
        <v>58917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2"/>
    </row>
    <row r="69" spans="1:19" ht="15.6" x14ac:dyDescent="0.3">
      <c r="A69" s="1"/>
      <c r="B69" s="1"/>
      <c r="C69" s="1"/>
      <c r="D69" s="11">
        <v>58917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2"/>
    </row>
    <row r="70" spans="1:19" ht="15.6" x14ac:dyDescent="0.3">
      <c r="A70" s="1"/>
      <c r="B70" s="1"/>
      <c r="C70" s="1"/>
      <c r="D70" s="11">
        <v>58917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2"/>
    </row>
    <row r="71" spans="1:19" ht="15.6" x14ac:dyDescent="0.3">
      <c r="A71" s="1"/>
      <c r="B71" s="1"/>
      <c r="C71" s="1"/>
      <c r="D71" s="11">
        <v>58917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2"/>
    </row>
    <row r="72" spans="1:19" ht="15.6" x14ac:dyDescent="0.3">
      <c r="A72" s="1"/>
      <c r="B72" s="1"/>
      <c r="C72" s="1"/>
      <c r="D72" s="11">
        <v>58917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2"/>
    </row>
    <row r="73" spans="1:19" ht="15.6" x14ac:dyDescent="0.3">
      <c r="A73" s="1"/>
      <c r="B73" s="1"/>
      <c r="C73" s="1"/>
      <c r="D73" s="11">
        <v>58917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2"/>
    </row>
    <row r="74" spans="1:19" ht="15.6" x14ac:dyDescent="0.3">
      <c r="A74" s="1"/>
      <c r="B74" s="1"/>
      <c r="C74" s="1"/>
      <c r="D74" s="11">
        <v>58917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2"/>
    </row>
    <row r="75" spans="1:19" ht="15.6" x14ac:dyDescent="0.3">
      <c r="A75" s="1"/>
      <c r="B75" s="1"/>
      <c r="C75" s="1"/>
      <c r="D75" s="11">
        <v>58917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2"/>
    </row>
    <row r="76" spans="1:19" ht="15.6" x14ac:dyDescent="0.3">
      <c r="A76" s="1"/>
      <c r="B76" s="1"/>
      <c r="C76" s="1"/>
      <c r="D76" s="11">
        <v>58917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2"/>
    </row>
    <row r="77" spans="1:19" ht="15.6" x14ac:dyDescent="0.3">
      <c r="A77" s="1"/>
      <c r="B77" s="1"/>
      <c r="C77" s="1"/>
      <c r="D77" s="11">
        <v>58917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2"/>
    </row>
    <row r="78" spans="1:19" ht="15.6" x14ac:dyDescent="0.3">
      <c r="A78" s="1"/>
      <c r="B78" s="1"/>
      <c r="C78" s="1"/>
      <c r="D78" s="11">
        <v>58917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2"/>
    </row>
    <row r="79" spans="1:19" ht="15.6" x14ac:dyDescent="0.3">
      <c r="A79" s="1"/>
      <c r="B79" s="1"/>
      <c r="C79" s="1"/>
      <c r="D79" s="11">
        <v>58917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2"/>
    </row>
    <row r="80" spans="1:19" ht="15.6" x14ac:dyDescent="0.3">
      <c r="A80" s="1"/>
      <c r="B80" s="1"/>
      <c r="C80" s="1"/>
      <c r="D80" s="11">
        <v>58917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2"/>
    </row>
    <row r="81" spans="1:19" ht="15.6" x14ac:dyDescent="0.3">
      <c r="A81" s="1"/>
      <c r="B81" s="1"/>
      <c r="C81" s="1"/>
      <c r="D81" s="11">
        <v>58917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2"/>
    </row>
    <row r="82" spans="1:19" ht="15.6" x14ac:dyDescent="0.3">
      <c r="A82" s="1"/>
      <c r="B82" s="1"/>
      <c r="C82" s="1"/>
      <c r="D82" s="11">
        <v>58917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2"/>
    </row>
    <row r="83" spans="1:19" ht="15.6" x14ac:dyDescent="0.3">
      <c r="A83" s="1"/>
      <c r="B83" s="1"/>
      <c r="C83" s="1"/>
      <c r="D83" s="11">
        <v>58917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2"/>
    </row>
    <row r="84" spans="1:19" ht="15.6" x14ac:dyDescent="0.3">
      <c r="A84" s="1"/>
      <c r="B84" s="1"/>
      <c r="C84" s="1"/>
      <c r="D84" s="11">
        <v>58917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2"/>
    </row>
    <row r="85" spans="1:19" ht="15.6" x14ac:dyDescent="0.3">
      <c r="A85" s="1"/>
      <c r="B85" s="1"/>
      <c r="C85" s="1"/>
      <c r="D85" s="11">
        <v>58917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2"/>
    </row>
    <row r="86" spans="1:19" ht="15.6" x14ac:dyDescent="0.3">
      <c r="A86" s="1"/>
      <c r="B86" s="1"/>
      <c r="C86" s="1"/>
      <c r="D86" s="11">
        <v>58917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2"/>
    </row>
    <row r="87" spans="1:19" ht="15.6" x14ac:dyDescent="0.3">
      <c r="A87" s="1"/>
      <c r="B87" s="1"/>
      <c r="C87" s="1"/>
      <c r="D87" s="11">
        <v>58917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2"/>
    </row>
    <row r="88" spans="1:19" ht="15.6" x14ac:dyDescent="0.3">
      <c r="A88" s="1"/>
      <c r="B88" s="1"/>
      <c r="C88" s="1"/>
      <c r="D88" s="11">
        <v>58917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2"/>
    </row>
    <row r="89" spans="1:19" ht="15.6" x14ac:dyDescent="0.3">
      <c r="A89" s="1"/>
      <c r="B89" s="1"/>
      <c r="C89" s="1"/>
      <c r="D89" s="11">
        <v>58917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2"/>
    </row>
    <row r="90" spans="1:19" ht="15.6" x14ac:dyDescent="0.3">
      <c r="A90" s="1"/>
      <c r="B90" s="1"/>
      <c r="C90" s="1"/>
      <c r="D90" s="11">
        <v>58917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2"/>
    </row>
    <row r="91" spans="1:19" ht="15.6" x14ac:dyDescent="0.3">
      <c r="A91" s="1"/>
      <c r="B91" s="1"/>
      <c r="C91" s="1"/>
      <c r="D91" s="11">
        <v>58917</v>
      </c>
      <c r="E91" s="2">
        <f>D91*12</f>
        <v>707004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2"/>
    </row>
    <row r="92" spans="1:19" ht="15.6" x14ac:dyDescent="0.3">
      <c r="A92" s="1"/>
      <c r="B92" s="1"/>
      <c r="C92" s="1"/>
      <c r="D92" s="11">
        <v>58917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2"/>
    </row>
    <row r="93" spans="1:19" ht="15.6" x14ac:dyDescent="0.3">
      <c r="A93" s="1"/>
      <c r="B93" s="1"/>
      <c r="C93" s="1"/>
      <c r="D93" s="11">
        <v>58917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2"/>
    </row>
    <row r="94" spans="1:19" ht="15.6" x14ac:dyDescent="0.3">
      <c r="A94" s="1"/>
      <c r="B94" s="1"/>
      <c r="C94" s="1"/>
      <c r="D94" s="11">
        <v>58917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2"/>
    </row>
    <row r="95" spans="1:19" ht="15.6" x14ac:dyDescent="0.3">
      <c r="A95" s="1"/>
      <c r="B95" s="1"/>
      <c r="C95" s="1"/>
      <c r="D95" s="11">
        <v>58917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2"/>
    </row>
    <row r="96" spans="1:19" ht="15.6" x14ac:dyDescent="0.3">
      <c r="A96" s="1"/>
      <c r="B96" s="1"/>
      <c r="C96" s="1"/>
      <c r="D96" s="11">
        <v>58917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2"/>
    </row>
    <row r="97" spans="1:19" ht="15.6" x14ac:dyDescent="0.3">
      <c r="A97" s="1"/>
      <c r="B97" s="1"/>
      <c r="C97" s="1"/>
      <c r="D97" s="11">
        <v>58917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2"/>
    </row>
    <row r="98" spans="1:19" ht="15.6" x14ac:dyDescent="0.3">
      <c r="A98" s="1"/>
      <c r="B98" s="1"/>
      <c r="C98" s="1"/>
      <c r="D98" s="11">
        <v>58917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2"/>
    </row>
    <row r="99" spans="1:19" ht="15.6" x14ac:dyDescent="0.3">
      <c r="A99" s="1"/>
      <c r="B99" s="1"/>
      <c r="C99" s="1"/>
      <c r="D99" s="11">
        <v>58917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2"/>
    </row>
    <row r="100" spans="1:19" ht="15.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2"/>
    </row>
    <row r="101" spans="1:19" ht="15.6" x14ac:dyDescent="0.3">
      <c r="A101" s="1"/>
      <c r="R101" s="1"/>
      <c r="S101" s="2"/>
    </row>
    <row r="102" spans="1:19" ht="15.6" x14ac:dyDescent="0.3">
      <c r="A102" s="1"/>
      <c r="R102" s="1"/>
      <c r="S102" s="2"/>
    </row>
    <row r="103" spans="1:19" ht="15.6" x14ac:dyDescent="0.3">
      <c r="A103" s="1"/>
      <c r="R103" s="1"/>
      <c r="S103" s="2"/>
    </row>
    <row r="104" spans="1:19" ht="15.6" x14ac:dyDescent="0.3">
      <c r="A104" s="1"/>
      <c r="R104" s="1"/>
      <c r="S104" s="2"/>
    </row>
    <row r="105" spans="1:19" ht="15.6" x14ac:dyDescent="0.3">
      <c r="A105" s="1"/>
      <c r="R105" s="1"/>
      <c r="S105" s="2"/>
    </row>
    <row r="106" spans="1:19" ht="15.6" x14ac:dyDescent="0.3">
      <c r="A106" s="1"/>
      <c r="R106" s="1"/>
      <c r="S106" s="2"/>
    </row>
    <row r="107" spans="1:19" ht="15.6" x14ac:dyDescent="0.3">
      <c r="A107" s="1"/>
      <c r="R107" s="1"/>
      <c r="S107" s="2"/>
    </row>
    <row r="108" spans="1:19" ht="15.6" x14ac:dyDescent="0.3">
      <c r="A108" s="1"/>
      <c r="R108" s="1"/>
      <c r="S108" s="2"/>
    </row>
    <row r="109" spans="1:19" ht="15.6" x14ac:dyDescent="0.3">
      <c r="A109" s="1"/>
      <c r="R109" s="1"/>
      <c r="S109" s="2"/>
    </row>
    <row r="110" spans="1:19" ht="15.6" x14ac:dyDescent="0.3">
      <c r="A110" s="1"/>
      <c r="R110" s="1"/>
      <c r="S110" s="2"/>
    </row>
    <row r="111" spans="1:19" ht="15.6" x14ac:dyDescent="0.3">
      <c r="A111" s="1"/>
      <c r="R111" s="1"/>
      <c r="S111" s="2"/>
    </row>
    <row r="112" spans="1:19" ht="15.6" x14ac:dyDescent="0.3">
      <c r="A112" s="1"/>
      <c r="R112" s="1"/>
      <c r="S112" s="2"/>
    </row>
    <row r="113" spans="1:19" ht="15.6" x14ac:dyDescent="0.3">
      <c r="A113" s="1"/>
      <c r="R113" s="1"/>
      <c r="S113" s="2"/>
    </row>
    <row r="114" spans="1:19" ht="15.6" x14ac:dyDescent="0.3">
      <c r="A114" s="1"/>
      <c r="R114" s="1"/>
      <c r="S114" s="2"/>
    </row>
    <row r="115" spans="1:19" ht="15.6" x14ac:dyDescent="0.3">
      <c r="A115" s="1"/>
      <c r="R115" s="1"/>
      <c r="S115" s="2"/>
    </row>
    <row r="116" spans="1:19" ht="15.6" x14ac:dyDescent="0.3">
      <c r="A116" s="1"/>
      <c r="R116" s="1"/>
      <c r="S116" s="2"/>
    </row>
    <row r="117" spans="1:19" ht="15.6" x14ac:dyDescent="0.3">
      <c r="A117" s="1"/>
      <c r="R117" s="1"/>
      <c r="S117" s="2"/>
    </row>
  </sheetData>
  <mergeCells count="2">
    <mergeCell ref="B2:H2"/>
    <mergeCell ref="B16:H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A4B09-CCA6-4CB4-BF0B-53837243CDB2}">
  <sheetPr codeName="Hoja2"/>
  <dimension ref="B1:Q90"/>
  <sheetViews>
    <sheetView zoomScale="55" zoomScaleNormal="55" workbookViewId="0">
      <selection activeCell="O21" sqref="O21"/>
    </sheetView>
  </sheetViews>
  <sheetFormatPr baseColWidth="10" defaultRowHeight="14.4" x14ac:dyDescent="0.3"/>
  <cols>
    <col min="1" max="1" width="4.6640625" customWidth="1"/>
    <col min="2" max="2" width="34.6640625" customWidth="1"/>
    <col min="3" max="3" width="18.6640625" customWidth="1"/>
    <col min="4" max="5" width="15.5546875" customWidth="1"/>
    <col min="6" max="6" width="15" customWidth="1"/>
    <col min="7" max="7" width="14.5546875" customWidth="1"/>
    <col min="8" max="8" width="15" customWidth="1"/>
    <col min="9" max="9" width="14.5546875" customWidth="1"/>
    <col min="10" max="10" width="20.6640625" customWidth="1"/>
    <col min="11" max="11" width="18.44140625" customWidth="1"/>
    <col min="12" max="12" width="16.109375" customWidth="1"/>
    <col min="13" max="13" width="16.5546875" customWidth="1"/>
    <col min="14" max="14" width="13.6640625" customWidth="1"/>
    <col min="15" max="15" width="20" customWidth="1"/>
  </cols>
  <sheetData>
    <row r="1" spans="2:17" ht="16.2" thickBot="1" x14ac:dyDescent="0.35">
      <c r="B1" s="58" t="s">
        <v>39</v>
      </c>
      <c r="C1" s="59"/>
      <c r="D1" s="59"/>
      <c r="E1" s="59"/>
      <c r="F1" s="59"/>
      <c r="G1" s="59"/>
      <c r="H1" s="60"/>
      <c r="I1" s="3"/>
      <c r="J1" s="3"/>
      <c r="K1" s="3"/>
      <c r="L1" s="3"/>
      <c r="M1" s="3"/>
      <c r="N1" s="3"/>
      <c r="O1" s="3"/>
      <c r="P1" s="3"/>
      <c r="Q1" s="1"/>
    </row>
    <row r="2" spans="2:17" ht="16.2" thickBot="1" x14ac:dyDescent="0.3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2:17" ht="15.6" x14ac:dyDescent="0.3">
      <c r="B3" s="4" t="s">
        <v>1</v>
      </c>
      <c r="C3" s="5">
        <v>2020</v>
      </c>
      <c r="D3" s="5">
        <v>2021</v>
      </c>
      <c r="E3" s="5">
        <f>D3+1</f>
        <v>2022</v>
      </c>
      <c r="F3" s="5">
        <f t="shared" ref="F3:H3" si="0">E3+1</f>
        <v>2023</v>
      </c>
      <c r="G3" s="5">
        <f t="shared" si="0"/>
        <v>2024</v>
      </c>
      <c r="H3" s="6">
        <f t="shared" si="0"/>
        <v>2025</v>
      </c>
      <c r="I3" s="4" t="s">
        <v>2</v>
      </c>
      <c r="J3" s="53">
        <f>ABS(SUM(C4:H4))</f>
        <v>13543200</v>
      </c>
      <c r="L3" s="3"/>
      <c r="M3" s="3"/>
      <c r="N3" s="3"/>
      <c r="O3" s="3"/>
      <c r="P3" s="3"/>
      <c r="Q3" s="3"/>
    </row>
    <row r="4" spans="2:17" ht="15.6" x14ac:dyDescent="0.3">
      <c r="B4" s="9" t="s">
        <v>3</v>
      </c>
      <c r="C4" s="10">
        <f>$O21</f>
        <v>-2006400</v>
      </c>
      <c r="D4" s="11">
        <f>$O27</f>
        <v>-2006400</v>
      </c>
      <c r="E4" s="11">
        <f>$O33</f>
        <v>-2112000</v>
      </c>
      <c r="F4" s="11">
        <f>$O39</f>
        <v>-2323200</v>
      </c>
      <c r="G4" s="11">
        <f>$O45</f>
        <v>-2455200</v>
      </c>
      <c r="H4" s="12">
        <f>$O51</f>
        <v>-2640000</v>
      </c>
      <c r="I4" s="9" t="s">
        <v>4</v>
      </c>
      <c r="J4" s="54">
        <f>SUM(C5:H5)</f>
        <v>0</v>
      </c>
      <c r="L4" s="13"/>
      <c r="M4" s="13"/>
      <c r="N4" s="13"/>
      <c r="O4" s="13"/>
      <c r="P4" s="13"/>
      <c r="Q4" s="13"/>
    </row>
    <row r="5" spans="2:17" ht="16.2" thickBot="1" x14ac:dyDescent="0.35">
      <c r="B5" s="9" t="s">
        <v>5</v>
      </c>
      <c r="C5" s="11">
        <f>$O22</f>
        <v>0</v>
      </c>
      <c r="D5" s="11">
        <f>$O28</f>
        <v>0</v>
      </c>
      <c r="E5" s="11">
        <f>$O34</f>
        <v>0</v>
      </c>
      <c r="F5" s="11">
        <f>$O40</f>
        <v>0</v>
      </c>
      <c r="G5" s="11">
        <f>$O46</f>
        <v>0</v>
      </c>
      <c r="H5" s="38">
        <f>$O52</f>
        <v>0</v>
      </c>
      <c r="I5" s="55" t="s">
        <v>6</v>
      </c>
      <c r="J5" s="56">
        <f>J4/J3</f>
        <v>0</v>
      </c>
      <c r="L5" s="13"/>
      <c r="M5" s="13"/>
      <c r="N5" s="13"/>
      <c r="O5" s="13"/>
      <c r="P5" s="13"/>
      <c r="Q5" s="13"/>
    </row>
    <row r="6" spans="2:17" ht="16.2" thickBot="1" x14ac:dyDescent="0.35">
      <c r="B6" s="14" t="s">
        <v>7</v>
      </c>
      <c r="C6" s="16">
        <f t="shared" ref="C6:H6" si="1">C5+C4</f>
        <v>-2006400</v>
      </c>
      <c r="D6" s="16">
        <f t="shared" si="1"/>
        <v>-2006400</v>
      </c>
      <c r="E6" s="16">
        <f t="shared" si="1"/>
        <v>-2112000</v>
      </c>
      <c r="F6" s="16">
        <f t="shared" si="1"/>
        <v>-2323200</v>
      </c>
      <c r="G6" s="17">
        <f t="shared" si="1"/>
        <v>-2455200</v>
      </c>
      <c r="H6" s="39">
        <f t="shared" si="1"/>
        <v>-2640000</v>
      </c>
      <c r="I6" s="2"/>
      <c r="J6" s="2"/>
      <c r="L6" s="2"/>
      <c r="M6" s="2"/>
      <c r="N6" s="2"/>
      <c r="O6" s="2"/>
      <c r="P6" s="2"/>
      <c r="Q6" s="2"/>
    </row>
    <row r="7" spans="2:17" ht="16.2" thickBot="1" x14ac:dyDescent="0.3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2:17" ht="15.6" x14ac:dyDescent="0.3">
      <c r="B8" s="20" t="s">
        <v>1</v>
      </c>
      <c r="C8" s="4">
        <v>2020</v>
      </c>
      <c r="D8" s="4">
        <v>2021</v>
      </c>
      <c r="E8" s="5">
        <v>2022</v>
      </c>
      <c r="F8" s="5">
        <f>E8+1</f>
        <v>2023</v>
      </c>
      <c r="G8" s="21">
        <f t="shared" ref="G8:H8" si="2">F8+1</f>
        <v>2024</v>
      </c>
      <c r="H8" s="20">
        <f t="shared" si="2"/>
        <v>2025</v>
      </c>
      <c r="J8" s="40"/>
      <c r="K8" s="3"/>
      <c r="L8" s="3"/>
      <c r="M8" s="3"/>
      <c r="N8" s="3"/>
      <c r="O8" s="3"/>
      <c r="P8" s="3"/>
      <c r="Q8" s="3"/>
    </row>
    <row r="9" spans="2:17" ht="16.2" thickBot="1" x14ac:dyDescent="0.35">
      <c r="B9" s="22" t="s">
        <v>7</v>
      </c>
      <c r="C9" s="23">
        <f>C6*1.05</f>
        <v>-2106720</v>
      </c>
      <c r="D9" s="23">
        <f>D6*1.04</f>
        <v>-2086656</v>
      </c>
      <c r="E9" s="24">
        <f>E6*1.06</f>
        <v>-2238720</v>
      </c>
      <c r="F9" s="24">
        <f>F6*1.05</f>
        <v>-2439360</v>
      </c>
      <c r="G9" s="25">
        <f>G6*1.05</f>
        <v>-2577960</v>
      </c>
      <c r="H9" s="26">
        <f>H6*1.05</f>
        <v>-2772000</v>
      </c>
      <c r="J9" s="41"/>
      <c r="K9" s="2"/>
      <c r="L9" s="2"/>
      <c r="M9" s="2"/>
      <c r="N9" s="2"/>
      <c r="O9" s="2"/>
      <c r="P9" s="2"/>
      <c r="Q9" s="2"/>
    </row>
    <row r="10" spans="2:17" ht="16.2" thickBot="1" x14ac:dyDescent="0.3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2:17" ht="15.6" x14ac:dyDescent="0.3">
      <c r="B11" s="27" t="s">
        <v>8</v>
      </c>
      <c r="C11" s="28">
        <f>2%+15%*0</f>
        <v>0.02</v>
      </c>
      <c r="D11" s="1"/>
      <c r="E11" s="1"/>
      <c r="F11" s="1"/>
      <c r="G11" s="1"/>
      <c r="H11" s="51" t="s">
        <v>9</v>
      </c>
      <c r="I11" s="1"/>
      <c r="J11" s="1"/>
      <c r="K11" s="1"/>
      <c r="L11" s="1"/>
      <c r="M11" s="1"/>
      <c r="N11" s="1"/>
      <c r="O11" s="1"/>
      <c r="P11" s="1"/>
      <c r="Q11" s="1"/>
    </row>
    <row r="12" spans="2:17" ht="16.2" thickBot="1" x14ac:dyDescent="0.35">
      <c r="B12" s="29" t="s">
        <v>10</v>
      </c>
      <c r="C12" s="30">
        <f>NPV(C11,C9:H9)</f>
        <v>-13230622.274247261</v>
      </c>
      <c r="D12" s="1"/>
      <c r="E12" s="31"/>
      <c r="F12" s="1"/>
      <c r="G12" s="1"/>
      <c r="H12" s="52" t="e">
        <f>IRR(C9:H9)</f>
        <v>#NUM!</v>
      </c>
      <c r="I12" s="32"/>
      <c r="J12" s="32"/>
      <c r="K12" s="32"/>
      <c r="L12" s="32"/>
      <c r="M12" s="32"/>
      <c r="N12" s="32"/>
      <c r="O12" s="32"/>
      <c r="P12" s="32"/>
      <c r="Q12" s="1"/>
    </row>
    <row r="13" spans="2:17" ht="15.6" x14ac:dyDescent="0.3">
      <c r="B13" s="43"/>
      <c r="C13" s="44"/>
      <c r="D13" s="42"/>
      <c r="E13" s="45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</row>
    <row r="14" spans="2:17" ht="15.6" x14ac:dyDescent="0.3">
      <c r="B14" s="47"/>
      <c r="C14" s="48"/>
      <c r="D14" s="42"/>
      <c r="E14" s="45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</row>
    <row r="15" spans="2:17" ht="15.6" x14ac:dyDescent="0.3">
      <c r="B15" s="61"/>
      <c r="C15" s="61"/>
      <c r="D15" s="61"/>
      <c r="E15" s="61"/>
      <c r="F15" s="61"/>
      <c r="G15" s="61"/>
      <c r="H15" s="61"/>
      <c r="I15" s="40"/>
      <c r="J15" s="40"/>
      <c r="K15" s="40"/>
      <c r="L15" s="40"/>
      <c r="M15" s="40"/>
      <c r="N15" s="40"/>
      <c r="O15" s="40"/>
      <c r="P15" s="40"/>
      <c r="Q15" s="42"/>
    </row>
    <row r="16" spans="2:17" ht="15.6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2:17" ht="15.6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2:17" ht="15.6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2:17" ht="15.6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2:17" ht="15.6" x14ac:dyDescent="0.3">
      <c r="B20" s="7" t="s">
        <v>11</v>
      </c>
      <c r="C20" s="7" t="s">
        <v>12</v>
      </c>
      <c r="D20" s="7" t="s">
        <v>13</v>
      </c>
      <c r="E20" s="7" t="s">
        <v>14</v>
      </c>
      <c r="F20" s="7" t="s">
        <v>15</v>
      </c>
      <c r="G20" s="7" t="s">
        <v>16</v>
      </c>
      <c r="H20" s="7" t="s">
        <v>17</v>
      </c>
      <c r="I20" s="7" t="s">
        <v>18</v>
      </c>
      <c r="J20" s="7" t="s">
        <v>19</v>
      </c>
      <c r="K20" s="7" t="s">
        <v>20</v>
      </c>
      <c r="L20" s="7" t="s">
        <v>21</v>
      </c>
      <c r="M20" s="7" t="s">
        <v>22</v>
      </c>
      <c r="N20" s="7" t="s">
        <v>23</v>
      </c>
      <c r="O20" s="7" t="s">
        <v>24</v>
      </c>
      <c r="P20" s="3"/>
      <c r="Q20" s="3"/>
    </row>
    <row r="21" spans="2:17" ht="15.6" x14ac:dyDescent="0.3">
      <c r="B21" s="7" t="s">
        <v>3</v>
      </c>
      <c r="C21" s="33">
        <f>-(167200)</f>
        <v>-167200</v>
      </c>
      <c r="D21" s="33">
        <f t="shared" ref="D21:N21" si="3">-(167200)</f>
        <v>-167200</v>
      </c>
      <c r="E21" s="33">
        <f t="shared" si="3"/>
        <v>-167200</v>
      </c>
      <c r="F21" s="33">
        <f t="shared" si="3"/>
        <v>-167200</v>
      </c>
      <c r="G21" s="33">
        <f t="shared" si="3"/>
        <v>-167200</v>
      </c>
      <c r="H21" s="33">
        <f t="shared" si="3"/>
        <v>-167200</v>
      </c>
      <c r="I21" s="33">
        <f t="shared" si="3"/>
        <v>-167200</v>
      </c>
      <c r="J21" s="33">
        <f t="shared" si="3"/>
        <v>-167200</v>
      </c>
      <c r="K21" s="33">
        <f t="shared" si="3"/>
        <v>-167200</v>
      </c>
      <c r="L21" s="33">
        <f t="shared" si="3"/>
        <v>-167200</v>
      </c>
      <c r="M21" s="33">
        <f t="shared" si="3"/>
        <v>-167200</v>
      </c>
      <c r="N21" s="33">
        <f t="shared" si="3"/>
        <v>-167200</v>
      </c>
      <c r="O21" s="11">
        <f>SUM(C21:N21)</f>
        <v>-2006400</v>
      </c>
      <c r="P21" s="13"/>
      <c r="Q21" s="13"/>
    </row>
    <row r="22" spans="2:17" ht="15.6" x14ac:dyDescent="0.3">
      <c r="B22" s="7" t="s">
        <v>5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f>SUM(C22:N22)</f>
        <v>0</v>
      </c>
      <c r="P22" s="13"/>
      <c r="Q22" s="13"/>
    </row>
    <row r="23" spans="2:17" ht="15.6" x14ac:dyDescent="0.3">
      <c r="B23" s="34" t="s">
        <v>7</v>
      </c>
      <c r="C23" s="35">
        <f t="shared" ref="C23:N23" si="4">C22+C21</f>
        <v>-167200</v>
      </c>
      <c r="D23" s="35">
        <f t="shared" si="4"/>
        <v>-167200</v>
      </c>
      <c r="E23" s="35">
        <f t="shared" si="4"/>
        <v>-167200</v>
      </c>
      <c r="F23" s="35">
        <f t="shared" si="4"/>
        <v>-167200</v>
      </c>
      <c r="G23" s="35">
        <f t="shared" si="4"/>
        <v>-167200</v>
      </c>
      <c r="H23" s="35">
        <f t="shared" si="4"/>
        <v>-167200</v>
      </c>
      <c r="I23" s="35">
        <f t="shared" si="4"/>
        <v>-167200</v>
      </c>
      <c r="J23" s="35">
        <f t="shared" si="4"/>
        <v>-167200</v>
      </c>
      <c r="K23" s="35">
        <f t="shared" si="4"/>
        <v>-167200</v>
      </c>
      <c r="L23" s="35">
        <f t="shared" si="4"/>
        <v>-167200</v>
      </c>
      <c r="M23" s="35">
        <f t="shared" si="4"/>
        <v>-167200</v>
      </c>
      <c r="N23" s="35">
        <f t="shared" si="4"/>
        <v>-167200</v>
      </c>
      <c r="O23" s="2"/>
      <c r="P23" s="2"/>
      <c r="Q23" s="2"/>
    </row>
    <row r="24" spans="2:17" ht="15.6" x14ac:dyDescent="0.3">
      <c r="B24" s="37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2:17" ht="15.6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2:17" ht="15.6" x14ac:dyDescent="0.3">
      <c r="B26" s="7" t="s">
        <v>25</v>
      </c>
      <c r="C26" s="7" t="s">
        <v>12</v>
      </c>
      <c r="D26" s="7" t="s">
        <v>13</v>
      </c>
      <c r="E26" s="7" t="s">
        <v>14</v>
      </c>
      <c r="F26" s="7" t="s">
        <v>15</v>
      </c>
      <c r="G26" s="7" t="s">
        <v>16</v>
      </c>
      <c r="H26" s="7" t="s">
        <v>17</v>
      </c>
      <c r="I26" s="7" t="s">
        <v>18</v>
      </c>
      <c r="J26" s="7" t="s">
        <v>19</v>
      </c>
      <c r="K26" s="7" t="s">
        <v>20</v>
      </c>
      <c r="L26" s="7" t="s">
        <v>21</v>
      </c>
      <c r="M26" s="7" t="s">
        <v>22</v>
      </c>
      <c r="N26" s="7" t="s">
        <v>23</v>
      </c>
      <c r="O26" s="7" t="s">
        <v>24</v>
      </c>
      <c r="P26" s="1"/>
      <c r="Q26" s="1"/>
    </row>
    <row r="27" spans="2:17" ht="15.6" x14ac:dyDescent="0.3">
      <c r="B27" s="7" t="s">
        <v>3</v>
      </c>
      <c r="C27" s="33">
        <f>-(167200)</f>
        <v>-167200</v>
      </c>
      <c r="D27" s="33">
        <f t="shared" ref="D27:N27" si="5">-(167200)</f>
        <v>-167200</v>
      </c>
      <c r="E27" s="33">
        <f t="shared" si="5"/>
        <v>-167200</v>
      </c>
      <c r="F27" s="33">
        <f t="shared" si="5"/>
        <v>-167200</v>
      </c>
      <c r="G27" s="33">
        <f t="shared" si="5"/>
        <v>-167200</v>
      </c>
      <c r="H27" s="33">
        <f t="shared" si="5"/>
        <v>-167200</v>
      </c>
      <c r="I27" s="33">
        <f t="shared" si="5"/>
        <v>-167200</v>
      </c>
      <c r="J27" s="33">
        <f t="shared" si="5"/>
        <v>-167200</v>
      </c>
      <c r="K27" s="33">
        <f t="shared" si="5"/>
        <v>-167200</v>
      </c>
      <c r="L27" s="33">
        <f t="shared" si="5"/>
        <v>-167200</v>
      </c>
      <c r="M27" s="33">
        <f t="shared" si="5"/>
        <v>-167200</v>
      </c>
      <c r="N27" s="33">
        <f t="shared" si="5"/>
        <v>-167200</v>
      </c>
      <c r="O27" s="11">
        <f>SUM(C27:N27)</f>
        <v>-2006400</v>
      </c>
      <c r="P27" s="1"/>
      <c r="Q27" s="1"/>
    </row>
    <row r="28" spans="2:17" ht="15.6" x14ac:dyDescent="0.3">
      <c r="B28" s="7" t="s">
        <v>5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f>SUM(C28:N28)</f>
        <v>0</v>
      </c>
      <c r="P28" s="1"/>
      <c r="Q28" s="1"/>
    </row>
    <row r="29" spans="2:17" ht="15.6" x14ac:dyDescent="0.3">
      <c r="B29" s="34" t="s">
        <v>7</v>
      </c>
      <c r="C29" s="35">
        <f t="shared" ref="C29:N29" si="6">C28+C27</f>
        <v>-167200</v>
      </c>
      <c r="D29" s="35">
        <f t="shared" si="6"/>
        <v>-167200</v>
      </c>
      <c r="E29" s="35">
        <f t="shared" si="6"/>
        <v>-167200</v>
      </c>
      <c r="F29" s="35">
        <f t="shared" si="6"/>
        <v>-167200</v>
      </c>
      <c r="G29" s="35">
        <f t="shared" si="6"/>
        <v>-167200</v>
      </c>
      <c r="H29" s="35">
        <f t="shared" si="6"/>
        <v>-167200</v>
      </c>
      <c r="I29" s="35">
        <f t="shared" si="6"/>
        <v>-167200</v>
      </c>
      <c r="J29" s="35">
        <f t="shared" si="6"/>
        <v>-167200</v>
      </c>
      <c r="K29" s="35">
        <f t="shared" si="6"/>
        <v>-167200</v>
      </c>
      <c r="L29" s="35">
        <f t="shared" si="6"/>
        <v>-167200</v>
      </c>
      <c r="M29" s="35">
        <f t="shared" si="6"/>
        <v>-167200</v>
      </c>
      <c r="N29" s="35">
        <f t="shared" si="6"/>
        <v>-167200</v>
      </c>
      <c r="O29" s="2"/>
      <c r="P29" s="1"/>
      <c r="Q29" s="1"/>
    </row>
    <row r="30" spans="2:17" ht="15.6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2:17" ht="15.6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2:17" ht="15.6" x14ac:dyDescent="0.3">
      <c r="B32" s="7" t="s">
        <v>26</v>
      </c>
      <c r="C32" s="7" t="s">
        <v>12</v>
      </c>
      <c r="D32" s="7" t="s">
        <v>13</v>
      </c>
      <c r="E32" s="7" t="s">
        <v>14</v>
      </c>
      <c r="F32" s="7" t="s">
        <v>15</v>
      </c>
      <c r="G32" s="7" t="s">
        <v>16</v>
      </c>
      <c r="H32" s="7" t="s">
        <v>17</v>
      </c>
      <c r="I32" s="7" t="s">
        <v>18</v>
      </c>
      <c r="J32" s="7" t="s">
        <v>19</v>
      </c>
      <c r="K32" s="7" t="s">
        <v>20</v>
      </c>
      <c r="L32" s="7" t="s">
        <v>21</v>
      </c>
      <c r="M32" s="7" t="s">
        <v>22</v>
      </c>
      <c r="N32" s="7" t="s">
        <v>23</v>
      </c>
      <c r="O32" s="7" t="s">
        <v>24</v>
      </c>
      <c r="P32" s="1"/>
      <c r="Q32" s="1"/>
    </row>
    <row r="33" spans="2:17" ht="15.6" x14ac:dyDescent="0.3">
      <c r="B33" s="7" t="s">
        <v>3</v>
      </c>
      <c r="C33" s="33">
        <f>-(176000)</f>
        <v>-176000</v>
      </c>
      <c r="D33" s="33">
        <f t="shared" ref="D33:N33" si="7">-(176000)</f>
        <v>-176000</v>
      </c>
      <c r="E33" s="33">
        <f t="shared" si="7"/>
        <v>-176000</v>
      </c>
      <c r="F33" s="33">
        <f t="shared" si="7"/>
        <v>-176000</v>
      </c>
      <c r="G33" s="33">
        <f t="shared" si="7"/>
        <v>-176000</v>
      </c>
      <c r="H33" s="33">
        <f t="shared" si="7"/>
        <v>-176000</v>
      </c>
      <c r="I33" s="33">
        <f t="shared" si="7"/>
        <v>-176000</v>
      </c>
      <c r="J33" s="33">
        <f t="shared" si="7"/>
        <v>-176000</v>
      </c>
      <c r="K33" s="33">
        <f t="shared" si="7"/>
        <v>-176000</v>
      </c>
      <c r="L33" s="33">
        <f t="shared" si="7"/>
        <v>-176000</v>
      </c>
      <c r="M33" s="33">
        <f t="shared" si="7"/>
        <v>-176000</v>
      </c>
      <c r="N33" s="33">
        <f t="shared" si="7"/>
        <v>-176000</v>
      </c>
      <c r="O33" s="11">
        <f>SUM(C33:N33)</f>
        <v>-2112000</v>
      </c>
      <c r="P33" s="1"/>
      <c r="Q33" s="1"/>
    </row>
    <row r="34" spans="2:17" ht="15.6" x14ac:dyDescent="0.3">
      <c r="B34" s="7" t="s">
        <v>5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f>SUM(C34:N34)</f>
        <v>0</v>
      </c>
      <c r="P34" s="1"/>
      <c r="Q34" s="1"/>
    </row>
    <row r="35" spans="2:17" ht="15.6" x14ac:dyDescent="0.3">
      <c r="B35" s="34" t="s">
        <v>7</v>
      </c>
      <c r="C35" s="35">
        <f t="shared" ref="C35:N35" si="8">C34+C33</f>
        <v>-176000</v>
      </c>
      <c r="D35" s="35">
        <f t="shared" si="8"/>
        <v>-176000</v>
      </c>
      <c r="E35" s="35">
        <f t="shared" si="8"/>
        <v>-176000</v>
      </c>
      <c r="F35" s="35">
        <f t="shared" si="8"/>
        <v>-176000</v>
      </c>
      <c r="G35" s="35">
        <f t="shared" si="8"/>
        <v>-176000</v>
      </c>
      <c r="H35" s="35">
        <f t="shared" si="8"/>
        <v>-176000</v>
      </c>
      <c r="I35" s="35">
        <f t="shared" si="8"/>
        <v>-176000</v>
      </c>
      <c r="J35" s="35">
        <f t="shared" si="8"/>
        <v>-176000</v>
      </c>
      <c r="K35" s="35">
        <f t="shared" si="8"/>
        <v>-176000</v>
      </c>
      <c r="L35" s="35">
        <f t="shared" si="8"/>
        <v>-176000</v>
      </c>
      <c r="M35" s="35">
        <f t="shared" si="8"/>
        <v>-176000</v>
      </c>
      <c r="N35" s="35">
        <f t="shared" si="8"/>
        <v>-176000</v>
      </c>
      <c r="O35" s="2"/>
      <c r="P35" s="1"/>
      <c r="Q35" s="1"/>
    </row>
    <row r="36" spans="2:17" ht="15.6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2:17" ht="15.6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2:17" ht="15.6" x14ac:dyDescent="0.3">
      <c r="B38" s="7" t="s">
        <v>27</v>
      </c>
      <c r="C38" s="7" t="s">
        <v>12</v>
      </c>
      <c r="D38" s="7" t="s">
        <v>13</v>
      </c>
      <c r="E38" s="7" t="s">
        <v>14</v>
      </c>
      <c r="F38" s="7" t="s">
        <v>15</v>
      </c>
      <c r="G38" s="7" t="s">
        <v>16</v>
      </c>
      <c r="H38" s="7" t="s">
        <v>17</v>
      </c>
      <c r="I38" s="7" t="s">
        <v>18</v>
      </c>
      <c r="J38" s="7" t="s">
        <v>19</v>
      </c>
      <c r="K38" s="7" t="s">
        <v>20</v>
      </c>
      <c r="L38" s="7" t="s">
        <v>21</v>
      </c>
      <c r="M38" s="7" t="s">
        <v>22</v>
      </c>
      <c r="N38" s="7" t="s">
        <v>23</v>
      </c>
      <c r="O38" s="7" t="s">
        <v>24</v>
      </c>
      <c r="P38" s="1"/>
      <c r="Q38" s="1"/>
    </row>
    <row r="39" spans="2:17" ht="15.6" x14ac:dyDescent="0.3">
      <c r="B39" s="7" t="s">
        <v>3</v>
      </c>
      <c r="C39" s="33">
        <f>-(193600)</f>
        <v>-193600</v>
      </c>
      <c r="D39" s="33">
        <f t="shared" ref="D39:N39" si="9">-(193600)</f>
        <v>-193600</v>
      </c>
      <c r="E39" s="33">
        <f t="shared" si="9"/>
        <v>-193600</v>
      </c>
      <c r="F39" s="33">
        <f t="shared" si="9"/>
        <v>-193600</v>
      </c>
      <c r="G39" s="33">
        <f t="shared" si="9"/>
        <v>-193600</v>
      </c>
      <c r="H39" s="33">
        <f t="shared" si="9"/>
        <v>-193600</v>
      </c>
      <c r="I39" s="33">
        <f t="shared" si="9"/>
        <v>-193600</v>
      </c>
      <c r="J39" s="33">
        <f t="shared" si="9"/>
        <v>-193600</v>
      </c>
      <c r="K39" s="33">
        <f t="shared" si="9"/>
        <v>-193600</v>
      </c>
      <c r="L39" s="33">
        <f t="shared" si="9"/>
        <v>-193600</v>
      </c>
      <c r="M39" s="33">
        <f t="shared" si="9"/>
        <v>-193600</v>
      </c>
      <c r="N39" s="33">
        <f t="shared" si="9"/>
        <v>-193600</v>
      </c>
      <c r="O39" s="11">
        <f>SUM(C39:N39)</f>
        <v>-2323200</v>
      </c>
      <c r="P39" s="1"/>
      <c r="Q39" s="1"/>
    </row>
    <row r="40" spans="2:17" ht="15.6" x14ac:dyDescent="0.3">
      <c r="B40" s="7" t="s">
        <v>5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f>SUM(C40:N40)</f>
        <v>0</v>
      </c>
      <c r="P40" s="1"/>
      <c r="Q40" s="1"/>
    </row>
    <row r="41" spans="2:17" ht="15.6" x14ac:dyDescent="0.3">
      <c r="B41" s="34" t="s">
        <v>7</v>
      </c>
      <c r="C41" s="35">
        <f t="shared" ref="C41:N41" si="10">C40+C39</f>
        <v>-193600</v>
      </c>
      <c r="D41" s="35">
        <f t="shared" si="10"/>
        <v>-193600</v>
      </c>
      <c r="E41" s="35">
        <f t="shared" si="10"/>
        <v>-193600</v>
      </c>
      <c r="F41" s="35">
        <f t="shared" si="10"/>
        <v>-193600</v>
      </c>
      <c r="G41" s="35">
        <f t="shared" si="10"/>
        <v>-193600</v>
      </c>
      <c r="H41" s="35">
        <f t="shared" si="10"/>
        <v>-193600</v>
      </c>
      <c r="I41" s="35">
        <f t="shared" si="10"/>
        <v>-193600</v>
      </c>
      <c r="J41" s="35">
        <f t="shared" si="10"/>
        <v>-193600</v>
      </c>
      <c r="K41" s="35">
        <f t="shared" si="10"/>
        <v>-193600</v>
      </c>
      <c r="L41" s="35">
        <f t="shared" si="10"/>
        <v>-193600</v>
      </c>
      <c r="M41" s="35">
        <f t="shared" si="10"/>
        <v>-193600</v>
      </c>
      <c r="N41" s="35">
        <f t="shared" si="10"/>
        <v>-193600</v>
      </c>
      <c r="O41" s="2"/>
      <c r="P41" s="1"/>
      <c r="Q41" s="1"/>
    </row>
    <row r="42" spans="2:17" ht="15.6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2:17" ht="15.6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2:17" ht="15.6" x14ac:dyDescent="0.3">
      <c r="B44" s="7" t="s">
        <v>28</v>
      </c>
      <c r="C44" s="7" t="s">
        <v>12</v>
      </c>
      <c r="D44" s="7" t="s">
        <v>13</v>
      </c>
      <c r="E44" s="7" t="s">
        <v>14</v>
      </c>
      <c r="F44" s="7" t="s">
        <v>15</v>
      </c>
      <c r="G44" s="7" t="s">
        <v>16</v>
      </c>
      <c r="H44" s="7" t="s">
        <v>17</v>
      </c>
      <c r="I44" s="7" t="s">
        <v>18</v>
      </c>
      <c r="J44" s="7" t="s">
        <v>19</v>
      </c>
      <c r="K44" s="7" t="s">
        <v>20</v>
      </c>
      <c r="L44" s="7" t="s">
        <v>21</v>
      </c>
      <c r="M44" s="7" t="s">
        <v>22</v>
      </c>
      <c r="N44" s="7" t="s">
        <v>23</v>
      </c>
      <c r="O44" s="7" t="s">
        <v>24</v>
      </c>
      <c r="P44" s="1"/>
      <c r="Q44" s="1"/>
    </row>
    <row r="45" spans="2:17" ht="15.6" x14ac:dyDescent="0.3">
      <c r="B45" s="7" t="s">
        <v>3</v>
      </c>
      <c r="C45" s="33">
        <f>-(202400)</f>
        <v>-202400</v>
      </c>
      <c r="D45" s="33">
        <f t="shared" ref="D45:K45" si="11">-(202400)</f>
        <v>-202400</v>
      </c>
      <c r="E45" s="33">
        <f t="shared" si="11"/>
        <v>-202400</v>
      </c>
      <c r="F45" s="33">
        <f t="shared" si="11"/>
        <v>-202400</v>
      </c>
      <c r="G45" s="33">
        <f t="shared" si="11"/>
        <v>-202400</v>
      </c>
      <c r="H45" s="33">
        <f t="shared" si="11"/>
        <v>-202400</v>
      </c>
      <c r="I45" s="33">
        <f t="shared" si="11"/>
        <v>-202400</v>
      </c>
      <c r="J45" s="33">
        <f t="shared" si="11"/>
        <v>-202400</v>
      </c>
      <c r="K45" s="33">
        <f t="shared" si="11"/>
        <v>-202400</v>
      </c>
      <c r="L45" s="33">
        <f>-(211200)</f>
        <v>-211200</v>
      </c>
      <c r="M45" s="33">
        <f t="shared" ref="M45:N45" si="12">-(211200)</f>
        <v>-211200</v>
      </c>
      <c r="N45" s="33">
        <f t="shared" si="12"/>
        <v>-211200</v>
      </c>
      <c r="O45" s="11">
        <f>SUM(C45:N45)</f>
        <v>-2455200</v>
      </c>
      <c r="P45" s="1"/>
      <c r="Q45" s="1"/>
    </row>
    <row r="46" spans="2:17" ht="15.6" x14ac:dyDescent="0.3">
      <c r="B46" s="7" t="s">
        <v>5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f>SUM(C46:N46)</f>
        <v>0</v>
      </c>
      <c r="P46" s="1"/>
      <c r="Q46" s="1"/>
    </row>
    <row r="47" spans="2:17" ht="15.6" x14ac:dyDescent="0.3">
      <c r="B47" s="34" t="s">
        <v>7</v>
      </c>
      <c r="C47" s="35">
        <f t="shared" ref="C47:N47" si="13">C46+C45</f>
        <v>-202400</v>
      </c>
      <c r="D47" s="35">
        <f t="shared" si="13"/>
        <v>-202400</v>
      </c>
      <c r="E47" s="35">
        <f t="shared" si="13"/>
        <v>-202400</v>
      </c>
      <c r="F47" s="35">
        <f t="shared" si="13"/>
        <v>-202400</v>
      </c>
      <c r="G47" s="35">
        <f t="shared" si="13"/>
        <v>-202400</v>
      </c>
      <c r="H47" s="35">
        <f t="shared" si="13"/>
        <v>-202400</v>
      </c>
      <c r="I47" s="35">
        <f t="shared" si="13"/>
        <v>-202400</v>
      </c>
      <c r="J47" s="35">
        <f t="shared" si="13"/>
        <v>-202400</v>
      </c>
      <c r="K47" s="35">
        <f t="shared" si="13"/>
        <v>-202400</v>
      </c>
      <c r="L47" s="35">
        <f t="shared" si="13"/>
        <v>-211200</v>
      </c>
      <c r="M47" s="35">
        <f t="shared" si="13"/>
        <v>-211200</v>
      </c>
      <c r="N47" s="35">
        <f t="shared" si="13"/>
        <v>-211200</v>
      </c>
      <c r="O47" s="2"/>
      <c r="P47" s="1"/>
      <c r="Q47" s="1"/>
    </row>
    <row r="48" spans="2:17" ht="15.6" x14ac:dyDescent="0.3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2:17" ht="15.6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2:17" ht="15.6" x14ac:dyDescent="0.3">
      <c r="B50" s="7" t="s">
        <v>29</v>
      </c>
      <c r="C50" s="7" t="s">
        <v>12</v>
      </c>
      <c r="D50" s="7" t="s">
        <v>13</v>
      </c>
      <c r="E50" s="7" t="s">
        <v>14</v>
      </c>
      <c r="F50" s="7" t="s">
        <v>15</v>
      </c>
      <c r="G50" s="7" t="s">
        <v>16</v>
      </c>
      <c r="H50" s="7" t="s">
        <v>17</v>
      </c>
      <c r="I50" s="7" t="s">
        <v>18</v>
      </c>
      <c r="J50" s="7" t="s">
        <v>19</v>
      </c>
      <c r="K50" s="7" t="s">
        <v>20</v>
      </c>
      <c r="L50" s="7" t="s">
        <v>21</v>
      </c>
      <c r="M50" s="7" t="s">
        <v>22</v>
      </c>
      <c r="N50" s="7" t="s">
        <v>23</v>
      </c>
      <c r="O50" s="7" t="s">
        <v>24</v>
      </c>
      <c r="P50" s="1"/>
      <c r="Q50" s="1"/>
    </row>
    <row r="51" spans="2:17" ht="15.6" x14ac:dyDescent="0.3">
      <c r="B51" s="7" t="s">
        <v>3</v>
      </c>
      <c r="C51" s="33">
        <f>-(220000)</f>
        <v>-220000</v>
      </c>
      <c r="D51" s="33">
        <f t="shared" ref="D51:N51" si="14">-(220000)</f>
        <v>-220000</v>
      </c>
      <c r="E51" s="33">
        <f t="shared" si="14"/>
        <v>-220000</v>
      </c>
      <c r="F51" s="33">
        <f t="shared" si="14"/>
        <v>-220000</v>
      </c>
      <c r="G51" s="33">
        <f t="shared" si="14"/>
        <v>-220000</v>
      </c>
      <c r="H51" s="33">
        <f t="shared" si="14"/>
        <v>-220000</v>
      </c>
      <c r="I51" s="33">
        <f t="shared" si="14"/>
        <v>-220000</v>
      </c>
      <c r="J51" s="33">
        <f t="shared" si="14"/>
        <v>-220000</v>
      </c>
      <c r="K51" s="33">
        <f t="shared" si="14"/>
        <v>-220000</v>
      </c>
      <c r="L51" s="33">
        <f t="shared" si="14"/>
        <v>-220000</v>
      </c>
      <c r="M51" s="33">
        <f t="shared" si="14"/>
        <v>-220000</v>
      </c>
      <c r="N51" s="33">
        <f t="shared" si="14"/>
        <v>-220000</v>
      </c>
      <c r="O51" s="11">
        <f>SUM(C51:N51)</f>
        <v>-2640000</v>
      </c>
      <c r="P51" s="1"/>
      <c r="Q51" s="1"/>
    </row>
    <row r="52" spans="2:17" ht="15.6" x14ac:dyDescent="0.3">
      <c r="B52" s="7" t="s">
        <v>5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f>SUM(C52:N52)</f>
        <v>0</v>
      </c>
      <c r="P52" s="1"/>
      <c r="Q52" s="1"/>
    </row>
    <row r="53" spans="2:17" ht="15.6" x14ac:dyDescent="0.3">
      <c r="B53" s="34" t="s">
        <v>7</v>
      </c>
      <c r="C53" s="35">
        <f t="shared" ref="C53:N53" si="15">C52+C51</f>
        <v>-220000</v>
      </c>
      <c r="D53" s="35">
        <f t="shared" si="15"/>
        <v>-220000</v>
      </c>
      <c r="E53" s="35">
        <f t="shared" si="15"/>
        <v>-220000</v>
      </c>
      <c r="F53" s="35">
        <f t="shared" si="15"/>
        <v>-220000</v>
      </c>
      <c r="G53" s="35">
        <f t="shared" si="15"/>
        <v>-220000</v>
      </c>
      <c r="H53" s="35">
        <f t="shared" si="15"/>
        <v>-220000</v>
      </c>
      <c r="I53" s="35">
        <f t="shared" si="15"/>
        <v>-220000</v>
      </c>
      <c r="J53" s="35">
        <f t="shared" si="15"/>
        <v>-220000</v>
      </c>
      <c r="K53" s="35">
        <f t="shared" si="15"/>
        <v>-220000</v>
      </c>
      <c r="L53" s="35">
        <f t="shared" si="15"/>
        <v>-220000</v>
      </c>
      <c r="M53" s="35">
        <f t="shared" si="15"/>
        <v>-220000</v>
      </c>
      <c r="N53" s="35">
        <f t="shared" si="15"/>
        <v>-220000</v>
      </c>
      <c r="O53" s="2"/>
      <c r="P53" s="1"/>
      <c r="Q53" s="1"/>
    </row>
    <row r="54" spans="2:17" ht="15.6" x14ac:dyDescent="0.3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2:17" ht="15.6" x14ac:dyDescent="0.3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2:17" ht="15.6" x14ac:dyDescent="0.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2:17" ht="15.6" x14ac:dyDescent="0.3">
      <c r="B57" s="1" t="s">
        <v>30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2:17" ht="15.6" x14ac:dyDescent="0.3">
      <c r="B58" s="1">
        <f>(((4*B67)*5)+(B67*2))*4</f>
        <v>220000</v>
      </c>
      <c r="C58" s="1"/>
      <c r="D58" s="57"/>
      <c r="E58" s="1"/>
      <c r="F58" s="1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2:17" ht="15.6" x14ac:dyDescent="0.3">
      <c r="B59" s="1"/>
      <c r="C59" s="1"/>
      <c r="D59" s="57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2:17" ht="15.6" x14ac:dyDescent="0.3">
      <c r="B60" s="1" t="s">
        <v>34</v>
      </c>
      <c r="C60" s="1"/>
      <c r="D60" s="57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2:17" ht="15.6" x14ac:dyDescent="0.3">
      <c r="B61" s="1">
        <v>1900</v>
      </c>
      <c r="C61" s="1">
        <v>2020</v>
      </c>
      <c r="D61" s="57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2:17" ht="15.6" x14ac:dyDescent="0.3">
      <c r="B62" s="1">
        <v>1900</v>
      </c>
      <c r="C62" s="1">
        <v>2021</v>
      </c>
      <c r="D62" s="57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2:17" ht="15.6" x14ac:dyDescent="0.3">
      <c r="B63" s="1">
        <v>2000</v>
      </c>
      <c r="C63" s="1">
        <v>2022</v>
      </c>
      <c r="D63" s="57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2:17" ht="15.6" x14ac:dyDescent="0.3">
      <c r="B64" s="1">
        <v>2200</v>
      </c>
      <c r="C64" s="1">
        <v>2023</v>
      </c>
      <c r="D64" s="57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2:17" ht="15.6" x14ac:dyDescent="0.3">
      <c r="B65" s="1">
        <v>2300</v>
      </c>
      <c r="C65" s="1">
        <v>2024</v>
      </c>
      <c r="D65" s="57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2:17" ht="15.6" x14ac:dyDescent="0.3">
      <c r="B66" s="1">
        <v>2400</v>
      </c>
      <c r="C66" s="1" t="s">
        <v>35</v>
      </c>
      <c r="D66" s="57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2:17" ht="15.6" x14ac:dyDescent="0.3">
      <c r="B67" s="1">
        <v>2500</v>
      </c>
      <c r="C67" s="1">
        <v>2025</v>
      </c>
      <c r="D67" s="57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2:17" ht="15.6" x14ac:dyDescent="0.3">
      <c r="B68" s="1"/>
      <c r="C68" s="1"/>
      <c r="D68" s="57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2:17" ht="15.6" x14ac:dyDescent="0.3">
      <c r="B69" s="1"/>
      <c r="C69" s="1"/>
      <c r="D69" s="57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2:17" ht="15.6" x14ac:dyDescent="0.3">
      <c r="B70" s="1"/>
      <c r="C70" s="1"/>
      <c r="D70" s="57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2:17" ht="15.6" x14ac:dyDescent="0.3">
      <c r="B71" s="1"/>
      <c r="C71" s="1"/>
      <c r="D71" s="57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2:17" ht="15.6" x14ac:dyDescent="0.3">
      <c r="B72" s="1"/>
      <c r="C72" s="1"/>
      <c r="D72" s="57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2:17" ht="15.6" x14ac:dyDescent="0.3">
      <c r="B73" s="1"/>
      <c r="C73" s="1"/>
      <c r="D73" s="57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2:17" ht="15.6" x14ac:dyDescent="0.3">
      <c r="B74" s="1"/>
      <c r="C74" s="1"/>
      <c r="D74" s="57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2:17" ht="15.6" x14ac:dyDescent="0.3">
      <c r="B75" s="1"/>
      <c r="C75" s="1"/>
      <c r="D75" s="57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2:17" ht="15.6" x14ac:dyDescent="0.3">
      <c r="B76" s="1"/>
      <c r="C76" s="1"/>
      <c r="D76" s="57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2:17" ht="15.6" x14ac:dyDescent="0.3">
      <c r="B77" s="1"/>
      <c r="C77" s="1"/>
      <c r="D77" s="57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2:17" ht="15.6" x14ac:dyDescent="0.3">
      <c r="B78" s="1"/>
      <c r="C78" s="1"/>
      <c r="D78" s="57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2:17" ht="15.6" x14ac:dyDescent="0.3">
      <c r="B79" s="1"/>
      <c r="C79" s="1"/>
      <c r="D79" s="57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2:17" ht="15.6" x14ac:dyDescent="0.3">
      <c r="B80" s="1"/>
      <c r="C80" s="1"/>
      <c r="D80" s="57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2:17" ht="15.6" x14ac:dyDescent="0.3">
      <c r="B81" s="1"/>
      <c r="C81" s="1"/>
      <c r="D81" s="57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2:17" ht="15.6" x14ac:dyDescent="0.3">
      <c r="B82" s="1"/>
      <c r="C82" s="1"/>
      <c r="D82" s="57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2:17" ht="15.6" x14ac:dyDescent="0.3">
      <c r="B83" s="1"/>
      <c r="C83" s="1"/>
      <c r="D83" s="57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2:17" ht="15.6" x14ac:dyDescent="0.3">
      <c r="B84" s="1"/>
      <c r="C84" s="1"/>
      <c r="D84" s="57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2:17" ht="15.6" x14ac:dyDescent="0.3">
      <c r="B85" s="1"/>
      <c r="C85" s="1"/>
      <c r="D85" s="57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2:17" ht="15.6" x14ac:dyDescent="0.3">
      <c r="B86" s="1"/>
      <c r="C86" s="1"/>
      <c r="D86" s="57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2:17" ht="15.6" x14ac:dyDescent="0.3">
      <c r="B87" s="1"/>
      <c r="C87" s="1"/>
      <c r="D87" s="57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2:17" ht="15.6" x14ac:dyDescent="0.3">
      <c r="B88" s="1"/>
      <c r="C88" s="1"/>
      <c r="D88" s="57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2:17" ht="15.6" x14ac:dyDescent="0.3">
      <c r="B89" s="1"/>
      <c r="C89" s="1"/>
      <c r="D89" s="57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2:17" ht="15.6" x14ac:dyDescent="0.3">
      <c r="B90" s="1"/>
      <c r="C90" s="1"/>
      <c r="D90" s="57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</sheetData>
  <mergeCells count="2">
    <mergeCell ref="B1:H1"/>
    <mergeCell ref="B15:H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18603-D3C1-4DCB-8E94-3460BE093BF5}">
  <dimension ref="A1:P67"/>
  <sheetViews>
    <sheetView tabSelected="1" zoomScale="70" zoomScaleNormal="70" workbookViewId="0">
      <selection activeCell="B16" sqref="B16:H16"/>
    </sheetView>
  </sheetViews>
  <sheetFormatPr baseColWidth="10" defaultRowHeight="14.4" x14ac:dyDescent="0.3"/>
  <cols>
    <col min="1" max="1" width="7.109375" customWidth="1"/>
    <col min="2" max="2" width="25.109375" customWidth="1"/>
    <col min="3" max="3" width="16.5546875" customWidth="1"/>
    <col min="4" max="4" width="16.33203125" customWidth="1"/>
    <col min="5" max="5" width="14.88671875" customWidth="1"/>
    <col min="6" max="6" width="17.109375" customWidth="1"/>
    <col min="7" max="7" width="13.44140625" customWidth="1"/>
    <col min="8" max="8" width="14.44140625" customWidth="1"/>
    <col min="9" max="9" width="18.109375" customWidth="1"/>
    <col min="10" max="10" width="15.88671875" customWidth="1"/>
    <col min="11" max="11" width="16.88671875" customWidth="1"/>
    <col min="12" max="12" width="15.33203125" customWidth="1"/>
    <col min="13" max="13" width="13.33203125" customWidth="1"/>
    <col min="14" max="14" width="16.5546875" customWidth="1"/>
    <col min="15" max="15" width="15.6640625" customWidth="1"/>
  </cols>
  <sheetData>
    <row r="1" spans="1:16" ht="16.2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6.2" thickBot="1" x14ac:dyDescent="0.35">
      <c r="A2" s="1"/>
      <c r="B2" s="58" t="s">
        <v>38</v>
      </c>
      <c r="C2" s="59"/>
      <c r="D2" s="59"/>
      <c r="E2" s="59"/>
      <c r="F2" s="59"/>
      <c r="G2" s="59"/>
      <c r="H2" s="60"/>
      <c r="I2" s="3"/>
      <c r="J2" s="3"/>
      <c r="K2" s="3"/>
      <c r="L2" s="3"/>
      <c r="M2" s="3"/>
      <c r="N2" s="3"/>
      <c r="O2" s="3"/>
      <c r="P2" s="3"/>
    </row>
    <row r="3" spans="1:16" ht="16.2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5.6" x14ac:dyDescent="0.3">
      <c r="A4" s="3"/>
      <c r="B4" s="4" t="s">
        <v>1</v>
      </c>
      <c r="C4" s="5">
        <v>2019</v>
      </c>
      <c r="D4" s="5">
        <v>2020</v>
      </c>
      <c r="E4" s="5">
        <v>2021</v>
      </c>
      <c r="F4" s="5">
        <f>E4+1</f>
        <v>2022</v>
      </c>
      <c r="G4" s="5">
        <f t="shared" ref="G4:I4" si="0">F4+1</f>
        <v>2023</v>
      </c>
      <c r="H4" s="5">
        <f t="shared" si="0"/>
        <v>2024</v>
      </c>
      <c r="I4" s="6">
        <f t="shared" si="0"/>
        <v>2025</v>
      </c>
      <c r="J4" s="4" t="s">
        <v>2</v>
      </c>
      <c r="K4" s="53">
        <f>ABS(SUM(C5:I5))</f>
        <v>3968072</v>
      </c>
      <c r="L4" s="3"/>
      <c r="M4" s="3"/>
      <c r="N4" s="3"/>
      <c r="O4" s="3"/>
      <c r="P4" s="3"/>
    </row>
    <row r="5" spans="1:16" ht="15.6" x14ac:dyDescent="0.3">
      <c r="A5" s="3"/>
      <c r="B5" s="9" t="s">
        <v>3</v>
      </c>
      <c r="C5" s="10">
        <f>-(1500000)</f>
        <v>-1500000</v>
      </c>
      <c r="D5" s="10">
        <f xml:space="preserve"> $O22</f>
        <v>-365512</v>
      </c>
      <c r="E5" s="11">
        <f xml:space="preserve"> ($O28)</f>
        <v>-385512</v>
      </c>
      <c r="F5" s="11">
        <f xml:space="preserve"> $O34</f>
        <v>-405512</v>
      </c>
      <c r="G5" s="11">
        <f xml:space="preserve"> $O40</f>
        <v>-405512</v>
      </c>
      <c r="H5" s="11">
        <f xml:space="preserve"> $O46</f>
        <v>-415512</v>
      </c>
      <c r="I5" s="12">
        <f xml:space="preserve"> $O52</f>
        <v>-490512</v>
      </c>
      <c r="J5" s="9" t="s">
        <v>4</v>
      </c>
      <c r="K5" s="54">
        <f>SUM(C6:I6)</f>
        <v>13710400</v>
      </c>
      <c r="L5" s="13"/>
      <c r="M5" s="13"/>
      <c r="N5" s="13"/>
      <c r="O5" s="13"/>
      <c r="P5" s="13"/>
    </row>
    <row r="6" spans="1:16" ht="16.2" thickBot="1" x14ac:dyDescent="0.35">
      <c r="A6" s="3"/>
      <c r="B6" s="9" t="s">
        <v>5</v>
      </c>
      <c r="C6" s="11">
        <v>167200</v>
      </c>
      <c r="D6" s="11">
        <f>$O23</f>
        <v>2006400</v>
      </c>
      <c r="E6" s="11">
        <f>$O29</f>
        <v>2006400</v>
      </c>
      <c r="F6" s="11">
        <f>$O35</f>
        <v>2112000</v>
      </c>
      <c r="G6" s="11">
        <f>$O41</f>
        <v>2323200</v>
      </c>
      <c r="H6" s="11">
        <f>$O47</f>
        <v>2455200</v>
      </c>
      <c r="I6" s="38">
        <f>$O53</f>
        <v>2640000</v>
      </c>
      <c r="J6" s="55" t="s">
        <v>6</v>
      </c>
      <c r="K6" s="56">
        <f>K5/K4</f>
        <v>3.4551792406992616</v>
      </c>
      <c r="L6" s="13"/>
      <c r="M6" s="13"/>
      <c r="N6" s="13"/>
      <c r="O6" s="13"/>
      <c r="P6" s="13"/>
    </row>
    <row r="7" spans="1:16" ht="16.2" thickBot="1" x14ac:dyDescent="0.35">
      <c r="A7" s="1"/>
      <c r="B7" s="14" t="s">
        <v>7</v>
      </c>
      <c r="C7" s="15">
        <f t="shared" ref="C7:I7" si="1">C6+C5</f>
        <v>-1332800</v>
      </c>
      <c r="D7" s="16">
        <f t="shared" si="1"/>
        <v>1640888</v>
      </c>
      <c r="E7" s="16">
        <f t="shared" si="1"/>
        <v>1620888</v>
      </c>
      <c r="F7" s="16">
        <f t="shared" si="1"/>
        <v>1706488</v>
      </c>
      <c r="G7" s="16">
        <f t="shared" si="1"/>
        <v>1917688</v>
      </c>
      <c r="H7" s="17">
        <f t="shared" si="1"/>
        <v>2039688</v>
      </c>
      <c r="I7" s="39">
        <f t="shared" si="1"/>
        <v>2149488</v>
      </c>
      <c r="J7" s="2"/>
      <c r="K7" s="2"/>
      <c r="L7" s="2"/>
      <c r="M7" s="2"/>
      <c r="N7" s="2"/>
      <c r="O7" s="2"/>
      <c r="P7" s="2"/>
    </row>
    <row r="8" spans="1:16" ht="16.2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6" x14ac:dyDescent="0.3">
      <c r="A9" s="3"/>
      <c r="B9" s="20" t="s">
        <v>1</v>
      </c>
      <c r="C9" s="4">
        <v>2019</v>
      </c>
      <c r="D9" s="4">
        <v>2020</v>
      </c>
      <c r="E9" s="4">
        <v>2021</v>
      </c>
      <c r="F9" s="5">
        <v>2022</v>
      </c>
      <c r="G9" s="5">
        <f>F9+1</f>
        <v>2023</v>
      </c>
      <c r="H9" s="21">
        <f t="shared" ref="H9:I9" si="2">G9+1</f>
        <v>2024</v>
      </c>
      <c r="I9" s="20">
        <f t="shared" si="2"/>
        <v>2025</v>
      </c>
      <c r="J9" s="49"/>
      <c r="K9" s="3"/>
      <c r="L9" s="3"/>
      <c r="M9" s="3"/>
      <c r="N9" s="3"/>
      <c r="O9" s="3"/>
      <c r="P9" s="3"/>
    </row>
    <row r="10" spans="1:16" ht="16.2" thickBot="1" x14ac:dyDescent="0.35">
      <c r="A10" s="1"/>
      <c r="B10" s="22" t="s">
        <v>7</v>
      </c>
      <c r="C10" s="23">
        <f>C7</f>
        <v>-1332800</v>
      </c>
      <c r="D10" s="23">
        <f>D7*1.05</f>
        <v>1722932.4000000001</v>
      </c>
      <c r="E10" s="23">
        <f>E7*1.04</f>
        <v>1685723.52</v>
      </c>
      <c r="F10" s="24">
        <f>F7*1.06</f>
        <v>1808877.28</v>
      </c>
      <c r="G10" s="24">
        <f>G7*1.05</f>
        <v>2013572.4000000001</v>
      </c>
      <c r="H10" s="25">
        <f>H7*1.05</f>
        <v>2141672.4</v>
      </c>
      <c r="I10" s="26">
        <f>I7*1.05</f>
        <v>2256962.4</v>
      </c>
      <c r="J10" s="41"/>
      <c r="K10" s="2"/>
      <c r="L10" s="2"/>
      <c r="M10" s="2"/>
      <c r="N10" s="2"/>
      <c r="O10" s="2"/>
      <c r="P10" s="2"/>
    </row>
    <row r="11" spans="1:16" ht="16.2" thickBo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6" x14ac:dyDescent="0.3">
      <c r="A12" s="1"/>
      <c r="B12" s="27" t="s">
        <v>8</v>
      </c>
      <c r="C12" s="28">
        <f>2%+15%*0</f>
        <v>0.02</v>
      </c>
      <c r="D12" s="1"/>
      <c r="E12" s="1"/>
      <c r="F12" s="1"/>
      <c r="G12" s="1"/>
      <c r="H12" s="51" t="s">
        <v>9</v>
      </c>
      <c r="I12" s="1"/>
      <c r="J12" s="1"/>
      <c r="K12" s="1"/>
      <c r="L12" s="1"/>
      <c r="M12" s="1"/>
      <c r="N12" s="1"/>
      <c r="O12" s="1"/>
      <c r="P12" s="1"/>
    </row>
    <row r="13" spans="1:16" ht="16.2" thickBot="1" x14ac:dyDescent="0.35">
      <c r="A13" s="1"/>
      <c r="B13" s="29" t="s">
        <v>10</v>
      </c>
      <c r="C13" s="30">
        <f>NPV(C12,C10:I10)</f>
        <v>9299300.044325389</v>
      </c>
      <c r="D13" s="1"/>
      <c r="E13" s="31"/>
      <c r="F13" s="1"/>
      <c r="G13" s="1"/>
      <c r="H13" s="52">
        <f>IRR(C10:I10)</f>
        <v>1.3039860200361968</v>
      </c>
      <c r="I13" s="32"/>
      <c r="J13" s="32"/>
      <c r="K13" s="32"/>
      <c r="L13" s="32"/>
      <c r="M13" s="32"/>
      <c r="N13" s="32"/>
      <c r="O13" s="32"/>
      <c r="P13" s="32"/>
    </row>
    <row r="14" spans="1:16" ht="15.6" x14ac:dyDescent="0.3">
      <c r="A14" s="42"/>
      <c r="B14" s="43"/>
      <c r="C14" s="44"/>
      <c r="D14" s="42"/>
      <c r="E14" s="45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</row>
    <row r="15" spans="1:16" ht="15.6" x14ac:dyDescent="0.3">
      <c r="A15" s="42"/>
      <c r="B15" s="47"/>
      <c r="C15" s="48"/>
      <c r="D15" s="42"/>
      <c r="E15" s="45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</row>
    <row r="16" spans="1:16" ht="15.6" x14ac:dyDescent="0.3">
      <c r="A16" s="42"/>
      <c r="B16" s="61"/>
      <c r="C16" s="61"/>
      <c r="D16" s="61"/>
      <c r="E16" s="61"/>
      <c r="F16" s="61"/>
      <c r="G16" s="61"/>
      <c r="H16" s="61"/>
      <c r="I16" s="49"/>
      <c r="J16" s="49"/>
      <c r="K16" s="49"/>
      <c r="L16" s="49"/>
      <c r="M16" s="49"/>
      <c r="N16" s="49"/>
      <c r="O16" s="49"/>
      <c r="P16" s="49"/>
    </row>
    <row r="17" spans="1:16" ht="15.6" x14ac:dyDescent="0.3">
      <c r="A17" s="42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6" x14ac:dyDescent="0.3">
      <c r="A18" s="49"/>
      <c r="B18" s="1" t="s">
        <v>36</v>
      </c>
      <c r="C18" s="1">
        <v>-1500000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6" x14ac:dyDescent="0.3">
      <c r="A19" s="49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6" x14ac:dyDescent="0.3">
      <c r="A20" s="49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6" x14ac:dyDescent="0.3">
      <c r="A21" s="42"/>
      <c r="B21" s="7" t="s">
        <v>11</v>
      </c>
      <c r="C21" s="7" t="s">
        <v>12</v>
      </c>
      <c r="D21" s="7" t="s">
        <v>13</v>
      </c>
      <c r="E21" s="7" t="s">
        <v>14</v>
      </c>
      <c r="F21" s="7" t="s">
        <v>15</v>
      </c>
      <c r="G21" s="7" t="s">
        <v>16</v>
      </c>
      <c r="H21" s="7" t="s">
        <v>17</v>
      </c>
      <c r="I21" s="7" t="s">
        <v>18</v>
      </c>
      <c r="J21" s="7" t="s">
        <v>19</v>
      </c>
      <c r="K21" s="7" t="s">
        <v>20</v>
      </c>
      <c r="L21" s="7" t="s">
        <v>21</v>
      </c>
      <c r="M21" s="7" t="s">
        <v>22</v>
      </c>
      <c r="N21" s="7" t="s">
        <v>23</v>
      </c>
      <c r="O21" s="7" t="s">
        <v>24</v>
      </c>
      <c r="P21" s="3"/>
    </row>
    <row r="22" spans="1:16" ht="15.6" x14ac:dyDescent="0.3">
      <c r="A22" s="42"/>
      <c r="B22" s="7" t="s">
        <v>3</v>
      </c>
      <c r="C22" s="33">
        <f>-(22126)</f>
        <v>-22126</v>
      </c>
      <c r="D22" s="33">
        <f t="shared" ref="D22:M22" si="3">-(22126)</f>
        <v>-22126</v>
      </c>
      <c r="E22" s="33">
        <f t="shared" si="3"/>
        <v>-22126</v>
      </c>
      <c r="F22" s="33">
        <f>-(22126)</f>
        <v>-22126</v>
      </c>
      <c r="G22" s="33">
        <f t="shared" si="3"/>
        <v>-22126</v>
      </c>
      <c r="H22" s="33">
        <f>-(22126 + 50000)</f>
        <v>-72126</v>
      </c>
      <c r="I22" s="33">
        <f t="shared" si="3"/>
        <v>-22126</v>
      </c>
      <c r="J22" s="33">
        <f t="shared" si="3"/>
        <v>-22126</v>
      </c>
      <c r="K22" s="33">
        <f t="shared" si="3"/>
        <v>-22126</v>
      </c>
      <c r="L22" s="33">
        <f t="shared" si="3"/>
        <v>-22126</v>
      </c>
      <c r="M22" s="33">
        <f t="shared" si="3"/>
        <v>-22126</v>
      </c>
      <c r="N22" s="33">
        <f>-(22126 + 50000)</f>
        <v>-72126</v>
      </c>
      <c r="O22" s="11">
        <f>SUM(C22:N22)</f>
        <v>-365512</v>
      </c>
      <c r="P22" s="13"/>
    </row>
    <row r="23" spans="1:16" ht="15.6" x14ac:dyDescent="0.3">
      <c r="A23" s="49"/>
      <c r="B23" s="7" t="s">
        <v>5</v>
      </c>
      <c r="C23" s="11">
        <v>167200</v>
      </c>
      <c r="D23" s="11">
        <v>167200</v>
      </c>
      <c r="E23" s="11">
        <v>167200</v>
      </c>
      <c r="F23" s="11">
        <v>167200</v>
      </c>
      <c r="G23" s="11">
        <v>167200</v>
      </c>
      <c r="H23" s="11">
        <v>167200</v>
      </c>
      <c r="I23" s="11">
        <v>167200</v>
      </c>
      <c r="J23" s="11">
        <v>167200</v>
      </c>
      <c r="K23" s="11">
        <v>167200</v>
      </c>
      <c r="L23" s="11">
        <v>167200</v>
      </c>
      <c r="M23" s="11">
        <v>167200</v>
      </c>
      <c r="N23" s="11">
        <v>167200</v>
      </c>
      <c r="O23" s="11">
        <f>SUM(C23:N23)</f>
        <v>2006400</v>
      </c>
      <c r="P23" s="13"/>
    </row>
    <row r="24" spans="1:16" ht="15.6" x14ac:dyDescent="0.3">
      <c r="A24" s="42"/>
      <c r="B24" s="34" t="s">
        <v>7</v>
      </c>
      <c r="C24" s="35">
        <f t="shared" ref="C24:N24" si="4">C23+C22</f>
        <v>145074</v>
      </c>
      <c r="D24" s="36">
        <f t="shared" si="4"/>
        <v>145074</v>
      </c>
      <c r="E24" s="36">
        <f t="shared" si="4"/>
        <v>145074</v>
      </c>
      <c r="F24" s="36">
        <f t="shared" si="4"/>
        <v>145074</v>
      </c>
      <c r="G24" s="36">
        <f t="shared" si="4"/>
        <v>145074</v>
      </c>
      <c r="H24" s="36">
        <f t="shared" si="4"/>
        <v>95074</v>
      </c>
      <c r="I24" s="36">
        <f t="shared" si="4"/>
        <v>145074</v>
      </c>
      <c r="J24" s="36">
        <f t="shared" si="4"/>
        <v>145074</v>
      </c>
      <c r="K24" s="36">
        <f t="shared" si="4"/>
        <v>145074</v>
      </c>
      <c r="L24" s="36">
        <f t="shared" si="4"/>
        <v>145074</v>
      </c>
      <c r="M24" s="36">
        <f t="shared" si="4"/>
        <v>145074</v>
      </c>
      <c r="N24" s="36">
        <f t="shared" si="4"/>
        <v>95074</v>
      </c>
      <c r="O24" s="2"/>
      <c r="P24" s="2"/>
    </row>
    <row r="25" spans="1:16" ht="15.6" x14ac:dyDescent="0.3">
      <c r="A25" s="42"/>
      <c r="B25" s="37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ht="15.6" x14ac:dyDescent="0.3">
      <c r="A26" s="4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15.6" x14ac:dyDescent="0.3">
      <c r="A27" s="42"/>
      <c r="B27" s="7" t="s">
        <v>25</v>
      </c>
      <c r="C27" s="7" t="s">
        <v>12</v>
      </c>
      <c r="D27" s="7" t="s">
        <v>13</v>
      </c>
      <c r="E27" s="7" t="s">
        <v>14</v>
      </c>
      <c r="F27" s="7" t="s">
        <v>15</v>
      </c>
      <c r="G27" s="7" t="s">
        <v>16</v>
      </c>
      <c r="H27" s="7" t="s">
        <v>17</v>
      </c>
      <c r="I27" s="7" t="s">
        <v>18</v>
      </c>
      <c r="J27" s="7" t="s">
        <v>19</v>
      </c>
      <c r="K27" s="7" t="s">
        <v>20</v>
      </c>
      <c r="L27" s="7" t="s">
        <v>21</v>
      </c>
      <c r="M27" s="7" t="s">
        <v>22</v>
      </c>
      <c r="N27" s="7" t="s">
        <v>23</v>
      </c>
      <c r="O27" s="7" t="s">
        <v>24</v>
      </c>
      <c r="P27" s="1"/>
    </row>
    <row r="28" spans="1:16" ht="15.6" x14ac:dyDescent="0.3">
      <c r="A28" s="42"/>
      <c r="B28" s="7" t="s">
        <v>3</v>
      </c>
      <c r="C28" s="33">
        <f>-(22126)</f>
        <v>-22126</v>
      </c>
      <c r="D28" s="33">
        <f t="shared" ref="D28:M28" si="5">-(22126)</f>
        <v>-22126</v>
      </c>
      <c r="E28" s="33">
        <f t="shared" si="5"/>
        <v>-22126</v>
      </c>
      <c r="F28" s="33">
        <f t="shared" si="5"/>
        <v>-22126</v>
      </c>
      <c r="G28" s="33">
        <f t="shared" si="5"/>
        <v>-22126</v>
      </c>
      <c r="H28" s="33">
        <f>-(22126+60000)</f>
        <v>-82126</v>
      </c>
      <c r="I28" s="33">
        <f t="shared" si="5"/>
        <v>-22126</v>
      </c>
      <c r="J28" s="33">
        <f t="shared" si="5"/>
        <v>-22126</v>
      </c>
      <c r="K28" s="33">
        <f t="shared" si="5"/>
        <v>-22126</v>
      </c>
      <c r="L28" s="33">
        <f t="shared" si="5"/>
        <v>-22126</v>
      </c>
      <c r="M28" s="33">
        <f t="shared" si="5"/>
        <v>-22126</v>
      </c>
      <c r="N28" s="33">
        <f>-(22126+ 60000)</f>
        <v>-82126</v>
      </c>
      <c r="O28" s="11">
        <f>SUM(C28:N28)</f>
        <v>-385512</v>
      </c>
      <c r="P28" s="1"/>
    </row>
    <row r="29" spans="1:16" ht="15.6" x14ac:dyDescent="0.3">
      <c r="A29" s="42"/>
      <c r="B29" s="7" t="s">
        <v>5</v>
      </c>
      <c r="C29" s="11">
        <v>167200</v>
      </c>
      <c r="D29" s="11">
        <v>167200</v>
      </c>
      <c r="E29" s="11">
        <v>167200</v>
      </c>
      <c r="F29" s="11">
        <v>167200</v>
      </c>
      <c r="G29" s="11">
        <v>167200</v>
      </c>
      <c r="H29" s="11">
        <v>167200</v>
      </c>
      <c r="I29" s="11">
        <v>167200</v>
      </c>
      <c r="J29" s="11">
        <v>167200</v>
      </c>
      <c r="K29" s="11">
        <v>167200</v>
      </c>
      <c r="L29" s="11">
        <v>167200</v>
      </c>
      <c r="M29" s="11">
        <v>167200</v>
      </c>
      <c r="N29" s="11">
        <v>167200</v>
      </c>
      <c r="O29" s="11">
        <f>SUM(C29:N29)</f>
        <v>2006400</v>
      </c>
      <c r="P29" s="1"/>
    </row>
    <row r="30" spans="1:16" ht="15.6" x14ac:dyDescent="0.3">
      <c r="A30" s="42"/>
      <c r="B30" s="34" t="s">
        <v>7</v>
      </c>
      <c r="C30" s="35">
        <f t="shared" ref="C30:N30" si="6">C29+C28</f>
        <v>145074</v>
      </c>
      <c r="D30" s="36">
        <f t="shared" si="6"/>
        <v>145074</v>
      </c>
      <c r="E30" s="36">
        <f t="shared" si="6"/>
        <v>145074</v>
      </c>
      <c r="F30" s="36">
        <f t="shared" si="6"/>
        <v>145074</v>
      </c>
      <c r="G30" s="36">
        <f t="shared" si="6"/>
        <v>145074</v>
      </c>
      <c r="H30" s="36">
        <f t="shared" si="6"/>
        <v>85074</v>
      </c>
      <c r="I30" s="36">
        <f t="shared" si="6"/>
        <v>145074</v>
      </c>
      <c r="J30" s="36">
        <f t="shared" si="6"/>
        <v>145074</v>
      </c>
      <c r="K30" s="36">
        <f t="shared" si="6"/>
        <v>145074</v>
      </c>
      <c r="L30" s="36">
        <f t="shared" si="6"/>
        <v>145074</v>
      </c>
      <c r="M30" s="36">
        <f t="shared" si="6"/>
        <v>145074</v>
      </c>
      <c r="N30" s="36">
        <f t="shared" si="6"/>
        <v>85074</v>
      </c>
      <c r="O30" s="2"/>
      <c r="P30" s="1"/>
    </row>
    <row r="31" spans="1:16" ht="15.6" x14ac:dyDescent="0.3">
      <c r="A31" s="4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ht="15.6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ht="15.6" x14ac:dyDescent="0.3">
      <c r="A33" s="1"/>
      <c r="B33" s="7" t="s">
        <v>26</v>
      </c>
      <c r="C33" s="7" t="s">
        <v>12</v>
      </c>
      <c r="D33" s="7" t="s">
        <v>13</v>
      </c>
      <c r="E33" s="7" t="s">
        <v>14</v>
      </c>
      <c r="F33" s="7" t="s">
        <v>15</v>
      </c>
      <c r="G33" s="7" t="s">
        <v>16</v>
      </c>
      <c r="H33" s="7" t="s">
        <v>17</v>
      </c>
      <c r="I33" s="7" t="s">
        <v>18</v>
      </c>
      <c r="J33" s="7" t="s">
        <v>19</v>
      </c>
      <c r="K33" s="7" t="s">
        <v>20</v>
      </c>
      <c r="L33" s="7" t="s">
        <v>21</v>
      </c>
      <c r="M33" s="7" t="s">
        <v>22</v>
      </c>
      <c r="N33" s="7" t="s">
        <v>23</v>
      </c>
      <c r="O33" s="7" t="s">
        <v>24</v>
      </c>
      <c r="P33" s="1"/>
    </row>
    <row r="34" spans="1:16" ht="15.6" x14ac:dyDescent="0.3">
      <c r="A34" s="1"/>
      <c r="B34" s="7" t="s">
        <v>3</v>
      </c>
      <c r="C34" s="33">
        <f>-(22126)</f>
        <v>-22126</v>
      </c>
      <c r="D34" s="33">
        <f t="shared" ref="D34:M34" si="7">-(22126)</f>
        <v>-22126</v>
      </c>
      <c r="E34" s="33">
        <f t="shared" si="7"/>
        <v>-22126</v>
      </c>
      <c r="F34" s="33">
        <f t="shared" si="7"/>
        <v>-22126</v>
      </c>
      <c r="G34" s="33">
        <f t="shared" si="7"/>
        <v>-22126</v>
      </c>
      <c r="H34" s="33">
        <f>-(22126+70000)</f>
        <v>-92126</v>
      </c>
      <c r="I34" s="33">
        <f t="shared" si="7"/>
        <v>-22126</v>
      </c>
      <c r="J34" s="33">
        <f t="shared" si="7"/>
        <v>-22126</v>
      </c>
      <c r="K34" s="33">
        <f t="shared" si="7"/>
        <v>-22126</v>
      </c>
      <c r="L34" s="33">
        <f t="shared" si="7"/>
        <v>-22126</v>
      </c>
      <c r="M34" s="33">
        <f t="shared" si="7"/>
        <v>-22126</v>
      </c>
      <c r="N34" s="33">
        <f>-(22126+70000)</f>
        <v>-92126</v>
      </c>
      <c r="O34" s="11">
        <f>SUM(C34:N34)</f>
        <v>-405512</v>
      </c>
      <c r="P34" s="1"/>
    </row>
    <row r="35" spans="1:16" ht="15.6" x14ac:dyDescent="0.3">
      <c r="A35" s="1"/>
      <c r="B35" s="7" t="s">
        <v>5</v>
      </c>
      <c r="C35" s="11">
        <v>176000</v>
      </c>
      <c r="D35" s="11">
        <v>176000</v>
      </c>
      <c r="E35" s="11">
        <v>176000</v>
      </c>
      <c r="F35" s="11">
        <v>176000</v>
      </c>
      <c r="G35" s="11">
        <v>176000</v>
      </c>
      <c r="H35" s="11">
        <v>176000</v>
      </c>
      <c r="I35" s="11">
        <v>176000</v>
      </c>
      <c r="J35" s="11">
        <v>176000</v>
      </c>
      <c r="K35" s="11">
        <v>176000</v>
      </c>
      <c r="L35" s="11">
        <v>176000</v>
      </c>
      <c r="M35" s="11">
        <v>176000</v>
      </c>
      <c r="N35" s="11">
        <v>176000</v>
      </c>
      <c r="O35" s="11">
        <f>SUM(C35:N35)</f>
        <v>2112000</v>
      </c>
      <c r="P35" s="1"/>
    </row>
    <row r="36" spans="1:16" ht="15.6" x14ac:dyDescent="0.3">
      <c r="A36" s="1"/>
      <c r="B36" s="34" t="s">
        <v>7</v>
      </c>
      <c r="C36" s="35">
        <f t="shared" ref="C36:N36" si="8">C35+C34</f>
        <v>153874</v>
      </c>
      <c r="D36" s="36">
        <f t="shared" si="8"/>
        <v>153874</v>
      </c>
      <c r="E36" s="36">
        <f t="shared" si="8"/>
        <v>153874</v>
      </c>
      <c r="F36" s="36">
        <f t="shared" si="8"/>
        <v>153874</v>
      </c>
      <c r="G36" s="36">
        <f t="shared" si="8"/>
        <v>153874</v>
      </c>
      <c r="H36" s="36">
        <f t="shared" si="8"/>
        <v>83874</v>
      </c>
      <c r="I36" s="36">
        <f t="shared" si="8"/>
        <v>153874</v>
      </c>
      <c r="J36" s="36">
        <f t="shared" si="8"/>
        <v>153874</v>
      </c>
      <c r="K36" s="36">
        <f t="shared" si="8"/>
        <v>153874</v>
      </c>
      <c r="L36" s="36">
        <f t="shared" si="8"/>
        <v>153874</v>
      </c>
      <c r="M36" s="36">
        <f t="shared" si="8"/>
        <v>153874</v>
      </c>
      <c r="N36" s="36">
        <f t="shared" si="8"/>
        <v>83874</v>
      </c>
      <c r="O36" s="2"/>
      <c r="P36" s="1"/>
    </row>
    <row r="37" spans="1:16" ht="15.6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ht="15.6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15.6" x14ac:dyDescent="0.3">
      <c r="A39" s="1"/>
      <c r="B39" s="7" t="s">
        <v>27</v>
      </c>
      <c r="C39" s="7" t="s">
        <v>12</v>
      </c>
      <c r="D39" s="7" t="s">
        <v>13</v>
      </c>
      <c r="E39" s="7" t="s">
        <v>14</v>
      </c>
      <c r="F39" s="7" t="s">
        <v>15</v>
      </c>
      <c r="G39" s="7" t="s">
        <v>16</v>
      </c>
      <c r="H39" s="7" t="s">
        <v>17</v>
      </c>
      <c r="I39" s="7" t="s">
        <v>18</v>
      </c>
      <c r="J39" s="7" t="s">
        <v>19</v>
      </c>
      <c r="K39" s="7" t="s">
        <v>20</v>
      </c>
      <c r="L39" s="7" t="s">
        <v>21</v>
      </c>
      <c r="M39" s="7" t="s">
        <v>22</v>
      </c>
      <c r="N39" s="7" t="s">
        <v>23</v>
      </c>
      <c r="O39" s="7" t="s">
        <v>24</v>
      </c>
      <c r="P39" s="1"/>
    </row>
    <row r="40" spans="1:16" ht="15.6" x14ac:dyDescent="0.3">
      <c r="A40" s="1"/>
      <c r="B40" s="7" t="s">
        <v>3</v>
      </c>
      <c r="C40" s="33">
        <f>-(22126)</f>
        <v>-22126</v>
      </c>
      <c r="D40" s="33">
        <f t="shared" ref="D40:M40" si="9">-(22126)</f>
        <v>-22126</v>
      </c>
      <c r="E40" s="33">
        <f t="shared" si="9"/>
        <v>-22126</v>
      </c>
      <c r="F40" s="33">
        <f t="shared" si="9"/>
        <v>-22126</v>
      </c>
      <c r="G40" s="33">
        <f t="shared" si="9"/>
        <v>-22126</v>
      </c>
      <c r="H40" s="33">
        <f>-(22126+70000)</f>
        <v>-92126</v>
      </c>
      <c r="I40" s="33">
        <f t="shared" si="9"/>
        <v>-22126</v>
      </c>
      <c r="J40" s="33">
        <f t="shared" si="9"/>
        <v>-22126</v>
      </c>
      <c r="K40" s="33">
        <f t="shared" si="9"/>
        <v>-22126</v>
      </c>
      <c r="L40" s="33">
        <f t="shared" si="9"/>
        <v>-22126</v>
      </c>
      <c r="M40" s="33">
        <f t="shared" si="9"/>
        <v>-22126</v>
      </c>
      <c r="N40" s="33">
        <f>-(22126+70000)</f>
        <v>-92126</v>
      </c>
      <c r="O40" s="11">
        <f>SUM(C40:N40)</f>
        <v>-405512</v>
      </c>
      <c r="P40" s="1"/>
    </row>
    <row r="41" spans="1:16" ht="15.6" x14ac:dyDescent="0.3">
      <c r="A41" s="1"/>
      <c r="B41" s="7" t="s">
        <v>5</v>
      </c>
      <c r="C41" s="11">
        <v>193600</v>
      </c>
      <c r="D41" s="11">
        <v>193600</v>
      </c>
      <c r="E41" s="11">
        <v>193600</v>
      </c>
      <c r="F41" s="11">
        <v>193600</v>
      </c>
      <c r="G41" s="11">
        <v>193600</v>
      </c>
      <c r="H41" s="11">
        <v>193600</v>
      </c>
      <c r="I41" s="11">
        <v>193600</v>
      </c>
      <c r="J41" s="11">
        <v>193600</v>
      </c>
      <c r="K41" s="11">
        <v>193600</v>
      </c>
      <c r="L41" s="11">
        <v>193600</v>
      </c>
      <c r="M41" s="11">
        <v>193600</v>
      </c>
      <c r="N41" s="11">
        <v>193600</v>
      </c>
      <c r="O41" s="11">
        <f>SUM(C41:N41)</f>
        <v>2323200</v>
      </c>
      <c r="P41" s="1"/>
    </row>
    <row r="42" spans="1:16" ht="15.6" x14ac:dyDescent="0.3">
      <c r="A42" s="1"/>
      <c r="B42" s="34" t="s">
        <v>7</v>
      </c>
      <c r="C42" s="35">
        <f t="shared" ref="C42:N42" si="10">C41+C40</f>
        <v>171474</v>
      </c>
      <c r="D42" s="36">
        <f t="shared" si="10"/>
        <v>171474</v>
      </c>
      <c r="E42" s="36">
        <f t="shared" si="10"/>
        <v>171474</v>
      </c>
      <c r="F42" s="36">
        <f t="shared" si="10"/>
        <v>171474</v>
      </c>
      <c r="G42" s="36">
        <f t="shared" si="10"/>
        <v>171474</v>
      </c>
      <c r="H42" s="36">
        <f t="shared" si="10"/>
        <v>101474</v>
      </c>
      <c r="I42" s="36">
        <f t="shared" si="10"/>
        <v>171474</v>
      </c>
      <c r="J42" s="36">
        <f t="shared" si="10"/>
        <v>171474</v>
      </c>
      <c r="K42" s="36">
        <f t="shared" si="10"/>
        <v>171474</v>
      </c>
      <c r="L42" s="36">
        <f t="shared" si="10"/>
        <v>171474</v>
      </c>
      <c r="M42" s="36">
        <f t="shared" si="10"/>
        <v>171474</v>
      </c>
      <c r="N42" s="36">
        <f t="shared" si="10"/>
        <v>101474</v>
      </c>
      <c r="O42" s="2"/>
      <c r="P42" s="1"/>
    </row>
    <row r="43" spans="1:16" ht="15.6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ht="15.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ht="15.6" x14ac:dyDescent="0.3">
      <c r="A45" s="1"/>
      <c r="B45" s="7" t="s">
        <v>28</v>
      </c>
      <c r="C45" s="7" t="s">
        <v>12</v>
      </c>
      <c r="D45" s="7" t="s">
        <v>13</v>
      </c>
      <c r="E45" s="7" t="s">
        <v>14</v>
      </c>
      <c r="F45" s="7" t="s">
        <v>15</v>
      </c>
      <c r="G45" s="7" t="s">
        <v>16</v>
      </c>
      <c r="H45" s="7" t="s">
        <v>17</v>
      </c>
      <c r="I45" s="7" t="s">
        <v>18</v>
      </c>
      <c r="J45" s="7" t="s">
        <v>19</v>
      </c>
      <c r="K45" s="7" t="s">
        <v>20</v>
      </c>
      <c r="L45" s="7" t="s">
        <v>21</v>
      </c>
      <c r="M45" s="7" t="s">
        <v>22</v>
      </c>
      <c r="N45" s="7" t="s">
        <v>23</v>
      </c>
      <c r="O45" s="7" t="s">
        <v>24</v>
      </c>
      <c r="P45" s="1"/>
    </row>
    <row r="46" spans="1:16" ht="15.6" x14ac:dyDescent="0.3">
      <c r="A46" s="1"/>
      <c r="B46" s="7" t="s">
        <v>3</v>
      </c>
      <c r="C46" s="33">
        <f>-(22126)</f>
        <v>-22126</v>
      </c>
      <c r="D46" s="33">
        <f t="shared" ref="D46:M46" si="11">-(22126)</f>
        <v>-22126</v>
      </c>
      <c r="E46" s="33">
        <f t="shared" si="11"/>
        <v>-22126</v>
      </c>
      <c r="F46" s="33">
        <f t="shared" si="11"/>
        <v>-22126</v>
      </c>
      <c r="G46" s="33">
        <f t="shared" si="11"/>
        <v>-22126</v>
      </c>
      <c r="H46" s="33">
        <f>-(22126+75000)</f>
        <v>-97126</v>
      </c>
      <c r="I46" s="33">
        <f t="shared" si="11"/>
        <v>-22126</v>
      </c>
      <c r="J46" s="33">
        <f t="shared" si="11"/>
        <v>-22126</v>
      </c>
      <c r="K46" s="33">
        <f t="shared" si="11"/>
        <v>-22126</v>
      </c>
      <c r="L46" s="33">
        <f t="shared" si="11"/>
        <v>-22126</v>
      </c>
      <c r="M46" s="33">
        <f t="shared" si="11"/>
        <v>-22126</v>
      </c>
      <c r="N46" s="33">
        <f>-(22126+75000)</f>
        <v>-97126</v>
      </c>
      <c r="O46" s="11">
        <f>SUM(C46:N46)</f>
        <v>-415512</v>
      </c>
      <c r="P46" s="1"/>
    </row>
    <row r="47" spans="1:16" ht="15.6" x14ac:dyDescent="0.3">
      <c r="A47" s="1"/>
      <c r="B47" s="7" t="s">
        <v>5</v>
      </c>
      <c r="C47" s="11">
        <v>202400</v>
      </c>
      <c r="D47" s="11">
        <v>202400</v>
      </c>
      <c r="E47" s="11">
        <v>202400</v>
      </c>
      <c r="F47" s="11">
        <v>202400</v>
      </c>
      <c r="G47" s="11">
        <v>202400</v>
      </c>
      <c r="H47" s="11">
        <v>202400</v>
      </c>
      <c r="I47" s="11">
        <v>202400</v>
      </c>
      <c r="J47" s="11">
        <v>202400</v>
      </c>
      <c r="K47" s="11">
        <v>202400</v>
      </c>
      <c r="L47" s="11">
        <v>211200</v>
      </c>
      <c r="M47" s="11">
        <v>211200</v>
      </c>
      <c r="N47" s="11">
        <v>211200</v>
      </c>
      <c r="O47" s="11">
        <f>SUM(C47:N47)</f>
        <v>2455200</v>
      </c>
      <c r="P47" s="1"/>
    </row>
    <row r="48" spans="1:16" ht="15.6" x14ac:dyDescent="0.3">
      <c r="A48" s="1"/>
      <c r="B48" s="34" t="s">
        <v>7</v>
      </c>
      <c r="C48" s="35">
        <f t="shared" ref="C48:N48" si="12">C47+C46</f>
        <v>180274</v>
      </c>
      <c r="D48" s="36">
        <f t="shared" si="12"/>
        <v>180274</v>
      </c>
      <c r="E48" s="36">
        <f t="shared" si="12"/>
        <v>180274</v>
      </c>
      <c r="F48" s="36">
        <f t="shared" si="12"/>
        <v>180274</v>
      </c>
      <c r="G48" s="36">
        <f t="shared" si="12"/>
        <v>180274</v>
      </c>
      <c r="H48" s="36">
        <f t="shared" si="12"/>
        <v>105274</v>
      </c>
      <c r="I48" s="36">
        <f t="shared" si="12"/>
        <v>180274</v>
      </c>
      <c r="J48" s="36">
        <f t="shared" si="12"/>
        <v>180274</v>
      </c>
      <c r="K48" s="36">
        <f t="shared" si="12"/>
        <v>180274</v>
      </c>
      <c r="L48" s="36">
        <f t="shared" si="12"/>
        <v>189074</v>
      </c>
      <c r="M48" s="36">
        <f t="shared" si="12"/>
        <v>189074</v>
      </c>
      <c r="N48" s="36">
        <f t="shared" si="12"/>
        <v>114074</v>
      </c>
      <c r="O48" s="2"/>
      <c r="P48" s="1"/>
    </row>
    <row r="49" spans="1:16" ht="15.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ht="15.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ht="15.6" x14ac:dyDescent="0.3">
      <c r="A51" s="1"/>
      <c r="B51" s="7" t="s">
        <v>29</v>
      </c>
      <c r="C51" s="7" t="s">
        <v>12</v>
      </c>
      <c r="D51" s="7" t="s">
        <v>13</v>
      </c>
      <c r="E51" s="7" t="s">
        <v>14</v>
      </c>
      <c r="F51" s="7" t="s">
        <v>15</v>
      </c>
      <c r="G51" s="7" t="s">
        <v>16</v>
      </c>
      <c r="H51" s="7" t="s">
        <v>17</v>
      </c>
      <c r="I51" s="7" t="s">
        <v>18</v>
      </c>
      <c r="J51" s="7" t="s">
        <v>19</v>
      </c>
      <c r="K51" s="7" t="s">
        <v>20</v>
      </c>
      <c r="L51" s="7" t="s">
        <v>21</v>
      </c>
      <c r="M51" s="7" t="s">
        <v>22</v>
      </c>
      <c r="N51" s="7" t="s">
        <v>23</v>
      </c>
      <c r="O51" s="7" t="s">
        <v>24</v>
      </c>
      <c r="P51" s="1"/>
    </row>
    <row r="52" spans="1:16" ht="15.6" x14ac:dyDescent="0.3">
      <c r="A52" s="1"/>
      <c r="B52" s="7" t="s">
        <v>3</v>
      </c>
      <c r="C52" s="33">
        <f>-(22126)</f>
        <v>-22126</v>
      </c>
      <c r="D52" s="33">
        <f t="shared" ref="D52:M52" si="13">-(22126)</f>
        <v>-22126</v>
      </c>
      <c r="E52" s="33">
        <f>-(22126)</f>
        <v>-22126</v>
      </c>
      <c r="F52" s="33">
        <f>-(22126+75000)</f>
        <v>-97126</v>
      </c>
      <c r="G52" s="33">
        <f t="shared" si="13"/>
        <v>-22126</v>
      </c>
      <c r="H52" s="33">
        <f t="shared" si="13"/>
        <v>-22126</v>
      </c>
      <c r="I52" s="33">
        <f t="shared" si="13"/>
        <v>-22126</v>
      </c>
      <c r="J52" s="33">
        <f>-(22126+75000)</f>
        <v>-97126</v>
      </c>
      <c r="K52" s="33">
        <f t="shared" si="13"/>
        <v>-22126</v>
      </c>
      <c r="L52" s="33">
        <f t="shared" si="13"/>
        <v>-22126</v>
      </c>
      <c r="M52" s="33">
        <f t="shared" si="13"/>
        <v>-22126</v>
      </c>
      <c r="N52" s="33">
        <f>-(22126+75000)</f>
        <v>-97126</v>
      </c>
      <c r="O52" s="11">
        <f>SUM(C52:N52)</f>
        <v>-490512</v>
      </c>
      <c r="P52" s="1"/>
    </row>
    <row r="53" spans="1:16" ht="15.6" x14ac:dyDescent="0.3">
      <c r="A53" s="1"/>
      <c r="B53" s="7" t="s">
        <v>5</v>
      </c>
      <c r="C53" s="11">
        <v>220000</v>
      </c>
      <c r="D53" s="11">
        <v>220000</v>
      </c>
      <c r="E53" s="11">
        <v>220000</v>
      </c>
      <c r="F53" s="11">
        <v>220000</v>
      </c>
      <c r="G53" s="11">
        <v>220000</v>
      </c>
      <c r="H53" s="11">
        <v>220000</v>
      </c>
      <c r="I53" s="11">
        <v>220000</v>
      </c>
      <c r="J53" s="11">
        <v>220000</v>
      </c>
      <c r="K53" s="11">
        <v>220000</v>
      </c>
      <c r="L53" s="11">
        <v>220000</v>
      </c>
      <c r="M53" s="11">
        <v>220000</v>
      </c>
      <c r="N53" s="11">
        <v>220000</v>
      </c>
      <c r="O53" s="11">
        <f>SUM(C53:N53)</f>
        <v>2640000</v>
      </c>
      <c r="P53" s="1"/>
    </row>
    <row r="54" spans="1:16" ht="15.6" x14ac:dyDescent="0.3">
      <c r="A54" s="1"/>
      <c r="B54" s="34" t="s">
        <v>7</v>
      </c>
      <c r="C54" s="35">
        <f t="shared" ref="C54:N54" si="14">C53+C52</f>
        <v>197874</v>
      </c>
      <c r="D54" s="36">
        <f t="shared" si="14"/>
        <v>197874</v>
      </c>
      <c r="E54" s="36">
        <f t="shared" si="14"/>
        <v>197874</v>
      </c>
      <c r="F54" s="36">
        <f t="shared" si="14"/>
        <v>122874</v>
      </c>
      <c r="G54" s="36">
        <f t="shared" si="14"/>
        <v>197874</v>
      </c>
      <c r="H54" s="36">
        <f t="shared" si="14"/>
        <v>197874</v>
      </c>
      <c r="I54" s="36">
        <f t="shared" si="14"/>
        <v>197874</v>
      </c>
      <c r="J54" s="36">
        <f t="shared" si="14"/>
        <v>122874</v>
      </c>
      <c r="K54" s="36">
        <f t="shared" si="14"/>
        <v>197874</v>
      </c>
      <c r="L54" s="36">
        <f t="shared" si="14"/>
        <v>197874</v>
      </c>
      <c r="M54" s="36">
        <f t="shared" si="14"/>
        <v>197874</v>
      </c>
      <c r="N54" s="36">
        <f t="shared" si="14"/>
        <v>122874</v>
      </c>
      <c r="O54" s="2"/>
      <c r="P54" s="1"/>
    </row>
    <row r="55" spans="1:16" ht="15.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ht="15.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ht="15.6" x14ac:dyDescent="0.3">
      <c r="B57" s="1" t="s">
        <v>30</v>
      </c>
      <c r="C57" s="1"/>
      <c r="D57" s="1" t="s">
        <v>37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ht="15.6" x14ac:dyDescent="0.3">
      <c r="B58" s="1">
        <f>(((4*B67)*5)+(B67*2))*4</f>
        <v>220000</v>
      </c>
      <c r="C58" s="1"/>
      <c r="D58" s="57"/>
      <c r="E58" s="1"/>
      <c r="F58" s="1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15.6" x14ac:dyDescent="0.3">
      <c r="B59" s="1"/>
      <c r="C59" s="1"/>
      <c r="D59" s="11">
        <f xml:space="preserve"> 22126</f>
        <v>22126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ht="15.6" x14ac:dyDescent="0.3">
      <c r="B60" s="1" t="s">
        <v>34</v>
      </c>
      <c r="C60" s="1"/>
      <c r="D60" s="57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ht="15.6" x14ac:dyDescent="0.3">
      <c r="B61" s="1">
        <v>1900</v>
      </c>
      <c r="C61" s="1">
        <v>2020</v>
      </c>
      <c r="D61" s="57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15.6" x14ac:dyDescent="0.3">
      <c r="B62" s="1">
        <v>1900</v>
      </c>
      <c r="C62" s="1">
        <v>2021</v>
      </c>
      <c r="D62" s="57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15.6" x14ac:dyDescent="0.3">
      <c r="B63" s="1">
        <v>2000</v>
      </c>
      <c r="C63" s="1">
        <v>2022</v>
      </c>
      <c r="D63" s="57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ht="15.6" x14ac:dyDescent="0.3">
      <c r="B64" s="1">
        <v>2200</v>
      </c>
      <c r="C64" s="1">
        <v>2023</v>
      </c>
      <c r="D64" s="57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2:16" ht="15.6" x14ac:dyDescent="0.3">
      <c r="B65" s="1">
        <v>2300</v>
      </c>
      <c r="C65" s="1">
        <v>2024</v>
      </c>
      <c r="D65" s="57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2:16" ht="15.6" x14ac:dyDescent="0.3">
      <c r="B66" s="1">
        <v>2400</v>
      </c>
      <c r="C66" s="1" t="s">
        <v>35</v>
      </c>
      <c r="D66" s="57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2:16" ht="15.6" x14ac:dyDescent="0.3">
      <c r="B67" s="1">
        <v>2500</v>
      </c>
      <c r="C67" s="1">
        <v>2025</v>
      </c>
      <c r="D67" s="57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</sheetData>
  <mergeCells count="2">
    <mergeCell ref="B2:H2"/>
    <mergeCell ref="B16:H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Naro</dc:creator>
  <cp:lastModifiedBy>J Ferb</cp:lastModifiedBy>
  <dcterms:created xsi:type="dcterms:W3CDTF">2025-04-27T04:52:35Z</dcterms:created>
  <dcterms:modified xsi:type="dcterms:W3CDTF">2025-04-29T03:30:01Z</dcterms:modified>
</cp:coreProperties>
</file>