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icol\Documents\ProyectosFreelance\Consultobra\"/>
    </mc:Choice>
  </mc:AlternateContent>
  <xr:revisionPtr revIDLastSave="0" documentId="13_ncr:1_{9356157A-3494-4C31-A3EF-882243C63A6F}" xr6:coauthVersionLast="47" xr6:coauthVersionMax="47" xr10:uidLastSave="{00000000-0000-0000-0000-000000000000}"/>
  <bookViews>
    <workbookView xWindow="-108" yWindow="-108" windowWidth="23256" windowHeight="12576" tabRatio="591" xr2:uid="{8B6F136D-A7AE-43CE-9B6F-C86F36425546}"/>
  </bookViews>
  <sheets>
    <sheet name="CSAPU" sheetId="1" r:id="rId1"/>
    <sheet name="Hoja1" sheetId="4" r:id="rId2"/>
    <sheet name="Hoja2" sheetId="5" r:id="rId3"/>
    <sheet name="Datos" sheetId="3" r:id="rId4"/>
  </sheets>
  <definedNames>
    <definedName name="COSTOI">CSAPU!$O$15</definedName>
    <definedName name="COSTOIVA">CSAPU!$N$17</definedName>
    <definedName name="IVAOBRA">CSAPU!$O$17</definedName>
    <definedName name="Logística">CSAPU!$O$14</definedName>
    <definedName name="MARGENC">CSAPU!$O$16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9" i="1" l="1"/>
  <c r="P11" i="1"/>
  <c r="Q9" i="1"/>
  <c r="P10" i="1"/>
  <c r="Q10"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T59" i="1"/>
  <c r="R11" i="1" l="1"/>
  <c r="T11" i="1" s="1"/>
  <c r="R48" i="1"/>
  <c r="T48" i="1" s="1"/>
  <c r="R46" i="1"/>
  <c r="T46" i="1" s="1"/>
  <c r="R44" i="1"/>
  <c r="T44" i="1" s="1"/>
  <c r="R42" i="1"/>
  <c r="T42" i="1" s="1"/>
  <c r="R40" i="1"/>
  <c r="T40" i="1" s="1"/>
  <c r="R38" i="1"/>
  <c r="T38" i="1" s="1"/>
  <c r="R36" i="1"/>
  <c r="T36" i="1" s="1"/>
  <c r="R34" i="1"/>
  <c r="T34" i="1" s="1"/>
  <c r="R32" i="1"/>
  <c r="T32" i="1" s="1"/>
  <c r="R30" i="1"/>
  <c r="T30" i="1" s="1"/>
  <c r="R28" i="1"/>
  <c r="T28" i="1" s="1"/>
  <c r="R26" i="1"/>
  <c r="T26" i="1" s="1"/>
  <c r="R24" i="1"/>
  <c r="T24" i="1" s="1"/>
  <c r="R22" i="1"/>
  <c r="T22" i="1" s="1"/>
  <c r="R20" i="1"/>
  <c r="T20" i="1" s="1"/>
  <c r="R18" i="1"/>
  <c r="T18" i="1" s="1"/>
  <c r="R16" i="1"/>
  <c r="T16" i="1" s="1"/>
  <c r="R14" i="1"/>
  <c r="T14" i="1" s="1"/>
  <c r="R12" i="1"/>
  <c r="T12" i="1" s="1"/>
  <c r="R10" i="1"/>
  <c r="T10" i="1" s="1"/>
  <c r="R50" i="1"/>
  <c r="T50" i="1" s="1"/>
  <c r="R51" i="1"/>
  <c r="T51" i="1" s="1"/>
  <c r="R49" i="1"/>
  <c r="T49" i="1" s="1"/>
  <c r="R47" i="1"/>
  <c r="T47" i="1" s="1"/>
  <c r="R45" i="1"/>
  <c r="T45" i="1" s="1"/>
  <c r="R43" i="1"/>
  <c r="T43" i="1" s="1"/>
  <c r="R41" i="1"/>
  <c r="T41" i="1" s="1"/>
  <c r="R39" i="1"/>
  <c r="T39" i="1" s="1"/>
  <c r="R37" i="1"/>
  <c r="T37" i="1" s="1"/>
  <c r="R35" i="1"/>
  <c r="T35" i="1" s="1"/>
  <c r="R33" i="1"/>
  <c r="T33" i="1" s="1"/>
  <c r="R31" i="1"/>
  <c r="T31" i="1" s="1"/>
  <c r="R29" i="1"/>
  <c r="T29" i="1" s="1"/>
  <c r="R27" i="1"/>
  <c r="T27" i="1" s="1"/>
  <c r="R25" i="1"/>
  <c r="T25" i="1" s="1"/>
  <c r="R23" i="1"/>
  <c r="T23" i="1" s="1"/>
  <c r="R21" i="1"/>
  <c r="T21" i="1" s="1"/>
  <c r="R19" i="1"/>
  <c r="T19" i="1" s="1"/>
  <c r="R17" i="1"/>
  <c r="T17" i="1" s="1"/>
  <c r="R15" i="1"/>
  <c r="T15" i="1" s="1"/>
  <c r="R13" i="1"/>
  <c r="T13" i="1" s="1"/>
  <c r="R9" i="1"/>
  <c r="T9" i="1" s="1"/>
  <c r="T52" i="1" l="1"/>
  <c r="U58" i="1" l="1"/>
  <c r="U59" i="1" s="1"/>
  <c r="U60" i="1" s="1"/>
  <c r="T56" i="1"/>
  <c r="U34" i="1"/>
  <c r="U48" i="1"/>
  <c r="U29" i="1"/>
  <c r="U38" i="1"/>
  <c r="U19" i="1"/>
  <c r="U33" i="1"/>
  <c r="U50" i="1"/>
  <c r="U39" i="1"/>
  <c r="U30" i="1"/>
  <c r="U43" i="1"/>
  <c r="U11" i="1"/>
  <c r="U44" i="1"/>
  <c r="U12" i="1"/>
  <c r="U25" i="1"/>
  <c r="T57" i="1"/>
  <c r="T55" i="1"/>
  <c r="U32" i="1"/>
  <c r="U13" i="1"/>
  <c r="U22" i="1"/>
  <c r="U35" i="1"/>
  <c r="U26" i="1"/>
  <c r="U36" i="1"/>
  <c r="U49" i="1"/>
  <c r="U17" i="1"/>
  <c r="U10" i="1"/>
  <c r="U16" i="1"/>
  <c r="U18" i="1"/>
  <c r="U51" i="1"/>
  <c r="U23" i="1"/>
  <c r="U20" i="1"/>
  <c r="U40" i="1"/>
  <c r="U21" i="1"/>
  <c r="U45" i="1"/>
  <c r="U15" i="1"/>
  <c r="U24" i="1"/>
  <c r="U37" i="1"/>
  <c r="U42" i="1"/>
  <c r="U46" i="1"/>
  <c r="U14" i="1"/>
  <c r="U27" i="1"/>
  <c r="U47" i="1"/>
  <c r="U28" i="1"/>
  <c r="U41" i="1"/>
  <c r="U9" i="1"/>
  <c r="W9" i="1" s="1"/>
  <c r="U31" i="1"/>
  <c r="V9" i="1" l="1"/>
  <c r="W11" i="1"/>
  <c r="V11" i="1" s="1"/>
  <c r="W13" i="1"/>
  <c r="V13" i="1" s="1"/>
  <c r="W15" i="1"/>
  <c r="V15" i="1" s="1"/>
  <c r="W17" i="1"/>
  <c r="V17" i="1" s="1"/>
  <c r="W19" i="1"/>
  <c r="V19" i="1" s="1"/>
  <c r="W21" i="1"/>
  <c r="V21" i="1" s="1"/>
  <c r="W23" i="1"/>
  <c r="V23" i="1" s="1"/>
  <c r="W25" i="1"/>
  <c r="V25" i="1" s="1"/>
  <c r="W27" i="1"/>
  <c r="V27" i="1" s="1"/>
  <c r="W29" i="1"/>
  <c r="V29" i="1" s="1"/>
  <c r="W31" i="1"/>
  <c r="V31" i="1" s="1"/>
  <c r="W33" i="1"/>
  <c r="V33" i="1" s="1"/>
  <c r="W35" i="1"/>
  <c r="V35" i="1" s="1"/>
  <c r="W37" i="1"/>
  <c r="V37" i="1" s="1"/>
  <c r="W39" i="1"/>
  <c r="V39" i="1" s="1"/>
  <c r="W41" i="1"/>
  <c r="V41" i="1" s="1"/>
  <c r="W43" i="1"/>
  <c r="V43" i="1" s="1"/>
  <c r="W45" i="1"/>
  <c r="V45" i="1" s="1"/>
  <c r="W47" i="1"/>
  <c r="V47" i="1" s="1"/>
  <c r="W49" i="1"/>
  <c r="V49" i="1" s="1"/>
  <c r="W51" i="1"/>
  <c r="V51" i="1" s="1"/>
  <c r="T60" i="1"/>
  <c r="W10" i="1"/>
  <c r="V10" i="1" s="1"/>
  <c r="W14" i="1"/>
  <c r="V14" i="1" s="1"/>
  <c r="W16" i="1"/>
  <c r="V16" i="1" s="1"/>
  <c r="W20" i="1"/>
  <c r="V20" i="1" s="1"/>
  <c r="W24" i="1"/>
  <c r="V24" i="1" s="1"/>
  <c r="W28" i="1"/>
  <c r="V28" i="1" s="1"/>
  <c r="W12" i="1"/>
  <c r="V12" i="1" s="1"/>
  <c r="W18" i="1"/>
  <c r="V18" i="1" s="1"/>
  <c r="W22" i="1"/>
  <c r="V22" i="1" s="1"/>
  <c r="W26" i="1"/>
  <c r="V26" i="1" s="1"/>
  <c r="W30" i="1"/>
  <c r="V30" i="1" s="1"/>
  <c r="W32" i="1"/>
  <c r="V32" i="1" s="1"/>
  <c r="W36" i="1"/>
  <c r="V36" i="1" s="1"/>
  <c r="W40" i="1"/>
  <c r="V40" i="1" s="1"/>
  <c r="W44" i="1"/>
  <c r="V44" i="1" s="1"/>
  <c r="W48" i="1"/>
  <c r="V48" i="1" s="1"/>
  <c r="W38" i="1"/>
  <c r="V38" i="1" s="1"/>
  <c r="W50" i="1"/>
  <c r="V50" i="1" s="1"/>
  <c r="W42" i="1"/>
  <c r="V42" i="1" s="1"/>
  <c r="W34" i="1"/>
  <c r="V34" i="1" s="1"/>
  <c r="W46" i="1"/>
  <c r="V46" i="1" s="1"/>
  <c r="U64" i="1"/>
  <c r="U52" i="1"/>
  <c r="W5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Gustavo Lazcano</author>
  </authors>
  <commentList>
    <comment ref="Q56" authorId="0" shapeId="0" xr:uid="{CDD62B0F-E133-4850-9BE4-8294D9512683}">
      <text>
        <r>
          <rPr>
            <sz val="9"/>
            <color indexed="81"/>
            <rFont val="Tahoma"/>
            <family val="2"/>
          </rPr>
          <t>Costos Directos Fijos + Costos Indirectos Fijos y Variables asignados a la Obra</t>
        </r>
      </text>
    </comment>
  </commentList>
</comments>
</file>

<file path=xl/sharedStrings.xml><?xml version="1.0" encoding="utf-8"?>
<sst xmlns="http://schemas.openxmlformats.org/spreadsheetml/2006/main" count="281" uniqueCount="154">
  <si>
    <t>RECURSOS MATERIALES</t>
  </si>
  <si>
    <t>MOVIMINTO DE SUELOS</t>
  </si>
  <si>
    <t>Excavación en Espacios Abiertos</t>
  </si>
  <si>
    <t>m3</t>
  </si>
  <si>
    <t>Excavación en Espacios Reducidos</t>
  </si>
  <si>
    <t>Relleno y Compactación (relleno comprado)</t>
  </si>
  <si>
    <t>Relleno y Compactación (relleno de obra)</t>
  </si>
  <si>
    <t>Retiro de Tierra Manual (Carretilla 130L)</t>
  </si>
  <si>
    <t>MAMPOSTERÍAS</t>
  </si>
  <si>
    <t>Mamp. HCCA 10x25x50 Masa Adhesiva</t>
  </si>
  <si>
    <t>m2</t>
  </si>
  <si>
    <t>Mamp. HCCA 12.5x25x50 Masa Adhesiva</t>
  </si>
  <si>
    <t>Mamp. HCCA 15x25x50 Masa Adhesiva</t>
  </si>
  <si>
    <t>Mamp. HCCA 15x25x60 Masa Adhesiva</t>
  </si>
  <si>
    <t>Mamp. HCCA 17.5x25x50 Masa Adhesiva</t>
  </si>
  <si>
    <t>Mamp. HCCA 20x25x50 Masa Adhesiva</t>
  </si>
  <si>
    <t>Mamp. HCCA 7.5x25x50 Masa Adhesiva</t>
  </si>
  <si>
    <t>Mamp.Bloques H° 13x19x39 Masa Adhesiva</t>
  </si>
  <si>
    <t>Mamp.Bloques H° 13x19x39 Mezcla de Asiento</t>
  </si>
  <si>
    <t>Mamp.Bloques H° 19x19x39 Masa Adhesiva</t>
  </si>
  <si>
    <t>Mamp.Bloques H° 19x19x39 Mezcla de Asiento</t>
  </si>
  <si>
    <t>Mamp.L.Hueco 12x18x25 Masa Adhesiva</t>
  </si>
  <si>
    <t>Mamp.L.Hueco 12x18x25 Mezcla de Asiento</t>
  </si>
  <si>
    <t>Mamp.L.Hueco 12x18x33 Masa Adhesiva</t>
  </si>
  <si>
    <t>Mamp.L.Hueco 12x18x33 Mezcla de Asiento</t>
  </si>
  <si>
    <t>Mamp.L.Hueco 18x18x25 Masa Adhesiva</t>
  </si>
  <si>
    <t>Mamp.L.Hueco 18x18x25 Mezcla de Asiento</t>
  </si>
  <si>
    <t>Mamp.L.Hueco 18x18x33 Masa Adhesiva</t>
  </si>
  <si>
    <t>Mamp.L.Hueco 18x18x33 Mezcla de Asiento</t>
  </si>
  <si>
    <t>Mamp.L.Hueco 8x18x25 Masa Adhesiva</t>
  </si>
  <si>
    <t>Mamp.L.Hueco 8x18x25 Mezcla de Asiento</t>
  </si>
  <si>
    <t>Mamp.L.Hueco 8x18x33 Masa Adhesiva</t>
  </si>
  <si>
    <t>Mamp.L.Hueco 8x18x33 Mezcla de Asiento</t>
  </si>
  <si>
    <t>Mamp.L.Hueco Port.12x19x33 Mezc.de Asiento</t>
  </si>
  <si>
    <t>Mamp.L.Hueco Port.18x19x33 Mezc.de Asiento</t>
  </si>
  <si>
    <t>Mamp.L.Macizo 0.05 Mez.Asiento no vista</t>
  </si>
  <si>
    <t>Mamp.L.Macizo 0.15 Mez.Asiento no vista</t>
  </si>
  <si>
    <t>Mamp.L.Macizo 0.20 Mez.Asiento no vista</t>
  </si>
  <si>
    <t>Mamp.L.Macizo 0.30 Mez.Asiento no vista</t>
  </si>
  <si>
    <t>REVOQUES</t>
  </si>
  <si>
    <t>Azotado Hidrófugo</t>
  </si>
  <si>
    <t>Rev. Grueso + Azot. Hid. Fratasado</t>
  </si>
  <si>
    <t>Rev. Grueso + Azot. Hid. Mandilado</t>
  </si>
  <si>
    <t>Rev. Grueso + Azot. Hid. Regleado</t>
  </si>
  <si>
    <t>Rev. Grueso Hid. + Azotado Hid. Fratasado</t>
  </si>
  <si>
    <t>Rev. Grueso Hid. + Azotado Hid. Mandilado</t>
  </si>
  <si>
    <t>Rev. Grueso Hid. + Azotado Hid. Regleado</t>
  </si>
  <si>
    <t>Rev. Fino Exterior a la Cal Prem. Mandil.</t>
  </si>
  <si>
    <t>Rev. Fino Interior a la Cal Prem. Mandil.</t>
  </si>
  <si>
    <t>CARGAS SOCIALES</t>
  </si>
  <si>
    <t>CANTIDAD</t>
  </si>
  <si>
    <t>RUBROS</t>
  </si>
  <si>
    <t>ÍTEMS</t>
  </si>
  <si>
    <t>5</t>
  </si>
  <si>
    <t>7</t>
  </si>
  <si>
    <t>FECHA</t>
  </si>
  <si>
    <t>UNIDAD</t>
  </si>
  <si>
    <t>N°R</t>
  </si>
  <si>
    <t>N°I</t>
  </si>
  <si>
    <t>1.1</t>
  </si>
  <si>
    <t>1.2</t>
  </si>
  <si>
    <t>1.3</t>
  </si>
  <si>
    <t>1.4</t>
  </si>
  <si>
    <t>1.5</t>
  </si>
  <si>
    <t>1</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</si>
  <si>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</si>
  <si>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</si>
  <si>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</si>
  <si>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</si>
  <si>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</si>
  <si>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</si>
  <si>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</si>
  <si>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</si>
  <si>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</si>
  <si>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</si>
  <si>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</si>
  <si>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</si>
  <si>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</si>
  <si>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</si>
  <si>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</si>
  <si>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</si>
  <si>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</si>
  <si>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</si>
  <si>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</si>
  <si>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</si>
  <si>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</si>
  <si>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</si>
  <si>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</si>
  <si>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</si>
  <si>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</si>
  <si>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</si>
  <si>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</si>
  <si>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</si>
  <si>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</si>
  <si>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7.1</t>
  </si>
  <si>
    <t>7.2</t>
  </si>
  <si>
    <t>7.3</t>
  </si>
  <si>
    <t>7.4</t>
  </si>
  <si>
    <t>7.5</t>
  </si>
  <si>
    <t>7.6</t>
  </si>
  <si>
    <t>7.7</t>
  </si>
  <si>
    <t>7.8</t>
  </si>
  <si>
    <t>7.9</t>
  </si>
  <si>
    <t xml:space="preserve">HORAS OBRERO </t>
  </si>
  <si>
    <t>Oficial Especializado</t>
  </si>
  <si>
    <t>Medio Oficial</t>
  </si>
  <si>
    <t>Ayudante</t>
  </si>
  <si>
    <t>Oficial</t>
  </si>
  <si>
    <t>COMENTARIO</t>
  </si>
  <si>
    <t>Comentario
Incluye Cava, Perfilado y Paleo de la tierra hasta un punto cercano a la excavación desde donde va a ser retirada o utilizada para relleno. No incluye movimiento de masas de tierra hasta otros sectores más lejanos (en tal caso tendrá que ser considerado por aparte). Dado que el Perfilado es considerado en este caso igual a la cava, la totalidad de lo aflojado se considera cava. Se considera a la tierra a palear como masa esponjada ya que se ha aflojado con la cava y no necesariamente debe conservar la cohesión de partículas.
Nota: Los tiempos obreros son estimativos, no se debe considerar esto como una receta exacta, cada grupo constructor tiene su  rendimiento.
Incidencias
Mano de Obra: 
-Medio Oficial Movimiento de Suelos: 4.33Hs
Herramental:
-Carretilla 90L
-Pala Ancha, Pala de Punta y/o Pico 
-Guantes de Descarne
-Lentes Protectores
-Casco Amarillo (Personal Operativo)
-Barbijo</t>
  </si>
  <si>
    <t>Comentario
Incluye el paleo de relleno de la tierra esponjada calculada con esponjamiento remanente y el apisonado de la cantidad de tierra necesaria que entraría en un perfil de 1m3. No tiene en cuenta el material ya que es reutilización de tierra de excavación.  
Mano de Obra
-Medio Oficial Movimiento de Suelos: 5.78 Hs
Nota: Los tiempos obreros son estimativos, no se debe considerar esto como una receta exacta, cada grupo constructor tiene su  rendimiento.
Materiales
Agua (para compactación) 
Nota: la cantidad utilizada es mínima y bajo la técnica del riego a aspersión.
Herramental
-Pisón Compactador Manual
-Carretel Enrollador de Manguera
-Manguera de Riego x 30ml
-Pala Ancha, Pala de Punta y/o Pico 
-Guantes de Descarne
-Lentes Protectores
-Casco Amarillo (Personal Operativo)
-Barbijo</t>
  </si>
  <si>
    <t>Comentario
Incluye el movimiento de masas de relleno hasta el lugar de relleno y el costo de material de relleno comprado, el paleo de relleno de la tierra esponjada calculada con esponjamiento remanente y el apisonado de la cantidad de tierra necesaria que entraría en un perfil de 1m3.  
Mano de Obra:
-Medio Oficial Movimiento de Suelos: 16.89 Hs
-Ayudante Movimiento de Materiales: 2.33 Hs
Nota: Los tiempos obreros son estimativos, no se debe considerar esto como una receta exacta, cada grupo constructor tiene su rendimiento. Se encarece debido al movimiento de material que hay que hacer para poner la tierra comprada en el punto de relleno.
Materiales: 
-Agua (para compactación): 10L
-Tierra (para relleno): 1.15m3 
Nota: la cantidad utilizada es mínima y bajo la técnica del riego a aspersión.
Herramental
-Pisón Compactador Manual
-Carretilla 90L
-Carretel Enrollador de Manguera
-Manguera de Riego x 30ml
-Pala Ancha, Pala de Punta y/o Pico 
-Guantes de Descarne
-Lentes Protectores
-Casco Amarillo (Personal Operativo)
-Barbijo</t>
  </si>
  <si>
    <t>Comentario
Incluye el movimiento de masas de relleno hasta el lugar de relleno y el costo de material de relleno comprado, el paleo de relleno de la tierra esponjada calculada con esponjamiento remanente y el apisonado de la cantidad de tierra necesaria que entraría en un perfil de 1m3.  
Nota: Si no conoce la cantidad de tierra sobrante en la obra, es posible estimarla con una planilla de cálculo subida en página www.consultobra.com siguiendo el link  a continuación. Usted debe colocar los volúmenes que pide la planilla y luego calcular el retiro en función del valor de tierra sobrante aproximada. Recuerde que es un dato aproximado.
Mano de Obra:
-Medio Oficial Movimiento de Suelos: 2.24 Hs
-Ayudante Movimiento de Suelos: 1.93 Hs
Nota: Los tiempos obreros son estimativos, no se debe considerar esto como una receta exacta, cada grupo constructor tiene su rendimiento. Se encarece debido al movimiento de material que hay que hacer para poner la tierra comprada en el punto de relleno.
Herramental
-Pala Ancha, Pala de Punta
-Carretilla 90L 
-Guantes de Descarne
-Lentes Protectores
-Casco Amarillo (Personal Operativo)
-Barbijo</t>
  </si>
  <si>
    <t>Comentario
Incluye Cava, Perfilado y Paleo de la tierra hasta un punto cercano a la excavación desde donde va a ser retirada o utilizada para relleno. No incluye movimiento de masas de tierra hasta otros sectores más lejanos (en tal caso tendrá que ser considerado por aparte). Dado que el Perfilado es considerado en este caso igual a la cava, la totalidad de lo aflojado se considera cava. Se considera a la tierra a palear como masa esponjada ya que se ha aflojado con la cava y no necesariamente debe conservar la cohesión de partículas. En este caso el ítem es realizado en espacios abiertos.
Nota: Los tiempos obreros son estimativos, no se debe considerar esto como una receta exacta, cada grupo constructor tiene su  rendimiento.
Incidencias
Mano de Obra: 
-Medio Oficial Movimiento de Suelos: 4.33Hs
Herramental:
-Carretilla 90L
-Pala Ancha, Pala de Punta y/o Pico 
-Guantes de Descarne
-Lentes Protectores
-Casco Amarillo (Personal Operativo)
-Barbijo</t>
  </si>
  <si>
    <t>CARGAS SEMANALES DE ANÁLISIS DE PRECIOS UNITARIOS</t>
  </si>
  <si>
    <t>MATERIALES</t>
  </si>
  <si>
    <t>OBREROS</t>
  </si>
  <si>
    <t>HERRAMENTAL</t>
  </si>
  <si>
    <t>Tipo de Costo</t>
  </si>
  <si>
    <t>Mano de Obra</t>
  </si>
  <si>
    <t>Materiales y Mano de Obra</t>
  </si>
  <si>
    <t>SI</t>
  </si>
  <si>
    <t>NO</t>
  </si>
  <si>
    <t>Cargas Sociales</t>
  </si>
  <si>
    <t>IVA</t>
  </si>
  <si>
    <t>MANO DE OBRA</t>
  </si>
  <si>
    <t>PRESUPUESTO WEB</t>
  </si>
  <si>
    <t>Superficie a Edificar</t>
  </si>
  <si>
    <t>Precio Superficial Obtenido (Precio por metro cuadrado)</t>
  </si>
  <si>
    <t>Margen de Contribución (Beneficio)</t>
  </si>
  <si>
    <t>BUSCAR ÍTEM</t>
  </si>
  <si>
    <t>IVA (21%)</t>
  </si>
  <si>
    <t>Costo de Obra</t>
  </si>
  <si>
    <t>Prorratear Total Obtenido</t>
  </si>
  <si>
    <t>Costo Final</t>
  </si>
  <si>
    <t>COSTO UNITARIO</t>
  </si>
  <si>
    <t xml:space="preserve">Gastos Generales </t>
  </si>
  <si>
    <t>Costo Logística de Materiales (Asignar en caso de presup. Materiaes y M.O.)</t>
  </si>
  <si>
    <t>PRECIO FINAL</t>
  </si>
  <si>
    <t>OTROS COSTOS</t>
  </si>
  <si>
    <t>En caso de elegir "prorratear el total obtenido" entre los distintos ítems de obra, el cuadro de "Otros costos" no se mostrará en el presupuesto sino que se muestran los precios finales y las cantidades. Siendo el costo unitario final la división del precio final y la cantidad.</t>
  </si>
  <si>
    <t>COSTO DIRECTO (CD)</t>
  </si>
  <si>
    <t>CD FINAL</t>
  </si>
  <si>
    <t xml:space="preserve">Incidencia </t>
  </si>
  <si>
    <t>EN EL PRESUPUESTO DEBEN IMPRIMIRSE SOLO LOS ÍTEMS CON CANTIDAD DISTINTA DE CERO</t>
  </si>
  <si>
    <t>Nombre</t>
  </si>
  <si>
    <t>Activo</t>
  </si>
  <si>
    <t>Mamposteria</t>
  </si>
  <si>
    <t>Si</t>
  </si>
  <si>
    <t>otroRubro</t>
  </si>
  <si>
    <t>No</t>
  </si>
  <si>
    <t>precio mano de obra</t>
  </si>
  <si>
    <t>Rubro</t>
  </si>
  <si>
    <t>IdItem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</si>
</sst>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
    <numFmt numFmtId="165" formatCode="&quot;$&quot;\ #,##0.00"/>
    <numFmt numFmtId="166" formatCode="#,##0.0"/>
    <numFmt numFmtId="167" formatCode="0.00&quot;Hs&quot;"/>
    <numFmt numFmtId="168" formatCode="0.00&quot;m2&quot;"/>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sz val="9"/>
      <color indexed="81"/>
      <name val="Tahoma"/>
      <family val="2"/>
    </font>
  </fonts>
  <fills count="5">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5"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164"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horizontal="center" vertical="center"/>
    </xf>
    <xf numFmtId="4" fontId="0" fillId="0" borderId="0" xfId="0" applyNumberFormat="1" applyAlignment="1">
      <alignment horizontal="center"/>
    </xf>
    <xf numFmtId="167" fontId="0" fillId="0" borderId="0" xfId="0" applyNumberFormat="1" applyAlignment="1">
      <alignment horizontal="center"/>
    </xf>
    <xf numFmtId="0" fontId="1" fillId="2" borderId="0" xfId="0" applyFont="1" applyFill="1" applyAlignment="1">
      <alignment horizontal="center"/>
    </xf>
    <xf numFmtId="164" fontId="0" fillId="0" borderId="0" xfId="0" applyNumberFormat="1" applyAlignment="1">
      <alignment horizontal="center" wrapText="1"/>
    </xf>
    <xf numFmtId="0" fontId="0" fillId="4" borderId="0" xfId="0" applyFill="1"/>
    <xf numFmtId="0" fontId="0" fillId="0" borderId="2" xfId="0" applyBorder="1"/>
    <xf numFmtId="0" fontId="0" fillId="0" borderId="3" xfId="0" applyBorder="1"/>
    <xf numFmtId="0" fontId="0" fillId="0" borderId="3" xfId="0" applyBorder="1" applyAlignment="1">
      <alignment horizontal="center"/>
    </xf>
    <xf numFmtId="166" fontId="0" fillId="3" borderId="0" xfId="0" applyNumberFormat="1" applyFill="1" applyBorder="1" applyAlignment="1">
      <alignment horizontal="center"/>
    </xf>
    <xf numFmtId="0" fontId="0" fillId="0" borderId="4" xfId="0" applyBorder="1" applyAlignment="1">
      <alignment horizontal="center"/>
    </xf>
    <xf numFmtId="168" fontId="0" fillId="0" borderId="6" xfId="0" applyNumberFormat="1" applyBorder="1"/>
    <xf numFmtId="165" fontId="0" fillId="0" borderId="6" xfId="0" applyNumberFormat="1" applyBorder="1"/>
    <xf numFmtId="10" fontId="0" fillId="4" borderId="6" xfId="0" applyNumberFormat="1" applyFill="1" applyBorder="1"/>
    <xf numFmtId="164" fontId="0" fillId="4" borderId="6" xfId="0" applyNumberFormat="1" applyFill="1" applyBorder="1"/>
    <xf numFmtId="0" fontId="0" fillId="4" borderId="6" xfId="0" applyFill="1" applyBorder="1"/>
    <xf numFmtId="165" fontId="0" fillId="4" borderId="6" xfId="0" applyNumberFormat="1" applyFill="1" applyBorder="1"/>
    <xf numFmtId="164" fontId="0" fillId="4" borderId="0" xfId="0" applyNumberFormat="1" applyFill="1" applyBorder="1" applyAlignment="1">
      <alignment horizontal="center"/>
    </xf>
    <xf numFmtId="164" fontId="0" fillId="4" borderId="5" xfId="0" applyNumberFormat="1" applyFill="1" applyBorder="1" applyAlignment="1">
      <alignment horizontal="center"/>
    </xf>
    <xf numFmtId="0" fontId="0" fillId="0" borderId="1" xfId="0" applyBorder="1"/>
    <xf numFmtId="0" fontId="0" fillId="4" borderId="0" xfId="0" applyFill="1" applyAlignment="1">
      <alignment horizontal="center"/>
    </xf>
    <xf numFmtId="10" fontId="2" fillId="4" borderId="6" xfId="0" applyNumberFormat="1" applyFont="1" applyFill="1" applyBorder="1"/>
    <xf numFmtId="164" fontId="2" fillId="4" borderId="6" xfId="0" applyNumberFormat="1" applyFont="1" applyFill="1" applyBorder="1"/>
    <xf numFmtId="0" fontId="2" fillId="4" borderId="0" xfId="0" applyFont="1" applyFill="1"/>
    <xf numFmtId="165" fontId="2" fillId="4" borderId="0" xfId="0" applyNumberFormat="1" applyFont="1" applyFill="1"/>
    <xf numFmtId="10" fontId="0" fillId="4" borderId="0" xfId="0" applyNumberFormat="1" applyFill="1" applyBorder="1" applyAlignment="1">
      <alignment horizontal="center"/>
    </xf>
    <xf numFmtId="164" fontId="0" fillId="4" borderId="0" xfId="0" applyNumberFormat="1" applyFill="1" applyAlignment="1">
      <alignment horizontal="center"/>
    </xf>
    <xf numFmtId="0" fontId="0" fillId="0" borderId="6" xfId="0" applyBorder="1"/>
    <xf numFmtId="0" fontId="0" fillId="0" borderId="0" xfId="0" applyBorder="1" applyAlignment="1">
      <alignment horizontal="center"/>
    </xf>
    <xf numFmtId="0" fontId="0" fillId="3" borderId="0" xfId="0" applyFill="1" applyBorder="1" applyAlignment="1">
      <alignment horizontal="center"/>
    </xf>
    <xf numFmtId="0" fontId="2" fillId="0" borderId="0" xfId="0" applyFont="1" applyBorder="1" applyAlignment="1">
      <alignment horizontal="center"/>
    </xf>
    <xf numFmtId="165" fontId="0" fillId="0" borderId="0" xfId="0" applyNumberFormat="1" applyFill="1" applyBorder="1"/>
    <xf numFmtId="165" fontId="2" fillId="0" borderId="0" xfId="0" applyNumberFormat="1" applyFont="1" applyFill="1"/>
    <xf numFmtId="164" fontId="0" fillId="0" borderId="0" xfId="0" applyNumberFormat="1" applyFill="1" applyBorder="1"/>
    <xf numFmtId="164" fontId="2" fillId="0" borderId="0" xfId="0" applyNumberFormat="1" applyFont="1" applyFill="1" applyBorder="1"/>
    <xf numFmtId="168" fontId="0" fillId="0" borderId="0" xfId="0" applyNumberFormat="1" applyFill="1" applyBorder="1"/>
    <xf numFmtId="0" fontId="0" fillId="0" borderId="0" xfId="0" applyFill="1"/>
    <xf numFmtId="0" fontId="0" fillId="0" borderId="8" xfId="0" applyBorder="1" applyAlignment="1">
      <alignment horizontal="center"/>
    </xf>
    <xf numFmtId="0" fontId="0" fillId="0" borderId="9" xfId="0" applyBorder="1"/>
    <xf numFmtId="0" fontId="0" fillId="0" borderId="9" xfId="0" applyBorder="1" applyAlignment="1">
      <alignment horizontal="center"/>
    </xf>
    <xf numFmtId="0" fontId="0" fillId="0" borderId="9" xfId="0" applyBorder="1" applyAlignment="1">
      <alignment horizontal="center" vertical="center"/>
    </xf>
    <xf numFmtId="0" fontId="0" fillId="3" borderId="9" xfId="0" applyFill="1" applyBorder="1" applyAlignment="1">
      <alignment horizontal="center"/>
    </xf>
    <xf numFmtId="164" fontId="0" fillId="4" borderId="9" xfId="0" applyNumberFormat="1" applyFill="1" applyBorder="1" applyAlignment="1">
      <alignment horizontal="center"/>
    </xf>
    <xf numFmtId="10" fontId="0" fillId="4" borderId="9" xfId="0" applyNumberFormat="1" applyFill="1" applyBorder="1" applyAlignment="1">
      <alignment horizontal="center"/>
    </xf>
    <xf numFmtId="164" fontId="0" fillId="4" borderId="10" xfId="0" applyNumberFormat="1" applyFill="1" applyBorder="1" applyAlignment="1">
      <alignment horizontal="center"/>
    </xf>
    <xf numFmtId="0" fontId="0" fillId="0" borderId="0" xfId="0" applyAlignment="1">
      <alignment horizontal="center" vertical="center"/>
    </xf>
    <xf numFmtId="0" fontId="0" fillId="4" borderId="6" xfId="0" applyFill="1" applyBorder="1" applyAlignment="1">
      <alignment horizontal="left"/>
    </xf>
    <xf numFmtId="0" fontId="3" fillId="2" borderId="0" xfId="0" applyFont="1" applyFill="1" applyAlignment="1">
      <alignment horizontal="center"/>
    </xf>
    <xf numFmtId="0" fontId="1" fillId="2" borderId="0" xfId="0" applyFont="1" applyFill="1" applyAlignment="1">
      <alignment horizontal="center"/>
    </xf>
    <xf numFmtId="0" fontId="0" fillId="0" borderId="6" xfId="0" applyBorder="1" applyAlignment="1">
      <alignment horizontal="left" vertical="top" wrapText="1"/>
    </xf>
    <xf numFmtId="0" fontId="2" fillId="0" borderId="7" xfId="0" applyFont="1" applyBorder="1" applyAlignment="1">
      <alignment horizontal="center"/>
    </xf>
    <xf numFmtId="0" fontId="2" fillId="4" borderId="6" xfId="0" applyFont="1" applyFill="1" applyBorder="1" applyAlignment="1">
      <alignment horizontal="left"/>
    </xf>
    <xf numFmtId="164" fontId="0" fillId="0" borderId="0" xfId="0" applyNumberFormat="1"/>
  </cellXfs>
  <cellStyles count="1">
    <cellStyle name="Normal" xfId="0" builtinId="0"/>
  </cellStyles>
  <dxfs count="44">
    <dxf>
      <numFmt numFmtId="164" formatCode="&quot;$&quot;\ #,##0.0"/>
      <fill>
        <patternFill patternType="solid">
          <fgColor indexed="64"/>
          <bgColor theme="5" tint="0.39997558519241921"/>
        </patternFill>
      </fill>
      <alignment horizontal="center" vertical="bottom" textRotation="0" wrapText="0" indent="0" justifyLastLine="0" shrinkToFit="0" readingOrder="0"/>
      <border diagonalUp="0" diagonalDown="0" outline="0">
        <left/>
        <right style="medium">
          <color indexed="64"/>
        </right>
        <top style="medium">
          <color indexed="64"/>
        </top>
        <bottom style="medium">
          <color indexed="64"/>
        </bottom>
      </border>
    </dxf>
    <dxf>
      <numFmt numFmtId="14"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right/>
        <top style="medium">
          <color indexed="64"/>
        </top>
        <bottom style="medium">
          <color indexed="64"/>
        </bottom>
      </border>
    </dxf>
    <dxf>
      <numFmt numFmtId="14"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right/>
        <top style="medium">
          <color indexed="64"/>
        </top>
        <bottom style="medium">
          <color indexed="64"/>
        </bottom>
      </border>
    </dxf>
    <dxf>
      <numFmt numFmtId="164" formatCode="&quot;$&quot;\ #,##0.0"/>
      <fill>
        <patternFill patternType="solid">
          <fgColor indexed="64"/>
          <bgColor theme="5" tint="0.39997558519241921"/>
        </patternFill>
      </fill>
      <alignment horizontal="center" vertical="bottom" textRotation="0" wrapText="0" indent="0" justifyLastLine="0" shrinkToFit="0" readingOrder="0"/>
      <border diagonalUp="0" diagonalDown="0" outline="0">
        <left/>
        <right/>
        <top style="medium">
          <color indexed="64"/>
        </top>
        <bottom style="medium">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style="medium">
          <color indexed="64"/>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alignment horizontal="center" vertical="center"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center" vertical="bottom" textRotation="0" wrapText="0" indent="0" justifyLastLine="0" shrinkToFit="0" readingOrder="0"/>
      <border diagonalUp="0" diagonalDown="0" outline="0">
        <left style="medium">
          <color indexed="64"/>
        </left>
        <right/>
        <top style="medium">
          <color indexed="64"/>
        </top>
        <bottom style="medium">
          <color indexed="64"/>
        </bottom>
      </border>
    </dxf>
    <dxf>
      <numFmt numFmtId="164" formatCode="&quot;$&quot;\ #,##0.0"/>
      <fill>
        <patternFill patternType="solid">
          <fgColor indexed="64"/>
          <bgColor theme="5" tint="0.39997558519241921"/>
        </patternFill>
      </fill>
      <alignment horizontal="center" vertical="bottom" textRotation="0" wrapText="0" indent="0" justifyLastLine="0" shrinkToFit="0" readingOrder="0"/>
    </dxf>
    <dxf>
      <numFmt numFmtId="164" formatCode="&quot;$&quot;\ #,##0.0"/>
      <fill>
        <patternFill patternType="solid">
          <fgColor indexed="64"/>
          <bgColor theme="5" tint="0.39997558519241921"/>
        </patternFill>
      </fill>
      <alignment horizontal="center" vertical="bottom" textRotation="0" wrapText="0" indent="0" justifyLastLine="0" shrinkToFit="0" readingOrder="0"/>
    </dxf>
    <dxf>
      <numFmt numFmtId="14"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right style="medium">
          <color indexed="64"/>
        </right>
        <top/>
        <bottom/>
      </border>
    </dxf>
    <dxf>
      <numFmt numFmtId="164" formatCode="&quot;$&quot;\ #,##0.0"/>
      <fill>
        <patternFill patternType="solid">
          <fgColor indexed="64"/>
          <bgColor theme="5" tint="0.39997558519241921"/>
        </patternFill>
      </fill>
      <alignment horizontal="center" vertical="bottom" textRotation="0" wrapText="0" indent="0" justifyLastLine="0" shrinkToFit="0" readingOrder="0"/>
    </dxf>
    <dxf>
      <numFmt numFmtId="166" formatCode="#,##0.0"/>
      <fill>
        <patternFill patternType="solid">
          <fgColor indexed="64"/>
          <bgColor theme="0"/>
        </patternFill>
      </fill>
      <alignment horizontal="center" vertical="bottom" textRotation="0" wrapText="0" indent="0" justifyLastLine="0" shrinkToFit="0" readingOrder="0"/>
    </dxf>
    <dxf>
      <numFmt numFmtId="164" formatCode="&quot;$&quot;\ #,##0.0"/>
      <fill>
        <patternFill patternType="solid">
          <fgColor indexed="64"/>
          <bgColor theme="5" tint="0.39997558519241921"/>
        </patternFill>
      </fill>
      <alignment horizontal="center" vertical="bottom" textRotation="0" wrapText="0" indent="0" justifyLastLine="0" shrinkToFit="0" readingOrder="0"/>
    </dxf>
    <dxf>
      <numFmt numFmtId="164" formatCode="&quot;$&quot;\ #,##0.0"/>
      <fill>
        <patternFill patternType="solid">
          <fgColor indexed="64"/>
          <bgColor theme="5" tint="0.39997558519241921"/>
        </patternFill>
      </fill>
      <alignment horizontal="center" vertical="bottom" textRotation="0" wrapText="0" indent="0" justifyLastLine="0" shrinkToFit="0" readingOrder="0"/>
    </dxf>
    <dxf>
      <numFmt numFmtId="164" formatCode="&quot;$&quot;\ #,##0.0"/>
      <fill>
        <patternFill patternType="solid">
          <fgColor indexed="64"/>
          <bgColor theme="5" tint="0.39997558519241921"/>
        </patternFill>
      </fill>
      <alignment horizontal="center" vertical="bottom" textRotation="0" wrapText="0" indent="0" justifyLastLine="0" shrinkToFit="0" readingOrder="0"/>
      <border diagonalUp="0" diagonalDown="0">
        <left style="medium">
          <color indexed="64"/>
        </left>
        <right/>
        <top/>
        <bottom/>
      </border>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numFmt numFmtId="164" formatCode="&quot;$&quot;\ #,##0.0"/>
      <alignment horizontal="center" vertical="bottom" textRotation="0" wrapText="0" indent="0" justifyLastLine="0" shrinkToFit="0" readingOrder="0"/>
    </dxf>
    <dxf>
      <alignment horizontal="center" vertical="center"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top style="medium">
          <color indexed="64"/>
        </top>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76200</xdr:colOff>
      <xdr:row>56</xdr:row>
      <xdr:rowOff>0</xdr:rowOff>
    </xdr:from>
    <xdr:to>
      <xdr:col>3</xdr:col>
      <xdr:colOff>1333499</xdr:colOff>
      <xdr:row>61</xdr:row>
      <xdr:rowOff>114301</xdr:rowOff>
    </xdr:to>
    <xdr:sp macro="" textlink="">
      <xdr:nvSpPr>
        <xdr:cNvPr id="11" name="CuadroTexto 10">
          <a:extLst>
            <a:ext uri="{FF2B5EF4-FFF2-40B4-BE49-F238E27FC236}">
              <a16:creationId xmlns:a16="http://schemas.microsoft.com/office/drawing/2014/main" id="{F80475A0-328A-49A0-BC1F-099047098D7B}"/>
            </a:ext>
          </a:extLst>
        </xdr:cNvPr>
        <xdr:cNvSpPr txBox="1"/>
      </xdr:nvSpPr>
      <xdr:spPr>
        <a:xfrm>
          <a:off x="76200" y="10081260"/>
          <a:ext cx="3223259" cy="12420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Los Rubros son los grupos que asocian a los ítems,</a:t>
          </a:r>
          <a:r>
            <a:rPr lang="es-AR" sz="1100" baseline="0"/>
            <a:t> cada uno tendrá un número representativo que está incluido en la tabla para otorgarle un orden (Ver orden de tabla de revista "Arquitecura y Construcción) en la que los rubros son títulos que agrupan ítems. </a:t>
          </a:r>
          <a:endParaRPr lang="es-AR" sz="1100"/>
        </a:p>
      </xdr:txBody>
    </xdr:sp>
    <xdr:clientData/>
  </xdr:twoCellAnchor>
  <xdr:twoCellAnchor>
    <xdr:from>
      <xdr:col>1</xdr:col>
      <xdr:colOff>1059180</xdr:colOff>
      <xdr:row>46</xdr:row>
      <xdr:rowOff>45720</xdr:rowOff>
    </xdr:from>
    <xdr:to>
      <xdr:col>1</xdr:col>
      <xdr:colOff>1177290</xdr:colOff>
      <xdr:row>56</xdr:row>
      <xdr:rowOff>0</xdr:rowOff>
    </xdr:to>
    <xdr:cxnSp macro="">
      <xdr:nvCxnSpPr>
        <xdr:cNvPr id="13" name="Conector recto de flecha 12">
          <a:extLst>
            <a:ext uri="{FF2B5EF4-FFF2-40B4-BE49-F238E27FC236}">
              <a16:creationId xmlns:a16="http://schemas.microsoft.com/office/drawing/2014/main" id="{BA8FD59E-E6FC-41D9-A2CB-A6E072C72695}"/>
            </a:ext>
          </a:extLst>
        </xdr:cNvPr>
        <xdr:cNvCxnSpPr>
          <a:stCxn id="11" idx="0"/>
        </xdr:cNvCxnSpPr>
      </xdr:nvCxnSpPr>
      <xdr:spPr>
        <a:xfrm flipH="1" flipV="1">
          <a:off x="1569720" y="8465820"/>
          <a:ext cx="118110" cy="1615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56</xdr:row>
      <xdr:rowOff>7620</xdr:rowOff>
    </xdr:from>
    <xdr:to>
      <xdr:col>5</xdr:col>
      <xdr:colOff>480059</xdr:colOff>
      <xdr:row>65</xdr:row>
      <xdr:rowOff>0</xdr:rowOff>
    </xdr:to>
    <xdr:sp macro="" textlink="">
      <xdr:nvSpPr>
        <xdr:cNvPr id="14" name="CuadroTexto 13">
          <a:extLst>
            <a:ext uri="{FF2B5EF4-FFF2-40B4-BE49-F238E27FC236}">
              <a16:creationId xmlns:a16="http://schemas.microsoft.com/office/drawing/2014/main" id="{A875820E-2566-4268-BB2D-18AF5B6D8011}"/>
            </a:ext>
          </a:extLst>
        </xdr:cNvPr>
        <xdr:cNvSpPr txBox="1"/>
      </xdr:nvSpPr>
      <xdr:spPr>
        <a:xfrm>
          <a:off x="3429000" y="10088880"/>
          <a:ext cx="3223259" cy="1851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Los</a:t>
          </a:r>
          <a:r>
            <a:rPr lang="es-AR" sz="1100" baseline="0"/>
            <a:t> Ítems</a:t>
          </a:r>
          <a:r>
            <a:rPr lang="es-AR" sz="1100"/>
            <a:t> son los trabajos propiamente dichos forman parte de la familia</a:t>
          </a:r>
          <a:r>
            <a:rPr lang="es-AR" sz="1100" baseline="0"/>
            <a:t> del rubro en cuestión</a:t>
          </a:r>
          <a:r>
            <a:rPr lang="es-AR" sz="1100"/>
            <a:t>,</a:t>
          </a:r>
          <a:r>
            <a:rPr lang="es-AR" sz="1100" baseline="0"/>
            <a:t> cada uno tendrá un número representativo que está incluido en la tabla, directamente relacionado al rubro, para otorgarle un orden secundario. Nótese, REVOQUES ES EL RUBRO 7, Revoque Fino a la Cal Premezcla Mandilado, es el ítem 7.9, ya que pertenece al rubro 7 y se ubica noveno en la tabla. No es que Revoque fino tenga un número asignado irremplazable, solo sirve para dar orden.</a:t>
          </a:r>
          <a:endParaRPr lang="es-AR" sz="1100"/>
        </a:p>
      </xdr:txBody>
    </xdr:sp>
    <xdr:clientData/>
  </xdr:twoCellAnchor>
  <xdr:twoCellAnchor>
    <xdr:from>
      <xdr:col>4</xdr:col>
      <xdr:colOff>1287780</xdr:colOff>
      <xdr:row>45</xdr:row>
      <xdr:rowOff>60960</xdr:rowOff>
    </xdr:from>
    <xdr:to>
      <xdr:col>4</xdr:col>
      <xdr:colOff>1619250</xdr:colOff>
      <xdr:row>56</xdr:row>
      <xdr:rowOff>7620</xdr:rowOff>
    </xdr:to>
    <xdr:cxnSp macro="">
      <xdr:nvCxnSpPr>
        <xdr:cNvPr id="15" name="Conector recto de flecha 14">
          <a:extLst>
            <a:ext uri="{FF2B5EF4-FFF2-40B4-BE49-F238E27FC236}">
              <a16:creationId xmlns:a16="http://schemas.microsoft.com/office/drawing/2014/main" id="{9BEA6CC2-EE74-48EE-8BEF-2656C1DECB72}"/>
            </a:ext>
          </a:extLst>
        </xdr:cNvPr>
        <xdr:cNvCxnSpPr>
          <a:stCxn id="14" idx="0"/>
        </xdr:cNvCxnSpPr>
      </xdr:nvCxnSpPr>
      <xdr:spPr>
        <a:xfrm flipH="1" flipV="1">
          <a:off x="4709160" y="8298180"/>
          <a:ext cx="331470" cy="1790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1219200</xdr:colOff>
      <xdr:row>0</xdr:row>
      <xdr:rowOff>68580</xdr:rowOff>
    </xdr:from>
    <xdr:to>
      <xdr:col>5</xdr:col>
      <xdr:colOff>495300</xdr:colOff>
      <xdr:row>3</xdr:row>
      <xdr:rowOff>114300</xdr:rowOff>
    </xdr:to>
    <xdr:sp macro="" textlink="">
      <xdr:nvSpPr>
        <xdr:cNvPr id="21" name="CuadroTexto 20">
          <a:extLst>
            <a:ext uri="{FF2B5EF4-FFF2-40B4-BE49-F238E27FC236}">
              <a16:creationId xmlns:a16="http://schemas.microsoft.com/office/drawing/2014/main" id="{983365A9-FC33-4C6F-AF58-164E5351F756}"/>
            </a:ext>
          </a:extLst>
        </xdr:cNvPr>
        <xdr:cNvSpPr txBox="1"/>
      </xdr:nvSpPr>
      <xdr:spPr>
        <a:xfrm>
          <a:off x="3185160" y="68580"/>
          <a:ext cx="348234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Este</a:t>
          </a:r>
          <a:r>
            <a:rPr lang="es-AR" sz="1100" baseline="0"/>
            <a:t> es un buscador para el usuario, que permita hallar rápidamente un ítem dentro de la lista.</a:t>
          </a:r>
          <a:endParaRPr lang="es-AR" sz="1100"/>
        </a:p>
      </xdr:txBody>
    </xdr:sp>
    <xdr:clientData/>
  </xdr:twoCellAnchor>
  <xdr:twoCellAnchor>
    <xdr:from>
      <xdr:col>9</xdr:col>
      <xdr:colOff>1805940</xdr:colOff>
      <xdr:row>55</xdr:row>
      <xdr:rowOff>99060</xdr:rowOff>
    </xdr:from>
    <xdr:to>
      <xdr:col>15</xdr:col>
      <xdr:colOff>1036320</xdr:colOff>
      <xdr:row>72</xdr:row>
      <xdr:rowOff>160020</xdr:rowOff>
    </xdr:to>
    <xdr:sp macro="" textlink="">
      <xdr:nvSpPr>
        <xdr:cNvPr id="22" name="CuadroTexto 21">
          <a:extLst>
            <a:ext uri="{FF2B5EF4-FFF2-40B4-BE49-F238E27FC236}">
              <a16:creationId xmlns:a16="http://schemas.microsoft.com/office/drawing/2014/main" id="{D4558FE2-7E3D-4C16-885E-78E5FA6986C6}"/>
            </a:ext>
          </a:extLst>
        </xdr:cNvPr>
        <xdr:cNvSpPr txBox="1"/>
      </xdr:nvSpPr>
      <xdr:spPr>
        <a:xfrm>
          <a:off x="13243560" y="10005060"/>
          <a:ext cx="6697980" cy="3169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Nota: El presupuesto aquí obtenido solo es de referencia y bajo ninguna circunstancia debe usarse como guía precisa ya que puede contener variaciones de precios respecto de la realidad del usuario en cuanto a materiales, que pueden variar de ciudad a ciudad por logística, fabricación, demanda, impuestos, etc., y diferencias en los procesos productivos (que en cada empresa son diferentes). Se utilizaron precios promedio de materiales y procesos productivos que se corresponden con la forma tradicional de nuestro medio de ejecutar los trabajos en el NOA. Los precios de materiales se encuentran colocados con IVA porque es así que</a:t>
          </a:r>
          <a:r>
            <a:rPr lang="es-AR" sz="1100" baseline="0"/>
            <a:t> se los consigue en corralón, p</a:t>
          </a:r>
          <a:r>
            <a:rPr lang="es-AR" sz="1100"/>
            <a:t>ero cuando se selecciona presupuesto con materiales y mano de obra con IVA, se resta el IVA de la tabla y se suma al final del presupuesto para no sumarse dos veces. </a:t>
          </a:r>
          <a:r>
            <a:rPr lang="es-AR" sz="1100">
              <a:solidFill>
                <a:schemeClr val="dk1"/>
              </a:solidFill>
              <a:effectLst/>
              <a:latin typeface="+mn-lt"/>
              <a:ea typeface="+mn-ea"/>
              <a:cs typeface="+mn-cs"/>
            </a:rPr>
            <a:t>Se ha considerado un IVA igual al 21%, tanto para materiales como para Mano de Obra, dado que es el valor predominante (salvo pocas excepciones del 10,5%). Al ser una página que brinda un estimativo, no se puede ser tan exacto con un tema que es propio de cada empresa. En este caso solo brinda información rápida y útil para el emprendedor solo con fines</a:t>
          </a:r>
          <a:r>
            <a:rPr lang="es-AR" sz="1100" baseline="0">
              <a:solidFill>
                <a:schemeClr val="dk1"/>
              </a:solidFill>
              <a:effectLst/>
              <a:latin typeface="+mn-lt"/>
              <a:ea typeface="+mn-ea"/>
              <a:cs typeface="+mn-cs"/>
            </a:rPr>
            <a:t> informativos, </a:t>
          </a:r>
          <a:r>
            <a:rPr lang="es-AR" sz="1100">
              <a:solidFill>
                <a:schemeClr val="dk1"/>
              </a:solidFill>
              <a:effectLst/>
              <a:latin typeface="+mn-lt"/>
              <a:ea typeface="+mn-ea"/>
              <a:cs typeface="+mn-cs"/>
            </a:rPr>
            <a:t>que luego deberá trabajar en sus oficinas de acuerdo a la realidad propia de su empresa.</a:t>
          </a:r>
          <a:r>
            <a:rPr lang="es-AR" sz="1100"/>
            <a:t> No incluye costos de Logística en ningún caso ya que existen materiales de engorrosa estimación, la logística deberá ser tenida en cuenta de forma aparte en cada caso particular. No incluye tasas a colegios y entes reguladores ni otro impuesto que exceda al IVA, como así tampoco incluye honorarios a profesionales intervinientes, que si la empresa</a:t>
          </a:r>
          <a:r>
            <a:rPr lang="es-AR" sz="1100" baseline="0"/>
            <a:t> los considera, deberá colocarlos dentro de sus gastos generales</a:t>
          </a:r>
          <a:r>
            <a:rPr lang="es-AR" sz="1100"/>
            <a:t>. Que el usuario la utilice bajo su propia responsabilidad y consciencia, no debe considerarse como documento fehaciente de la realidad de obra.</a:t>
          </a:r>
        </a:p>
      </xdr:txBody>
    </xdr:sp>
    <xdr:clientData/>
  </xdr:twoCellAnchor>
  <xdr:twoCellAnchor>
    <xdr:from>
      <xdr:col>15</xdr:col>
      <xdr:colOff>868680</xdr:colOff>
      <xdr:row>56</xdr:row>
      <xdr:rowOff>167640</xdr:rowOff>
    </xdr:from>
    <xdr:to>
      <xdr:col>18</xdr:col>
      <xdr:colOff>259080</xdr:colOff>
      <xdr:row>62</xdr:row>
      <xdr:rowOff>57150</xdr:rowOff>
    </xdr:to>
    <xdr:cxnSp macro="">
      <xdr:nvCxnSpPr>
        <xdr:cNvPr id="24" name="Conector recto de flecha 23">
          <a:extLst>
            <a:ext uri="{FF2B5EF4-FFF2-40B4-BE49-F238E27FC236}">
              <a16:creationId xmlns:a16="http://schemas.microsoft.com/office/drawing/2014/main" id="{93ABE550-9B2E-4E07-BB3F-029EDD2F1863}"/>
            </a:ext>
          </a:extLst>
        </xdr:cNvPr>
        <xdr:cNvCxnSpPr/>
      </xdr:nvCxnSpPr>
      <xdr:spPr>
        <a:xfrm flipV="1">
          <a:off x="19773900" y="10264140"/>
          <a:ext cx="4777740" cy="11772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60960</xdr:colOff>
      <xdr:row>54</xdr:row>
      <xdr:rowOff>0</xdr:rowOff>
    </xdr:from>
    <xdr:to>
      <xdr:col>24</xdr:col>
      <xdr:colOff>411480</xdr:colOff>
      <xdr:row>61</xdr:row>
      <xdr:rowOff>106680</xdr:rowOff>
    </xdr:to>
    <xdr:sp macro="" textlink="">
      <xdr:nvSpPr>
        <xdr:cNvPr id="26" name="CuadroTexto 25">
          <a:extLst>
            <a:ext uri="{FF2B5EF4-FFF2-40B4-BE49-F238E27FC236}">
              <a16:creationId xmlns:a16="http://schemas.microsoft.com/office/drawing/2014/main" id="{6B4EEC1E-FC49-47C6-98FC-75CA8B5D1F0C}"/>
            </a:ext>
          </a:extLst>
        </xdr:cNvPr>
        <xdr:cNvSpPr txBox="1"/>
      </xdr:nvSpPr>
      <xdr:spPr>
        <a:xfrm>
          <a:off x="28414980" y="9913620"/>
          <a:ext cx="2103120" cy="1386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El usuario debe tipear manualmente en la Web los valores correspondientes a Costos de Logística, Gastos Generales</a:t>
          </a:r>
          <a:r>
            <a:rPr lang="es-AR" sz="1100" baseline="0"/>
            <a:t> o Costos Indirectos y Beneficio o Margen de Contribución</a:t>
          </a:r>
          <a:endParaRPr lang="es-AR" sz="1100"/>
        </a:p>
      </xdr:txBody>
    </xdr:sp>
    <xdr:clientData/>
  </xdr:twoCellAnchor>
  <xdr:twoCellAnchor>
    <xdr:from>
      <xdr:col>21</xdr:col>
      <xdr:colOff>53340</xdr:colOff>
      <xdr:row>55</xdr:row>
      <xdr:rowOff>121920</xdr:rowOff>
    </xdr:from>
    <xdr:to>
      <xdr:col>22</xdr:col>
      <xdr:colOff>152400</xdr:colOff>
      <xdr:row>56</xdr:row>
      <xdr:rowOff>15240</xdr:rowOff>
    </xdr:to>
    <xdr:cxnSp macro="">
      <xdr:nvCxnSpPr>
        <xdr:cNvPr id="3" name="Conector recto de flecha 2">
          <a:extLst>
            <a:ext uri="{FF2B5EF4-FFF2-40B4-BE49-F238E27FC236}">
              <a16:creationId xmlns:a16="http://schemas.microsoft.com/office/drawing/2014/main" id="{B8C0F31B-FC04-4CCF-9B7F-87189E07FD64}"/>
            </a:ext>
          </a:extLst>
        </xdr:cNvPr>
        <xdr:cNvCxnSpPr/>
      </xdr:nvCxnSpPr>
      <xdr:spPr>
        <a:xfrm flipH="1" flipV="1">
          <a:off x="27569160" y="10210800"/>
          <a:ext cx="998220" cy="76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140B0-D4A9-4324-AC9B-70DBB8F6C52A}" name="Tabla1" displayName="Tabla1" ref="A8:W52" totalsRowCount="1" dataDxfId="43" totalsRowBorderDxfId="42">
  <autoFilter ref="A8:W51" xr:uid="{566140B0-D4A9-4324-AC9B-70DBB8F6C52A}"/>
  <sortState xmlns:xlrd2="http://schemas.microsoft.com/office/spreadsheetml/2017/richdata2" ref="A9:O51">
    <sortCondition ref="D8:D51"/>
  </sortState>
  <tableColumns count="23">
    <tableColumn id="1" xr3:uid="{3B71C76D-F3FC-4ED4-8E11-E4938B60C21B}" name="N°R" dataDxfId="41" totalsRowDxfId="21"/>
    <tableColumn id="2" xr3:uid="{44D43325-D042-4473-8F0D-72841CD5B061}" name="RUBROS" totalsRowDxfId="20"/>
    <tableColumn id="19" xr3:uid="{7DA9868B-F349-4364-BCD5-6B6CB87A829C}" name="IdItem"/>
    <tableColumn id="16" xr3:uid="{06A5FD95-3354-4398-8D07-0A69B91D0D84}" name="N°I" dataDxfId="40" totalsRowDxfId="19"/>
    <tableColumn id="3" xr3:uid="{812F73D2-6A0A-48BA-AB76-AE47D75E3201}" name="ÍTEMS" totalsRowDxfId="18"/>
    <tableColumn id="4" xr3:uid="{CB4824E1-4608-4429-9045-77EDD571F22F}" name="UNIDAD" dataDxfId="39" totalsRowDxfId="17"/>
    <tableColumn id="6" xr3:uid="{7113B311-CEC2-4354-A8B0-E12B76C1057E}" name="MATERIALES" dataDxfId="38" totalsRowDxfId="16"/>
    <tableColumn id="7" xr3:uid="{60B23736-4825-4BFD-84F0-05B759FB53DD}" name="OBREROS" dataDxfId="37" totalsRowDxfId="15"/>
    <tableColumn id="9" xr3:uid="{141C7058-B796-4231-A282-A5A31632FF3C}" name="HERRAMENTAL" dataDxfId="36" totalsRowDxfId="14"/>
    <tableColumn id="8" xr3:uid="{736A52F8-5D38-4DEC-9F15-1A273676C760}" name="CARGAS SOCIALES" dataDxfId="35" totalsRowDxfId="13"/>
    <tableColumn id="17" xr3:uid="{BE3D3FD1-AA3B-42AF-9124-0983A49F5D84}" name="COMENTARIO" dataDxfId="34" totalsRowDxfId="12"/>
    <tableColumn id="12" xr3:uid="{B6596167-31B0-44A6-B015-F81823EC3E92}" name="Oficial Especializado" dataDxfId="33" totalsRowDxfId="11"/>
    <tableColumn id="13" xr3:uid="{C3BC12EF-48AD-4199-A658-528171793F79}" name="Oficial" dataDxfId="32" totalsRowDxfId="10"/>
    <tableColumn id="14" xr3:uid="{009F9510-62A2-4093-AA89-297610A64688}" name="Medio Oficial" dataDxfId="31" totalsRowDxfId="9"/>
    <tableColumn id="15" xr3:uid="{D494B89F-8626-4381-964A-5F182D8820A4}" name="Ayudante" dataDxfId="30" totalsRowDxfId="8"/>
    <tableColumn id="18" xr3:uid="{419C08AC-B34D-454D-8134-5D51EF1762C0}" name="RECURSOS MATERIALES" dataDxfId="29" totalsRowDxfId="7">
      <calculatedColumnFormula>(IF($Q$2="Materiales y Mano de Obra",Tabla1[[#This Row],[MATERIALES]]*(IF($Q$4="NO",1.21,1)),"-"))</calculatedColumnFormula>
    </tableColumn>
    <tableColumn id="20" xr3:uid="{71F958AF-A417-45F7-B383-9E803D68F15F}" name="MANO DE OBRA" dataDxfId="28" totalsRowDxfId="6">
      <calculatedColumnFormula>(Tabla1[[#This Row],[OBREROS]]+IF($Q$3="SI",1,0)*Tabla1[[#This Row],[CARGAS SOCIALES]])+Tabla1[[#This Row],[HERRAMENTAL]]</calculatedColumnFormula>
    </tableColumn>
    <tableColumn id="21" xr3:uid="{F36FB974-EA3F-4500-BE3B-A011DED1C312}" name="COSTO UNITARIO" dataDxfId="27" totalsRowDxfId="5">
      <calculatedColumnFormula>IF($Q$2="Materiales y Mano de Obra",Tabla1[[#This Row],[RECURSOS MATERIALES]]+Tabla1[[#This Row],[MANO DE OBRA]],Tabla1[[#This Row],[MANO DE OBRA]])</calculatedColumnFormula>
    </tableColumn>
    <tableColumn id="22" xr3:uid="{4EDFFFDD-6E93-4DD2-A883-D63007280C08}" name="CANTIDAD" dataDxfId="26" totalsRowDxfId="4"/>
    <tableColumn id="23" xr3:uid="{DCDC1C0D-CE47-4E23-A35E-95FFC3A5D1E8}" name="COSTO DIRECTO (CD)" totalsRowFunction="custom" dataDxfId="25" totalsRowDxfId="3">
      <calculatedColumnFormula>Tabla1[[#This Row],[COSTO UNITARIO]]*Tabla1[[#This Row],[CANTIDAD]]</calculatedColumnFormula>
      <totalsRowFormula>SUM(Tabla1[COSTO DIRECTO (CD)])</totalsRowFormula>
    </tableColumn>
    <tableColumn id="24" xr3:uid="{EE01A163-8267-43DC-873A-2AECDF7641DA}" name="Incidencia " totalsRowFunction="sum" dataDxfId="24" totalsRowDxfId="2">
      <calculatedColumnFormula>IF(ISERROR(Tabla1[[#This Row],[COSTO DIRECTO (CD)]]/Tabla1[[#Totals],[COSTO DIRECTO (CD)]])=TRUE," ",Tabla1[[#This Row],[COSTO DIRECTO (CD)]]/Tabla1[[#Totals],[COSTO DIRECTO (CD)]])</calculatedColumnFormula>
    </tableColumn>
    <tableColumn id="10" xr3:uid="{59BD5A2D-FABC-4B8B-BD3D-F6229CAE03AC}" name="CD FINAL" dataDxfId="23" totalsRowDxfId="1">
      <calculatedColumnFormula>IF((ISERROR(Tabla1[[#This Row],[PRECIO FINAL]]/Tabla1[[#This Row],[CANTIDAD]]))=TRUE,0,Tabla1[[#This Row],[PRECIO FINAL]]/Tabla1[[#This Row],[CANTIDAD]])</calculatedColumnFormula>
    </tableColumn>
    <tableColumn id="5" xr3:uid="{0AEE631C-230D-4F78-BE60-4D1419F61D6A}" name="PRECIO FINAL" totalsRowFunction="sum" dataDxfId="22" totalsRowDxfId="0">
      <calculatedColumnFormula>IF($Q$5="SI",$U$60*Tabla1[[#This Row],[Incidencia ]],Tabla1[[#Totals],[COSTO DIRECTO (CD)]]*Tabla1[[#This Row],[Incidencia ]])</calculatedColumnFormula>
    </tableColumn>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175B-8236-4964-A8A2-FFC329E324C7}">
  <sheetPr>
    <tabColor theme="9" tint="0.79998168889431442"/>
  </sheetPr>
  <dimension ref="A2:AA68"/>
  <sheetViews>
    <sheetView tabSelected="1" topLeftCell="L1" zoomScale="78" zoomScaleNormal="78" workbookViewId="0">
      <selection activeCell="V9" sqref="V9"/>
    </sheetView>
  </sheetViews>
  <sheetFormatPr baseColWidth="10" defaultColWidth="10.77734375" defaultRowHeight="14.4" x14ac:dyDescent="0.3"/>
  <cols>
    <col min="1" max="1" width="7.44140625" style="2" bestFit="1" customWidth="1"/>
    <col min="2" max="2" width="23" bestFit="1" customWidth="1"/>
    <col min="3" max="4" width="21.21875" customWidth="1"/>
    <col min="5" max="5" width="40.109375" bestFit="1" customWidth="1"/>
    <col min="6" max="6" width="12.33203125" style="5" bestFit="1" customWidth="1"/>
    <col min="7" max="7" width="23.6640625" customWidth="1"/>
    <col min="8" max="8" width="22.109375" customWidth="1"/>
    <col min="9" max="9" width="18.77734375" customWidth="1"/>
    <col min="10" max="10" width="27.6640625" customWidth="1"/>
    <col min="11" max="11" width="17.21875" style="2" bestFit="1" customWidth="1"/>
    <col min="12" max="12" width="22.33203125" bestFit="1" customWidth="1"/>
    <col min="13" max="13" width="11.33203125" bestFit="1" customWidth="1"/>
    <col min="14" max="14" width="16.5546875" bestFit="1" customWidth="1"/>
    <col min="15" max="15" width="13.6640625" bestFit="1" customWidth="1"/>
    <col min="16" max="16" width="27.21875" bestFit="1" customWidth="1"/>
    <col min="17" max="17" width="24.77734375" customWidth="1"/>
    <col min="18" max="18" width="28.109375" bestFit="1" customWidth="1"/>
    <col min="20" max="20" width="21" bestFit="1" customWidth="1"/>
    <col min="21" max="21" width="14.44140625" bestFit="1" customWidth="1"/>
    <col min="22" max="22" width="13" bestFit="1" customWidth="1"/>
    <col min="23" max="23" width="14.77734375" bestFit="1" customWidth="1"/>
  </cols>
  <sheetData>
    <row r="2" spans="1:27" x14ac:dyDescent="0.3">
      <c r="P2" s="32" t="s">
        <v>118</v>
      </c>
      <c r="Q2" s="32" t="s">
        <v>120</v>
      </c>
      <c r="S2" s="54" t="s">
        <v>140</v>
      </c>
      <c r="T2" s="54"/>
      <c r="U2" s="54"/>
      <c r="V2" s="54"/>
      <c r="W2" s="54"/>
    </row>
    <row r="3" spans="1:27" x14ac:dyDescent="0.3">
      <c r="P3" s="32" t="s">
        <v>123</v>
      </c>
      <c r="Q3" s="32" t="s">
        <v>121</v>
      </c>
      <c r="S3" s="54"/>
      <c r="T3" s="54"/>
      <c r="U3" s="54"/>
      <c r="V3" s="54"/>
      <c r="W3" s="54"/>
    </row>
    <row r="4" spans="1:27" x14ac:dyDescent="0.3">
      <c r="P4" s="32" t="s">
        <v>131</v>
      </c>
      <c r="Q4" s="32" t="s">
        <v>121</v>
      </c>
      <c r="S4" s="54"/>
      <c r="T4" s="54"/>
      <c r="U4" s="54"/>
      <c r="V4" s="54"/>
      <c r="W4" s="54"/>
    </row>
    <row r="5" spans="1:27" ht="15" thickBot="1" x14ac:dyDescent="0.35">
      <c r="E5" s="25" t="s">
        <v>130</v>
      </c>
      <c r="P5" s="32" t="s">
        <v>133</v>
      </c>
      <c r="Q5" s="32" t="s">
        <v>121</v>
      </c>
      <c r="S5" s="54"/>
      <c r="T5" s="54"/>
      <c r="U5" s="54"/>
      <c r="V5" s="54"/>
      <c r="W5" s="54"/>
    </row>
    <row r="6" spans="1:27" ht="15" thickBot="1" x14ac:dyDescent="0.35">
      <c r="A6" s="2" t="s">
        <v>55</v>
      </c>
      <c r="B6" s="3">
        <v>44418</v>
      </c>
      <c r="C6" s="3"/>
      <c r="D6" s="3"/>
      <c r="E6" s="24"/>
    </row>
    <row r="7" spans="1:27" ht="15" thickBot="1" x14ac:dyDescent="0.35">
      <c r="A7" s="53" t="s">
        <v>114</v>
      </c>
      <c r="B7" s="53"/>
      <c r="C7" s="53"/>
      <c r="D7" s="53"/>
      <c r="E7" s="53"/>
      <c r="F7" s="53"/>
      <c r="G7" s="53"/>
      <c r="H7" s="53"/>
      <c r="I7" s="53"/>
      <c r="J7" s="53"/>
      <c r="K7" s="8"/>
      <c r="L7" s="52" t="s">
        <v>103</v>
      </c>
      <c r="M7" s="52"/>
      <c r="N7" s="52"/>
      <c r="O7" s="52"/>
      <c r="P7" s="10" t="s">
        <v>126</v>
      </c>
      <c r="Q7" s="10"/>
      <c r="R7" s="10"/>
      <c r="S7" s="10"/>
      <c r="T7" s="10"/>
      <c r="U7" s="10"/>
      <c r="V7" s="10"/>
      <c r="W7" s="10"/>
    </row>
    <row r="8" spans="1:27" x14ac:dyDescent="0.3">
      <c r="A8" s="2" t="s">
        <v>57</v>
      </c>
      <c r="B8" t="s">
        <v>51</v>
      </c>
      <c r="C8" t="s">
        <v>153</v>
      </c>
      <c r="D8" t="s">
        <v>58</v>
      </c>
      <c r="E8" t="s">
        <v>52</v>
      </c>
      <c r="F8" s="5" t="s">
        <v>56</v>
      </c>
      <c r="G8" t="s">
        <v>115</v>
      </c>
      <c r="H8" t="s">
        <v>116</v>
      </c>
      <c r="I8" s="2" t="s">
        <v>117</v>
      </c>
      <c r="J8" t="s">
        <v>49</v>
      </c>
      <c r="K8" s="2" t="s">
        <v>108</v>
      </c>
      <c r="L8" s="2" t="s">
        <v>104</v>
      </c>
      <c r="M8" s="2" t="s">
        <v>107</v>
      </c>
      <c r="N8" s="2" t="s">
        <v>105</v>
      </c>
      <c r="O8" s="2" t="s">
        <v>106</v>
      </c>
      <c r="P8" s="11" t="s">
        <v>0</v>
      </c>
      <c r="Q8" s="12" t="s">
        <v>125</v>
      </c>
      <c r="R8" s="13" t="s">
        <v>135</v>
      </c>
      <c r="S8" s="12" t="s">
        <v>50</v>
      </c>
      <c r="T8" s="12" t="s">
        <v>141</v>
      </c>
      <c r="U8" s="15" t="s">
        <v>143</v>
      </c>
      <c r="V8" s="33" t="s">
        <v>142</v>
      </c>
      <c r="W8" t="s">
        <v>138</v>
      </c>
    </row>
    <row r="9" spans="1:27" ht="14.4" customHeight="1" x14ac:dyDescent="0.3">
      <c r="A9" s="4" t="s">
        <v>64</v>
      </c>
      <c r="B9" t="s">
        <v>1</v>
      </c>
      <c r="C9">
        <v>1</v>
      </c>
      <c r="D9" s="4" t="s">
        <v>59</v>
      </c>
      <c r="E9" t="s">
        <v>2</v>
      </c>
      <c r="F9" s="5" t="s">
        <v>3</v>
      </c>
      <c r="G9" s="1">
        <v>0</v>
      </c>
      <c r="H9" s="1">
        <v>1000.6304526806853</v>
      </c>
      <c r="I9" s="1">
        <v>49.482574503101212</v>
      </c>
      <c r="J9" s="1">
        <v>943.60299595923982</v>
      </c>
      <c r="K9" s="9" t="s">
        <v>113</v>
      </c>
      <c r="L9" s="1"/>
      <c r="M9" s="1"/>
      <c r="N9" s="7">
        <v>4.37</v>
      </c>
      <c r="O9" s="7"/>
      <c r="P9" s="23">
        <f>(IF($Q$2="Materiales y Mano de Obra",Tabla1[[#This Row],[MATERIALES]]*(IF($Q$4="NO",1.21,1)),"-"))</f>
        <v>0</v>
      </c>
      <c r="Q9" s="22">
        <f>(Tabla1[[#This Row],[OBREROS]]+IF($Q$3="SI",1,0)*Tabla1[[#This Row],[CARGAS SOCIALES]])+Tabla1[[#This Row],[HERRAMENTAL]]</f>
        <v>1993.7160231430262</v>
      </c>
      <c r="R9" s="22">
        <f>IF($Q$2="Materiales y Mano de Obra",Tabla1[[#This Row],[RECURSOS MATERIALES]]+Tabla1[[#This Row],[MANO DE OBRA]],Tabla1[[#This Row],[MANO DE OBRA]])</f>
        <v>1993.7160231430262</v>
      </c>
      <c r="S9" s="14">
        <v>4</v>
      </c>
      <c r="T9" s="22">
        <f>Tabla1[[#This Row],[COSTO UNITARIO]]*Tabla1[[#This Row],[CANTIDAD]]</f>
        <v>7974.8640925721047</v>
      </c>
      <c r="U9" s="30">
        <f>IF(ISERROR(Tabla1[[#This Row],[COSTO DIRECTO (CD)]]/Tabla1[[#Totals],[COSTO DIRECTO (CD)]])=TRUE," ",Tabla1[[#This Row],[COSTO DIRECTO (CD)]]/Tabla1[[#Totals],[COSTO DIRECTO (CD)]])</f>
        <v>6.9095930967810373E-2</v>
      </c>
      <c r="V9" s="22">
        <f>IF((ISERROR(Tabla1[[#This Row],[PRECIO FINAL]]/Tabla1[[#This Row],[CANTIDAD]]))=TRUE,0,Tabla1[[#This Row],[PRECIO FINAL]]/Tabla1[[#This Row],[CANTIDAD]])</f>
        <v>3143.9495571247535</v>
      </c>
      <c r="W9" s="31">
        <f>IF($Q$5="SI",$U$60*Tabla1[[#This Row],[Incidencia ]],Tabla1[[#Totals],[COSTO DIRECTO (CD)]]*Tabla1[[#This Row],[Incidencia ]])</f>
        <v>12575.798228499014</v>
      </c>
      <c r="X9" s="57"/>
      <c r="AA9" s="57"/>
    </row>
    <row r="10" spans="1:27" ht="14.4" customHeight="1" x14ac:dyDescent="0.3">
      <c r="A10" s="4" t="s">
        <v>64</v>
      </c>
      <c r="B10" t="s">
        <v>1</v>
      </c>
      <c r="C10">
        <v>2</v>
      </c>
      <c r="D10" s="4" t="s">
        <v>60</v>
      </c>
      <c r="E10" t="s">
        <v>4</v>
      </c>
      <c r="F10" s="5" t="s">
        <v>3</v>
      </c>
      <c r="G10" s="1">
        <v>0</v>
      </c>
      <c r="H10" s="1">
        <v>1240.7817613240477</v>
      </c>
      <c r="I10" s="1">
        <v>61.358392383845484</v>
      </c>
      <c r="J10" s="1">
        <v>1170.0677149894627</v>
      </c>
      <c r="K10" s="9" t="s">
        <v>109</v>
      </c>
      <c r="L10" s="1"/>
      <c r="M10" s="1"/>
      <c r="N10" s="7">
        <v>5.41</v>
      </c>
      <c r="O10" s="7"/>
      <c r="P10" s="23">
        <f>(IF($Q$2="Materiales y Mano de Obra",Tabla1[[#This Row],[MATERIALES]]*(IF($Q$4="NO",1.21,1)),"-"))</f>
        <v>0</v>
      </c>
      <c r="Q10" s="22">
        <f>(Tabla1[[#This Row],[OBREROS]]+IF($Q$3="SI",1,0)*Tabla1[[#This Row],[CARGAS SOCIALES]])+Tabla1[[#This Row],[HERRAMENTAL]]</f>
        <v>2472.2078686973559</v>
      </c>
      <c r="R10" s="22">
        <f>IF($Q$2="Materiales y Mano de Obra",Tabla1[[#This Row],[RECURSOS MATERIALES]]+Tabla1[[#This Row],[MANO DE OBRA]],Tabla1[[#This Row],[MANO DE OBRA]])</f>
        <v>2472.2078686973559</v>
      </c>
      <c r="S10" s="14">
        <v>4</v>
      </c>
      <c r="T10" s="22">
        <f>Tabla1[[#This Row],[COSTO UNITARIO]]*Tabla1[[#This Row],[CANTIDAD]]</f>
        <v>9888.8314747894237</v>
      </c>
      <c r="U10" s="30">
        <f>IF(ISERROR(Tabla1[[#This Row],[COSTO DIRECTO (CD)]]/Tabla1[[#Totals],[COSTO DIRECTO (CD)]])=TRUE," ",Tabla1[[#This Row],[COSTO DIRECTO (CD)]]/Tabla1[[#Totals],[COSTO DIRECTO (CD)]])</f>
        <v>8.5678954400084995E-2</v>
      </c>
      <c r="V10" s="22">
        <f>IF((ISERROR(Tabla1[[#This Row],[PRECIO FINAL]]/Tabla1[[#This Row],[CANTIDAD]]))=TRUE,0,Tabla1[[#This Row],[PRECIO FINAL]]/Tabla1[[#This Row],[CANTIDAD]])</f>
        <v>3898.4974508347004</v>
      </c>
      <c r="W10" s="31">
        <f>IF($Q$5="SI",$U$60*Tabla1[[#This Row],[Incidencia ]],Tabla1[[#Totals],[COSTO DIRECTO (CD)]]*Tabla1[[#This Row],[Incidencia ]])</f>
        <v>15593.989803338802</v>
      </c>
    </row>
    <row r="11" spans="1:27" ht="14.4" customHeight="1" x14ac:dyDescent="0.3">
      <c r="A11" s="4" t="s">
        <v>64</v>
      </c>
      <c r="B11" t="s">
        <v>1</v>
      </c>
      <c r="C11">
        <v>3</v>
      </c>
      <c r="D11" s="4" t="s">
        <v>61</v>
      </c>
      <c r="E11" t="s">
        <v>5</v>
      </c>
      <c r="F11" s="5" t="s">
        <v>3</v>
      </c>
      <c r="G11" s="1">
        <v>1294.4880075599999</v>
      </c>
      <c r="H11" s="1">
        <v>1420.0642278958762</v>
      </c>
      <c r="I11" s="1">
        <v>95.187098900886198</v>
      </c>
      <c r="J11" s="1">
        <v>1339.1387900136983</v>
      </c>
      <c r="K11" s="9" t="s">
        <v>111</v>
      </c>
      <c r="L11" s="1"/>
      <c r="M11" s="1"/>
      <c r="N11" s="7">
        <v>5.13</v>
      </c>
      <c r="O11" s="7">
        <v>1.24</v>
      </c>
      <c r="P11" s="23">
        <f>(IF($Q$2="Materiales y Mano de Obra",Tabla1[[#This Row],[MATERIALES]]*(IF($Q$4="NO",1.21,1)),"-"))</f>
        <v>1294.4880075599999</v>
      </c>
      <c r="Q11" s="22">
        <f>(Tabla1[[#This Row],[OBREROS]]+IF($Q$3="SI",1,0)*Tabla1[[#This Row],[CARGAS SOCIALES]])+Tabla1[[#This Row],[HERRAMENTAL]]</f>
        <v>2854.3901168104608</v>
      </c>
      <c r="R11" s="22">
        <f>IF($Q$2="Materiales y Mano de Obra",Tabla1[[#This Row],[RECURSOS MATERIALES]]+Tabla1[[#This Row],[MANO DE OBRA]],Tabla1[[#This Row],[MANO DE OBRA]])</f>
        <v>4148.8781243704607</v>
      </c>
      <c r="S11" s="14"/>
      <c r="T11" s="22">
        <f>Tabla1[[#This Row],[COSTO UNITARIO]]*Tabla1[[#This Row],[CANTIDAD]]</f>
        <v>0</v>
      </c>
      <c r="U11" s="30">
        <f>IF(ISERROR(Tabla1[[#This Row],[COSTO DIRECTO (CD)]]/Tabla1[[#Totals],[COSTO DIRECTO (CD)]])=TRUE," ",Tabla1[[#This Row],[COSTO DIRECTO (CD)]]/Tabla1[[#Totals],[COSTO DIRECTO (CD)]])</f>
        <v>0</v>
      </c>
      <c r="V11" s="22">
        <f>IF((ISERROR(Tabla1[[#This Row],[PRECIO FINAL]]/Tabla1[[#This Row],[CANTIDAD]]))=TRUE,0,Tabla1[[#This Row],[PRECIO FINAL]]/Tabla1[[#This Row],[CANTIDAD]])</f>
        <v>0</v>
      </c>
      <c r="W11" s="31">
        <f>IF($Q$5="SI",$U$60*Tabla1[[#This Row],[Incidencia ]],Tabla1[[#Totals],[COSTO DIRECTO (CD)]]*Tabla1[[#This Row],[Incidencia ]])</f>
        <v>0</v>
      </c>
    </row>
    <row r="12" spans="1:27" ht="14.4" customHeight="1" x14ac:dyDescent="0.3">
      <c r="A12" s="4" t="s">
        <v>64</v>
      </c>
      <c r="B12" t="s">
        <v>1</v>
      </c>
      <c r="C12">
        <v>4</v>
      </c>
      <c r="D12" s="4" t="s">
        <v>62</v>
      </c>
      <c r="E12" t="s">
        <v>6</v>
      </c>
      <c r="F12" s="5" t="s">
        <v>3</v>
      </c>
      <c r="G12" s="1">
        <v>1.350756E-2</v>
      </c>
      <c r="H12" s="1">
        <v>638.08806280726446</v>
      </c>
      <c r="I12" s="1">
        <v>33.419366813256346</v>
      </c>
      <c r="J12" s="1">
        <v>601.72245021899289</v>
      </c>
      <c r="K12" s="9" t="s">
        <v>110</v>
      </c>
      <c r="L12" s="1"/>
      <c r="M12" s="1"/>
      <c r="N12" s="7">
        <v>2.78</v>
      </c>
      <c r="O12" s="7"/>
      <c r="P12" s="23">
        <f>(IF($Q$2="Materiales y Mano de Obra",Tabla1[[#This Row],[MATERIALES]]*(IF($Q$4="NO",1.21,1)),"-"))</f>
        <v>1.350756E-2</v>
      </c>
      <c r="Q12" s="22">
        <f>(Tabla1[[#This Row],[OBREROS]]+IF($Q$3="SI",1,0)*Tabla1[[#This Row],[CARGAS SOCIALES]])+Tabla1[[#This Row],[HERRAMENTAL]]</f>
        <v>1273.2298798395138</v>
      </c>
      <c r="R12" s="22">
        <f>IF($Q$2="Materiales y Mano de Obra",Tabla1[[#This Row],[RECURSOS MATERIALES]]+Tabla1[[#This Row],[MANO DE OBRA]],Tabla1[[#This Row],[MANO DE OBRA]])</f>
        <v>1273.2433873995139</v>
      </c>
      <c r="S12" s="14"/>
      <c r="T12" s="22">
        <f>Tabla1[[#This Row],[COSTO UNITARIO]]*Tabla1[[#This Row],[CANTIDAD]]</f>
        <v>0</v>
      </c>
      <c r="U12" s="30">
        <f>IF(ISERROR(Tabla1[[#This Row],[COSTO DIRECTO (CD)]]/Tabla1[[#Totals],[COSTO DIRECTO (CD)]])=TRUE," ",Tabla1[[#This Row],[COSTO DIRECTO (CD)]]/Tabla1[[#Totals],[COSTO DIRECTO (CD)]])</f>
        <v>0</v>
      </c>
      <c r="V12" s="22">
        <f>IF((ISERROR(Tabla1[[#This Row],[PRECIO FINAL]]/Tabla1[[#This Row],[CANTIDAD]]))=TRUE,0,Tabla1[[#This Row],[PRECIO FINAL]]/Tabla1[[#This Row],[CANTIDAD]])</f>
        <v>0</v>
      </c>
      <c r="W12" s="31">
        <f>IF($Q$5="SI",$U$60*Tabla1[[#This Row],[Incidencia ]],Tabla1[[#Totals],[COSTO DIRECTO (CD)]]*Tabla1[[#This Row],[Incidencia ]])</f>
        <v>0</v>
      </c>
    </row>
    <row r="13" spans="1:27" ht="14.4" customHeight="1" x14ac:dyDescent="0.3">
      <c r="A13" s="4" t="s">
        <v>64</v>
      </c>
      <c r="B13" t="s">
        <v>1</v>
      </c>
      <c r="C13">
        <v>5</v>
      </c>
      <c r="D13" s="4" t="s">
        <v>63</v>
      </c>
      <c r="E13" t="s">
        <v>7</v>
      </c>
      <c r="F13" s="5" t="s">
        <v>3</v>
      </c>
      <c r="G13" s="1">
        <v>0</v>
      </c>
      <c r="H13" s="1">
        <v>504.84987717098801</v>
      </c>
      <c r="I13" s="1">
        <v>39.562424295270645</v>
      </c>
      <c r="J13" s="1">
        <v>476.08226644286646</v>
      </c>
      <c r="K13" s="9" t="s">
        <v>112</v>
      </c>
      <c r="L13" s="1"/>
      <c r="M13" s="1"/>
      <c r="N13" s="7">
        <v>1.42</v>
      </c>
      <c r="O13" s="7">
        <v>0.91</v>
      </c>
      <c r="P13" s="23">
        <f>(IF($Q$2="Materiales y Mano de Obra",Tabla1[[#This Row],[MATERIALES]]*(IF($Q$4="NO",1.21,1)),"-"))</f>
        <v>0</v>
      </c>
      <c r="Q13" s="22">
        <f>(Tabla1[[#This Row],[OBREROS]]+IF($Q$3="SI",1,0)*Tabla1[[#This Row],[CARGAS SOCIALES]])+Tabla1[[#This Row],[HERRAMENTAL]]</f>
        <v>1020.4945679091251</v>
      </c>
      <c r="R13" s="22">
        <f>IF($Q$2="Materiales y Mano de Obra",Tabla1[[#This Row],[RECURSOS MATERIALES]]+Tabla1[[#This Row],[MANO DE OBRA]],Tabla1[[#This Row],[MANO DE OBRA]])</f>
        <v>1020.4945679091251</v>
      </c>
      <c r="S13" s="14"/>
      <c r="T13" s="22">
        <f>Tabla1[[#This Row],[COSTO UNITARIO]]*Tabla1[[#This Row],[CANTIDAD]]</f>
        <v>0</v>
      </c>
      <c r="U13" s="30">
        <f>IF(ISERROR(Tabla1[[#This Row],[COSTO DIRECTO (CD)]]/Tabla1[[#Totals],[COSTO DIRECTO (CD)]])=TRUE," ",Tabla1[[#This Row],[COSTO DIRECTO (CD)]]/Tabla1[[#Totals],[COSTO DIRECTO (CD)]])</f>
        <v>0</v>
      </c>
      <c r="V13" s="22">
        <f>IF((ISERROR(Tabla1[[#This Row],[PRECIO FINAL]]/Tabla1[[#This Row],[CANTIDAD]]))=TRUE,0,Tabla1[[#This Row],[PRECIO FINAL]]/Tabla1[[#This Row],[CANTIDAD]])</f>
        <v>0</v>
      </c>
      <c r="W13" s="31">
        <f>IF($Q$5="SI",$U$60*Tabla1[[#This Row],[Incidencia ]],Tabla1[[#Totals],[COSTO DIRECTO (CD)]]*Tabla1[[#This Row],[Incidencia ]])</f>
        <v>0</v>
      </c>
    </row>
    <row r="14" spans="1:27" x14ac:dyDescent="0.3">
      <c r="A14" s="4" t="s">
        <v>53</v>
      </c>
      <c r="B14" t="s">
        <v>8</v>
      </c>
      <c r="C14">
        <v>6</v>
      </c>
      <c r="D14" s="4" t="s">
        <v>65</v>
      </c>
      <c r="E14" t="s">
        <v>9</v>
      </c>
      <c r="F14" s="5" t="s">
        <v>10</v>
      </c>
      <c r="G14" s="1">
        <v>2371.7686235294086</v>
      </c>
      <c r="H14" s="1">
        <v>284.22282331395172</v>
      </c>
      <c r="I14" s="1">
        <v>18.151912249698725</v>
      </c>
      <c r="J14" s="1">
        <v>268.0250445201882</v>
      </c>
      <c r="K14" s="1"/>
      <c r="L14" s="1"/>
      <c r="M14" s="1"/>
      <c r="N14" s="6"/>
      <c r="O14" s="1"/>
      <c r="P14" s="23">
        <f>(IF($Q$2="Materiales y Mano de Obra",Tabla1[[#This Row],[MATERIALES]]*(IF($Q$4="NO",1.21,1)),"-"))</f>
        <v>2371.7686235294086</v>
      </c>
      <c r="Q14" s="22">
        <f>(Tabla1[[#This Row],[OBREROS]]+IF($Q$3="SI",1,0)*Tabla1[[#This Row],[CARGAS SOCIALES]])+Tabla1[[#This Row],[HERRAMENTAL]]</f>
        <v>570.39978008383866</v>
      </c>
      <c r="R14" s="22">
        <f>IF($Q$2="Materiales y Mano de Obra",Tabla1[[#This Row],[RECURSOS MATERIALES]]+Tabla1[[#This Row],[MANO DE OBRA]],Tabla1[[#This Row],[MANO DE OBRA]])</f>
        <v>2942.1684036132474</v>
      </c>
      <c r="S14" s="14"/>
      <c r="T14" s="22">
        <f>Tabla1[[#This Row],[COSTO UNITARIO]]*Tabla1[[#This Row],[CANTIDAD]]</f>
        <v>0</v>
      </c>
      <c r="U14" s="30">
        <f>IF(ISERROR(Tabla1[[#This Row],[COSTO DIRECTO (CD)]]/Tabla1[[#Totals],[COSTO DIRECTO (CD)]])=TRUE," ",Tabla1[[#This Row],[COSTO DIRECTO (CD)]]/Tabla1[[#Totals],[COSTO DIRECTO (CD)]])</f>
        <v>0</v>
      </c>
      <c r="V14" s="22">
        <f>IF((ISERROR(Tabla1[[#This Row],[PRECIO FINAL]]/Tabla1[[#This Row],[CANTIDAD]]))=TRUE,0,Tabla1[[#This Row],[PRECIO FINAL]]/Tabla1[[#This Row],[CANTIDAD]])</f>
        <v>0</v>
      </c>
      <c r="W14" s="31">
        <f>IF($Q$5="SI",$U$60*Tabla1[[#This Row],[Incidencia ]],Tabla1[[#Totals],[COSTO DIRECTO (CD)]]*Tabla1[[#This Row],[Incidencia ]])</f>
        <v>0</v>
      </c>
    </row>
    <row r="15" spans="1:27" x14ac:dyDescent="0.3">
      <c r="A15" s="4" t="s">
        <v>53</v>
      </c>
      <c r="B15" t="s">
        <v>8</v>
      </c>
      <c r="C15">
        <v>7</v>
      </c>
      <c r="D15" s="4" t="s">
        <v>74</v>
      </c>
      <c r="E15" t="s">
        <v>19</v>
      </c>
      <c r="F15" s="5" t="s">
        <v>10</v>
      </c>
      <c r="G15" s="1">
        <v>1725.9661249045027</v>
      </c>
      <c r="H15" s="1">
        <v>461.14319359574313</v>
      </c>
      <c r="I15" s="1">
        <v>29.62306413254456</v>
      </c>
      <c r="J15" s="1">
        <v>434.86281681434536</v>
      </c>
      <c r="K15" s="1"/>
      <c r="L15" s="1"/>
      <c r="M15" s="1"/>
      <c r="N15" s="6"/>
      <c r="O15" s="1"/>
      <c r="P15" s="23">
        <f>(IF($Q$2="Materiales y Mano de Obra",Tabla1[[#This Row],[MATERIALES]]*(IF($Q$4="NO",1.21,1)),"-"))</f>
        <v>1725.9661249045027</v>
      </c>
      <c r="Q15" s="22">
        <f>(Tabla1[[#This Row],[OBREROS]]+IF($Q$3="SI",1,0)*Tabla1[[#This Row],[CARGAS SOCIALES]])+Tabla1[[#This Row],[HERRAMENTAL]]</f>
        <v>925.62907454263302</v>
      </c>
      <c r="R15" s="22">
        <f>IF($Q$2="Materiales y Mano de Obra",Tabla1[[#This Row],[RECURSOS MATERIALES]]+Tabla1[[#This Row],[MANO DE OBRA]],Tabla1[[#This Row],[MANO DE OBRA]])</f>
        <v>2651.5951994471357</v>
      </c>
      <c r="S15" s="14"/>
      <c r="T15" s="22">
        <f>Tabla1[[#This Row],[COSTO UNITARIO]]*Tabla1[[#This Row],[CANTIDAD]]</f>
        <v>0</v>
      </c>
      <c r="U15" s="30">
        <f>IF(ISERROR(Tabla1[[#This Row],[COSTO DIRECTO (CD)]]/Tabla1[[#Totals],[COSTO DIRECTO (CD)]])=TRUE," ",Tabla1[[#This Row],[COSTO DIRECTO (CD)]]/Tabla1[[#Totals],[COSTO DIRECTO (CD)]])</f>
        <v>0</v>
      </c>
      <c r="V15" s="22">
        <f>IF((ISERROR(Tabla1[[#This Row],[PRECIO FINAL]]/Tabla1[[#This Row],[CANTIDAD]]))=TRUE,0,Tabla1[[#This Row],[PRECIO FINAL]]/Tabla1[[#This Row],[CANTIDAD]])</f>
        <v>0</v>
      </c>
      <c r="W15" s="31">
        <f>IF($Q$5="SI",$U$60*Tabla1[[#This Row],[Incidencia ]],Tabla1[[#Totals],[COSTO DIRECTO (CD)]]*Tabla1[[#This Row],[Incidencia ]])</f>
        <v>0</v>
      </c>
    </row>
    <row r="16" spans="1:27" x14ac:dyDescent="0.3">
      <c r="A16" s="4" t="s">
        <v>53</v>
      </c>
      <c r="B16" t="s">
        <v>8</v>
      </c>
      <c r="C16">
        <v>8</v>
      </c>
      <c r="D16" s="4" t="s">
        <v>75</v>
      </c>
      <c r="E16" t="s">
        <v>20</v>
      </c>
      <c r="F16" s="5" t="s">
        <v>10</v>
      </c>
      <c r="G16" s="1">
        <v>1122.9063706281765</v>
      </c>
      <c r="H16" s="1">
        <v>447.01240575215587</v>
      </c>
      <c r="I16" s="1">
        <v>37.761092746638241</v>
      </c>
      <c r="J16" s="1">
        <v>421.65010008095891</v>
      </c>
      <c r="K16" s="1"/>
      <c r="L16" s="1"/>
      <c r="M16" s="1"/>
      <c r="N16" s="6"/>
      <c r="O16" s="1"/>
      <c r="P16" s="23">
        <f>(IF($Q$2="Materiales y Mano de Obra",Tabla1[[#This Row],[MATERIALES]]*(IF($Q$4="NO",1.21,1)),"-"))</f>
        <v>1122.9063706281765</v>
      </c>
      <c r="Q16" s="22">
        <f>(Tabla1[[#This Row],[OBREROS]]+IF($Q$3="SI",1,0)*Tabla1[[#This Row],[CARGAS SOCIALES]])+Tabla1[[#This Row],[HERRAMENTAL]]</f>
        <v>906.42359857975305</v>
      </c>
      <c r="R16" s="22">
        <f>IF($Q$2="Materiales y Mano de Obra",Tabla1[[#This Row],[RECURSOS MATERIALES]]+Tabla1[[#This Row],[MANO DE OBRA]],Tabla1[[#This Row],[MANO DE OBRA]])</f>
        <v>2029.3299692079295</v>
      </c>
      <c r="S16" s="14"/>
      <c r="T16" s="22">
        <f>Tabla1[[#This Row],[COSTO UNITARIO]]*Tabla1[[#This Row],[CANTIDAD]]</f>
        <v>0</v>
      </c>
      <c r="U16" s="30">
        <f>IF(ISERROR(Tabla1[[#This Row],[COSTO DIRECTO (CD)]]/Tabla1[[#Totals],[COSTO DIRECTO (CD)]])=TRUE," ",Tabla1[[#This Row],[COSTO DIRECTO (CD)]]/Tabla1[[#Totals],[COSTO DIRECTO (CD)]])</f>
        <v>0</v>
      </c>
      <c r="V16" s="22">
        <f>IF((ISERROR(Tabla1[[#This Row],[PRECIO FINAL]]/Tabla1[[#This Row],[CANTIDAD]]))=TRUE,0,Tabla1[[#This Row],[PRECIO FINAL]]/Tabla1[[#This Row],[CANTIDAD]])</f>
        <v>0</v>
      </c>
      <c r="W16" s="31">
        <f>IF($Q$5="SI",$U$60*Tabla1[[#This Row],[Incidencia ]],Tabla1[[#Totals],[COSTO DIRECTO (CD)]]*Tabla1[[#This Row],[Incidencia ]])</f>
        <v>0</v>
      </c>
      <c r="Y16" s="57"/>
    </row>
    <row r="17" spans="1:25" x14ac:dyDescent="0.3">
      <c r="A17" s="4" t="s">
        <v>53</v>
      </c>
      <c r="B17" t="s">
        <v>8</v>
      </c>
      <c r="C17">
        <v>9</v>
      </c>
      <c r="D17" s="4" t="s">
        <v>76</v>
      </c>
      <c r="E17" t="s">
        <v>21</v>
      </c>
      <c r="F17" s="5" t="s">
        <v>10</v>
      </c>
      <c r="G17" s="1">
        <v>1169.0695459459455</v>
      </c>
      <c r="H17" s="1">
        <v>598.00953978664415</v>
      </c>
      <c r="I17" s="1">
        <v>36.800729491555707</v>
      </c>
      <c r="J17" s="1">
        <v>563.92887016645125</v>
      </c>
      <c r="K17" s="1"/>
      <c r="L17" s="1"/>
      <c r="M17" s="1"/>
      <c r="N17" s="6"/>
      <c r="O17" s="1"/>
      <c r="P17" s="23">
        <f>(IF($Q$2="Materiales y Mano de Obra",Tabla1[[#This Row],[MATERIALES]]*(IF($Q$4="NO",1.21,1)),"-"))</f>
        <v>1169.0695459459455</v>
      </c>
      <c r="Q17" s="22">
        <f>(Tabla1[[#This Row],[OBREROS]]+IF($Q$3="SI",1,0)*Tabla1[[#This Row],[CARGAS SOCIALES]])+Tabla1[[#This Row],[HERRAMENTAL]]</f>
        <v>1198.7391394446511</v>
      </c>
      <c r="R17" s="22">
        <f>IF($Q$2="Materiales y Mano de Obra",Tabla1[[#This Row],[RECURSOS MATERIALES]]+Tabla1[[#This Row],[MANO DE OBRA]],Tabla1[[#This Row],[MANO DE OBRA]])</f>
        <v>2367.8086853905966</v>
      </c>
      <c r="S17" s="14"/>
      <c r="T17" s="22">
        <f>Tabla1[[#This Row],[COSTO UNITARIO]]*Tabla1[[#This Row],[CANTIDAD]]</f>
        <v>0</v>
      </c>
      <c r="U17" s="30">
        <f>IF(ISERROR(Tabla1[[#This Row],[COSTO DIRECTO (CD)]]/Tabla1[[#Totals],[COSTO DIRECTO (CD)]])=TRUE," ",Tabla1[[#This Row],[COSTO DIRECTO (CD)]]/Tabla1[[#Totals],[COSTO DIRECTO (CD)]])</f>
        <v>0</v>
      </c>
      <c r="V17" s="22">
        <f>IF((ISERROR(Tabla1[[#This Row],[PRECIO FINAL]]/Tabla1[[#This Row],[CANTIDAD]]))=TRUE,0,Tabla1[[#This Row],[PRECIO FINAL]]/Tabla1[[#This Row],[CANTIDAD]])</f>
        <v>0</v>
      </c>
      <c r="W17" s="31">
        <f>IF($Q$5="SI",$U$60*Tabla1[[#This Row],[Incidencia ]],Tabla1[[#Totals],[COSTO DIRECTO (CD)]]*Tabla1[[#This Row],[Incidencia ]])</f>
        <v>0</v>
      </c>
      <c r="Y17" s="57"/>
    </row>
    <row r="18" spans="1:25" x14ac:dyDescent="0.3">
      <c r="A18" s="4" t="s">
        <v>53</v>
      </c>
      <c r="B18" t="s">
        <v>8</v>
      </c>
      <c r="C18">
        <v>10</v>
      </c>
      <c r="D18" s="4" t="s">
        <v>77</v>
      </c>
      <c r="E18" t="s">
        <v>22</v>
      </c>
      <c r="F18" s="5" t="s">
        <v>10</v>
      </c>
      <c r="G18" s="1">
        <v>875.31921213959947</v>
      </c>
      <c r="H18" s="1">
        <v>716.62110912227956</v>
      </c>
      <c r="I18" s="1">
        <v>68.372402051957025</v>
      </c>
      <c r="J18" s="1">
        <v>676.09116417202108</v>
      </c>
      <c r="K18" s="1"/>
      <c r="L18" s="1"/>
      <c r="M18" s="1"/>
      <c r="N18" s="6"/>
      <c r="O18" s="1"/>
      <c r="P18" s="23">
        <f>(IF($Q$2="Materiales y Mano de Obra",Tabla1[[#This Row],[MATERIALES]]*(IF($Q$4="NO",1.21,1)),"-"))</f>
        <v>875.31921213959947</v>
      </c>
      <c r="Q18" s="22">
        <f>(Tabla1[[#This Row],[OBREROS]]+IF($Q$3="SI",1,0)*Tabla1[[#This Row],[CARGAS SOCIALES]])+Tabla1[[#This Row],[HERRAMENTAL]]</f>
        <v>1461.0846753462579</v>
      </c>
      <c r="R18" s="22">
        <f>IF($Q$2="Materiales y Mano de Obra",Tabla1[[#This Row],[RECURSOS MATERIALES]]+Tabla1[[#This Row],[MANO DE OBRA]],Tabla1[[#This Row],[MANO DE OBRA]])</f>
        <v>2336.4038874858575</v>
      </c>
      <c r="S18" s="14"/>
      <c r="T18" s="22">
        <f>Tabla1[[#This Row],[COSTO UNITARIO]]*Tabla1[[#This Row],[CANTIDAD]]</f>
        <v>0</v>
      </c>
      <c r="U18" s="30">
        <f>IF(ISERROR(Tabla1[[#This Row],[COSTO DIRECTO (CD)]]/Tabla1[[#Totals],[COSTO DIRECTO (CD)]])=TRUE," ",Tabla1[[#This Row],[COSTO DIRECTO (CD)]]/Tabla1[[#Totals],[COSTO DIRECTO (CD)]])</f>
        <v>0</v>
      </c>
      <c r="V18" s="22">
        <f>IF((ISERROR(Tabla1[[#This Row],[PRECIO FINAL]]/Tabla1[[#This Row],[CANTIDAD]]))=TRUE,0,Tabla1[[#This Row],[PRECIO FINAL]]/Tabla1[[#This Row],[CANTIDAD]])</f>
        <v>0</v>
      </c>
      <c r="W18" s="31">
        <f>IF($Q$5="SI",$U$60*Tabla1[[#This Row],[Incidencia ]],Tabla1[[#Totals],[COSTO DIRECTO (CD)]]*Tabla1[[#This Row],[Incidencia ]])</f>
        <v>0</v>
      </c>
    </row>
    <row r="19" spans="1:25" x14ac:dyDescent="0.3">
      <c r="A19" s="4" t="s">
        <v>53</v>
      </c>
      <c r="B19" t="s">
        <v>8</v>
      </c>
      <c r="C19">
        <v>11</v>
      </c>
      <c r="D19" s="4" t="s">
        <v>78</v>
      </c>
      <c r="E19" t="s">
        <v>23</v>
      </c>
      <c r="F19" s="5" t="s">
        <v>10</v>
      </c>
      <c r="G19" s="1">
        <v>1249.5255656019665</v>
      </c>
      <c r="H19" s="1">
        <v>458.8321007492101</v>
      </c>
      <c r="I19" s="1">
        <v>28.142545082214596</v>
      </c>
      <c r="J19" s="1">
        <v>432.68315326553534</v>
      </c>
      <c r="K19" s="1"/>
      <c r="L19" s="1"/>
      <c r="M19" s="1"/>
      <c r="N19" s="6"/>
      <c r="O19" s="1"/>
      <c r="P19" s="23">
        <f>(IF($Q$2="Materiales y Mano de Obra",Tabla1[[#This Row],[MATERIALES]]*(IF($Q$4="NO",1.21,1)),"-"))</f>
        <v>1249.5255656019665</v>
      </c>
      <c r="Q19" s="22">
        <f>(Tabla1[[#This Row],[OBREROS]]+IF($Q$3="SI",1,0)*Tabla1[[#This Row],[CARGAS SOCIALES]])+Tabla1[[#This Row],[HERRAMENTAL]]</f>
        <v>919.65779909696005</v>
      </c>
      <c r="R19" s="22">
        <f>IF($Q$2="Materiales y Mano de Obra",Tabla1[[#This Row],[RECURSOS MATERIALES]]+Tabla1[[#This Row],[MANO DE OBRA]],Tabla1[[#This Row],[MANO DE OBRA]])</f>
        <v>2169.1833646989267</v>
      </c>
      <c r="S19" s="14"/>
      <c r="T19" s="22">
        <f>Tabla1[[#This Row],[COSTO UNITARIO]]*Tabla1[[#This Row],[CANTIDAD]]</f>
        <v>0</v>
      </c>
      <c r="U19" s="30">
        <f>IF(ISERROR(Tabla1[[#This Row],[COSTO DIRECTO (CD)]]/Tabla1[[#Totals],[COSTO DIRECTO (CD)]])=TRUE," ",Tabla1[[#This Row],[COSTO DIRECTO (CD)]]/Tabla1[[#Totals],[COSTO DIRECTO (CD)]])</f>
        <v>0</v>
      </c>
      <c r="V19" s="22">
        <f>IF((ISERROR(Tabla1[[#This Row],[PRECIO FINAL]]/Tabla1[[#This Row],[CANTIDAD]]))=TRUE,0,Tabla1[[#This Row],[PRECIO FINAL]]/Tabla1[[#This Row],[CANTIDAD]])</f>
        <v>0</v>
      </c>
      <c r="W19" s="31">
        <f>IF($Q$5="SI",$U$60*Tabla1[[#This Row],[Incidencia ]],Tabla1[[#Totals],[COSTO DIRECTO (CD)]]*Tabla1[[#This Row],[Incidencia ]])</f>
        <v>0</v>
      </c>
    </row>
    <row r="20" spans="1:25" x14ac:dyDescent="0.3">
      <c r="A20" s="4" t="s">
        <v>53</v>
      </c>
      <c r="B20" t="s">
        <v>8</v>
      </c>
      <c r="C20">
        <v>12</v>
      </c>
      <c r="D20" s="4" t="s">
        <v>79</v>
      </c>
      <c r="E20" t="s">
        <v>24</v>
      </c>
      <c r="F20" s="5" t="s">
        <v>10</v>
      </c>
      <c r="G20" s="1">
        <v>926.00421486819448</v>
      </c>
      <c r="H20" s="1">
        <v>583.95873498249023</v>
      </c>
      <c r="I20" s="1">
        <v>56.490149500521397</v>
      </c>
      <c r="J20" s="1">
        <v>550.94290530999092</v>
      </c>
      <c r="K20" s="1"/>
      <c r="L20" s="1"/>
      <c r="M20" s="1"/>
      <c r="N20" s="6"/>
      <c r="O20" s="1"/>
      <c r="P20" s="23">
        <f>(IF($Q$2="Materiales y Mano de Obra",Tabla1[[#This Row],[MATERIALES]]*(IF($Q$4="NO",1.21,1)),"-"))</f>
        <v>926.00421486819448</v>
      </c>
      <c r="Q20" s="22">
        <f>(Tabla1[[#This Row],[OBREROS]]+IF($Q$3="SI",1,0)*Tabla1[[#This Row],[CARGAS SOCIALES]])+Tabla1[[#This Row],[HERRAMENTAL]]</f>
        <v>1191.3917897930028</v>
      </c>
      <c r="R20" s="22">
        <f>IF($Q$2="Materiales y Mano de Obra",Tabla1[[#This Row],[RECURSOS MATERIALES]]+Tabla1[[#This Row],[MANO DE OBRA]],Tabla1[[#This Row],[MANO DE OBRA]])</f>
        <v>2117.3960046611974</v>
      </c>
      <c r="S20" s="14"/>
      <c r="T20" s="22">
        <f>Tabla1[[#This Row],[COSTO UNITARIO]]*Tabla1[[#This Row],[CANTIDAD]]</f>
        <v>0</v>
      </c>
      <c r="U20" s="30">
        <f>IF(ISERROR(Tabla1[[#This Row],[COSTO DIRECTO (CD)]]/Tabla1[[#Totals],[COSTO DIRECTO (CD)]])=TRUE," ",Tabla1[[#This Row],[COSTO DIRECTO (CD)]]/Tabla1[[#Totals],[COSTO DIRECTO (CD)]])</f>
        <v>0</v>
      </c>
      <c r="V20" s="22">
        <f>IF((ISERROR(Tabla1[[#This Row],[PRECIO FINAL]]/Tabla1[[#This Row],[CANTIDAD]]))=TRUE,0,Tabla1[[#This Row],[PRECIO FINAL]]/Tabla1[[#This Row],[CANTIDAD]])</f>
        <v>0</v>
      </c>
      <c r="W20" s="31">
        <f>IF($Q$5="SI",$U$60*Tabla1[[#This Row],[Incidencia ]],Tabla1[[#Totals],[COSTO DIRECTO (CD)]]*Tabla1[[#This Row],[Incidencia ]])</f>
        <v>0</v>
      </c>
    </row>
    <row r="21" spans="1:25" x14ac:dyDescent="0.3">
      <c r="A21" s="4" t="s">
        <v>53</v>
      </c>
      <c r="B21" t="s">
        <v>8</v>
      </c>
      <c r="C21">
        <v>13</v>
      </c>
      <c r="D21" s="4" t="s">
        <v>80</v>
      </c>
      <c r="E21" t="s">
        <v>25</v>
      </c>
      <c r="F21" s="5" t="s">
        <v>10</v>
      </c>
      <c r="G21" s="1">
        <v>1523.076032432436</v>
      </c>
      <c r="H21" s="1">
        <v>598.00953978664415</v>
      </c>
      <c r="I21" s="1">
        <v>36.800729491555707</v>
      </c>
      <c r="J21" s="1">
        <v>563.92887016645125</v>
      </c>
      <c r="K21" s="1"/>
      <c r="L21" s="1"/>
      <c r="M21" s="1"/>
      <c r="N21" s="6"/>
      <c r="O21" s="1"/>
      <c r="P21" s="23">
        <f>(IF($Q$2="Materiales y Mano de Obra",Tabla1[[#This Row],[MATERIALES]]*(IF($Q$4="NO",1.21,1)),"-"))</f>
        <v>1523.076032432436</v>
      </c>
      <c r="Q21" s="22">
        <f>(Tabla1[[#This Row],[OBREROS]]+IF($Q$3="SI",1,0)*Tabla1[[#This Row],[CARGAS SOCIALES]])+Tabla1[[#This Row],[HERRAMENTAL]]</f>
        <v>1198.7391394446511</v>
      </c>
      <c r="R21" s="22">
        <f>IF($Q$2="Materiales y Mano de Obra",Tabla1[[#This Row],[RECURSOS MATERIALES]]+Tabla1[[#This Row],[MANO DE OBRA]],Tabla1[[#This Row],[MANO DE OBRA]])</f>
        <v>2721.8151718770869</v>
      </c>
      <c r="S21" s="14"/>
      <c r="T21" s="22">
        <f>Tabla1[[#This Row],[COSTO UNITARIO]]*Tabla1[[#This Row],[CANTIDAD]]</f>
        <v>0</v>
      </c>
      <c r="U21" s="30">
        <f>IF(ISERROR(Tabla1[[#This Row],[COSTO DIRECTO (CD)]]/Tabla1[[#Totals],[COSTO DIRECTO (CD)]])=TRUE," ",Tabla1[[#This Row],[COSTO DIRECTO (CD)]]/Tabla1[[#Totals],[COSTO DIRECTO (CD)]])</f>
        <v>0</v>
      </c>
      <c r="V21" s="22">
        <f>IF((ISERROR(Tabla1[[#This Row],[PRECIO FINAL]]/Tabla1[[#This Row],[CANTIDAD]]))=TRUE,0,Tabla1[[#This Row],[PRECIO FINAL]]/Tabla1[[#This Row],[CANTIDAD]])</f>
        <v>0</v>
      </c>
      <c r="W21" s="31">
        <f>IF($Q$5="SI",$U$60*Tabla1[[#This Row],[Incidencia ]],Tabla1[[#Totals],[COSTO DIRECTO (CD)]]*Tabla1[[#This Row],[Incidencia ]])</f>
        <v>0</v>
      </c>
    </row>
    <row r="22" spans="1:25" x14ac:dyDescent="0.3">
      <c r="A22" s="4" t="s">
        <v>53</v>
      </c>
      <c r="B22" t="s">
        <v>8</v>
      </c>
      <c r="C22">
        <v>14</v>
      </c>
      <c r="D22" s="4" t="s">
        <v>81</v>
      </c>
      <c r="E22" t="s">
        <v>26</v>
      </c>
      <c r="F22" s="5" t="s">
        <v>10</v>
      </c>
      <c r="G22" s="1">
        <v>1239.9524170705959</v>
      </c>
      <c r="H22" s="1">
        <v>773.90960248865292</v>
      </c>
      <c r="I22" s="1">
        <v>78.919573620474083</v>
      </c>
      <c r="J22" s="1">
        <v>730.20474938784218</v>
      </c>
      <c r="K22" s="1"/>
      <c r="L22" s="1"/>
      <c r="M22" s="1"/>
      <c r="N22" s="6"/>
      <c r="O22" s="1"/>
      <c r="P22" s="23">
        <f>(IF($Q$2="Materiales y Mano de Obra",Tabla1[[#This Row],[MATERIALES]]*(IF($Q$4="NO",1.21,1)),"-"))</f>
        <v>1239.9524170705959</v>
      </c>
      <c r="Q22" s="22">
        <f>(Tabla1[[#This Row],[OBREROS]]+IF($Q$3="SI",1,0)*Tabla1[[#This Row],[CARGAS SOCIALES]])+Tabla1[[#This Row],[HERRAMENTAL]]</f>
        <v>1583.0339254969692</v>
      </c>
      <c r="R22" s="22">
        <f>IF($Q$2="Materiales y Mano de Obra",Tabla1[[#This Row],[RECURSOS MATERIALES]]+Tabla1[[#This Row],[MANO DE OBRA]],Tabla1[[#This Row],[MANO DE OBRA]])</f>
        <v>2822.9863425675649</v>
      </c>
      <c r="S22" s="14"/>
      <c r="T22" s="22">
        <f>Tabla1[[#This Row],[COSTO UNITARIO]]*Tabla1[[#This Row],[CANTIDAD]]</f>
        <v>0</v>
      </c>
      <c r="U22" s="30">
        <f>IF(ISERROR(Tabla1[[#This Row],[COSTO DIRECTO (CD)]]/Tabla1[[#Totals],[COSTO DIRECTO (CD)]])=TRUE," ",Tabla1[[#This Row],[COSTO DIRECTO (CD)]]/Tabla1[[#Totals],[COSTO DIRECTO (CD)]])</f>
        <v>0</v>
      </c>
      <c r="V22" s="22">
        <f>IF((ISERROR(Tabla1[[#This Row],[PRECIO FINAL]]/Tabla1[[#This Row],[CANTIDAD]]))=TRUE,0,Tabla1[[#This Row],[PRECIO FINAL]]/Tabla1[[#This Row],[CANTIDAD]])</f>
        <v>0</v>
      </c>
      <c r="W22" s="31">
        <f>IF($Q$5="SI",$U$60*Tabla1[[#This Row],[Incidencia ]],Tabla1[[#Totals],[COSTO DIRECTO (CD)]]*Tabla1[[#This Row],[Incidencia ]])</f>
        <v>0</v>
      </c>
    </row>
    <row r="23" spans="1:25" x14ac:dyDescent="0.3">
      <c r="A23" s="4" t="s">
        <v>53</v>
      </c>
      <c r="B23" t="s">
        <v>8</v>
      </c>
      <c r="C23">
        <v>15</v>
      </c>
      <c r="D23" s="4" t="s">
        <v>82</v>
      </c>
      <c r="E23" t="s">
        <v>27</v>
      </c>
      <c r="F23" s="5" t="s">
        <v>10</v>
      </c>
      <c r="G23" s="1">
        <v>1517.7122977886966</v>
      </c>
      <c r="H23" s="1">
        <v>458.8321007492101</v>
      </c>
      <c r="I23" s="1">
        <v>28.142545082214596</v>
      </c>
      <c r="J23" s="1">
        <v>432.68315326553534</v>
      </c>
      <c r="K23" s="1"/>
      <c r="L23" s="1"/>
      <c r="M23" s="1"/>
      <c r="N23" s="6"/>
      <c r="O23" s="1"/>
      <c r="P23" s="23">
        <f>(IF($Q$2="Materiales y Mano de Obra",Tabla1[[#This Row],[MATERIALES]]*(IF($Q$4="NO",1.21,1)),"-"))</f>
        <v>1517.7122977886966</v>
      </c>
      <c r="Q23" s="22">
        <f>(Tabla1[[#This Row],[OBREROS]]+IF($Q$3="SI",1,0)*Tabla1[[#This Row],[CARGAS SOCIALES]])+Tabla1[[#This Row],[HERRAMENTAL]]</f>
        <v>919.65779909696005</v>
      </c>
      <c r="R23" s="22">
        <f>IF($Q$2="Materiales y Mano de Obra",Tabla1[[#This Row],[RECURSOS MATERIALES]]+Tabla1[[#This Row],[MANO DE OBRA]],Tabla1[[#This Row],[MANO DE OBRA]])</f>
        <v>2437.3700968856565</v>
      </c>
      <c r="S23" s="14"/>
      <c r="T23" s="22">
        <f>Tabla1[[#This Row],[COSTO UNITARIO]]*Tabla1[[#This Row],[CANTIDAD]]</f>
        <v>0</v>
      </c>
      <c r="U23" s="30">
        <f>IF(ISERROR(Tabla1[[#This Row],[COSTO DIRECTO (CD)]]/Tabla1[[#Totals],[COSTO DIRECTO (CD)]])=TRUE," ",Tabla1[[#This Row],[COSTO DIRECTO (CD)]]/Tabla1[[#Totals],[COSTO DIRECTO (CD)]])</f>
        <v>0</v>
      </c>
      <c r="V23" s="22">
        <f>IF((ISERROR(Tabla1[[#This Row],[PRECIO FINAL]]/Tabla1[[#This Row],[CANTIDAD]]))=TRUE,0,Tabla1[[#This Row],[PRECIO FINAL]]/Tabla1[[#This Row],[CANTIDAD]])</f>
        <v>0</v>
      </c>
      <c r="W23" s="31">
        <f>IF($Q$5="SI",$U$60*Tabla1[[#This Row],[Incidencia ]],Tabla1[[#Totals],[COSTO DIRECTO (CD)]]*Tabla1[[#This Row],[Incidencia ]])</f>
        <v>0</v>
      </c>
    </row>
    <row r="24" spans="1:25" x14ac:dyDescent="0.3">
      <c r="A24" s="4" t="s">
        <v>53</v>
      </c>
      <c r="B24" t="s">
        <v>8</v>
      </c>
      <c r="C24">
        <v>16</v>
      </c>
      <c r="D24" s="4" t="s">
        <v>83</v>
      </c>
      <c r="E24" t="s">
        <v>28</v>
      </c>
      <c r="F24" s="5" t="s">
        <v>10</v>
      </c>
      <c r="G24" s="1">
        <v>1215.719309432927</v>
      </c>
      <c r="H24" s="1">
        <v>637.7870040696788</v>
      </c>
      <c r="I24" s="1">
        <v>66.17582594659423</v>
      </c>
      <c r="J24" s="1">
        <v>601.78523651877492</v>
      </c>
      <c r="K24" s="1"/>
      <c r="L24" s="1"/>
      <c r="M24" s="1"/>
      <c r="N24" s="6"/>
      <c r="O24" s="1"/>
      <c r="P24" s="23">
        <f>(IF($Q$2="Materiales y Mano de Obra",Tabla1[[#This Row],[MATERIALES]]*(IF($Q$4="NO",1.21,1)),"-"))</f>
        <v>1215.719309432927</v>
      </c>
      <c r="Q24" s="22">
        <f>(Tabla1[[#This Row],[OBREROS]]+IF($Q$3="SI",1,0)*Tabla1[[#This Row],[CARGAS SOCIALES]])+Tabla1[[#This Row],[HERRAMENTAL]]</f>
        <v>1305.7480665350479</v>
      </c>
      <c r="R24" s="22">
        <f>IF($Q$2="Materiales y Mano de Obra",Tabla1[[#This Row],[RECURSOS MATERIALES]]+Tabla1[[#This Row],[MANO DE OBRA]],Tabla1[[#This Row],[MANO DE OBRA]])</f>
        <v>2521.4673759679749</v>
      </c>
      <c r="S24" s="14"/>
      <c r="T24" s="22">
        <f>Tabla1[[#This Row],[COSTO UNITARIO]]*Tabla1[[#This Row],[CANTIDAD]]</f>
        <v>0</v>
      </c>
      <c r="U24" s="30">
        <f>IF(ISERROR(Tabla1[[#This Row],[COSTO DIRECTO (CD)]]/Tabla1[[#Totals],[COSTO DIRECTO (CD)]])=TRUE," ",Tabla1[[#This Row],[COSTO DIRECTO (CD)]]/Tabla1[[#Totals],[COSTO DIRECTO (CD)]])</f>
        <v>0</v>
      </c>
      <c r="V24" s="22">
        <f>IF((ISERROR(Tabla1[[#This Row],[PRECIO FINAL]]/Tabla1[[#This Row],[CANTIDAD]]))=TRUE,0,Tabla1[[#This Row],[PRECIO FINAL]]/Tabla1[[#This Row],[CANTIDAD]])</f>
        <v>0</v>
      </c>
      <c r="W24" s="31">
        <f>IF($Q$5="SI",$U$60*Tabla1[[#This Row],[Incidencia ]],Tabla1[[#Totals],[COSTO DIRECTO (CD)]]*Tabla1[[#This Row],[Incidencia ]])</f>
        <v>0</v>
      </c>
    </row>
    <row r="25" spans="1:25" x14ac:dyDescent="0.3">
      <c r="A25" s="4" t="s">
        <v>53</v>
      </c>
      <c r="B25" t="s">
        <v>8</v>
      </c>
      <c r="C25">
        <v>17</v>
      </c>
      <c r="D25" s="4" t="s">
        <v>66</v>
      </c>
      <c r="E25" t="s">
        <v>11</v>
      </c>
      <c r="F25" s="5" t="s">
        <v>10</v>
      </c>
      <c r="G25" s="1">
        <v>2524.2603882352937</v>
      </c>
      <c r="H25" s="1">
        <v>284.22282331395172</v>
      </c>
      <c r="I25" s="1">
        <v>18.151912249698725</v>
      </c>
      <c r="J25" s="1">
        <v>268.0250445201882</v>
      </c>
      <c r="K25" s="1"/>
      <c r="L25" s="1"/>
      <c r="M25" s="1"/>
      <c r="N25" s="6"/>
      <c r="O25" s="1"/>
      <c r="P25" s="23">
        <f>(IF($Q$2="Materiales y Mano de Obra",Tabla1[[#This Row],[MATERIALES]]*(IF($Q$4="NO",1.21,1)),"-"))</f>
        <v>2524.2603882352937</v>
      </c>
      <c r="Q25" s="22">
        <f>(Tabla1[[#This Row],[OBREROS]]+IF($Q$3="SI",1,0)*Tabla1[[#This Row],[CARGAS SOCIALES]])+Tabla1[[#This Row],[HERRAMENTAL]]</f>
        <v>570.39978008383866</v>
      </c>
      <c r="R25" s="22">
        <f>IF($Q$2="Materiales y Mano de Obra",Tabla1[[#This Row],[RECURSOS MATERIALES]]+Tabla1[[#This Row],[MANO DE OBRA]],Tabla1[[#This Row],[MANO DE OBRA]])</f>
        <v>3094.6601683191325</v>
      </c>
      <c r="S25" s="14"/>
      <c r="T25" s="22">
        <f>Tabla1[[#This Row],[COSTO UNITARIO]]*Tabla1[[#This Row],[CANTIDAD]]</f>
        <v>0</v>
      </c>
      <c r="U25" s="30">
        <f>IF(ISERROR(Tabla1[[#This Row],[COSTO DIRECTO (CD)]]/Tabla1[[#Totals],[COSTO DIRECTO (CD)]])=TRUE," ",Tabla1[[#This Row],[COSTO DIRECTO (CD)]]/Tabla1[[#Totals],[COSTO DIRECTO (CD)]])</f>
        <v>0</v>
      </c>
      <c r="V25" s="22">
        <f>IF((ISERROR(Tabla1[[#This Row],[PRECIO FINAL]]/Tabla1[[#This Row],[CANTIDAD]]))=TRUE,0,Tabla1[[#This Row],[PRECIO FINAL]]/Tabla1[[#This Row],[CANTIDAD]])</f>
        <v>0</v>
      </c>
      <c r="W25" s="31">
        <f>IF($Q$5="SI",$U$60*Tabla1[[#This Row],[Incidencia ]],Tabla1[[#Totals],[COSTO DIRECTO (CD)]]*Tabla1[[#This Row],[Incidencia ]])</f>
        <v>0</v>
      </c>
    </row>
    <row r="26" spans="1:25" x14ac:dyDescent="0.3">
      <c r="A26" s="4" t="s">
        <v>53</v>
      </c>
      <c r="B26" t="s">
        <v>8</v>
      </c>
      <c r="C26">
        <v>18</v>
      </c>
      <c r="D26" s="4" t="s">
        <v>84</v>
      </c>
      <c r="E26" t="s">
        <v>29</v>
      </c>
      <c r="F26" s="5" t="s">
        <v>10</v>
      </c>
      <c r="G26" s="1">
        <v>1091.6306270270222</v>
      </c>
      <c r="H26" s="1">
        <v>598.00953978664415</v>
      </c>
      <c r="I26" s="1">
        <v>36.800729491555707</v>
      </c>
      <c r="J26" s="1">
        <v>563.92887016645125</v>
      </c>
      <c r="K26" s="1"/>
      <c r="L26" s="1"/>
      <c r="M26" s="1"/>
      <c r="N26" s="6"/>
      <c r="O26" s="1"/>
      <c r="P26" s="23">
        <f>(IF($Q$2="Materiales y Mano de Obra",Tabla1[[#This Row],[MATERIALES]]*(IF($Q$4="NO",1.21,1)),"-"))</f>
        <v>1091.6306270270222</v>
      </c>
      <c r="Q26" s="22">
        <f>(Tabla1[[#This Row],[OBREROS]]+IF($Q$3="SI",1,0)*Tabla1[[#This Row],[CARGAS SOCIALES]])+Tabla1[[#This Row],[HERRAMENTAL]]</f>
        <v>1198.7391394446511</v>
      </c>
      <c r="R26" s="22">
        <f>IF($Q$2="Materiales y Mano de Obra",Tabla1[[#This Row],[RECURSOS MATERIALES]]+Tabla1[[#This Row],[MANO DE OBRA]],Tabla1[[#This Row],[MANO DE OBRA]])</f>
        <v>2290.3697664716733</v>
      </c>
      <c r="S26" s="14"/>
      <c r="T26" s="22">
        <f>Tabla1[[#This Row],[COSTO UNITARIO]]*Tabla1[[#This Row],[CANTIDAD]]</f>
        <v>0</v>
      </c>
      <c r="U26" s="30">
        <f>IF(ISERROR(Tabla1[[#This Row],[COSTO DIRECTO (CD)]]/Tabla1[[#Totals],[COSTO DIRECTO (CD)]])=TRUE," ",Tabla1[[#This Row],[COSTO DIRECTO (CD)]]/Tabla1[[#Totals],[COSTO DIRECTO (CD)]])</f>
        <v>0</v>
      </c>
      <c r="V26" s="22">
        <f>IF((ISERROR(Tabla1[[#This Row],[PRECIO FINAL]]/Tabla1[[#This Row],[CANTIDAD]]))=TRUE,0,Tabla1[[#This Row],[PRECIO FINAL]]/Tabla1[[#This Row],[CANTIDAD]])</f>
        <v>0</v>
      </c>
      <c r="W26" s="31">
        <f>IF($Q$5="SI",$U$60*Tabla1[[#This Row],[Incidencia ]],Tabla1[[#Totals],[COSTO DIRECTO (CD)]]*Tabla1[[#This Row],[Incidencia ]])</f>
        <v>0</v>
      </c>
    </row>
    <row r="27" spans="1:25" x14ac:dyDescent="0.3">
      <c r="A27" s="4" t="s">
        <v>53</v>
      </c>
      <c r="B27" t="s">
        <v>8</v>
      </c>
      <c r="C27">
        <v>19</v>
      </c>
      <c r="D27" s="4" t="s">
        <v>85</v>
      </c>
      <c r="E27" t="s">
        <v>30</v>
      </c>
      <c r="F27" s="5" t="s">
        <v>10</v>
      </c>
      <c r="G27" s="1">
        <v>768.03874218559997</v>
      </c>
      <c r="H27" s="1">
        <v>678.42878021136301</v>
      </c>
      <c r="I27" s="1">
        <v>61.340954339612267</v>
      </c>
      <c r="J27" s="1">
        <v>640.01544069480735</v>
      </c>
      <c r="K27" s="1"/>
      <c r="L27" s="1"/>
      <c r="M27" s="1"/>
      <c r="N27" s="6"/>
      <c r="O27" s="1"/>
      <c r="P27" s="23">
        <f>(IF($Q$2="Materiales y Mano de Obra",Tabla1[[#This Row],[MATERIALES]]*(IF($Q$4="NO",1.21,1)),"-"))</f>
        <v>768.03874218559997</v>
      </c>
      <c r="Q27" s="22">
        <f>(Tabla1[[#This Row],[OBREROS]]+IF($Q$3="SI",1,0)*Tabla1[[#This Row],[CARGAS SOCIALES]])+Tabla1[[#This Row],[HERRAMENTAL]]</f>
        <v>1379.7851752457827</v>
      </c>
      <c r="R27" s="22">
        <f>IF($Q$2="Materiales y Mano de Obra",Tabla1[[#This Row],[RECURSOS MATERIALES]]+Tabla1[[#This Row],[MANO DE OBRA]],Tabla1[[#This Row],[MANO DE OBRA]])</f>
        <v>2147.8239174313826</v>
      </c>
      <c r="S27" s="14"/>
      <c r="T27" s="22">
        <f>Tabla1[[#This Row],[COSTO UNITARIO]]*Tabla1[[#This Row],[CANTIDAD]]</f>
        <v>0</v>
      </c>
      <c r="U27" s="30">
        <f>IF(ISERROR(Tabla1[[#This Row],[COSTO DIRECTO (CD)]]/Tabla1[[#Totals],[COSTO DIRECTO (CD)]])=TRUE," ",Tabla1[[#This Row],[COSTO DIRECTO (CD)]]/Tabla1[[#Totals],[COSTO DIRECTO (CD)]])</f>
        <v>0</v>
      </c>
      <c r="V27" s="22">
        <f>IF((ISERROR(Tabla1[[#This Row],[PRECIO FINAL]]/Tabla1[[#This Row],[CANTIDAD]]))=TRUE,0,Tabla1[[#This Row],[PRECIO FINAL]]/Tabla1[[#This Row],[CANTIDAD]])</f>
        <v>0</v>
      </c>
      <c r="W27" s="31">
        <f>IF($Q$5="SI",$U$60*Tabla1[[#This Row],[Incidencia ]],Tabla1[[#Totals],[COSTO DIRECTO (CD)]]*Tabla1[[#This Row],[Incidencia ]])</f>
        <v>0</v>
      </c>
    </row>
    <row r="28" spans="1:25" x14ac:dyDescent="0.3">
      <c r="A28" s="4" t="s">
        <v>53</v>
      </c>
      <c r="B28" t="s">
        <v>8</v>
      </c>
      <c r="C28">
        <v>20</v>
      </c>
      <c r="D28" s="4" t="s">
        <v>86</v>
      </c>
      <c r="E28" t="s">
        <v>31</v>
      </c>
      <c r="F28" s="5" t="s">
        <v>10</v>
      </c>
      <c r="G28" s="1">
        <v>1165.7172117936148</v>
      </c>
      <c r="H28" s="1">
        <v>458.8321007492101</v>
      </c>
      <c r="I28" s="1">
        <v>28.142545082214596</v>
      </c>
      <c r="J28" s="1">
        <v>432.68315326553534</v>
      </c>
      <c r="K28" s="1"/>
      <c r="L28" s="1"/>
      <c r="M28" s="1"/>
      <c r="N28" s="6"/>
      <c r="O28" s="1"/>
      <c r="P28" s="23">
        <f>(IF($Q$2="Materiales y Mano de Obra",Tabla1[[#This Row],[MATERIALES]]*(IF($Q$4="NO",1.21,1)),"-"))</f>
        <v>1165.7172117936148</v>
      </c>
      <c r="Q28" s="22">
        <f>(Tabla1[[#This Row],[OBREROS]]+IF($Q$3="SI",1,0)*Tabla1[[#This Row],[CARGAS SOCIALES]])+Tabla1[[#This Row],[HERRAMENTAL]]</f>
        <v>919.65779909696005</v>
      </c>
      <c r="R28" s="22">
        <f>IF($Q$2="Materiales y Mano de Obra",Tabla1[[#This Row],[RECURSOS MATERIALES]]+Tabla1[[#This Row],[MANO DE OBRA]],Tabla1[[#This Row],[MANO DE OBRA]])</f>
        <v>2085.3750108905747</v>
      </c>
      <c r="S28" s="14"/>
      <c r="T28" s="22">
        <f>Tabla1[[#This Row],[COSTO UNITARIO]]*Tabla1[[#This Row],[CANTIDAD]]</f>
        <v>0</v>
      </c>
      <c r="U28" s="30">
        <f>IF(ISERROR(Tabla1[[#This Row],[COSTO DIRECTO (CD)]]/Tabla1[[#Totals],[COSTO DIRECTO (CD)]])=TRUE," ",Tabla1[[#This Row],[COSTO DIRECTO (CD)]]/Tabla1[[#Totals],[COSTO DIRECTO (CD)]])</f>
        <v>0</v>
      </c>
      <c r="V28" s="22">
        <f>IF((ISERROR(Tabla1[[#This Row],[PRECIO FINAL]]/Tabla1[[#This Row],[CANTIDAD]]))=TRUE,0,Tabla1[[#This Row],[PRECIO FINAL]]/Tabla1[[#This Row],[CANTIDAD]])</f>
        <v>0</v>
      </c>
      <c r="W28" s="31">
        <f>IF($Q$5="SI",$U$60*Tabla1[[#This Row],[Incidencia ]],Tabla1[[#Totals],[COSTO DIRECTO (CD)]]*Tabla1[[#This Row],[Incidencia ]])</f>
        <v>0</v>
      </c>
    </row>
    <row r="29" spans="1:25" x14ac:dyDescent="0.3">
      <c r="A29" s="4" t="s">
        <v>53</v>
      </c>
      <c r="B29" t="s">
        <v>8</v>
      </c>
      <c r="C29">
        <v>21</v>
      </c>
      <c r="D29" s="4" t="s">
        <v>87</v>
      </c>
      <c r="E29" t="s">
        <v>32</v>
      </c>
      <c r="F29" s="5" t="s">
        <v>10</v>
      </c>
      <c r="G29" s="1">
        <v>815.69938992027448</v>
      </c>
      <c r="H29" s="1">
        <v>548.07322225769713</v>
      </c>
      <c r="I29" s="1">
        <v>50.033031869806138</v>
      </c>
      <c r="J29" s="1">
        <v>517.0480178374678</v>
      </c>
      <c r="K29" s="1"/>
      <c r="L29" s="1"/>
      <c r="M29" s="1"/>
      <c r="N29" s="6"/>
      <c r="O29" s="1"/>
      <c r="P29" s="23">
        <f>(IF($Q$2="Materiales y Mano de Obra",Tabla1[[#This Row],[MATERIALES]]*(IF($Q$4="NO",1.21,1)),"-"))</f>
        <v>815.69938992027448</v>
      </c>
      <c r="Q29" s="22">
        <f>(Tabla1[[#This Row],[OBREROS]]+IF($Q$3="SI",1,0)*Tabla1[[#This Row],[CARGAS SOCIALES]])+Tabla1[[#This Row],[HERRAMENTAL]]</f>
        <v>1115.154271964971</v>
      </c>
      <c r="R29" s="22">
        <f>IF($Q$2="Materiales y Mano de Obra",Tabla1[[#This Row],[RECURSOS MATERIALES]]+Tabla1[[#This Row],[MANO DE OBRA]],Tabla1[[#This Row],[MANO DE OBRA]])</f>
        <v>1930.8536618852454</v>
      </c>
      <c r="S29" s="14"/>
      <c r="T29" s="22">
        <f>Tabla1[[#This Row],[COSTO UNITARIO]]*Tabla1[[#This Row],[CANTIDAD]]</f>
        <v>0</v>
      </c>
      <c r="U29" s="30">
        <f>IF(ISERROR(Tabla1[[#This Row],[COSTO DIRECTO (CD)]]/Tabla1[[#Totals],[COSTO DIRECTO (CD)]])=TRUE," ",Tabla1[[#This Row],[COSTO DIRECTO (CD)]]/Tabla1[[#Totals],[COSTO DIRECTO (CD)]])</f>
        <v>0</v>
      </c>
      <c r="V29" s="22">
        <f>IF((ISERROR(Tabla1[[#This Row],[PRECIO FINAL]]/Tabla1[[#This Row],[CANTIDAD]]))=TRUE,0,Tabla1[[#This Row],[PRECIO FINAL]]/Tabla1[[#This Row],[CANTIDAD]])</f>
        <v>0</v>
      </c>
      <c r="W29" s="31">
        <f>IF($Q$5="SI",$U$60*Tabla1[[#This Row],[Incidencia ]],Tabla1[[#Totals],[COSTO DIRECTO (CD)]]*Tabla1[[#This Row],[Incidencia ]])</f>
        <v>0</v>
      </c>
    </row>
    <row r="30" spans="1:25" x14ac:dyDescent="0.3">
      <c r="A30" s="4" t="s">
        <v>53</v>
      </c>
      <c r="B30" t="s">
        <v>8</v>
      </c>
      <c r="C30">
        <v>22</v>
      </c>
      <c r="D30" s="4" t="s">
        <v>88</v>
      </c>
      <c r="E30" t="s">
        <v>33</v>
      </c>
      <c r="F30" s="5" t="s">
        <v>10</v>
      </c>
      <c r="G30" s="1">
        <v>1512.2081201861138</v>
      </c>
      <c r="H30" s="1">
        <v>426.88452630798082</v>
      </c>
      <c r="I30" s="1">
        <v>35.296478068643928</v>
      </c>
      <c r="J30" s="1">
        <v>402.67073149135689</v>
      </c>
      <c r="K30" s="1"/>
      <c r="L30" s="1"/>
      <c r="M30" s="1"/>
      <c r="N30" s="6"/>
      <c r="O30" s="1"/>
      <c r="P30" s="23">
        <f>(IF($Q$2="Materiales y Mano de Obra",Tabla1[[#This Row],[MATERIALES]]*(IF($Q$4="NO",1.21,1)),"-"))</f>
        <v>1512.2081201861138</v>
      </c>
      <c r="Q30" s="22">
        <f>(Tabla1[[#This Row],[OBREROS]]+IF($Q$3="SI",1,0)*Tabla1[[#This Row],[CARGAS SOCIALES]])+Tabla1[[#This Row],[HERRAMENTAL]]</f>
        <v>864.85173586798169</v>
      </c>
      <c r="R30" s="22">
        <f>IF($Q$2="Materiales y Mano de Obra",Tabla1[[#This Row],[RECURSOS MATERIALES]]+Tabla1[[#This Row],[MANO DE OBRA]],Tabla1[[#This Row],[MANO DE OBRA]])</f>
        <v>2377.0598560540957</v>
      </c>
      <c r="S30" s="14"/>
      <c r="T30" s="22">
        <f>Tabla1[[#This Row],[COSTO UNITARIO]]*Tabla1[[#This Row],[CANTIDAD]]</f>
        <v>0</v>
      </c>
      <c r="U30" s="30">
        <f>IF(ISERROR(Tabla1[[#This Row],[COSTO DIRECTO (CD)]]/Tabla1[[#Totals],[COSTO DIRECTO (CD)]])=TRUE," ",Tabla1[[#This Row],[COSTO DIRECTO (CD)]]/Tabla1[[#Totals],[COSTO DIRECTO (CD)]])</f>
        <v>0</v>
      </c>
      <c r="V30" s="22">
        <f>IF((ISERROR(Tabla1[[#This Row],[PRECIO FINAL]]/Tabla1[[#This Row],[CANTIDAD]]))=TRUE,0,Tabla1[[#This Row],[PRECIO FINAL]]/Tabla1[[#This Row],[CANTIDAD]])</f>
        <v>0</v>
      </c>
      <c r="W30" s="31">
        <f>IF($Q$5="SI",$U$60*Tabla1[[#This Row],[Incidencia ]],Tabla1[[#Totals],[COSTO DIRECTO (CD)]]*Tabla1[[#This Row],[Incidencia ]])</f>
        <v>0</v>
      </c>
    </row>
    <row r="31" spans="1:25" x14ac:dyDescent="0.3">
      <c r="A31" s="4" t="s">
        <v>53</v>
      </c>
      <c r="B31" t="s">
        <v>8</v>
      </c>
      <c r="C31">
        <v>23</v>
      </c>
      <c r="D31" s="4" t="s">
        <v>89</v>
      </c>
      <c r="E31" t="s">
        <v>34</v>
      </c>
      <c r="F31" s="5" t="s">
        <v>10</v>
      </c>
      <c r="G31" s="1">
        <v>1776.7346507983546</v>
      </c>
      <c r="H31" s="1">
        <v>426.88452630798082</v>
      </c>
      <c r="I31" s="1">
        <v>35.296478068643928</v>
      </c>
      <c r="J31" s="1">
        <v>402.67073149135689</v>
      </c>
      <c r="K31" s="1"/>
      <c r="L31" s="1"/>
      <c r="M31" s="1"/>
      <c r="N31" s="6"/>
      <c r="O31" s="1"/>
      <c r="P31" s="23">
        <f>(IF($Q$2="Materiales y Mano de Obra",Tabla1[[#This Row],[MATERIALES]]*(IF($Q$4="NO",1.21,1)),"-"))</f>
        <v>1776.7346507983546</v>
      </c>
      <c r="Q31" s="22">
        <f>(Tabla1[[#This Row],[OBREROS]]+IF($Q$3="SI",1,0)*Tabla1[[#This Row],[CARGAS SOCIALES]])+Tabla1[[#This Row],[HERRAMENTAL]]</f>
        <v>864.85173586798169</v>
      </c>
      <c r="R31" s="22">
        <f>IF($Q$2="Materiales y Mano de Obra",Tabla1[[#This Row],[RECURSOS MATERIALES]]+Tabla1[[#This Row],[MANO DE OBRA]],Tabla1[[#This Row],[MANO DE OBRA]])</f>
        <v>2641.5863866663362</v>
      </c>
      <c r="S31" s="14"/>
      <c r="T31" s="22">
        <f>Tabla1[[#This Row],[COSTO UNITARIO]]*Tabla1[[#This Row],[CANTIDAD]]</f>
        <v>0</v>
      </c>
      <c r="U31" s="30">
        <f>IF(ISERROR(Tabla1[[#This Row],[COSTO DIRECTO (CD)]]/Tabla1[[#Totals],[COSTO DIRECTO (CD)]])=TRUE," ",Tabla1[[#This Row],[COSTO DIRECTO (CD)]]/Tabla1[[#Totals],[COSTO DIRECTO (CD)]])</f>
        <v>0</v>
      </c>
      <c r="V31" s="22">
        <f>IF((ISERROR(Tabla1[[#This Row],[PRECIO FINAL]]/Tabla1[[#This Row],[CANTIDAD]]))=TRUE,0,Tabla1[[#This Row],[PRECIO FINAL]]/Tabla1[[#This Row],[CANTIDAD]])</f>
        <v>0</v>
      </c>
      <c r="W31" s="31">
        <f>IF($Q$5="SI",$U$60*Tabla1[[#This Row],[Incidencia ]],Tabla1[[#Totals],[COSTO DIRECTO (CD)]]*Tabla1[[#This Row],[Incidencia ]])</f>
        <v>0</v>
      </c>
    </row>
    <row r="32" spans="1:25" x14ac:dyDescent="0.3">
      <c r="A32" s="4" t="s">
        <v>53</v>
      </c>
      <c r="B32" t="s">
        <v>8</v>
      </c>
      <c r="C32">
        <v>24</v>
      </c>
      <c r="D32" s="4" t="s">
        <v>90</v>
      </c>
      <c r="E32" t="s">
        <v>35</v>
      </c>
      <c r="F32" s="5" t="s">
        <v>10</v>
      </c>
      <c r="G32" s="1">
        <v>435.70766866717253</v>
      </c>
      <c r="H32" s="1">
        <v>240.65309092576356</v>
      </c>
      <c r="I32" s="1">
        <v>20.576079374956507</v>
      </c>
      <c r="J32" s="1">
        <v>227.02410205017975</v>
      </c>
      <c r="K32" s="1"/>
      <c r="L32" s="1"/>
      <c r="M32" s="1"/>
      <c r="N32" s="6"/>
      <c r="O32" s="1"/>
      <c r="P32" s="23">
        <f>(IF($Q$2="Materiales y Mano de Obra",Tabla1[[#This Row],[MATERIALES]]*(IF($Q$4="NO",1.21,1)),"-"))</f>
        <v>435.70766866717253</v>
      </c>
      <c r="Q32" s="22">
        <f>(Tabla1[[#This Row],[OBREROS]]+IF($Q$3="SI",1,0)*Tabla1[[#This Row],[CARGAS SOCIALES]])+Tabla1[[#This Row],[HERRAMENTAL]]</f>
        <v>488.25327235089981</v>
      </c>
      <c r="R32" s="22">
        <f>IF($Q$2="Materiales y Mano de Obra",Tabla1[[#This Row],[RECURSOS MATERIALES]]+Tabla1[[#This Row],[MANO DE OBRA]],Tabla1[[#This Row],[MANO DE OBRA]])</f>
        <v>923.96094101807239</v>
      </c>
      <c r="S32" s="14"/>
      <c r="T32" s="22">
        <f>Tabla1[[#This Row],[COSTO UNITARIO]]*Tabla1[[#This Row],[CANTIDAD]]</f>
        <v>0</v>
      </c>
      <c r="U32" s="30">
        <f>IF(ISERROR(Tabla1[[#This Row],[COSTO DIRECTO (CD)]]/Tabla1[[#Totals],[COSTO DIRECTO (CD)]])=TRUE," ",Tabla1[[#This Row],[COSTO DIRECTO (CD)]]/Tabla1[[#Totals],[COSTO DIRECTO (CD)]])</f>
        <v>0</v>
      </c>
      <c r="V32" s="22">
        <f>IF((ISERROR(Tabla1[[#This Row],[PRECIO FINAL]]/Tabla1[[#This Row],[CANTIDAD]]))=TRUE,0,Tabla1[[#This Row],[PRECIO FINAL]]/Tabla1[[#This Row],[CANTIDAD]])</f>
        <v>0</v>
      </c>
      <c r="W32" s="31">
        <f>IF($Q$5="SI",$U$60*Tabla1[[#This Row],[Incidencia ]],Tabla1[[#Totals],[COSTO DIRECTO (CD)]]*Tabla1[[#This Row],[Incidencia ]])</f>
        <v>0</v>
      </c>
    </row>
    <row r="33" spans="1:23" x14ac:dyDescent="0.3">
      <c r="A33" s="4" t="s">
        <v>53</v>
      </c>
      <c r="B33" t="s">
        <v>8</v>
      </c>
      <c r="C33">
        <v>25</v>
      </c>
      <c r="D33" s="4" t="s">
        <v>91</v>
      </c>
      <c r="E33" t="s">
        <v>36</v>
      </c>
      <c r="F33" s="5" t="s">
        <v>10</v>
      </c>
      <c r="G33" s="1">
        <v>1074.0468578433677</v>
      </c>
      <c r="H33" s="1">
        <v>607.61865992262835</v>
      </c>
      <c r="I33" s="1">
        <v>65.970048302077871</v>
      </c>
      <c r="J33" s="1">
        <v>573.38011371164157</v>
      </c>
      <c r="K33" s="1"/>
      <c r="L33" s="1"/>
      <c r="M33" s="1"/>
      <c r="N33" s="6"/>
      <c r="O33" s="1"/>
      <c r="P33" s="23">
        <f>(IF($Q$2="Materiales y Mano de Obra",Tabla1[[#This Row],[MATERIALES]]*(IF($Q$4="NO",1.21,1)),"-"))</f>
        <v>1074.0468578433677</v>
      </c>
      <c r="Q33" s="22">
        <f>(Tabla1[[#This Row],[OBREROS]]+IF($Q$3="SI",1,0)*Tabla1[[#This Row],[CARGAS SOCIALES]])+Tabla1[[#This Row],[HERRAMENTAL]]</f>
        <v>1246.9688219363479</v>
      </c>
      <c r="R33" s="22">
        <f>IF($Q$2="Materiales y Mano de Obra",Tabla1[[#This Row],[RECURSOS MATERIALES]]+Tabla1[[#This Row],[MANO DE OBRA]],Tabla1[[#This Row],[MANO DE OBRA]])</f>
        <v>2321.0156797797154</v>
      </c>
      <c r="S33" s="14"/>
      <c r="T33" s="22">
        <f>Tabla1[[#This Row],[COSTO UNITARIO]]*Tabla1[[#This Row],[CANTIDAD]]</f>
        <v>0</v>
      </c>
      <c r="U33" s="30">
        <f>IF(ISERROR(Tabla1[[#This Row],[COSTO DIRECTO (CD)]]/Tabla1[[#Totals],[COSTO DIRECTO (CD)]])=TRUE," ",Tabla1[[#This Row],[COSTO DIRECTO (CD)]]/Tabla1[[#Totals],[COSTO DIRECTO (CD)]])</f>
        <v>0</v>
      </c>
      <c r="V33" s="22">
        <f>IF((ISERROR(Tabla1[[#This Row],[PRECIO FINAL]]/Tabla1[[#This Row],[CANTIDAD]]))=TRUE,0,Tabla1[[#This Row],[PRECIO FINAL]]/Tabla1[[#This Row],[CANTIDAD]])</f>
        <v>0</v>
      </c>
      <c r="W33" s="31">
        <f>IF($Q$5="SI",$U$60*Tabla1[[#This Row],[Incidencia ]],Tabla1[[#Totals],[COSTO DIRECTO (CD)]]*Tabla1[[#This Row],[Incidencia ]])</f>
        <v>0</v>
      </c>
    </row>
    <row r="34" spans="1:23" x14ac:dyDescent="0.3">
      <c r="A34" s="4" t="s">
        <v>53</v>
      </c>
      <c r="B34" t="s">
        <v>8</v>
      </c>
      <c r="C34">
        <v>26</v>
      </c>
      <c r="D34" s="4" t="s">
        <v>92</v>
      </c>
      <c r="E34" t="s">
        <v>37</v>
      </c>
      <c r="F34" s="5" t="s">
        <v>10</v>
      </c>
      <c r="G34" s="1">
        <v>1598.1445776549965</v>
      </c>
      <c r="H34" s="1">
        <v>898.71572468733405</v>
      </c>
      <c r="I34" s="1">
        <v>112.14126857493905</v>
      </c>
      <c r="J34" s="1">
        <v>848.25124926072874</v>
      </c>
      <c r="K34" s="1"/>
      <c r="L34" s="1"/>
      <c r="M34" s="1"/>
      <c r="N34" s="6"/>
      <c r="O34" s="1"/>
      <c r="P34" s="23">
        <f>(IF($Q$2="Materiales y Mano de Obra",Tabla1[[#This Row],[MATERIALES]]*(IF($Q$4="NO",1.21,1)),"-"))</f>
        <v>1598.1445776549965</v>
      </c>
      <c r="Q34" s="22">
        <f>(Tabla1[[#This Row],[OBREROS]]+IF($Q$3="SI",1,0)*Tabla1[[#This Row],[CARGAS SOCIALES]])+Tabla1[[#This Row],[HERRAMENTAL]]</f>
        <v>1859.1082425230018</v>
      </c>
      <c r="R34" s="22">
        <f>IF($Q$2="Materiales y Mano de Obra",Tabla1[[#This Row],[RECURSOS MATERIALES]]+Tabla1[[#This Row],[MANO DE OBRA]],Tabla1[[#This Row],[MANO DE OBRA]])</f>
        <v>3457.2528201779983</v>
      </c>
      <c r="S34" s="14"/>
      <c r="T34" s="22">
        <f>Tabla1[[#This Row],[COSTO UNITARIO]]*Tabla1[[#This Row],[CANTIDAD]]</f>
        <v>0</v>
      </c>
      <c r="U34" s="30">
        <f>IF(ISERROR(Tabla1[[#This Row],[COSTO DIRECTO (CD)]]/Tabla1[[#Totals],[COSTO DIRECTO (CD)]])=TRUE," ",Tabla1[[#This Row],[COSTO DIRECTO (CD)]]/Tabla1[[#Totals],[COSTO DIRECTO (CD)]])</f>
        <v>0</v>
      </c>
      <c r="V34" s="22">
        <f>IF((ISERROR(Tabla1[[#This Row],[PRECIO FINAL]]/Tabla1[[#This Row],[CANTIDAD]]))=TRUE,0,Tabla1[[#This Row],[PRECIO FINAL]]/Tabla1[[#This Row],[CANTIDAD]])</f>
        <v>0</v>
      </c>
      <c r="W34" s="31">
        <f>IF($Q$5="SI",$U$60*Tabla1[[#This Row],[Incidencia ]],Tabla1[[#Totals],[COSTO DIRECTO (CD)]]*Tabla1[[#This Row],[Incidencia ]])</f>
        <v>0</v>
      </c>
    </row>
    <row r="35" spans="1:23" x14ac:dyDescent="0.3">
      <c r="A35" s="4" t="s">
        <v>53</v>
      </c>
      <c r="B35" t="s">
        <v>8</v>
      </c>
      <c r="C35">
        <v>27</v>
      </c>
      <c r="D35" s="4" t="s">
        <v>93</v>
      </c>
      <c r="E35" t="s">
        <v>38</v>
      </c>
      <c r="F35" s="5" t="s">
        <v>10</v>
      </c>
      <c r="G35" s="1">
        <v>2209.5132766177353</v>
      </c>
      <c r="H35" s="1">
        <v>1220.0266003254744</v>
      </c>
      <c r="I35" s="1">
        <v>139.94806647381893</v>
      </c>
      <c r="J35" s="1">
        <v>1151.3671359792954</v>
      </c>
      <c r="K35" s="1"/>
      <c r="L35" s="1"/>
      <c r="M35" s="1"/>
      <c r="N35" s="6"/>
      <c r="O35" s="1"/>
      <c r="P35" s="23">
        <f>(IF($Q$2="Materiales y Mano de Obra",Tabla1[[#This Row],[MATERIALES]]*(IF($Q$4="NO",1.21,1)),"-"))</f>
        <v>2209.5132766177353</v>
      </c>
      <c r="Q35" s="22">
        <f>(Tabla1[[#This Row],[OBREROS]]+IF($Q$3="SI",1,0)*Tabla1[[#This Row],[CARGAS SOCIALES]])+Tabla1[[#This Row],[HERRAMENTAL]]</f>
        <v>2511.3418027785888</v>
      </c>
      <c r="R35" s="22">
        <f>IF($Q$2="Materiales y Mano de Obra",Tabla1[[#This Row],[RECURSOS MATERIALES]]+Tabla1[[#This Row],[MANO DE OBRA]],Tabla1[[#This Row],[MANO DE OBRA]])</f>
        <v>4720.8550793963241</v>
      </c>
      <c r="S35" s="14"/>
      <c r="T35" s="22">
        <f>Tabla1[[#This Row],[COSTO UNITARIO]]*Tabla1[[#This Row],[CANTIDAD]]</f>
        <v>0</v>
      </c>
      <c r="U35" s="30">
        <f>IF(ISERROR(Tabla1[[#This Row],[COSTO DIRECTO (CD)]]/Tabla1[[#Totals],[COSTO DIRECTO (CD)]])=TRUE," ",Tabla1[[#This Row],[COSTO DIRECTO (CD)]]/Tabla1[[#Totals],[COSTO DIRECTO (CD)]])</f>
        <v>0</v>
      </c>
      <c r="V35" s="22">
        <f>IF((ISERROR(Tabla1[[#This Row],[PRECIO FINAL]]/Tabla1[[#This Row],[CANTIDAD]]))=TRUE,0,Tabla1[[#This Row],[PRECIO FINAL]]/Tabla1[[#This Row],[CANTIDAD]])</f>
        <v>0</v>
      </c>
      <c r="W35" s="31">
        <f>IF($Q$5="SI",$U$60*Tabla1[[#This Row],[Incidencia ]],Tabla1[[#Totals],[COSTO DIRECTO (CD)]]*Tabla1[[#This Row],[Incidencia ]])</f>
        <v>0</v>
      </c>
    </row>
    <row r="36" spans="1:23" x14ac:dyDescent="0.3">
      <c r="A36" s="4" t="s">
        <v>53</v>
      </c>
      <c r="B36" t="s">
        <v>8</v>
      </c>
      <c r="C36">
        <v>28</v>
      </c>
      <c r="D36" s="4" t="s">
        <v>67</v>
      </c>
      <c r="E36" t="s">
        <v>12</v>
      </c>
      <c r="F36" s="5" t="s">
        <v>10</v>
      </c>
      <c r="G36" s="1">
        <v>3078.0462705882396</v>
      </c>
      <c r="H36" s="1">
        <v>284.22282331395172</v>
      </c>
      <c r="I36" s="1">
        <v>18.151912249698725</v>
      </c>
      <c r="J36" s="1">
        <v>268.0250445201882</v>
      </c>
      <c r="K36" s="1"/>
      <c r="L36" s="1"/>
      <c r="M36" s="1"/>
      <c r="N36" s="6"/>
      <c r="O36" s="1"/>
      <c r="P36" s="23">
        <f>(IF($Q$2="Materiales y Mano de Obra",Tabla1[[#This Row],[MATERIALES]]*(IF($Q$4="NO",1.21,1)),"-"))</f>
        <v>3078.0462705882396</v>
      </c>
      <c r="Q36" s="22">
        <f>(Tabla1[[#This Row],[OBREROS]]+IF($Q$3="SI",1,0)*Tabla1[[#This Row],[CARGAS SOCIALES]])+Tabla1[[#This Row],[HERRAMENTAL]]</f>
        <v>570.39978008383866</v>
      </c>
      <c r="R36" s="22">
        <f>IF($Q$2="Materiales y Mano de Obra",Tabla1[[#This Row],[RECURSOS MATERIALES]]+Tabla1[[#This Row],[MANO DE OBRA]],Tabla1[[#This Row],[MANO DE OBRA]])</f>
        <v>3648.4460506720784</v>
      </c>
      <c r="S36" s="14"/>
      <c r="T36" s="22">
        <f>Tabla1[[#This Row],[COSTO UNITARIO]]*Tabla1[[#This Row],[CANTIDAD]]</f>
        <v>0</v>
      </c>
      <c r="U36" s="30">
        <f>IF(ISERROR(Tabla1[[#This Row],[COSTO DIRECTO (CD)]]/Tabla1[[#Totals],[COSTO DIRECTO (CD)]])=TRUE," ",Tabla1[[#This Row],[COSTO DIRECTO (CD)]]/Tabla1[[#Totals],[COSTO DIRECTO (CD)]])</f>
        <v>0</v>
      </c>
      <c r="V36" s="22">
        <f>IF((ISERROR(Tabla1[[#This Row],[PRECIO FINAL]]/Tabla1[[#This Row],[CANTIDAD]]))=TRUE,0,Tabla1[[#This Row],[PRECIO FINAL]]/Tabla1[[#This Row],[CANTIDAD]])</f>
        <v>0</v>
      </c>
      <c r="W36" s="31">
        <f>IF($Q$5="SI",$U$60*Tabla1[[#This Row],[Incidencia ]],Tabla1[[#Totals],[COSTO DIRECTO (CD)]]*Tabla1[[#This Row],[Incidencia ]])</f>
        <v>0</v>
      </c>
    </row>
    <row r="37" spans="1:23" x14ac:dyDescent="0.3">
      <c r="A37" s="4" t="s">
        <v>53</v>
      </c>
      <c r="B37" t="s">
        <v>8</v>
      </c>
      <c r="C37">
        <v>29</v>
      </c>
      <c r="D37" s="4" t="s">
        <v>68</v>
      </c>
      <c r="E37" t="s">
        <v>13</v>
      </c>
      <c r="F37" s="5" t="s">
        <v>10</v>
      </c>
      <c r="G37" s="1">
        <v>2612.7613470588267</v>
      </c>
      <c r="H37" s="1">
        <v>239.74253687606313</v>
      </c>
      <c r="I37" s="1">
        <v>15.257873265964184</v>
      </c>
      <c r="J37" s="1">
        <v>226.07966342092914</v>
      </c>
      <c r="K37" s="1"/>
      <c r="L37" s="1"/>
      <c r="M37" s="1"/>
      <c r="N37" s="6"/>
      <c r="O37" s="1"/>
      <c r="P37" s="23">
        <f>(IF($Q$2="Materiales y Mano de Obra",Tabla1[[#This Row],[MATERIALES]]*(IF($Q$4="NO",1.21,1)),"-"))</f>
        <v>2612.7613470588267</v>
      </c>
      <c r="Q37" s="22">
        <f>(Tabla1[[#This Row],[OBREROS]]+IF($Q$3="SI",1,0)*Tabla1[[#This Row],[CARGAS SOCIALES]])+Tabla1[[#This Row],[HERRAMENTAL]]</f>
        <v>481.08007356295644</v>
      </c>
      <c r="R37" s="22">
        <f>IF($Q$2="Materiales y Mano de Obra",Tabla1[[#This Row],[RECURSOS MATERIALES]]+Tabla1[[#This Row],[MANO DE OBRA]],Tabla1[[#This Row],[MANO DE OBRA]])</f>
        <v>3093.8414206217831</v>
      </c>
      <c r="S37" s="14"/>
      <c r="T37" s="22">
        <f>Tabla1[[#This Row],[COSTO UNITARIO]]*Tabla1[[#This Row],[CANTIDAD]]</f>
        <v>0</v>
      </c>
      <c r="U37" s="30">
        <f>IF(ISERROR(Tabla1[[#This Row],[COSTO DIRECTO (CD)]]/Tabla1[[#Totals],[COSTO DIRECTO (CD)]])=TRUE," ",Tabla1[[#This Row],[COSTO DIRECTO (CD)]]/Tabla1[[#Totals],[COSTO DIRECTO (CD)]])</f>
        <v>0</v>
      </c>
      <c r="V37" s="22">
        <f>IF((ISERROR(Tabla1[[#This Row],[PRECIO FINAL]]/Tabla1[[#This Row],[CANTIDAD]]))=TRUE,0,Tabla1[[#This Row],[PRECIO FINAL]]/Tabla1[[#This Row],[CANTIDAD]])</f>
        <v>0</v>
      </c>
      <c r="W37" s="31">
        <f>IF($Q$5="SI",$U$60*Tabla1[[#This Row],[Incidencia ]],Tabla1[[#Totals],[COSTO DIRECTO (CD)]]*Tabla1[[#This Row],[Incidencia ]])</f>
        <v>0</v>
      </c>
    </row>
    <row r="38" spans="1:23" x14ac:dyDescent="0.3">
      <c r="A38" s="4" t="s">
        <v>53</v>
      </c>
      <c r="B38" t="s">
        <v>8</v>
      </c>
      <c r="C38">
        <v>30</v>
      </c>
      <c r="D38" s="4" t="s">
        <v>69</v>
      </c>
      <c r="E38" t="s">
        <v>14</v>
      </c>
      <c r="F38" s="5" t="s">
        <v>10</v>
      </c>
      <c r="G38" s="1">
        <v>3519.4697999999967</v>
      </c>
      <c r="H38" s="1">
        <v>284.22282331395172</v>
      </c>
      <c r="I38" s="1">
        <v>18.151912249698725</v>
      </c>
      <c r="J38" s="1">
        <v>268.0250445201882</v>
      </c>
      <c r="K38" s="1"/>
      <c r="L38" s="1"/>
      <c r="M38" s="1"/>
      <c r="N38" s="6"/>
      <c r="O38" s="1"/>
      <c r="P38" s="23">
        <f>(IF($Q$2="Materiales y Mano de Obra",Tabla1[[#This Row],[MATERIALES]]*(IF($Q$4="NO",1.21,1)),"-"))</f>
        <v>3519.4697999999967</v>
      </c>
      <c r="Q38" s="22">
        <f>(Tabla1[[#This Row],[OBREROS]]+IF($Q$3="SI",1,0)*Tabla1[[#This Row],[CARGAS SOCIALES]])+Tabla1[[#This Row],[HERRAMENTAL]]</f>
        <v>570.39978008383866</v>
      </c>
      <c r="R38" s="22">
        <f>IF($Q$2="Materiales y Mano de Obra",Tabla1[[#This Row],[RECURSOS MATERIALES]]+Tabla1[[#This Row],[MANO DE OBRA]],Tabla1[[#This Row],[MANO DE OBRA]])</f>
        <v>4089.8695800838354</v>
      </c>
      <c r="S38" s="14">
        <v>10</v>
      </c>
      <c r="T38" s="22">
        <f>Tabla1[[#This Row],[COSTO UNITARIO]]*Tabla1[[#This Row],[CANTIDAD]]</f>
        <v>40898.695800838352</v>
      </c>
      <c r="U38" s="30">
        <f>IF(ISERROR(Tabla1[[#This Row],[COSTO DIRECTO (CD)]]/Tabla1[[#Totals],[COSTO DIRECTO (CD)]])=TRUE," ",Tabla1[[#This Row],[COSTO DIRECTO (CD)]]/Tabla1[[#Totals],[COSTO DIRECTO (CD)]])</f>
        <v>0.3543550622210998</v>
      </c>
      <c r="V38" s="22">
        <f>IF((ISERROR(Tabla1[[#This Row],[PRECIO FINAL]]/Tabla1[[#This Row],[CANTIDAD]]))=TRUE,0,Tabla1[[#This Row],[PRECIO FINAL]]/Tabla1[[#This Row],[CANTIDAD]])</f>
        <v>6449.4358804077974</v>
      </c>
      <c r="W38" s="31">
        <f>IF($Q$5="SI",$U$60*Tabla1[[#This Row],[Incidencia ]],Tabla1[[#Totals],[COSTO DIRECTO (CD)]]*Tabla1[[#This Row],[Incidencia ]])</f>
        <v>64494.358804077972</v>
      </c>
    </row>
    <row r="39" spans="1:23" x14ac:dyDescent="0.3">
      <c r="A39" s="4" t="s">
        <v>53</v>
      </c>
      <c r="B39" t="s">
        <v>8</v>
      </c>
      <c r="C39">
        <v>31</v>
      </c>
      <c r="D39" s="4" t="s">
        <v>70</v>
      </c>
      <c r="E39" t="s">
        <v>15</v>
      </c>
      <c r="F39" s="5" t="s">
        <v>10</v>
      </c>
      <c r="G39" s="1">
        <v>3976.9450941176415</v>
      </c>
      <c r="H39" s="1">
        <v>284.22282331395172</v>
      </c>
      <c r="I39" s="1">
        <v>18.151912249698725</v>
      </c>
      <c r="J39" s="1">
        <v>268.0250445201882</v>
      </c>
      <c r="K39" s="1"/>
      <c r="L39" s="1"/>
      <c r="M39" s="1"/>
      <c r="N39" s="6"/>
      <c r="O39" s="1"/>
      <c r="P39" s="23">
        <f>(IF($Q$2="Materiales y Mano de Obra",Tabla1[[#This Row],[MATERIALES]]*(IF($Q$4="NO",1.21,1)),"-"))</f>
        <v>3976.9450941176415</v>
      </c>
      <c r="Q39" s="22">
        <f>(Tabla1[[#This Row],[OBREROS]]+IF($Q$3="SI",1,0)*Tabla1[[#This Row],[CARGAS SOCIALES]])+Tabla1[[#This Row],[HERRAMENTAL]]</f>
        <v>570.39978008383866</v>
      </c>
      <c r="R39" s="22">
        <f>IF($Q$2="Materiales y Mano de Obra",Tabla1[[#This Row],[RECURSOS MATERIALES]]+Tabla1[[#This Row],[MANO DE OBRA]],Tabla1[[#This Row],[MANO DE OBRA]])</f>
        <v>4547.3448742014798</v>
      </c>
      <c r="S39" s="14">
        <v>10</v>
      </c>
      <c r="T39" s="22">
        <f>Tabla1[[#This Row],[COSTO UNITARIO]]*Tabla1[[#This Row],[CANTIDAD]]</f>
        <v>45473.4487420148</v>
      </c>
      <c r="U39" s="30">
        <f>IF(ISERROR(Tabla1[[#This Row],[COSTO DIRECTO (CD)]]/Tabla1[[#Totals],[COSTO DIRECTO (CD)]])=TRUE," ",Tabla1[[#This Row],[COSTO DIRECTO (CD)]]/Tabla1[[#Totals],[COSTO DIRECTO (CD)]])</f>
        <v>0.39399170176116827</v>
      </c>
      <c r="V39" s="22">
        <f>IF((ISERROR(Tabla1[[#This Row],[PRECIO FINAL]]/Tabla1[[#This Row],[CANTIDAD]]))=TRUE,0,Tabla1[[#This Row],[PRECIO FINAL]]/Tabla1[[#This Row],[CANTIDAD]])</f>
        <v>7170.8421547423377</v>
      </c>
      <c r="W39" s="31">
        <f>IF($Q$5="SI",$U$60*Tabla1[[#This Row],[Incidencia ]],Tabla1[[#Totals],[COSTO DIRECTO (CD)]]*Tabla1[[#This Row],[Incidencia ]])</f>
        <v>71708.421547423379</v>
      </c>
    </row>
    <row r="40" spans="1:23" x14ac:dyDescent="0.3">
      <c r="A40" s="4" t="s">
        <v>53</v>
      </c>
      <c r="B40" t="s">
        <v>8</v>
      </c>
      <c r="C40">
        <v>32</v>
      </c>
      <c r="D40" s="4" t="s">
        <v>71</v>
      </c>
      <c r="E40" t="s">
        <v>16</v>
      </c>
      <c r="F40" s="5" t="s">
        <v>10</v>
      </c>
      <c r="G40" s="1">
        <v>1689.5686235294154</v>
      </c>
      <c r="H40" s="1">
        <v>284.22282331395172</v>
      </c>
      <c r="I40" s="1">
        <v>18.151912249698725</v>
      </c>
      <c r="J40" s="1">
        <v>268.0250445201882</v>
      </c>
      <c r="K40" s="1"/>
      <c r="L40" s="1"/>
      <c r="M40" s="1"/>
      <c r="N40" s="6"/>
      <c r="O40" s="1"/>
      <c r="P40" s="23">
        <f>(IF($Q$2="Materiales y Mano de Obra",Tabla1[[#This Row],[MATERIALES]]*(IF($Q$4="NO",1.21,1)),"-"))</f>
        <v>1689.5686235294154</v>
      </c>
      <c r="Q40" s="22">
        <f>(Tabla1[[#This Row],[OBREROS]]+IF($Q$3="SI",1,0)*Tabla1[[#This Row],[CARGAS SOCIALES]])+Tabla1[[#This Row],[HERRAMENTAL]]</f>
        <v>570.39978008383866</v>
      </c>
      <c r="R40" s="22">
        <f>IF($Q$2="Materiales y Mano de Obra",Tabla1[[#This Row],[RECURSOS MATERIALES]]+Tabla1[[#This Row],[MANO DE OBRA]],Tabla1[[#This Row],[MANO DE OBRA]])</f>
        <v>2259.9684036132539</v>
      </c>
      <c r="S40" s="14"/>
      <c r="T40" s="22">
        <f>Tabla1[[#This Row],[COSTO UNITARIO]]*Tabla1[[#This Row],[CANTIDAD]]</f>
        <v>0</v>
      </c>
      <c r="U40" s="30">
        <f>IF(ISERROR(Tabla1[[#This Row],[COSTO DIRECTO (CD)]]/Tabla1[[#Totals],[COSTO DIRECTO (CD)]])=TRUE," ",Tabla1[[#This Row],[COSTO DIRECTO (CD)]]/Tabla1[[#Totals],[COSTO DIRECTO (CD)]])</f>
        <v>0</v>
      </c>
      <c r="V40" s="22">
        <f>IF((ISERROR(Tabla1[[#This Row],[PRECIO FINAL]]/Tabla1[[#This Row],[CANTIDAD]]))=TRUE,0,Tabla1[[#This Row],[PRECIO FINAL]]/Tabla1[[#This Row],[CANTIDAD]])</f>
        <v>0</v>
      </c>
      <c r="W40" s="31">
        <f>IF($Q$5="SI",$U$60*Tabla1[[#This Row],[Incidencia ]],Tabla1[[#Totals],[COSTO DIRECTO (CD)]]*Tabla1[[#This Row],[Incidencia ]])</f>
        <v>0</v>
      </c>
    </row>
    <row r="41" spans="1:23" x14ac:dyDescent="0.3">
      <c r="A41" s="4" t="s">
        <v>53</v>
      </c>
      <c r="B41" t="s">
        <v>8</v>
      </c>
      <c r="C41">
        <v>33</v>
      </c>
      <c r="D41" s="4" t="s">
        <v>72</v>
      </c>
      <c r="E41" t="s">
        <v>17</v>
      </c>
      <c r="F41" s="5" t="s">
        <v>10</v>
      </c>
      <c r="G41" s="1">
        <v>1553.257264145006</v>
      </c>
      <c r="H41" s="1">
        <v>461.14319359574313</v>
      </c>
      <c r="I41" s="1">
        <v>29.62306413254456</v>
      </c>
      <c r="J41" s="1">
        <v>434.86281681434536</v>
      </c>
      <c r="K41" s="1"/>
      <c r="L41" s="1"/>
      <c r="M41" s="1"/>
      <c r="N41" s="6"/>
      <c r="O41" s="1"/>
      <c r="P41" s="23">
        <f>(IF($Q$2="Materiales y Mano de Obra",Tabla1[[#This Row],[MATERIALES]]*(IF($Q$4="NO",1.21,1)),"-"))</f>
        <v>1553.257264145006</v>
      </c>
      <c r="Q41" s="22">
        <f>(Tabla1[[#This Row],[OBREROS]]+IF($Q$3="SI",1,0)*Tabla1[[#This Row],[CARGAS SOCIALES]])+Tabla1[[#This Row],[HERRAMENTAL]]</f>
        <v>925.62907454263302</v>
      </c>
      <c r="R41" s="22">
        <f>IF($Q$2="Materiales y Mano de Obra",Tabla1[[#This Row],[RECURSOS MATERIALES]]+Tabla1[[#This Row],[MANO DE OBRA]],Tabla1[[#This Row],[MANO DE OBRA]])</f>
        <v>2478.8863386876392</v>
      </c>
      <c r="S41" s="14"/>
      <c r="T41" s="22">
        <f>Tabla1[[#This Row],[COSTO UNITARIO]]*Tabla1[[#This Row],[CANTIDAD]]</f>
        <v>0</v>
      </c>
      <c r="U41" s="30">
        <f>IF(ISERROR(Tabla1[[#This Row],[COSTO DIRECTO (CD)]]/Tabla1[[#Totals],[COSTO DIRECTO (CD)]])=TRUE," ",Tabla1[[#This Row],[COSTO DIRECTO (CD)]]/Tabla1[[#Totals],[COSTO DIRECTO (CD)]])</f>
        <v>0</v>
      </c>
      <c r="V41" s="22">
        <f>IF((ISERROR(Tabla1[[#This Row],[PRECIO FINAL]]/Tabla1[[#This Row],[CANTIDAD]]))=TRUE,0,Tabla1[[#This Row],[PRECIO FINAL]]/Tabla1[[#This Row],[CANTIDAD]])</f>
        <v>0</v>
      </c>
      <c r="W41" s="31">
        <f>IF($Q$5="SI",$U$60*Tabla1[[#This Row],[Incidencia ]],Tabla1[[#Totals],[COSTO DIRECTO (CD)]]*Tabla1[[#This Row],[Incidencia ]])</f>
        <v>0</v>
      </c>
    </row>
    <row r="42" spans="1:23" x14ac:dyDescent="0.3">
      <c r="A42" s="4" t="s">
        <v>53</v>
      </c>
      <c r="B42" t="s">
        <v>8</v>
      </c>
      <c r="C42">
        <v>34</v>
      </c>
      <c r="D42" s="4" t="s">
        <v>73</v>
      </c>
      <c r="E42" t="s">
        <v>18</v>
      </c>
      <c r="F42" s="5" t="s">
        <v>10</v>
      </c>
      <c r="G42" s="1">
        <v>968.40114414733625</v>
      </c>
      <c r="H42" s="1">
        <v>447.01240575215587</v>
      </c>
      <c r="I42" s="1">
        <v>37.761092746638241</v>
      </c>
      <c r="J42" s="1">
        <v>421.65010008095891</v>
      </c>
      <c r="K42" s="1"/>
      <c r="L42" s="1"/>
      <c r="M42" s="1"/>
      <c r="N42" s="6"/>
      <c r="O42" s="1"/>
      <c r="P42" s="23">
        <f>(IF($Q$2="Materiales y Mano de Obra",Tabla1[[#This Row],[MATERIALES]]*(IF($Q$4="NO",1.21,1)),"-"))</f>
        <v>968.40114414733625</v>
      </c>
      <c r="Q42" s="22">
        <f>(Tabla1[[#This Row],[OBREROS]]+IF($Q$3="SI",1,0)*Tabla1[[#This Row],[CARGAS SOCIALES]])+Tabla1[[#This Row],[HERRAMENTAL]]</f>
        <v>906.42359857975305</v>
      </c>
      <c r="R42" s="22">
        <f>IF($Q$2="Materiales y Mano de Obra",Tabla1[[#This Row],[RECURSOS MATERIALES]]+Tabla1[[#This Row],[MANO DE OBRA]],Tabla1[[#This Row],[MANO DE OBRA]])</f>
        <v>1874.8247427270894</v>
      </c>
      <c r="S42" s="14"/>
      <c r="T42" s="22">
        <f>Tabla1[[#This Row],[COSTO UNITARIO]]*Tabla1[[#This Row],[CANTIDAD]]</f>
        <v>0</v>
      </c>
      <c r="U42" s="30">
        <f>IF(ISERROR(Tabla1[[#This Row],[COSTO DIRECTO (CD)]]/Tabla1[[#Totals],[COSTO DIRECTO (CD)]])=TRUE," ",Tabla1[[#This Row],[COSTO DIRECTO (CD)]]/Tabla1[[#Totals],[COSTO DIRECTO (CD)]])</f>
        <v>0</v>
      </c>
      <c r="V42" s="22">
        <f>IF((ISERROR(Tabla1[[#This Row],[PRECIO FINAL]]/Tabla1[[#This Row],[CANTIDAD]]))=TRUE,0,Tabla1[[#This Row],[PRECIO FINAL]]/Tabla1[[#This Row],[CANTIDAD]])</f>
        <v>0</v>
      </c>
      <c r="W42" s="31">
        <f>IF($Q$5="SI",$U$60*Tabla1[[#This Row],[Incidencia ]],Tabla1[[#Totals],[COSTO DIRECTO (CD)]]*Tabla1[[#This Row],[Incidencia ]])</f>
        <v>0</v>
      </c>
    </row>
    <row r="43" spans="1:23" x14ac:dyDescent="0.3">
      <c r="A43" s="4" t="s">
        <v>54</v>
      </c>
      <c r="B43" t="s">
        <v>39</v>
      </c>
      <c r="C43">
        <v>35</v>
      </c>
      <c r="D43" s="4" t="s">
        <v>94</v>
      </c>
      <c r="E43" t="s">
        <v>40</v>
      </c>
      <c r="F43" s="5" t="s">
        <v>10</v>
      </c>
      <c r="G43" s="1">
        <v>285.66322050600002</v>
      </c>
      <c r="H43" s="1">
        <v>110.79124005385331</v>
      </c>
      <c r="I43" s="1">
        <v>13.294628335847012</v>
      </c>
      <c r="J43" s="1">
        <v>104.56435360363997</v>
      </c>
      <c r="K43" s="1"/>
      <c r="L43" s="1"/>
      <c r="M43" s="1"/>
      <c r="N43" s="6"/>
      <c r="O43" s="1"/>
      <c r="P43" s="23">
        <f>(IF($Q$2="Materiales y Mano de Obra",Tabla1[[#This Row],[MATERIALES]]*(IF($Q$4="NO",1.21,1)),"-"))</f>
        <v>285.66322050600002</v>
      </c>
      <c r="Q43" s="22">
        <f>(Tabla1[[#This Row],[OBREROS]]+IF($Q$3="SI",1,0)*Tabla1[[#This Row],[CARGAS SOCIALES]])+Tabla1[[#This Row],[HERRAMENTAL]]</f>
        <v>228.6502219933403</v>
      </c>
      <c r="R43" s="22">
        <f>IF($Q$2="Materiales y Mano de Obra",Tabla1[[#This Row],[RECURSOS MATERIALES]]+Tabla1[[#This Row],[MANO DE OBRA]],Tabla1[[#This Row],[MANO DE OBRA]])</f>
        <v>514.31344249934034</v>
      </c>
      <c r="S43" s="14"/>
      <c r="T43" s="22">
        <f>Tabla1[[#This Row],[COSTO UNITARIO]]*Tabla1[[#This Row],[CANTIDAD]]</f>
        <v>0</v>
      </c>
      <c r="U43" s="30">
        <f>IF(ISERROR(Tabla1[[#This Row],[COSTO DIRECTO (CD)]]/Tabla1[[#Totals],[COSTO DIRECTO (CD)]])=TRUE," ",Tabla1[[#This Row],[COSTO DIRECTO (CD)]]/Tabla1[[#Totals],[COSTO DIRECTO (CD)]])</f>
        <v>0</v>
      </c>
      <c r="V43" s="22">
        <f>IF((ISERROR(Tabla1[[#This Row],[PRECIO FINAL]]/Tabla1[[#This Row],[CANTIDAD]]))=TRUE,0,Tabla1[[#This Row],[PRECIO FINAL]]/Tabla1[[#This Row],[CANTIDAD]])</f>
        <v>0</v>
      </c>
      <c r="W43" s="31">
        <f>IF($Q$5="SI",$U$60*Tabla1[[#This Row],[Incidencia ]],Tabla1[[#Totals],[COSTO DIRECTO (CD)]]*Tabla1[[#This Row],[Incidencia ]])</f>
        <v>0</v>
      </c>
    </row>
    <row r="44" spans="1:23" x14ac:dyDescent="0.3">
      <c r="A44" s="4" t="s">
        <v>54</v>
      </c>
      <c r="B44" t="s">
        <v>39</v>
      </c>
      <c r="C44">
        <v>36</v>
      </c>
      <c r="D44" s="4" t="s">
        <v>95</v>
      </c>
      <c r="E44" t="s">
        <v>41</v>
      </c>
      <c r="F44" s="5" t="s">
        <v>10</v>
      </c>
      <c r="G44" s="1">
        <v>347.08278143699999</v>
      </c>
      <c r="H44" s="1">
        <v>344.46820924624092</v>
      </c>
      <c r="I44" s="1">
        <v>32.006451977009554</v>
      </c>
      <c r="J44" s="1">
        <v>325.01141486731626</v>
      </c>
      <c r="K44" s="1"/>
      <c r="L44" s="1"/>
      <c r="M44" s="1"/>
      <c r="N44" s="6"/>
      <c r="O44" s="1"/>
      <c r="P44" s="23">
        <f>(IF($Q$2="Materiales y Mano de Obra",Tabla1[[#This Row],[MATERIALES]]*(IF($Q$4="NO",1.21,1)),"-"))</f>
        <v>347.08278143699999</v>
      </c>
      <c r="Q44" s="22">
        <f>(Tabla1[[#This Row],[OBREROS]]+IF($Q$3="SI",1,0)*Tabla1[[#This Row],[CARGAS SOCIALES]])+Tabla1[[#This Row],[HERRAMENTAL]]</f>
        <v>701.48607609056671</v>
      </c>
      <c r="R44" s="22">
        <f>IF($Q$2="Materiales y Mano de Obra",Tabla1[[#This Row],[RECURSOS MATERIALES]]+Tabla1[[#This Row],[MANO DE OBRA]],Tabla1[[#This Row],[MANO DE OBRA]])</f>
        <v>1048.5688575275667</v>
      </c>
      <c r="S44" s="14"/>
      <c r="T44" s="22">
        <f>Tabla1[[#This Row],[COSTO UNITARIO]]*Tabla1[[#This Row],[CANTIDAD]]</f>
        <v>0</v>
      </c>
      <c r="U44" s="30">
        <f>IF(ISERROR(Tabla1[[#This Row],[COSTO DIRECTO (CD)]]/Tabla1[[#Totals],[COSTO DIRECTO (CD)]])=TRUE," ",Tabla1[[#This Row],[COSTO DIRECTO (CD)]]/Tabla1[[#Totals],[COSTO DIRECTO (CD)]])</f>
        <v>0</v>
      </c>
      <c r="V44" s="22">
        <f>IF((ISERROR(Tabla1[[#This Row],[PRECIO FINAL]]/Tabla1[[#This Row],[CANTIDAD]]))=TRUE,0,Tabla1[[#This Row],[PRECIO FINAL]]/Tabla1[[#This Row],[CANTIDAD]])</f>
        <v>0</v>
      </c>
      <c r="W44" s="31">
        <f>IF($Q$5="SI",$U$60*Tabla1[[#This Row],[Incidencia ]],Tabla1[[#Totals],[COSTO DIRECTO (CD)]]*Tabla1[[#This Row],[Incidencia ]])</f>
        <v>0</v>
      </c>
    </row>
    <row r="45" spans="1:23" x14ac:dyDescent="0.3">
      <c r="A45" s="4" t="s">
        <v>54</v>
      </c>
      <c r="B45" t="s">
        <v>39</v>
      </c>
      <c r="C45">
        <v>37</v>
      </c>
      <c r="D45" s="4" t="s">
        <v>96</v>
      </c>
      <c r="E45" t="s">
        <v>42</v>
      </c>
      <c r="F45" s="5" t="s">
        <v>10</v>
      </c>
      <c r="G45" s="1">
        <v>347.0828127470329</v>
      </c>
      <c r="H45" s="1">
        <v>363.3654550970208</v>
      </c>
      <c r="I45" s="1">
        <v>32.814194672856182</v>
      </c>
      <c r="J45" s="1">
        <v>342.83140626182148</v>
      </c>
      <c r="K45" s="1"/>
      <c r="L45" s="1"/>
      <c r="M45" s="1"/>
      <c r="N45" s="6"/>
      <c r="O45" s="1"/>
      <c r="P45" s="23">
        <f>(IF($Q$2="Materiales y Mano de Obra",Tabla1[[#This Row],[MATERIALES]]*(IF($Q$4="NO",1.21,1)),"-"))</f>
        <v>347.0828127470329</v>
      </c>
      <c r="Q45" s="22">
        <f>(Tabla1[[#This Row],[OBREROS]]+IF($Q$3="SI",1,0)*Tabla1[[#This Row],[CARGAS SOCIALES]])+Tabla1[[#This Row],[HERRAMENTAL]]</f>
        <v>739.01105603169844</v>
      </c>
      <c r="R45" s="22">
        <f>IF($Q$2="Materiales y Mano de Obra",Tabla1[[#This Row],[RECURSOS MATERIALES]]+Tabla1[[#This Row],[MANO DE OBRA]],Tabla1[[#This Row],[MANO DE OBRA]])</f>
        <v>1086.0938687787313</v>
      </c>
      <c r="S45" s="14">
        <v>5</v>
      </c>
      <c r="T45" s="22">
        <f>Tabla1[[#This Row],[COSTO UNITARIO]]*Tabla1[[#This Row],[CANTIDAD]]</f>
        <v>5430.4693438936565</v>
      </c>
      <c r="U45" s="30">
        <f>IF(ISERROR(Tabla1[[#This Row],[COSTO DIRECTO (CD)]]/Tabla1[[#Totals],[COSTO DIRECTO (CD)]])=TRUE," ",Tabla1[[#This Row],[COSTO DIRECTO (CD)]]/Tabla1[[#Totals],[COSTO DIRECTO (CD)]])</f>
        <v>4.7050749774905212E-2</v>
      </c>
      <c r="V45" s="22">
        <f>IF((ISERROR(Tabla1[[#This Row],[PRECIO FINAL]]/Tabla1[[#This Row],[CANTIDAD]]))=TRUE,0,Tabla1[[#This Row],[PRECIO FINAL]]/Tabla1[[#This Row],[CANTIDAD]])</f>
        <v>1712.6934318157121</v>
      </c>
      <c r="W45" s="31">
        <f>IF($Q$5="SI",$U$60*Tabla1[[#This Row],[Incidencia ]],Tabla1[[#Totals],[COSTO DIRECTO (CD)]]*Tabla1[[#This Row],[Incidencia ]])</f>
        <v>8563.4671590785601</v>
      </c>
    </row>
    <row r="46" spans="1:23" x14ac:dyDescent="0.3">
      <c r="A46" s="4" t="s">
        <v>54</v>
      </c>
      <c r="B46" t="s">
        <v>39</v>
      </c>
      <c r="C46">
        <v>38</v>
      </c>
      <c r="D46" s="4" t="s">
        <v>97</v>
      </c>
      <c r="E46" t="s">
        <v>43</v>
      </c>
      <c r="F46" s="5" t="s">
        <v>10</v>
      </c>
      <c r="G46" s="1">
        <v>347.08278143699999</v>
      </c>
      <c r="H46" s="1">
        <v>269.15284872179126</v>
      </c>
      <c r="I46" s="1">
        <v>28.775964867705159</v>
      </c>
      <c r="J46" s="1">
        <v>253.98948302731625</v>
      </c>
      <c r="K46" s="1"/>
      <c r="L46" s="1"/>
      <c r="M46" s="1"/>
      <c r="N46" s="6"/>
      <c r="O46" s="1"/>
      <c r="P46" s="23">
        <f>(IF($Q$2="Materiales y Mano de Obra",Tabla1[[#This Row],[MATERIALES]]*(IF($Q$4="NO",1.21,1)),"-"))</f>
        <v>347.08278143699999</v>
      </c>
      <c r="Q46" s="22">
        <f>(Tabla1[[#This Row],[OBREROS]]+IF($Q$3="SI",1,0)*Tabla1[[#This Row],[CARGAS SOCIALES]])+Tabla1[[#This Row],[HERRAMENTAL]]</f>
        <v>551.91829661681265</v>
      </c>
      <c r="R46" s="22">
        <f>IF($Q$2="Materiales y Mano de Obra",Tabla1[[#This Row],[RECURSOS MATERIALES]]+Tabla1[[#This Row],[MANO DE OBRA]],Tabla1[[#This Row],[MANO DE OBRA]])</f>
        <v>899.00107805381265</v>
      </c>
      <c r="S46" s="14"/>
      <c r="T46" s="22">
        <f>Tabla1[[#This Row],[COSTO UNITARIO]]*Tabla1[[#This Row],[CANTIDAD]]</f>
        <v>0</v>
      </c>
      <c r="U46" s="30">
        <f>IF(ISERROR(Tabla1[[#This Row],[COSTO DIRECTO (CD)]]/Tabla1[[#Totals],[COSTO DIRECTO (CD)]])=TRUE," ",Tabla1[[#This Row],[COSTO DIRECTO (CD)]]/Tabla1[[#Totals],[COSTO DIRECTO (CD)]])</f>
        <v>0</v>
      </c>
      <c r="V46" s="22">
        <f>IF((ISERROR(Tabla1[[#This Row],[PRECIO FINAL]]/Tabla1[[#This Row],[CANTIDAD]]))=TRUE,0,Tabla1[[#This Row],[PRECIO FINAL]]/Tabla1[[#This Row],[CANTIDAD]])</f>
        <v>0</v>
      </c>
      <c r="W46" s="31">
        <f>IF($Q$5="SI",$U$60*Tabla1[[#This Row],[Incidencia ]],Tabla1[[#Totals],[COSTO DIRECTO (CD)]]*Tabla1[[#This Row],[Incidencia ]])</f>
        <v>0</v>
      </c>
    </row>
    <row r="47" spans="1:23" x14ac:dyDescent="0.3">
      <c r="A47" s="4" t="s">
        <v>54</v>
      </c>
      <c r="B47" t="s">
        <v>39</v>
      </c>
      <c r="C47">
        <v>39</v>
      </c>
      <c r="D47" s="4" t="s">
        <v>98</v>
      </c>
      <c r="E47" t="s">
        <v>44</v>
      </c>
      <c r="F47" s="5" t="s">
        <v>10</v>
      </c>
      <c r="G47" s="1">
        <v>396.35828868599998</v>
      </c>
      <c r="H47" s="1">
        <v>350.83795130109684</v>
      </c>
      <c r="I47" s="1">
        <v>34.430454272557689</v>
      </c>
      <c r="J47" s="1">
        <v>331.04148089150436</v>
      </c>
      <c r="K47" s="1"/>
      <c r="L47" s="1"/>
      <c r="M47" s="1"/>
      <c r="N47" s="6"/>
      <c r="O47" s="1"/>
      <c r="P47" s="23">
        <f>(IF($Q$2="Materiales y Mano de Obra",Tabla1[[#This Row],[MATERIALES]]*(IF($Q$4="NO",1.21,1)),"-"))</f>
        <v>396.35828868599998</v>
      </c>
      <c r="Q47" s="22">
        <f>(Tabla1[[#This Row],[OBREROS]]+IF($Q$3="SI",1,0)*Tabla1[[#This Row],[CARGAS SOCIALES]])+Tabla1[[#This Row],[HERRAMENTAL]]</f>
        <v>716.3098864651588</v>
      </c>
      <c r="R47" s="22">
        <f>IF($Q$2="Materiales y Mano de Obra",Tabla1[[#This Row],[RECURSOS MATERIALES]]+Tabla1[[#This Row],[MANO DE OBRA]],Tabla1[[#This Row],[MANO DE OBRA]])</f>
        <v>1112.6681751511587</v>
      </c>
      <c r="S47" s="14"/>
      <c r="T47" s="22">
        <f>Tabla1[[#This Row],[COSTO UNITARIO]]*Tabla1[[#This Row],[CANTIDAD]]</f>
        <v>0</v>
      </c>
      <c r="U47" s="30">
        <f>IF(ISERROR(Tabla1[[#This Row],[COSTO DIRECTO (CD)]]/Tabla1[[#Totals],[COSTO DIRECTO (CD)]])=TRUE," ",Tabla1[[#This Row],[COSTO DIRECTO (CD)]]/Tabla1[[#Totals],[COSTO DIRECTO (CD)]])</f>
        <v>0</v>
      </c>
      <c r="V47" s="22">
        <f>IF((ISERROR(Tabla1[[#This Row],[PRECIO FINAL]]/Tabla1[[#This Row],[CANTIDAD]]))=TRUE,0,Tabla1[[#This Row],[PRECIO FINAL]]/Tabla1[[#This Row],[CANTIDAD]])</f>
        <v>0</v>
      </c>
      <c r="W47" s="31">
        <f>IF($Q$5="SI",$U$60*Tabla1[[#This Row],[Incidencia ]],Tabla1[[#Totals],[COSTO DIRECTO (CD)]]*Tabla1[[#This Row],[Incidencia ]])</f>
        <v>0</v>
      </c>
    </row>
    <row r="48" spans="1:23" x14ac:dyDescent="0.3">
      <c r="A48" s="4" t="s">
        <v>54</v>
      </c>
      <c r="B48" t="s">
        <v>39</v>
      </c>
      <c r="C48">
        <v>40</v>
      </c>
      <c r="D48" s="4" t="s">
        <v>99</v>
      </c>
      <c r="E48" t="s">
        <v>45</v>
      </c>
      <c r="F48" s="5" t="s">
        <v>10</v>
      </c>
      <c r="G48" s="1">
        <v>396.35831999603289</v>
      </c>
      <c r="H48" s="1">
        <v>369.73519715187774</v>
      </c>
      <c r="I48" s="1">
        <v>35.238196968404324</v>
      </c>
      <c r="J48" s="1">
        <v>348.86147228600964</v>
      </c>
      <c r="K48" s="1"/>
      <c r="L48" s="1"/>
      <c r="M48" s="1"/>
      <c r="N48" s="6"/>
      <c r="O48" s="1"/>
      <c r="P48" s="23">
        <f>(IF($Q$2="Materiales y Mano de Obra",Tabla1[[#This Row],[MATERIALES]]*(IF($Q$4="NO",1.21,1)),"-"))</f>
        <v>396.35831999603289</v>
      </c>
      <c r="Q48" s="22">
        <f>(Tabla1[[#This Row],[OBREROS]]+IF($Q$3="SI",1,0)*Tabla1[[#This Row],[CARGAS SOCIALES]])+Tabla1[[#This Row],[HERRAMENTAL]]</f>
        <v>753.83486640629167</v>
      </c>
      <c r="R48" s="22">
        <f>IF($Q$2="Materiales y Mano de Obra",Tabla1[[#This Row],[RECURSOS MATERIALES]]+Tabla1[[#This Row],[MANO DE OBRA]],Tabla1[[#This Row],[MANO DE OBRA]])</f>
        <v>1150.1931864023245</v>
      </c>
      <c r="S48" s="14">
        <v>5</v>
      </c>
      <c r="T48" s="22">
        <f>Tabla1[[#This Row],[COSTO UNITARIO]]*Tabla1[[#This Row],[CANTIDAD]]</f>
        <v>5750.9659320116225</v>
      </c>
      <c r="U48" s="30">
        <f>IF(ISERROR(Tabla1[[#This Row],[COSTO DIRECTO (CD)]]/Tabla1[[#Totals],[COSTO DIRECTO (CD)]])=TRUE," ",Tabla1[[#This Row],[COSTO DIRECTO (CD)]]/Tabla1[[#Totals],[COSTO DIRECTO (CD)]])</f>
        <v>4.9827600874931342E-2</v>
      </c>
      <c r="V48" s="22">
        <f>IF((ISERROR(Tabla1[[#This Row],[PRECIO FINAL]]/Tabla1[[#This Row],[CANTIDAD]]))=TRUE,0,Tabla1[[#This Row],[PRECIO FINAL]]/Tabla1[[#This Row],[CANTIDAD]])</f>
        <v>1813.7735349574809</v>
      </c>
      <c r="W48" s="31">
        <f>IF($Q$5="SI",$U$60*Tabla1[[#This Row],[Incidencia ]],Tabla1[[#Totals],[COSTO DIRECTO (CD)]]*Tabla1[[#This Row],[Incidencia ]])</f>
        <v>9068.8676747874051</v>
      </c>
    </row>
    <row r="49" spans="1:23" x14ac:dyDescent="0.3">
      <c r="A49" s="4" t="s">
        <v>54</v>
      </c>
      <c r="B49" t="s">
        <v>39</v>
      </c>
      <c r="C49">
        <v>41</v>
      </c>
      <c r="D49" s="4" t="s">
        <v>100</v>
      </c>
      <c r="E49" t="s">
        <v>46</v>
      </c>
      <c r="F49" s="5" t="s">
        <v>10</v>
      </c>
      <c r="G49" s="1">
        <v>396.35828868599998</v>
      </c>
      <c r="H49" s="1">
        <v>275.52259077664712</v>
      </c>
      <c r="I49" s="1">
        <v>31.199967163253298</v>
      </c>
      <c r="J49" s="1">
        <v>260.01954905150438</v>
      </c>
      <c r="K49" s="1"/>
      <c r="L49" s="1"/>
      <c r="M49" s="1"/>
      <c r="N49" s="6"/>
      <c r="O49" s="1"/>
      <c r="P49" s="23">
        <f>(IF($Q$2="Materiales y Mano de Obra",Tabla1[[#This Row],[MATERIALES]]*(IF($Q$4="NO",1.21,1)),"-"))</f>
        <v>396.35828868599998</v>
      </c>
      <c r="Q49" s="22">
        <f>(Tabla1[[#This Row],[OBREROS]]+IF($Q$3="SI",1,0)*Tabla1[[#This Row],[CARGAS SOCIALES]])+Tabla1[[#This Row],[HERRAMENTAL]]</f>
        <v>566.74210699140474</v>
      </c>
      <c r="R49" s="22">
        <f>IF($Q$2="Materiales y Mano de Obra",Tabla1[[#This Row],[RECURSOS MATERIALES]]+Tabla1[[#This Row],[MANO DE OBRA]],Tabla1[[#This Row],[MANO DE OBRA]])</f>
        <v>963.10039567740478</v>
      </c>
      <c r="S49" s="14"/>
      <c r="T49" s="22">
        <f>Tabla1[[#This Row],[COSTO UNITARIO]]*Tabla1[[#This Row],[CANTIDAD]]</f>
        <v>0</v>
      </c>
      <c r="U49" s="30">
        <f>IF(ISERROR(Tabla1[[#This Row],[COSTO DIRECTO (CD)]]/Tabla1[[#Totals],[COSTO DIRECTO (CD)]])=TRUE," ",Tabla1[[#This Row],[COSTO DIRECTO (CD)]]/Tabla1[[#Totals],[COSTO DIRECTO (CD)]])</f>
        <v>0</v>
      </c>
      <c r="V49" s="22">
        <f>IF((ISERROR(Tabla1[[#This Row],[PRECIO FINAL]]/Tabla1[[#This Row],[CANTIDAD]]))=TRUE,0,Tabla1[[#This Row],[PRECIO FINAL]]/Tabla1[[#This Row],[CANTIDAD]])</f>
        <v>0</v>
      </c>
      <c r="W49" s="31">
        <f>IF($Q$5="SI",$U$60*Tabla1[[#This Row],[Incidencia ]],Tabla1[[#Totals],[COSTO DIRECTO (CD)]]*Tabla1[[#This Row],[Incidencia ]])</f>
        <v>0</v>
      </c>
    </row>
    <row r="50" spans="1:23" x14ac:dyDescent="0.3">
      <c r="A50" s="4" t="s">
        <v>54</v>
      </c>
      <c r="B50" t="s">
        <v>39</v>
      </c>
      <c r="C50">
        <v>42</v>
      </c>
      <c r="D50" s="4" t="s">
        <v>101</v>
      </c>
      <c r="E50" t="s">
        <v>47</v>
      </c>
      <c r="F50" s="5" t="s">
        <v>10</v>
      </c>
      <c r="G50" s="1">
        <v>85.1058866420329</v>
      </c>
      <c r="H50" s="1">
        <v>105.26903332116166</v>
      </c>
      <c r="I50" s="1">
        <v>5.3820301461947819</v>
      </c>
      <c r="J50" s="1">
        <v>99.271777549987092</v>
      </c>
      <c r="K50" s="1"/>
      <c r="L50" s="1"/>
      <c r="M50" s="1"/>
      <c r="N50" s="6"/>
      <c r="O50" s="1"/>
      <c r="P50" s="23">
        <f>(IF($Q$2="Materiales y Mano de Obra",Tabla1[[#This Row],[MATERIALES]]*(IF($Q$4="NO",1.21,1)),"-"))</f>
        <v>85.1058866420329</v>
      </c>
      <c r="Q50" s="22">
        <f>(Tabla1[[#This Row],[OBREROS]]+IF($Q$3="SI",1,0)*Tabla1[[#This Row],[CARGAS SOCIALES]])+Tabla1[[#This Row],[HERRAMENTAL]]</f>
        <v>209.92284101734353</v>
      </c>
      <c r="R50" s="22">
        <f>IF($Q$2="Materiales y Mano de Obra",Tabla1[[#This Row],[RECURSOS MATERIALES]]+Tabla1[[#This Row],[MANO DE OBRA]],Tabla1[[#This Row],[MANO DE OBRA]])</f>
        <v>295.02872765937644</v>
      </c>
      <c r="S50" s="14"/>
      <c r="T50" s="22">
        <f>Tabla1[[#This Row],[COSTO UNITARIO]]*Tabla1[[#This Row],[CANTIDAD]]</f>
        <v>0</v>
      </c>
      <c r="U50" s="30">
        <f>IF(ISERROR(Tabla1[[#This Row],[COSTO DIRECTO (CD)]]/Tabla1[[#Totals],[COSTO DIRECTO (CD)]])=TRUE," ",Tabla1[[#This Row],[COSTO DIRECTO (CD)]]/Tabla1[[#Totals],[COSTO DIRECTO (CD)]])</f>
        <v>0</v>
      </c>
      <c r="V50" s="22">
        <f>IF((ISERROR(Tabla1[[#This Row],[PRECIO FINAL]]/Tabla1[[#This Row],[CANTIDAD]]))=TRUE,0,Tabla1[[#This Row],[PRECIO FINAL]]/Tabla1[[#This Row],[CANTIDAD]])</f>
        <v>0</v>
      </c>
      <c r="W50" s="31">
        <f>IF($Q$5="SI",$U$60*Tabla1[[#This Row],[Incidencia ]],Tabla1[[#Totals],[COSTO DIRECTO (CD)]]*Tabla1[[#This Row],[Incidencia ]])</f>
        <v>0</v>
      </c>
    </row>
    <row r="51" spans="1:23" ht="15" thickBot="1" x14ac:dyDescent="0.35">
      <c r="A51" s="4" t="s">
        <v>54</v>
      </c>
      <c r="B51" t="s">
        <v>39</v>
      </c>
      <c r="C51">
        <v>43</v>
      </c>
      <c r="D51" s="4" t="s">
        <v>102</v>
      </c>
      <c r="E51" t="s">
        <v>48</v>
      </c>
      <c r="F51" s="5" t="s">
        <v>10</v>
      </c>
      <c r="G51" s="1">
        <v>66.072506642032891</v>
      </c>
      <c r="H51" s="1">
        <v>105.26903332116166</v>
      </c>
      <c r="I51" s="1">
        <v>5.3820301461947819</v>
      </c>
      <c r="J51" s="1">
        <v>99.271777549987092</v>
      </c>
      <c r="K51" s="1"/>
      <c r="L51" s="1"/>
      <c r="M51" s="1"/>
      <c r="N51" s="6"/>
      <c r="O51" s="1"/>
      <c r="P51" s="23">
        <f>(IF($Q$2="Materiales y Mano de Obra",Tabla1[[#This Row],[MATERIALES]]*(IF($Q$4="NO",1.21,1)),"-"))</f>
        <v>66.072506642032891</v>
      </c>
      <c r="Q51" s="22">
        <f>(Tabla1[[#This Row],[OBREROS]]+IF($Q$3="SI",1,0)*Tabla1[[#This Row],[CARGAS SOCIALES]])+Tabla1[[#This Row],[HERRAMENTAL]]</f>
        <v>209.92284101734353</v>
      </c>
      <c r="R51" s="22">
        <f>IF($Q$2="Materiales y Mano de Obra",Tabla1[[#This Row],[RECURSOS MATERIALES]]+Tabla1[[#This Row],[MANO DE OBRA]],Tabla1[[#This Row],[MANO DE OBRA]])</f>
        <v>275.99534765937642</v>
      </c>
      <c r="S51" s="14"/>
      <c r="T51" s="22">
        <f>Tabla1[[#This Row],[COSTO UNITARIO]]*Tabla1[[#This Row],[CANTIDAD]]</f>
        <v>0</v>
      </c>
      <c r="U51" s="30">
        <f>IF(ISERROR(Tabla1[[#This Row],[COSTO DIRECTO (CD)]]/Tabla1[[#Totals],[COSTO DIRECTO (CD)]])=TRUE," ",Tabla1[[#This Row],[COSTO DIRECTO (CD)]]/Tabla1[[#Totals],[COSTO DIRECTO (CD)]])</f>
        <v>0</v>
      </c>
      <c r="V51" s="22">
        <f>IF((ISERROR(Tabla1[[#This Row],[PRECIO FINAL]]/Tabla1[[#This Row],[CANTIDAD]]))=TRUE,0,Tabla1[[#This Row],[PRECIO FINAL]]/Tabla1[[#This Row],[CANTIDAD]])</f>
        <v>0</v>
      </c>
      <c r="W51" s="31">
        <f>IF($Q$5="SI",$U$60*Tabla1[[#This Row],[Incidencia ]],Tabla1[[#Totals],[COSTO DIRECTO (CD)]]*Tabla1[[#This Row],[Incidencia ]])</f>
        <v>0</v>
      </c>
    </row>
    <row r="52" spans="1:23" ht="15" thickBot="1" x14ac:dyDescent="0.35">
      <c r="A52" s="42"/>
      <c r="B52" s="43"/>
      <c r="D52" s="44"/>
      <c r="E52" s="43"/>
      <c r="F52" s="45"/>
      <c r="G52" s="44"/>
      <c r="H52" s="44"/>
      <c r="I52" s="44"/>
      <c r="J52" s="44"/>
      <c r="K52" s="44"/>
      <c r="L52" s="44"/>
      <c r="M52" s="44"/>
      <c r="N52" s="44"/>
      <c r="O52" s="44"/>
      <c r="P52" s="42"/>
      <c r="Q52" s="44"/>
      <c r="R52" s="44"/>
      <c r="S52" s="46"/>
      <c r="T52" s="47">
        <f>SUM(Tabla1[COSTO DIRECTO (CD)])</f>
        <v>115417.27538611996</v>
      </c>
      <c r="U52" s="48">
        <f>SUBTOTAL(109,Tabla1[[Incidencia ]])</f>
        <v>1</v>
      </c>
      <c r="V52" s="48"/>
      <c r="W52" s="49">
        <f>SUBTOTAL(109,Tabla1[PRECIO FINAL])</f>
        <v>182004.90321720514</v>
      </c>
    </row>
    <row r="53" spans="1:23" x14ac:dyDescent="0.3">
      <c r="D53" s="2"/>
      <c r="G53" s="2"/>
      <c r="H53" s="2"/>
      <c r="I53" s="2"/>
      <c r="J53" s="2"/>
      <c r="L53" s="2"/>
      <c r="M53" s="2"/>
      <c r="N53" s="2"/>
      <c r="O53" s="2"/>
      <c r="P53" s="33"/>
      <c r="Q53" s="33"/>
      <c r="R53" s="33"/>
      <c r="S53" s="34"/>
      <c r="T53" s="22"/>
      <c r="U53" s="30"/>
      <c r="V53" s="30"/>
      <c r="W53" s="31"/>
    </row>
    <row r="54" spans="1:23" x14ac:dyDescent="0.3">
      <c r="G54" s="1"/>
      <c r="H54" s="1"/>
      <c r="J54" s="1"/>
      <c r="Q54" s="55" t="s">
        <v>139</v>
      </c>
      <c r="R54" s="55"/>
      <c r="S54" s="55"/>
      <c r="T54" s="55"/>
      <c r="U54" s="55"/>
      <c r="V54" s="35"/>
    </row>
    <row r="55" spans="1:23" x14ac:dyDescent="0.3">
      <c r="Q55" s="51" t="s">
        <v>137</v>
      </c>
      <c r="R55" s="51"/>
      <c r="S55" s="51"/>
      <c r="T55" s="18">
        <f>U55/Tabla1[[#Totals],[COSTO DIRECTO (CD)]]</f>
        <v>4.3321071159173268E-2</v>
      </c>
      <c r="U55" s="17">
        <v>5000</v>
      </c>
      <c r="V55" s="36"/>
    </row>
    <row r="56" spans="1:23" x14ac:dyDescent="0.3">
      <c r="Q56" s="51" t="s">
        <v>136</v>
      </c>
      <c r="R56" s="51"/>
      <c r="S56" s="51"/>
      <c r="T56" s="18">
        <f>U56/(U55+Tabla1[[#Totals],[COSTO DIRECTO (CD)]])</f>
        <v>8.3044562899590918E-2</v>
      </c>
      <c r="U56" s="17">
        <v>10000</v>
      </c>
      <c r="V56" s="36"/>
    </row>
    <row r="57" spans="1:23" x14ac:dyDescent="0.3">
      <c r="Q57" s="51" t="s">
        <v>129</v>
      </c>
      <c r="R57" s="51"/>
      <c r="S57" s="51"/>
      <c r="T57" s="18">
        <f>$U$57/($U$56+$U$55+Tabla1[[#Totals],[COSTO DIRECTO (CD)]])</f>
        <v>0.1533539168088506</v>
      </c>
      <c r="U57" s="17">
        <v>20000</v>
      </c>
      <c r="V57" s="36"/>
    </row>
    <row r="58" spans="1:23" x14ac:dyDescent="0.3">
      <c r="Q58" s="28" t="s">
        <v>132</v>
      </c>
      <c r="R58" s="28"/>
      <c r="S58" s="28"/>
      <c r="T58" s="28"/>
      <c r="U58" s="29">
        <f>Tabla1[[#Totals],[COSTO DIRECTO (CD)]]+U55+U56+U57</f>
        <v>150417.27538611996</v>
      </c>
      <c r="V58" s="37"/>
    </row>
    <row r="59" spans="1:23" x14ac:dyDescent="0.3">
      <c r="Q59" s="51" t="s">
        <v>124</v>
      </c>
      <c r="R59" s="51"/>
      <c r="S59" s="51"/>
      <c r="T59" s="18">
        <f>IF($Q$4="SI",0.21,0)</f>
        <v>0.21</v>
      </c>
      <c r="U59" s="19">
        <f>(U58)*T59</f>
        <v>31587.627831085192</v>
      </c>
      <c r="V59" s="38"/>
    </row>
    <row r="60" spans="1:23" x14ac:dyDescent="0.3">
      <c r="Q60" s="56" t="s">
        <v>134</v>
      </c>
      <c r="R60" s="56"/>
      <c r="S60" s="56"/>
      <c r="T60" s="26">
        <f>U60/Tabla1[[#Totals],[COSTO DIRECTO (CD)]]</f>
        <v>1.5769294727181975</v>
      </c>
      <c r="U60" s="27">
        <f>Tabla1[[#Totals],[COSTO DIRECTO (CD)]]+U55+U56+U57+U59</f>
        <v>182004.90321720514</v>
      </c>
      <c r="V60" s="39"/>
    </row>
    <row r="61" spans="1:23" x14ac:dyDescent="0.3">
      <c r="V61" s="40"/>
    </row>
    <row r="62" spans="1:23" x14ac:dyDescent="0.3">
      <c r="V62" s="36"/>
    </row>
    <row r="63" spans="1:23" x14ac:dyDescent="0.3">
      <c r="Q63" s="51" t="s">
        <v>127</v>
      </c>
      <c r="R63" s="51"/>
      <c r="S63" s="51"/>
      <c r="T63" s="20"/>
      <c r="U63" s="16">
        <v>6</v>
      </c>
      <c r="V63" s="41"/>
    </row>
    <row r="64" spans="1:23" x14ac:dyDescent="0.3">
      <c r="Q64" s="51" t="s">
        <v>128</v>
      </c>
      <c r="R64" s="51"/>
      <c r="S64" s="51"/>
      <c r="T64" s="20"/>
      <c r="U64" s="21">
        <f>U60/U63</f>
        <v>30334.150536200857</v>
      </c>
      <c r="V64" s="41"/>
    </row>
    <row r="65" spans="17:22" x14ac:dyDescent="0.3">
      <c r="V65" s="41"/>
    </row>
    <row r="66" spans="17:22" x14ac:dyDescent="0.3">
      <c r="Q66" s="50" t="s">
        <v>144</v>
      </c>
      <c r="R66" s="50"/>
      <c r="S66" s="50"/>
      <c r="T66" s="50"/>
      <c r="U66" s="50"/>
      <c r="V66" s="41"/>
    </row>
    <row r="67" spans="17:22" x14ac:dyDescent="0.3">
      <c r="Q67" s="50"/>
      <c r="R67" s="50"/>
      <c r="S67" s="50"/>
      <c r="T67" s="50"/>
      <c r="U67" s="50"/>
    </row>
    <row r="68" spans="17:22" x14ac:dyDescent="0.3">
      <c r="Q68" s="50"/>
      <c r="R68" s="50"/>
      <c r="S68" s="50"/>
      <c r="T68" s="50"/>
      <c r="U68" s="50"/>
    </row>
  </sheetData>
  <mergeCells count="12">
    <mergeCell ref="S2:W5"/>
    <mergeCell ref="Q54:U54"/>
    <mergeCell ref="Q63:S63"/>
    <mergeCell ref="Q64:S64"/>
    <mergeCell ref="Q60:S60"/>
    <mergeCell ref="Q59:S59"/>
    <mergeCell ref="Q57:S57"/>
    <mergeCell ref="Q66:U68"/>
    <mergeCell ref="Q56:S56"/>
    <mergeCell ref="Q55:S55"/>
    <mergeCell ref="L7:O7"/>
    <mergeCell ref="A7:J7"/>
  </mergeCells>
  <phoneticPr fontId="4" type="noConversion"/>
  <pageMargins left="0.7" right="0.7" top="0.75" bottom="0.75" header="0.3" footer="0.3"/>
  <pageSetup paperSize="9"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6B4F6A97-CDFC-4C6D-B687-64A48DBD9994}">
          <x14:formula1>
            <xm:f>Datos!$A$1:$A$2</xm:f>
          </x14:formula1>
          <xm:sqref>Q2</xm:sqref>
        </x14:dataValidation>
        <x14:dataValidation type="list" allowBlank="1" showInputMessage="1" showErrorMessage="1" xr:uid="{C19A139C-7FD3-4175-8FEF-920D564D3F65}">
          <x14:formula1>
            <xm:f>Datos!$A$4:$A$5</xm:f>
          </x14:formula1>
          <xm:sqref>Q3:Q5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612F9-9A1C-495D-ABD5-424C4104AF68}">
  <dimension ref="B1:C3"/>
  <sheetViews>
    <sheetView workbookViewId="0"/>
  </sheetViews>
  <sheetFormatPr baseColWidth="10" defaultRowHeight="14.4" x14ac:dyDescent="0.3"/>
  <sheetData>
    <row r="1" spans="2:3" x14ac:dyDescent="0.3">
      <c r="B1" t="s">
        <v>145</v>
      </c>
      <c r="C1" t="s">
        <v>146</v>
      </c>
    </row>
    <row r="2" spans="2:3" x14ac:dyDescent="0.3">
      <c r="B2" t="s">
        <v>147</v>
      </c>
      <c r="C2" t="s">
        <v>148</v>
      </c>
    </row>
    <row r="3" spans="2:3" x14ac:dyDescent="0.3">
      <c r="B3" t="s">
        <v>149</v>
      </c>
      <c r="C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3248-C7F1-479F-9E85-4D14DE582B59}">
  <dimension ref="A1:G2"/>
  <sheetViews>
    <sheetView workbookViewId="0">
      <selection activeCell="G1" sqref="G1"/>
    </sheetView>
  </sheetViews>
  <sheetFormatPr baseColWidth="10" defaultRowHeight="14.4" x14ac:dyDescent="0.3"/>
  <sheetData>
    <row r="1" spans="1:7" x14ac:dyDescent="0.3">
      <c r="A1" t="s">
        <v>145</v>
      </c>
      <c r="B1" t="s">
        <v>151</v>
      </c>
      <c r="G1" t="s">
        <v>152</v>
      </c>
    </row>
    <row r="2" spans="1:7" x14ac:dyDescent="0.3">
      <c r="G2" t="s">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E4D5D-8E7C-4012-A7D2-E76410E50488}">
  <dimension ref="A1:A5"/>
  <sheetViews>
    <sheetView workbookViewId="0">
      <selection activeCell="A5" sqref="A5"/>
    </sheetView>
  </sheetViews>
  <sheetFormatPr baseColWidth="10" defaultColWidth="10.77734375" defaultRowHeight="14.4" x14ac:dyDescent="0.3"/>
  <cols>
    <col min="1" max="1" width="23.21875" bestFit="1" customWidth="1"/>
  </cols>
  <sheetData>
    <row r="1" spans="1:1" x14ac:dyDescent="0.3">
      <c r="A1" t="s">
        <v>120</v>
      </c>
    </row>
    <row r="2" spans="1:1" x14ac:dyDescent="0.3">
      <c r="A2" t="s">
        <v>119</v>
      </c>
    </row>
    <row r="4" spans="1:1" x14ac:dyDescent="0.3">
      <c r="A4" t="s">
        <v>121</v>
      </c>
    </row>
    <row r="5" spans="1:1" x14ac:dyDescent="0.3">
      <c r="A5"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CSAPU</vt:lpstr>
      <vt:lpstr>Hoja1</vt:lpstr>
      <vt:lpstr>Hoja2</vt:lpstr>
      <vt:lpstr>Datos</vt:lpstr>
      <vt:lpstr>COSTOI</vt:lpstr>
      <vt:lpstr>COSTOIVA</vt:lpstr>
      <vt:lpstr>IVAOBRA</vt:lpstr>
      <vt:lpstr>Logística</vt:lpstr>
      <vt:lpstr>MARGENC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Lazcano</dc:creator>
  <cp:lastModifiedBy>nicol</cp:lastModifiedBy>
  <dcterms:created xsi:type="dcterms:W3CDTF">2021-08-10T17:51:55Z</dcterms:created>
  <dcterms:modified xsi:type="dcterms:W3CDTF">2021-08-20T20:31:22Z</dcterms:modified>
</cp:coreProperties>
</file>