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aGabriela\Desktop\Protokolle\101\"/>
    </mc:Choice>
  </mc:AlternateContent>
  <bookViews>
    <workbookView xWindow="0" yWindow="0" windowWidth="24000" windowHeight="9510" xr2:uid="{AC6AFFD1-43D1-4380-86F9-68DC3756EDD4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M14" i="1"/>
  <c r="N14" i="1"/>
  <c r="R25" i="1"/>
  <c r="R19" i="1"/>
  <c r="Q14" i="1"/>
  <c r="I31" i="1"/>
  <c r="R8" i="1" l="1"/>
  <c r="R7" i="1"/>
  <c r="R5" i="1"/>
  <c r="R4" i="1"/>
  <c r="J22" i="1"/>
  <c r="J12" i="1"/>
  <c r="I12" i="1"/>
  <c r="E17" i="1" l="1"/>
  <c r="E30" i="1"/>
  <c r="E29" i="1"/>
  <c r="B30" i="1"/>
  <c r="B29" i="1"/>
  <c r="P12" i="1"/>
  <c r="M12" i="1"/>
  <c r="P11" i="1"/>
  <c r="M11" i="1"/>
  <c r="J20" i="1"/>
  <c r="I20" i="1"/>
  <c r="I17" i="1"/>
  <c r="I15" i="1"/>
  <c r="I16" i="1"/>
  <c r="P14" i="1" l="1"/>
  <c r="J11" i="1"/>
  <c r="I11" i="1"/>
  <c r="E18" i="1"/>
  <c r="E16" i="1"/>
  <c r="E10" i="1"/>
  <c r="E5" i="1"/>
  <c r="E6" i="1"/>
  <c r="E7" i="1"/>
  <c r="E8" i="1"/>
  <c r="E9" i="1"/>
  <c r="E11" i="1"/>
  <c r="E12" i="1"/>
  <c r="E13" i="1"/>
  <c r="E14" i="1"/>
  <c r="E4" i="1"/>
  <c r="D5" i="1"/>
  <c r="D6" i="1"/>
  <c r="D7" i="1"/>
  <c r="D8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<sst xmlns="http://schemas.openxmlformats.org/spreadsheetml/2006/main" count="58" uniqueCount="40">
  <si>
    <t>F in N</t>
  </si>
  <si>
    <t>phi in Grad</t>
  </si>
  <si>
    <t>phi in rad</t>
  </si>
  <si>
    <t>D in Nm</t>
  </si>
  <si>
    <t>r</t>
  </si>
  <si>
    <t>Mittelwert</t>
  </si>
  <si>
    <t>Ungenauigkeit</t>
  </si>
  <si>
    <t>Prozent</t>
  </si>
  <si>
    <t>Dynamische</t>
  </si>
  <si>
    <t>Fit</t>
  </si>
  <si>
    <t>M</t>
  </si>
  <si>
    <t>Fehler</t>
  </si>
  <si>
    <t>D_dyn</t>
  </si>
  <si>
    <t>m</t>
  </si>
  <si>
    <t>g</t>
  </si>
  <si>
    <t>b</t>
  </si>
  <si>
    <t>I_dyn</t>
  </si>
  <si>
    <t>Drillachse</t>
  </si>
  <si>
    <t>I_D</t>
  </si>
  <si>
    <t>Zylinder</t>
  </si>
  <si>
    <t>I_Zyl</t>
  </si>
  <si>
    <t>h</t>
  </si>
  <si>
    <t>T in s</t>
  </si>
  <si>
    <t>Mittel</t>
  </si>
  <si>
    <t>Ungen</t>
  </si>
  <si>
    <t>Kugel</t>
  </si>
  <si>
    <t>I</t>
  </si>
  <si>
    <t>Puppe 1</t>
  </si>
  <si>
    <t>Puppe 2</t>
  </si>
  <si>
    <t>Ung</t>
  </si>
  <si>
    <t>Zylinder theo</t>
  </si>
  <si>
    <t>Zylinder exp</t>
  </si>
  <si>
    <t>kg</t>
  </si>
  <si>
    <t>R</t>
  </si>
  <si>
    <t>H</t>
  </si>
  <si>
    <t>Masse</t>
  </si>
  <si>
    <t>Radius</t>
  </si>
  <si>
    <t>Trägheitsmom</t>
  </si>
  <si>
    <t>Träg</t>
  </si>
  <si>
    <t>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</si>
</sst>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00"/>
    <numFmt numFmtId="166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F31C-69F9-4503-B7E2-5C17F8BB233C}">
  <dimension ref="A1:R31"/>
  <sheetViews>
    <sheetView tabSelected="1" topLeftCell="A7" workbookViewId="0">
      <selection activeCell="M32" sqref="M32"/>
    </sheetView>
  </sheetViews>
  <sheetFormatPr baseColWidth="10" defaultRowHeight="15" x14ac:dyDescent="0.25"/>
  <cols>
    <col min="4" max="4" width="13.85546875" bestFit="1" customWidth="1"/>
    <col min="5" max="5" width="12.5703125" bestFit="1" customWidth="1"/>
    <col min="9" max="9" width="14.7109375" bestFit="1" customWidth="1"/>
    <col min="13" max="13" width="12" bestFit="1" customWidth="1"/>
  </cols>
  <sheetData>
    <row r="1" spans="2:18" x14ac:dyDescent="0.25">
      <c r="H1" t="s">
        <v>8</v>
      </c>
      <c r="M1" t="s">
        <v>19</v>
      </c>
      <c r="P1" t="s">
        <v>25</v>
      </c>
    </row>
    <row r="2" spans="2:18" x14ac:dyDescent="0.25">
      <c r="B2" t="s">
        <v>4</v>
      </c>
      <c r="C2">
        <v>0.19400000000000001</v>
      </c>
    </row>
    <row r="3" spans="2:18" x14ac:dyDescent="0.25">
      <c r="B3" t="s">
        <v>0</v>
      </c>
      <c r="C3" t="s">
        <v>1</v>
      </c>
      <c r="D3" t="s">
        <v>2</v>
      </c>
      <c r="E3" t="s">
        <v>3</v>
      </c>
      <c r="H3" t="s">
        <v>10</v>
      </c>
      <c r="I3">
        <v>221.8</v>
      </c>
      <c r="J3" t="s">
        <v>14</v>
      </c>
      <c r="M3" t="s">
        <v>22</v>
      </c>
      <c r="P3" t="s">
        <v>22</v>
      </c>
    </row>
    <row r="4" spans="2:18" x14ac:dyDescent="0.25">
      <c r="B4">
        <v>0.4</v>
      </c>
      <c r="C4">
        <v>200</v>
      </c>
      <c r="D4">
        <f>RADIANS(C4)</f>
        <v>3.4906585039886591</v>
      </c>
      <c r="E4">
        <f>B4*$C$2/D4</f>
        <v>2.2230762451075942E-2</v>
      </c>
      <c r="M4">
        <v>0.5</v>
      </c>
      <c r="P4">
        <v>0.6</v>
      </c>
      <c r="R4">
        <f>STDEV(P4:P9)</f>
        <v>6.6458006791256477E-2</v>
      </c>
    </row>
    <row r="5" spans="2:18" x14ac:dyDescent="0.25">
      <c r="B5">
        <v>0.42</v>
      </c>
      <c r="C5">
        <v>210</v>
      </c>
      <c r="D5">
        <f t="shared" ref="D5:D14" si="0">RADIANS(C5)</f>
        <v>3.6651914291880923</v>
      </c>
      <c r="E5">
        <f t="shared" ref="E5:E14" si="1">B5*$C$2/D5</f>
        <v>2.2230762451075938E-2</v>
      </c>
      <c r="M5">
        <v>0.36</v>
      </c>
      <c r="P5">
        <v>0.66</v>
      </c>
      <c r="R5">
        <f>R4/SQRT(6)</f>
        <v>2.7131367660166258E-2</v>
      </c>
    </row>
    <row r="6" spans="2:18" x14ac:dyDescent="0.25">
      <c r="B6">
        <v>0.44</v>
      </c>
      <c r="C6">
        <v>230</v>
      </c>
      <c r="D6">
        <f t="shared" si="0"/>
        <v>4.0142572795869578</v>
      </c>
      <c r="E6">
        <f t="shared" si="1"/>
        <v>2.1264207561898729E-2</v>
      </c>
      <c r="H6" t="s">
        <v>9</v>
      </c>
      <c r="J6" t="s">
        <v>11</v>
      </c>
      <c r="M6">
        <v>0.32</v>
      </c>
      <c r="P6">
        <v>0.55000000000000004</v>
      </c>
    </row>
    <row r="7" spans="2:18" x14ac:dyDescent="0.25">
      <c r="B7">
        <v>0.59</v>
      </c>
      <c r="C7">
        <v>250</v>
      </c>
      <c r="D7">
        <f t="shared" si="0"/>
        <v>4.3633231299858242</v>
      </c>
      <c r="E7">
        <f t="shared" si="1"/>
        <v>2.6232299692269607E-2</v>
      </c>
      <c r="H7" t="s">
        <v>13</v>
      </c>
      <c r="I7" s="2">
        <v>66.5259830185</v>
      </c>
      <c r="J7" s="3">
        <v>1.8736429244799999</v>
      </c>
      <c r="M7">
        <v>0.32</v>
      </c>
      <c r="P7">
        <v>0.56000000000000005</v>
      </c>
      <c r="R7">
        <f>STDEV(M4:M9)</f>
        <v>7.3756355658342945E-2</v>
      </c>
    </row>
    <row r="8" spans="2:18" x14ac:dyDescent="0.25">
      <c r="B8">
        <v>0.59</v>
      </c>
      <c r="C8">
        <v>260</v>
      </c>
      <c r="D8">
        <f t="shared" si="0"/>
        <v>4.5378560551852569</v>
      </c>
      <c r="E8">
        <f t="shared" si="1"/>
        <v>2.5223365088720778E-2</v>
      </c>
      <c r="H8" t="s">
        <v>15</v>
      </c>
      <c r="I8">
        <v>0.29803533066499999</v>
      </c>
      <c r="J8">
        <v>9.12542981181E-2</v>
      </c>
      <c r="M8">
        <v>0.31</v>
      </c>
      <c r="P8">
        <v>0.54</v>
      </c>
      <c r="R8">
        <f>R7/SQRT(6)</f>
        <v>3.0110906108363179E-2</v>
      </c>
    </row>
    <row r="9" spans="2:18" x14ac:dyDescent="0.25">
      <c r="B9">
        <v>0.61</v>
      </c>
      <c r="C9">
        <v>280</v>
      </c>
      <c r="D9">
        <f t="shared" si="0"/>
        <v>4.8869219055841224</v>
      </c>
      <c r="E9">
        <f t="shared" si="1"/>
        <v>2.4215651955636294E-2</v>
      </c>
      <c r="M9">
        <v>0.41</v>
      </c>
      <c r="P9">
        <v>0.46</v>
      </c>
    </row>
    <row r="10" spans="2:18" x14ac:dyDescent="0.25">
      <c r="B10">
        <v>0.65</v>
      </c>
      <c r="C10">
        <v>300</v>
      </c>
      <c r="D10">
        <f t="shared" si="0"/>
        <v>5.2359877559829888</v>
      </c>
      <c r="E10">
        <f>B10*$C$2/D10</f>
        <v>2.4083325988665603E-2</v>
      </c>
    </row>
    <row r="11" spans="2:18" x14ac:dyDescent="0.25">
      <c r="B11">
        <v>0.65</v>
      </c>
      <c r="C11">
        <v>320</v>
      </c>
      <c r="D11">
        <f t="shared" si="0"/>
        <v>5.5850536063818543</v>
      </c>
      <c r="E11">
        <f t="shared" si="1"/>
        <v>2.2578118114374008E-2</v>
      </c>
      <c r="H11" t="s">
        <v>12</v>
      </c>
      <c r="I11">
        <f>8*PI()^2*(I3/1000)/I7</f>
        <v>0.26324490454237898</v>
      </c>
      <c r="J11">
        <f>8*PI()^2*(I3/1000)*J7/(I7^2)</f>
        <v>7.4140498256761046E-3</v>
      </c>
      <c r="L11" t="s">
        <v>23</v>
      </c>
      <c r="M11">
        <f>AVERAGE(M4:M9)</f>
        <v>0.37000000000000005</v>
      </c>
      <c r="P11">
        <f>AVERAGE(P4:P9)</f>
        <v>0.56166666666666665</v>
      </c>
    </row>
    <row r="12" spans="2:18" x14ac:dyDescent="0.25">
      <c r="B12">
        <v>0.66</v>
      </c>
      <c r="C12">
        <v>340</v>
      </c>
      <c r="D12">
        <f t="shared" si="0"/>
        <v>5.9341194567807207</v>
      </c>
      <c r="E12">
        <f t="shared" si="1"/>
        <v>2.1576916496632532E-2</v>
      </c>
      <c r="H12" t="s">
        <v>16</v>
      </c>
      <c r="I12">
        <f>I8*I11/(4*PI()^2) - 2*I3*(I15^2/4 + I16^2/12)</f>
        <v>-6.4146045823226791E-2</v>
      </c>
      <c r="J12">
        <f>SQRT((I11/(4*PI()^2)*J8)^2+(I8/(4*PI()^2)*J11)^2)</f>
        <v>6.1105895377607661E-4</v>
      </c>
      <c r="L12" t="s">
        <v>24</v>
      </c>
      <c r="M12">
        <f>_xlfn.STDEV.P(M4:M9)/SQRT(6)</f>
        <v>2.7487370837450981E-2</v>
      </c>
      <c r="P12">
        <f>_xlfn.STDEV.P(P4:P9)/SQRT(6)</f>
        <v>2.4767436805731985E-2</v>
      </c>
    </row>
    <row r="13" spans="2:18" x14ac:dyDescent="0.25">
      <c r="B13">
        <v>0.66</v>
      </c>
      <c r="C13">
        <v>350</v>
      </c>
      <c r="D13">
        <f t="shared" si="0"/>
        <v>6.1086523819801535</v>
      </c>
      <c r="E13">
        <f t="shared" si="1"/>
        <v>2.0960433168157318E-2</v>
      </c>
    </row>
    <row r="14" spans="2:18" x14ac:dyDescent="0.25">
      <c r="B14">
        <v>0.66</v>
      </c>
      <c r="C14">
        <v>360</v>
      </c>
      <c r="D14">
        <f t="shared" si="0"/>
        <v>6.2831853071795862</v>
      </c>
      <c r="E14">
        <f t="shared" si="1"/>
        <v>2.0378198913486283E-2</v>
      </c>
      <c r="H14" t="s">
        <v>19</v>
      </c>
      <c r="L14" t="s">
        <v>26</v>
      </c>
      <c r="M14">
        <f>M11^2*$E$16/(4*PI()^2) -$I$20</f>
        <v>6.429129801531433E-2</v>
      </c>
      <c r="N14">
        <f>SQRT((M11^2/(4*PI()^2)*$E$17)^2 + (2*M11*$E$16/(4*PI()^2)*M12)^2 + (-$J$20)^2)</f>
        <v>6.1117487302813809E-4</v>
      </c>
      <c r="P14">
        <f>P11^2*$E$16/(4*PI()^2) -$I$20</f>
        <v>6.4394498926201846E-2</v>
      </c>
      <c r="Q14">
        <f>SQRT((P11^2/(4*PI()^2)*$E$17)^2 + (2*P11*$E$16/(4*PI()^2)*P12)^2 + (-$J$20)^2)</f>
        <v>6.1128562248813129E-4</v>
      </c>
    </row>
    <row r="15" spans="2:18" x14ac:dyDescent="0.25">
      <c r="H15" t="s">
        <v>4</v>
      </c>
      <c r="I15">
        <f>3.5/(100*2)</f>
        <v>1.7500000000000002E-2</v>
      </c>
    </row>
    <row r="16" spans="2:18" x14ac:dyDescent="0.25">
      <c r="D16" t="s">
        <v>5</v>
      </c>
      <c r="E16" s="1">
        <f>AVERAGE(E4:E14)</f>
        <v>2.2815821989272098E-2</v>
      </c>
      <c r="H16" t="s">
        <v>21</v>
      </c>
      <c r="I16">
        <f>2.95/100</f>
        <v>2.9500000000000002E-2</v>
      </c>
      <c r="P16" t="s">
        <v>25</v>
      </c>
    </row>
    <row r="17" spans="1:18" x14ac:dyDescent="0.25">
      <c r="D17" t="s">
        <v>6</v>
      </c>
      <c r="E17" s="1">
        <f>_xlfn.STDEV.P(E4:E14)/SQRT(11)</f>
        <v>5.3861342138059726E-4</v>
      </c>
      <c r="H17" t="s">
        <v>20</v>
      </c>
      <c r="I17">
        <f>I3/1000 * ((I15^2)/4 + (I16^2)/12)</f>
        <v>3.3066683333333343E-5</v>
      </c>
      <c r="P17" t="s">
        <v>35</v>
      </c>
      <c r="Q17">
        <v>0.81240000000000001</v>
      </c>
      <c r="R17" t="s">
        <v>32</v>
      </c>
    </row>
    <row r="18" spans="1:18" x14ac:dyDescent="0.25">
      <c r="D18" t="s">
        <v>7</v>
      </c>
      <c r="E18">
        <f>E17/E16*100</f>
        <v>2.3607013660689105</v>
      </c>
      <c r="P18" t="s">
        <v>36</v>
      </c>
      <c r="Q18">
        <v>6.3500000000000001E-2</v>
      </c>
      <c r="R18" t="s">
        <v>13</v>
      </c>
    </row>
    <row r="19" spans="1:18" x14ac:dyDescent="0.25">
      <c r="H19" t="s">
        <v>17</v>
      </c>
      <c r="P19" t="s">
        <v>37</v>
      </c>
      <c r="R19">
        <f>(2*Q17*Q18^2)/5</f>
        <v>1.31031996E-3</v>
      </c>
    </row>
    <row r="20" spans="1:18" x14ac:dyDescent="0.25">
      <c r="H20" t="s">
        <v>18</v>
      </c>
      <c r="I20">
        <f>I12-2*I17</f>
        <v>-6.4212179189893456E-2</v>
      </c>
      <c r="J20">
        <f>J12</f>
        <v>6.1105895377607661E-4</v>
      </c>
    </row>
    <row r="21" spans="1:18" x14ac:dyDescent="0.25">
      <c r="P21" t="s">
        <v>19</v>
      </c>
    </row>
    <row r="22" spans="1:18" x14ac:dyDescent="0.25">
      <c r="A22" t="s">
        <v>27</v>
      </c>
      <c r="B22" t="s">
        <v>22</v>
      </c>
      <c r="D22" t="s">
        <v>28</v>
      </c>
      <c r="E22" t="s">
        <v>22</v>
      </c>
      <c r="H22" t="s">
        <v>30</v>
      </c>
      <c r="J22">
        <f>I24*(I25^2/4+I26^2/12)</f>
        <v>4.8198830224999997E-4</v>
      </c>
      <c r="P22" t="s">
        <v>35</v>
      </c>
      <c r="Q22">
        <v>1.1193</v>
      </c>
      <c r="R22" t="s">
        <v>32</v>
      </c>
    </row>
    <row r="23" spans="1:18" x14ac:dyDescent="0.25">
      <c r="B23">
        <v>0.32</v>
      </c>
      <c r="E23">
        <v>0.27</v>
      </c>
      <c r="H23" t="s">
        <v>31</v>
      </c>
      <c r="P23" t="s">
        <v>36</v>
      </c>
      <c r="Q23">
        <v>3.7499999999999999E-2</v>
      </c>
      <c r="R23" t="s">
        <v>13</v>
      </c>
    </row>
    <row r="24" spans="1:18" x14ac:dyDescent="0.25">
      <c r="B24">
        <v>0.27</v>
      </c>
      <c r="E24">
        <v>0.27</v>
      </c>
      <c r="H24" t="s">
        <v>10</v>
      </c>
      <c r="I24">
        <v>1.1193</v>
      </c>
      <c r="J24" t="s">
        <v>32</v>
      </c>
      <c r="P24" t="s">
        <v>39</v>
      </c>
      <c r="Q24">
        <v>3.0800000000000001E-2</v>
      </c>
      <c r="R24" t="s">
        <v>13</v>
      </c>
    </row>
    <row r="25" spans="1:18" x14ac:dyDescent="0.25">
      <c r="B25">
        <v>0.18</v>
      </c>
      <c r="E25">
        <v>0.2</v>
      </c>
      <c r="H25" t="s">
        <v>33</v>
      </c>
      <c r="I25">
        <v>3.7499999999999999E-2</v>
      </c>
      <c r="P25" t="s">
        <v>38</v>
      </c>
      <c r="R25">
        <f>Q22*(Q23^2/4+Q24^2/12)</f>
        <v>4.8198830224999997E-4</v>
      </c>
    </row>
    <row r="26" spans="1:18" x14ac:dyDescent="0.25">
      <c r="B26">
        <v>0.23</v>
      </c>
      <c r="E26">
        <v>0.24</v>
      </c>
      <c r="H26" t="s">
        <v>34</v>
      </c>
      <c r="I26">
        <v>3.0800000000000001E-2</v>
      </c>
    </row>
    <row r="27" spans="1:18" x14ac:dyDescent="0.25">
      <c r="B27">
        <v>0.23</v>
      </c>
      <c r="E27">
        <v>0.27</v>
      </c>
    </row>
    <row r="29" spans="1:18" x14ac:dyDescent="0.25">
      <c r="A29" t="s">
        <v>23</v>
      </c>
      <c r="B29">
        <f>AVERAGE(B23:B27)</f>
        <v>0.246</v>
      </c>
      <c r="D29" t="s">
        <v>23</v>
      </c>
      <c r="E29">
        <f>AVERAGE(E23:E27)</f>
        <v>0.25</v>
      </c>
    </row>
    <row r="30" spans="1:18" x14ac:dyDescent="0.25">
      <c r="A30" t="s">
        <v>24</v>
      </c>
      <c r="B30">
        <f>_xlfn.STDEV.P(B23:B27)/SQRT(5)</f>
        <v>2.0899760764181007E-2</v>
      </c>
      <c r="D30" t="s">
        <v>29</v>
      </c>
      <c r="E30">
        <f>_xlfn.STDEV.P(E23:E27)/SQRT(5)</f>
        <v>1.2328828005937995E-2</v>
      </c>
      <c r="I30">
        <f>B29^2*E16/(4*PI()^2)-I12</f>
        <v>6.418101992723825E-2</v>
      </c>
    </row>
    <row r="31" spans="1:18" x14ac:dyDescent="0.25">
      <c r="I31">
        <f>E29^2*E16/(4*PI()^2)-I20</f>
        <v>6.4248299910045423E-2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Gabriela Kallo</dc:creator>
  <cp:lastModifiedBy>Ramona Gabriela Kallo</cp:lastModifiedBy>
  <dcterms:created xsi:type="dcterms:W3CDTF">2017-11-08T18:22:49Z</dcterms:created>
  <dcterms:modified xsi:type="dcterms:W3CDTF">2017-11-18T22:06:33Z</dcterms:modified>
</cp:coreProperties>
</file>