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onaGabriela\Downloads\"/>
    </mc:Choice>
  </mc:AlternateContent>
  <bookViews>
    <workbookView xWindow="0" yWindow="0" windowWidth="24000" windowHeight="9510" xr2:uid="{00000000-000D-0000-FFFF-FFFF00000000}"/>
  </bookViews>
  <sheets>
    <sheet name="Tabelle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4" i="1" l="1"/>
  <c r="H45" i="1"/>
  <c r="H46" i="1"/>
  <c r="H47" i="1"/>
  <c r="H49" i="1"/>
  <c r="H43" i="1"/>
  <c r="G44" i="1"/>
  <c r="G45" i="1"/>
  <c r="G46" i="1"/>
  <c r="G47" i="1"/>
  <c r="G49" i="1"/>
  <c r="G43" i="1"/>
  <c r="C49" i="1"/>
  <c r="B49" i="1"/>
  <c r="C44" i="1"/>
  <c r="C45" i="1"/>
  <c r="C46" i="1"/>
  <c r="C43" i="1"/>
  <c r="B43" i="1"/>
  <c r="B45" i="1"/>
  <c r="B44" i="1"/>
  <c r="B46" i="1"/>
  <c r="H34" i="1"/>
  <c r="H33" i="1"/>
  <c r="C34" i="1"/>
  <c r="B34" i="1"/>
  <c r="B2" i="1"/>
  <c r="R16" i="1" l="1"/>
  <c r="R15" i="1"/>
  <c r="M20" i="1"/>
  <c r="H31" i="1" s="1"/>
  <c r="M19" i="1"/>
  <c r="G31" i="1" s="1"/>
  <c r="L19" i="1"/>
  <c r="L23" i="1" s="1"/>
  <c r="H16" i="1"/>
  <c r="H15" i="1"/>
  <c r="G15" i="1"/>
  <c r="G18" i="1" s="1"/>
  <c r="C16" i="1"/>
  <c r="C15" i="1"/>
  <c r="B19" i="1" s="1"/>
  <c r="B15" i="1"/>
  <c r="B29" i="1" s="1"/>
  <c r="G19" i="1" l="1"/>
  <c r="B3" i="1" s="1"/>
  <c r="Q19" i="1"/>
  <c r="Q18" i="1"/>
  <c r="C29" i="1"/>
  <c r="C30" i="1"/>
  <c r="H29" i="1"/>
  <c r="H30" i="1"/>
  <c r="B30" i="1"/>
  <c r="G29" i="1"/>
  <c r="G30" i="1"/>
  <c r="B18" i="1"/>
  <c r="L22" i="1"/>
  <c r="Q21" i="1" l="1"/>
  <c r="B36" i="1" s="1"/>
  <c r="G37" i="1" s="1"/>
  <c r="Q22" i="1" l="1"/>
  <c r="C36" i="1" s="1"/>
  <c r="H37" i="1" s="1"/>
  <c r="L26" i="1"/>
  <c r="C35" i="1" s="1"/>
  <c r="H36" i="1" s="1"/>
  <c r="G21" i="1"/>
  <c r="G22" i="1"/>
  <c r="L25" i="1"/>
  <c r="B35" i="1" s="1"/>
  <c r="B21" i="1"/>
  <c r="B22" i="1"/>
  <c r="G35" i="1" l="1"/>
  <c r="G34" i="1"/>
  <c r="C33" i="1"/>
  <c r="H35" i="1"/>
  <c r="G36" i="1"/>
  <c r="G33" i="1"/>
  <c r="B33" i="1"/>
  <c r="B39" i="1" s="1"/>
  <c r="C39" i="1" l="1"/>
  <c r="G39" i="1"/>
  <c r="H39" i="1"/>
</calcChain>
</file>

<file path=xl/sharedStrings.xml><?xml version="1.0" encoding="utf-8"?>
<sst xmlns="http://schemas.openxmlformats.org/spreadsheetml/2006/main" count="72" uniqueCount="28">
  <si>
    <t>Arm</t>
  </si>
  <si>
    <t>Mittel</t>
  </si>
  <si>
    <t>Fehler</t>
  </si>
  <si>
    <t>Volumen</t>
  </si>
  <si>
    <t>Bein</t>
  </si>
  <si>
    <t>Höhe h</t>
  </si>
  <si>
    <t>Dicke d</t>
  </si>
  <si>
    <t>Rumpf</t>
  </si>
  <si>
    <t>Kopf</t>
  </si>
  <si>
    <t>Gesamtmasse</t>
  </si>
  <si>
    <t>Masse</t>
  </si>
  <si>
    <t>GesVolumen</t>
  </si>
  <si>
    <t>Alles in g und cm</t>
  </si>
  <si>
    <t>Position 1</t>
  </si>
  <si>
    <t>a Arme</t>
  </si>
  <si>
    <t>a Beine</t>
  </si>
  <si>
    <t>Position 2</t>
  </si>
  <si>
    <t>I Bein</t>
  </si>
  <si>
    <t>I Arm</t>
  </si>
  <si>
    <t>I Rumpf</t>
  </si>
  <si>
    <t>I Kopf</t>
  </si>
  <si>
    <t>a Oberarm</t>
  </si>
  <si>
    <t>a Unterarm</t>
  </si>
  <si>
    <t>a Bein</t>
  </si>
  <si>
    <t>I Gesamt</t>
  </si>
  <si>
    <t>I Oberarm</t>
  </si>
  <si>
    <t>I Unterarm</t>
  </si>
  <si>
    <t>In kg m^2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</si>
</sst>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7" borderId="0" xfId="0" applyFont="1" applyFill="1"/>
    <xf numFmtId="0" fontId="0" fillId="7" borderId="0" xfId="0" applyFill="1"/>
    <xf numFmtId="0" fontId="0" fillId="6" borderId="0" xfId="0" applyFill="1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9"/>
  <sheetViews>
    <sheetView tabSelected="1" topLeftCell="A24" workbookViewId="0">
      <selection activeCell="G49" sqref="G49"/>
    </sheetView>
  </sheetViews>
  <sheetFormatPr baseColWidth="10" defaultRowHeight="15" x14ac:dyDescent="0.25"/>
  <cols>
    <col min="1" max="1" width="13.28515625" bestFit="1" customWidth="1"/>
    <col min="2" max="3" width="12" bestFit="1" customWidth="1"/>
  </cols>
  <sheetData>
    <row r="1" spans="1:18" x14ac:dyDescent="0.25">
      <c r="A1" s="2" t="s">
        <v>9</v>
      </c>
      <c r="B1" s="2">
        <v>163.30000000000001</v>
      </c>
      <c r="F1" t="s">
        <v>12</v>
      </c>
    </row>
    <row r="2" spans="1:18" x14ac:dyDescent="0.25">
      <c r="A2" s="2" t="s">
        <v>11</v>
      </c>
      <c r="B2" s="2">
        <f>2*B18+2*G18+L22+Q18</f>
        <v>204.62683421033265</v>
      </c>
    </row>
    <row r="3" spans="1:18" x14ac:dyDescent="0.25">
      <c r="A3" s="2" t="s">
        <v>2</v>
      </c>
      <c r="B3" s="2">
        <f>SQRT((2*B19)^2+(2*G19)^2+L23^2+Q19^2)</f>
        <v>14.790184549475784</v>
      </c>
    </row>
    <row r="5" spans="1:18" x14ac:dyDescent="0.25">
      <c r="B5" s="5" t="s">
        <v>0</v>
      </c>
      <c r="G5" s="6" t="s">
        <v>4</v>
      </c>
      <c r="L5" s="6" t="s">
        <v>7</v>
      </c>
      <c r="Q5" s="6" t="s">
        <v>8</v>
      </c>
    </row>
    <row r="6" spans="1:18" x14ac:dyDescent="0.25">
      <c r="B6" t="s">
        <v>5</v>
      </c>
      <c r="C6" t="s">
        <v>6</v>
      </c>
      <c r="G6" t="s">
        <v>5</v>
      </c>
      <c r="H6" t="s">
        <v>6</v>
      </c>
      <c r="L6" t="s">
        <v>5</v>
      </c>
      <c r="M6" t="s">
        <v>6</v>
      </c>
      <c r="Q6" t="s">
        <v>5</v>
      </c>
      <c r="R6" t="s">
        <v>6</v>
      </c>
    </row>
    <row r="7" spans="1:18" x14ac:dyDescent="0.25">
      <c r="B7">
        <v>13.6</v>
      </c>
      <c r="C7">
        <v>1.6</v>
      </c>
      <c r="G7">
        <v>14.2</v>
      </c>
      <c r="H7">
        <v>2</v>
      </c>
      <c r="L7">
        <v>9.8000000000000007</v>
      </c>
      <c r="M7">
        <v>4.2</v>
      </c>
      <c r="Q7">
        <v>4.5</v>
      </c>
      <c r="R7">
        <v>3.1</v>
      </c>
    </row>
    <row r="8" spans="1:18" x14ac:dyDescent="0.25">
      <c r="B8">
        <v>13.6</v>
      </c>
      <c r="C8">
        <v>1.3</v>
      </c>
      <c r="G8">
        <v>14.2</v>
      </c>
      <c r="H8">
        <v>1.6</v>
      </c>
      <c r="L8">
        <v>9.8000000000000007</v>
      </c>
      <c r="M8">
        <v>4</v>
      </c>
      <c r="Q8">
        <v>4.5</v>
      </c>
      <c r="R8">
        <v>2.5</v>
      </c>
    </row>
    <row r="9" spans="1:18" x14ac:dyDescent="0.25">
      <c r="B9">
        <v>13.6</v>
      </c>
      <c r="C9">
        <v>1.1000000000000001</v>
      </c>
      <c r="G9">
        <v>14.2</v>
      </c>
      <c r="H9">
        <v>1.25</v>
      </c>
      <c r="L9">
        <v>9.8000000000000007</v>
      </c>
      <c r="M9">
        <v>3.2</v>
      </c>
      <c r="Q9">
        <v>4.5</v>
      </c>
      <c r="R9">
        <v>2.8</v>
      </c>
    </row>
    <row r="10" spans="1:18" x14ac:dyDescent="0.25">
      <c r="B10">
        <v>13.6</v>
      </c>
      <c r="C10">
        <v>1.45</v>
      </c>
      <c r="G10">
        <v>14.2</v>
      </c>
      <c r="H10">
        <v>1.7</v>
      </c>
      <c r="L10">
        <v>9.8000000000000007</v>
      </c>
      <c r="M10">
        <v>2.6</v>
      </c>
    </row>
    <row r="11" spans="1:18" x14ac:dyDescent="0.25">
      <c r="B11">
        <v>13.6</v>
      </c>
      <c r="C11">
        <v>1.2</v>
      </c>
      <c r="G11">
        <v>14.2</v>
      </c>
      <c r="H11">
        <v>1.45</v>
      </c>
      <c r="L11">
        <v>9.8000000000000007</v>
      </c>
      <c r="M11">
        <v>3.8</v>
      </c>
    </row>
    <row r="12" spans="1:18" x14ac:dyDescent="0.25">
      <c r="B12">
        <v>13.6</v>
      </c>
      <c r="C12">
        <v>1</v>
      </c>
      <c r="G12">
        <v>14.2</v>
      </c>
      <c r="H12">
        <v>1</v>
      </c>
      <c r="L12">
        <v>9.8000000000000007</v>
      </c>
      <c r="M12">
        <v>4</v>
      </c>
    </row>
    <row r="13" spans="1:18" x14ac:dyDescent="0.25">
      <c r="B13">
        <v>13.6</v>
      </c>
      <c r="C13">
        <v>1.55</v>
      </c>
      <c r="L13">
        <v>9.8000000000000007</v>
      </c>
      <c r="M13">
        <v>3.4</v>
      </c>
    </row>
    <row r="14" spans="1:18" x14ac:dyDescent="0.25">
      <c r="L14">
        <v>9.8000000000000007</v>
      </c>
      <c r="M14">
        <v>3.7</v>
      </c>
    </row>
    <row r="15" spans="1:18" x14ac:dyDescent="0.25">
      <c r="A15" t="s">
        <v>1</v>
      </c>
      <c r="B15">
        <f>AVERAGE(B7:B13)</f>
        <v>13.599999999999998</v>
      </c>
      <c r="C15">
        <f>AVERAGE(C7:C13)</f>
        <v>1.3142857142857145</v>
      </c>
      <c r="F15" t="s">
        <v>1</v>
      </c>
      <c r="G15">
        <f>AVERAGE(G7:G12)</f>
        <v>14.200000000000001</v>
      </c>
      <c r="H15">
        <f>AVERAGE(H7:H12)</f>
        <v>1.5</v>
      </c>
      <c r="L15">
        <v>9.8000000000000007</v>
      </c>
      <c r="M15">
        <v>2.5</v>
      </c>
      <c r="P15" t="s">
        <v>1</v>
      </c>
      <c r="Q15">
        <v>4.5</v>
      </c>
      <c r="R15">
        <f>AVERAGE(R7:R9)</f>
        <v>2.7999999999999994</v>
      </c>
    </row>
    <row r="16" spans="1:18" x14ac:dyDescent="0.25">
      <c r="A16" t="s">
        <v>2</v>
      </c>
      <c r="B16">
        <v>0</v>
      </c>
      <c r="C16">
        <f>_xlfn.STDEV.S(C7:C13)/SQRT(7)</f>
        <v>8.6405939579161928E-2</v>
      </c>
      <c r="F16" t="s">
        <v>2</v>
      </c>
      <c r="G16">
        <v>0</v>
      </c>
      <c r="H16">
        <f>_xlfn.STDEV.S(H7:H12)/SQRT(6)</f>
        <v>0.14317821063276337</v>
      </c>
      <c r="L16">
        <v>9.8000000000000007</v>
      </c>
      <c r="M16">
        <v>3.75</v>
      </c>
      <c r="P16" t="s">
        <v>2</v>
      </c>
      <c r="Q16">
        <v>0</v>
      </c>
      <c r="R16">
        <f>_xlfn.STDEV.S(R7:R9)/SQRT(3)</f>
        <v>0.17320508075688776</v>
      </c>
    </row>
    <row r="17" spans="1:17" x14ac:dyDescent="0.25">
      <c r="L17">
        <v>9.8000000000000007</v>
      </c>
      <c r="M17">
        <v>4.05</v>
      </c>
    </row>
    <row r="18" spans="1:17" x14ac:dyDescent="0.25">
      <c r="A18" s="4" t="s">
        <v>3</v>
      </c>
      <c r="B18" s="4">
        <f>PI()*(C15/2)^2*B15</f>
        <v>18.450509540397068</v>
      </c>
      <c r="F18" s="4" t="s">
        <v>3</v>
      </c>
      <c r="G18" s="4">
        <f>PI()*G15*(H15/2)^2</f>
        <v>25.093471320548474</v>
      </c>
      <c r="P18" s="4" t="s">
        <v>3</v>
      </c>
      <c r="Q18" s="4">
        <f>PI()*Q15*R15/2</f>
        <v>19.792033717615691</v>
      </c>
    </row>
    <row r="19" spans="1:17" x14ac:dyDescent="0.25">
      <c r="A19" s="4" t="s">
        <v>2</v>
      </c>
      <c r="B19" s="4">
        <f>2*PI()*B15*(C15/2)*(C16/2)</f>
        <v>2.4260076712752388</v>
      </c>
      <c r="F19" s="4" t="s">
        <v>2</v>
      </c>
      <c r="G19" s="4">
        <f>2*PI()*G15*(H15/2)*(H16/2)</f>
        <v>4.790451096320929</v>
      </c>
      <c r="K19" t="s">
        <v>1</v>
      </c>
      <c r="L19">
        <f>AVERAGE(L7:L17)</f>
        <v>9.7999999999999989</v>
      </c>
      <c r="M19">
        <f>AVERAGE(M7:M17)</f>
        <v>3.5636363636363626</v>
      </c>
      <c r="P19" s="4" t="s">
        <v>2</v>
      </c>
      <c r="Q19" s="4">
        <f>2*PI()*Q15*(R15/2)*(R16/2)</f>
        <v>3.4280807984026711</v>
      </c>
    </row>
    <row r="20" spans="1:17" x14ac:dyDescent="0.25">
      <c r="K20" t="s">
        <v>2</v>
      </c>
      <c r="L20">
        <v>0</v>
      </c>
      <c r="M20">
        <f>_xlfn.STDEV.S(M7:M17)/SQRT(11)</f>
        <v>0.17452414642665032</v>
      </c>
    </row>
    <row r="21" spans="1:17" x14ac:dyDescent="0.25">
      <c r="A21" s="3" t="s">
        <v>10</v>
      </c>
      <c r="B21" s="3">
        <f>$B$1*B18/$B$2</f>
        <v>14.724208677586535</v>
      </c>
      <c r="F21" s="3" t="s">
        <v>10</v>
      </c>
      <c r="G21" s="3">
        <f>$B$1*G18/$B$2</f>
        <v>20.025544950930239</v>
      </c>
      <c r="P21" s="3" t="s">
        <v>10</v>
      </c>
      <c r="Q21" s="3">
        <f>$B$1*Q18/$B$2</f>
        <v>15.794796017635115</v>
      </c>
    </row>
    <row r="22" spans="1:17" x14ac:dyDescent="0.25">
      <c r="A22" s="3" t="s">
        <v>2</v>
      </c>
      <c r="B22" s="3">
        <f>SQRT(($B$1/$B$2*B19)^2 + (-$B$1*B18/$B$2^2*$B$3)^2)</f>
        <v>2.2092759613188884</v>
      </c>
      <c r="F22" s="3" t="s">
        <v>2</v>
      </c>
      <c r="G22" s="3">
        <f>SQRT(($B$1/$B$2*G19)^2 + (-$B$1*G18/$B$2^2*$B$3)^2)</f>
        <v>4.0877955697558033</v>
      </c>
      <c r="K22" s="4" t="s">
        <v>3</v>
      </c>
      <c r="L22" s="4">
        <f>PI()*L19*(M19/2)^2</f>
        <v>97.746838770825875</v>
      </c>
      <c r="P22" s="3" t="s">
        <v>2</v>
      </c>
      <c r="Q22" s="3">
        <f>SQRT(($B$1/$B$2*Q19)^2 + (-$B$1*Q18/$B$2^2*$B$3)^2)</f>
        <v>2.9643860128118775</v>
      </c>
    </row>
    <row r="23" spans="1:17" x14ac:dyDescent="0.25">
      <c r="K23" s="4" t="s">
        <v>2</v>
      </c>
      <c r="L23" s="4">
        <f>2*PI()*L19*(M19/2)*(M20/2)</f>
        <v>9.5740316135816226</v>
      </c>
    </row>
    <row r="25" spans="1:17" x14ac:dyDescent="0.25">
      <c r="K25" s="3" t="s">
        <v>10</v>
      </c>
      <c r="L25" s="3">
        <f>$B$1*L22/$B$2</f>
        <v>78.005696725331347</v>
      </c>
    </row>
    <row r="26" spans="1:17" x14ac:dyDescent="0.25">
      <c r="K26" s="3" t="s">
        <v>2</v>
      </c>
      <c r="L26" s="3">
        <f>SQRT(($B$1/$B$2*L23)^2 + (-$B$1*L22/$B$2^2*$B$3)^2)</f>
        <v>9.4955350032408656</v>
      </c>
    </row>
    <row r="28" spans="1:17" x14ac:dyDescent="0.25">
      <c r="A28" s="1" t="s">
        <v>13</v>
      </c>
      <c r="C28" t="s">
        <v>2</v>
      </c>
      <c r="F28" s="1" t="s">
        <v>16</v>
      </c>
      <c r="H28" t="s">
        <v>2</v>
      </c>
    </row>
    <row r="29" spans="1:17" x14ac:dyDescent="0.25">
      <c r="A29" t="s">
        <v>14</v>
      </c>
      <c r="B29">
        <f>0.5*B15+0.5*M19</f>
        <v>8.5818181818181802</v>
      </c>
      <c r="C29">
        <f>0.5*M20</f>
        <v>8.7262073213325159E-2</v>
      </c>
      <c r="F29" t="s">
        <v>21</v>
      </c>
      <c r="G29">
        <f>1/2*M19+1/4*B15</f>
        <v>5.1818181818181808</v>
      </c>
      <c r="H29">
        <f>1/2*M20</f>
        <v>8.7262073213325159E-2</v>
      </c>
    </row>
    <row r="30" spans="1:17" x14ac:dyDescent="0.25">
      <c r="A30" t="s">
        <v>15</v>
      </c>
      <c r="B30">
        <f>0.5*M19-0.5*H15</f>
        <v>1.0318181818181813</v>
      </c>
      <c r="C30">
        <f>SQRT((0.5*M20)^2 + (0.5*H16)^2)</f>
        <v>0.11287014406603593</v>
      </c>
      <c r="F30" t="s">
        <v>22</v>
      </c>
      <c r="G30">
        <f>1/2*M19+1/2*B15</f>
        <v>8.5818181818181802</v>
      </c>
      <c r="H30">
        <f>1/2*M20</f>
        <v>8.7262073213325159E-2</v>
      </c>
    </row>
    <row r="31" spans="1:17" x14ac:dyDescent="0.25">
      <c r="F31" t="s">
        <v>23</v>
      </c>
      <c r="G31">
        <f>1/2*M19-1/2*H15+1/2*G15</f>
        <v>8.1318181818181827</v>
      </c>
      <c r="H31">
        <f>SQRT((1/2*M20)^2+(-1/2*H16)^2)</f>
        <v>0.11287014406603593</v>
      </c>
    </row>
    <row r="33" spans="1:8" x14ac:dyDescent="0.25">
      <c r="A33" t="s">
        <v>17</v>
      </c>
      <c r="B33">
        <f>1/2*G21*(H15/2)^2 + G21*B30^2</f>
        <v>26.952356124401263</v>
      </c>
      <c r="C33">
        <f>SQRT((1/2*(H15/2)^2*G22 + B30^2*G22)^2 + (G21*H15/2*H16/2)^2 + (2*G21*B30*C30)^2)</f>
        <v>7.2926080953573944</v>
      </c>
      <c r="F33" t="s">
        <v>17</v>
      </c>
      <c r="G33">
        <f>1/4*G21*(H15/2)^2 + 1/12*G21*G15^2 + G21*G31^2</f>
        <v>1663.5305354470586</v>
      </c>
      <c r="H33">
        <f>SQRT((1/4*(H15/2)^2*G22 + 1/12*G15^2*G22 + G31^2*G22)^2 + (1/2*G21*(H15/2)*(H16/2))^2 + (2*G21*G31*H31)^2)</f>
        <v>341.55928500714992</v>
      </c>
    </row>
    <row r="34" spans="1:8" x14ac:dyDescent="0.25">
      <c r="A34" t="s">
        <v>18</v>
      </c>
      <c r="B34">
        <f>1/4*B21*(C15/2)^2 + 1/12*B21*B15^2 + B21*B29^2</f>
        <v>1312.9414296447621</v>
      </c>
      <c r="C34">
        <f>SQRT((1/4*(C15/2)^2*B22 + 1/12*B15^2*B22 + B29^2*B22)^2 + (1/2*B21*(C15/2)*(C16/2))^2 + (2*B21*B29*C29)^2)</f>
        <v>198.22932061030122</v>
      </c>
      <c r="F34" t="s">
        <v>25</v>
      </c>
      <c r="G34">
        <f>1/4*B21*(C15/2)^2 + 1/12*B21*B15^2 + B21*G29^2</f>
        <v>623.90200611072203</v>
      </c>
      <c r="H34">
        <f>SQRT((1/4*(C15/2)^2*B22 + 1/12*B15^2*B22+G29^2*B22)^2 + (1/2*B21*(C15/2)*(C16/2))^2 + (2*B21*G29*H29)^2)</f>
        <v>94.55515951635617</v>
      </c>
    </row>
    <row r="35" spans="1:8" x14ac:dyDescent="0.25">
      <c r="A35" t="s">
        <v>19</v>
      </c>
      <c r="B35">
        <f>1/2*L25*(M19/2)^2</f>
        <v>123.82920848761684</v>
      </c>
      <c r="C35">
        <f>SQRT((1/2*(M19/2)^2*L26)^2 + (L25*(M19/2)*M20)^2)</f>
        <v>28.55935431795243</v>
      </c>
      <c r="F35" t="s">
        <v>26</v>
      </c>
      <c r="G35">
        <f>1/2*B21*(C15/2)^2 + B21*G30^2</f>
        <v>1087.5819067766317</v>
      </c>
      <c r="H35">
        <f>SQRT((1/2*(C15/2)^2*B22 + G30^2*B22)^2 + (B21*C16/2*C15/2)^2 + (2*B21*G30*H30)^2)</f>
        <v>164.66881945188081</v>
      </c>
    </row>
    <row r="36" spans="1:8" x14ac:dyDescent="0.25">
      <c r="A36" t="s">
        <v>20</v>
      </c>
      <c r="B36">
        <f>1/2*Q21*(R15/2)^2</f>
        <v>15.478900097282406</v>
      </c>
      <c r="C36">
        <f>SQRT((1/2*(R15/2)^2*Q22)^2 + (Q21*(R15/2)*R16)^2)</f>
        <v>4.807157191755369</v>
      </c>
      <c r="F36" t="s">
        <v>19</v>
      </c>
      <c r="G36">
        <f>B35</f>
        <v>123.82920848761684</v>
      </c>
      <c r="H36">
        <f>C35</f>
        <v>28.55935431795243</v>
      </c>
    </row>
    <row r="37" spans="1:8" x14ac:dyDescent="0.25">
      <c r="F37" t="s">
        <v>20</v>
      </c>
      <c r="G37">
        <f>B36</f>
        <v>15.478900097282406</v>
      </c>
      <c r="H37">
        <f>C36</f>
        <v>4.807157191755369</v>
      </c>
    </row>
    <row r="39" spans="1:8" x14ac:dyDescent="0.25">
      <c r="A39" s="7" t="s">
        <v>24</v>
      </c>
      <c r="B39" s="7">
        <f>B35+B36+2*B33+2*B34</f>
        <v>2819.095680123226</v>
      </c>
      <c r="C39" s="7">
        <f>SQRT((2*C33)^2 + (2*C34)^2+C35^2+C36^2)</f>
        <v>397.7825137045881</v>
      </c>
      <c r="F39" s="7" t="s">
        <v>24</v>
      </c>
      <c r="G39" s="7">
        <f>2*G33+2*G34+2*G35+G36+G37</f>
        <v>6889.337005253723</v>
      </c>
      <c r="H39" s="7">
        <f>SQRT((2*H33)^2+(2*H34)^2+(2*H35)^2+H36^2+H37^2)</f>
        <v>782.12257309264851</v>
      </c>
    </row>
    <row r="41" spans="1:8" x14ac:dyDescent="0.25">
      <c r="A41" t="s">
        <v>27</v>
      </c>
    </row>
    <row r="43" spans="1:8" x14ac:dyDescent="0.25">
      <c r="A43" t="s">
        <v>17</v>
      </c>
      <c r="B43" s="8">
        <f>B33*10^(-7)</f>
        <v>2.695235612440126E-6</v>
      </c>
      <c r="C43" s="8">
        <f>C33*10^(-7)</f>
        <v>7.2926080953573942E-7</v>
      </c>
      <c r="F43" t="s">
        <v>17</v>
      </c>
      <c r="G43" s="8">
        <f>G33*10^(-7)</f>
        <v>1.6635305354470586E-4</v>
      </c>
      <c r="H43" s="8">
        <f>H33*10^(-7)</f>
        <v>3.4155928500714988E-5</v>
      </c>
    </row>
    <row r="44" spans="1:8" x14ac:dyDescent="0.25">
      <c r="A44" t="s">
        <v>18</v>
      </c>
      <c r="B44" s="8">
        <f t="shared" ref="B44:C46" si="0">B34*10^(-7)</f>
        <v>1.312941429644762E-4</v>
      </c>
      <c r="C44" s="8">
        <f t="shared" si="0"/>
        <v>1.982293206103012E-5</v>
      </c>
      <c r="F44" t="s">
        <v>25</v>
      </c>
      <c r="G44" s="8">
        <f t="shared" ref="G44:H49" si="1">G34*10^(-7)</f>
        <v>6.2390200611072205E-5</v>
      </c>
      <c r="H44" s="8">
        <f t="shared" si="1"/>
        <v>9.4555159516356164E-6</v>
      </c>
    </row>
    <row r="45" spans="1:8" x14ac:dyDescent="0.25">
      <c r="A45" t="s">
        <v>19</v>
      </c>
      <c r="B45" s="8">
        <f>B35*10^(-7)</f>
        <v>1.2382920848761683E-5</v>
      </c>
      <c r="C45" s="8">
        <f t="shared" ref="C45:C46" si="2">C35*10^(-7)</f>
        <v>2.8559354317952427E-6</v>
      </c>
      <c r="F45" t="s">
        <v>26</v>
      </c>
      <c r="G45" s="8">
        <f t="shared" si="1"/>
        <v>1.0875819067766317E-4</v>
      </c>
      <c r="H45" s="8">
        <f t="shared" si="1"/>
        <v>1.6466881945188078E-5</v>
      </c>
    </row>
    <row r="46" spans="1:8" x14ac:dyDescent="0.25">
      <c r="A46" t="s">
        <v>20</v>
      </c>
      <c r="B46" s="8">
        <f t="shared" si="0"/>
        <v>1.5478900097282405E-6</v>
      </c>
      <c r="C46" s="8">
        <f t="shared" si="2"/>
        <v>4.8071571917553685E-7</v>
      </c>
      <c r="F46" t="s">
        <v>19</v>
      </c>
      <c r="G46" s="8">
        <f t="shared" si="1"/>
        <v>1.2382920848761683E-5</v>
      </c>
      <c r="H46" s="8">
        <f t="shared" si="1"/>
        <v>2.8559354317952427E-6</v>
      </c>
    </row>
    <row r="47" spans="1:8" x14ac:dyDescent="0.25">
      <c r="F47" t="s">
        <v>20</v>
      </c>
      <c r="G47" s="8">
        <f t="shared" si="1"/>
        <v>1.5478900097282405E-6</v>
      </c>
      <c r="H47" s="8">
        <f t="shared" si="1"/>
        <v>4.8071571917553685E-7</v>
      </c>
    </row>
    <row r="49" spans="1:8" x14ac:dyDescent="0.25">
      <c r="A49" s="7" t="s">
        <v>24</v>
      </c>
      <c r="B49" s="8">
        <f>B39*10^(-7)</f>
        <v>2.8190956801232256E-4</v>
      </c>
      <c r="C49" s="8">
        <f>C39*10^(-7)</f>
        <v>3.9778251370458808E-5</v>
      </c>
      <c r="F49" s="7" t="s">
        <v>24</v>
      </c>
      <c r="G49" s="8">
        <f t="shared" si="1"/>
        <v>6.8893370052537227E-4</v>
      </c>
      <c r="H49" s="8">
        <f t="shared" si="1"/>
        <v>7.8212257309264854E-5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Klompmaker</dc:creator>
  <cp:lastModifiedBy>Ramona Gabriela Kallo</cp:lastModifiedBy>
  <cp:lastPrinted>2017-11-18T19:46:15Z</cp:lastPrinted>
  <dcterms:created xsi:type="dcterms:W3CDTF">2017-11-18T17:13:36Z</dcterms:created>
  <dcterms:modified xsi:type="dcterms:W3CDTF">2017-11-18T22:06:39Z</dcterms:modified>
</cp:coreProperties>
</file>