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o\Desktop\Anfängerpraktikum BSc\102\"/>
    </mc:Choice>
  </mc:AlternateContent>
  <xr:revisionPtr revIDLastSave="0" documentId="13_ncr:1_{8202EF33-252B-4B24-85B2-C88A735AB39C}" xr6:coauthVersionLast="36" xr6:coauthVersionMax="36" xr10:uidLastSave="{00000000-0000-0000-0000-000000000000}"/>
  <bookViews>
    <workbookView xWindow="0" yWindow="0" windowWidth="17256" windowHeight="5640" xr2:uid="{0EAA9ACF-DE1B-43BF-A114-CC78A81FD67A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2" i="1" l="1"/>
  <c r="N41" i="1"/>
  <c r="N40" i="1"/>
  <c r="N28" i="1"/>
  <c r="N29" i="1"/>
  <c r="N30" i="1"/>
  <c r="N31" i="1"/>
  <c r="N32" i="1"/>
  <c r="N33" i="1"/>
  <c r="N34" i="1"/>
  <c r="N35" i="1"/>
  <c r="N36" i="1"/>
  <c r="N37" i="1"/>
  <c r="N38" i="1"/>
  <c r="N27" i="1"/>
  <c r="M38" i="1"/>
  <c r="M37" i="1"/>
  <c r="M36" i="1"/>
  <c r="M35" i="1"/>
  <c r="M34" i="1"/>
  <c r="M33" i="1"/>
  <c r="M32" i="1"/>
  <c r="M31" i="1"/>
  <c r="M30" i="1"/>
  <c r="M29" i="1"/>
  <c r="M28" i="1"/>
  <c r="M27" i="1"/>
  <c r="P23" i="1"/>
  <c r="P22" i="1"/>
  <c r="P21" i="1"/>
  <c r="P20" i="1"/>
  <c r="P19" i="1"/>
  <c r="P18" i="1"/>
  <c r="P17" i="1"/>
  <c r="P16" i="1"/>
  <c r="P15" i="1"/>
  <c r="P14" i="1"/>
  <c r="M23" i="1"/>
  <c r="M22" i="1"/>
  <c r="M21" i="1"/>
  <c r="M20" i="1"/>
  <c r="M19" i="1"/>
  <c r="M18" i="1"/>
  <c r="M17" i="1"/>
  <c r="M16" i="1"/>
  <c r="M15" i="1"/>
  <c r="M14" i="1"/>
  <c r="V11" i="1"/>
  <c r="U11" i="1"/>
  <c r="T11" i="1"/>
  <c r="S11" i="1"/>
  <c r="R11" i="1"/>
  <c r="Q11" i="1"/>
  <c r="P11" i="1"/>
  <c r="O11" i="1"/>
  <c r="N11" i="1"/>
  <c r="M11" i="1"/>
  <c r="V9" i="1"/>
  <c r="U9" i="1"/>
  <c r="T9" i="1"/>
  <c r="S9" i="1"/>
  <c r="R9" i="1"/>
  <c r="Q9" i="1"/>
  <c r="P9" i="1"/>
  <c r="O9" i="1"/>
  <c r="N9" i="1"/>
  <c r="V10" i="1"/>
  <c r="U10" i="1"/>
  <c r="T10" i="1"/>
  <c r="S10" i="1"/>
  <c r="R10" i="1"/>
  <c r="Q10" i="1"/>
  <c r="P10" i="1"/>
  <c r="O10" i="1"/>
  <c r="N10" i="1"/>
  <c r="M10" i="1"/>
  <c r="M9" i="1"/>
  <c r="I25" i="1"/>
  <c r="I24" i="1"/>
  <c r="I21" i="1"/>
  <c r="I20" i="1"/>
  <c r="I19" i="1"/>
  <c r="I18" i="1"/>
  <c r="I17" i="1"/>
  <c r="F13" i="1"/>
  <c r="F12" i="1"/>
  <c r="F11" i="1"/>
  <c r="F22" i="1"/>
  <c r="F23" i="1" s="1"/>
  <c r="F21" i="1"/>
  <c r="I14" i="1"/>
  <c r="I13" i="1"/>
  <c r="I12" i="1"/>
  <c r="F9" i="1"/>
  <c r="F10" i="1" s="1"/>
  <c r="F8" i="1"/>
  <c r="B14" i="1"/>
  <c r="B13" i="1" l="1"/>
  <c r="B8" i="1"/>
  <c r="B9" i="1"/>
</calcChain>
</file>

<file path=xl/sharedStrings.xml><?xml version="1.0" encoding="utf-8"?>
<sst xmlns="http://schemas.openxmlformats.org/spreadsheetml/2006/main" count="60" uniqueCount="44">
  <si>
    <t>Angegebene Werte</t>
  </si>
  <si>
    <t>Masse Kugel</t>
  </si>
  <si>
    <t>g</t>
  </si>
  <si>
    <t>Mittelwert</t>
  </si>
  <si>
    <t>STBW</t>
  </si>
  <si>
    <t>Fehler MW</t>
  </si>
  <si>
    <t>Radius Kugel</t>
  </si>
  <si>
    <t>mm</t>
  </si>
  <si>
    <t>Trägheitsmoment Halterung</t>
  </si>
  <si>
    <t>Theta</t>
  </si>
  <si>
    <t>kg*m^(2)</t>
  </si>
  <si>
    <t>Kugel</t>
  </si>
  <si>
    <t>Fehler MW neu</t>
  </si>
  <si>
    <t>Radius neu</t>
  </si>
  <si>
    <t>Fehler</t>
  </si>
  <si>
    <t>2.25*10^(-6)</t>
  </si>
  <si>
    <t>Elastizitätm.</t>
  </si>
  <si>
    <t>Durchmesser Draht</t>
  </si>
  <si>
    <t>Fehler Mittel.</t>
  </si>
  <si>
    <t>Schwingungsdauer</t>
  </si>
  <si>
    <t>T/s</t>
  </si>
  <si>
    <t>Fehler Mi.</t>
  </si>
  <si>
    <t>LängeDraht</t>
  </si>
  <si>
    <t>cm</t>
  </si>
  <si>
    <t>Fehler Mitt.</t>
  </si>
  <si>
    <t>Radius</t>
  </si>
  <si>
    <t>Schubmodul</t>
  </si>
  <si>
    <t>*10^(-4)</t>
  </si>
  <si>
    <t>Kontraktionszahl</t>
  </si>
  <si>
    <t>G=</t>
  </si>
  <si>
    <t>0.4*10^10</t>
  </si>
  <si>
    <t>21*10^10</t>
  </si>
  <si>
    <t>N/m^2</t>
  </si>
  <si>
    <t>0.05*10^10</t>
  </si>
  <si>
    <t>6.3*10^(10)</t>
  </si>
  <si>
    <t>Strom</t>
  </si>
  <si>
    <t>Fehler Mit</t>
  </si>
  <si>
    <t>1/Tgem</t>
  </si>
  <si>
    <t>Fehler 1/Tgem</t>
  </si>
  <si>
    <t>B/mT</t>
  </si>
  <si>
    <t>In 10^(-4)</t>
  </si>
  <si>
    <t>Erdmagnetfeld</t>
  </si>
  <si>
    <t>1/T^2</t>
  </si>
  <si>
    <t>Fehler MTW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</si>
</sst>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AD49-1347-4F77-AA76-BD5E662DD6C3}">
  <dimension ref="A1:V42"/>
  <sheetViews>
    <sheetView tabSelected="1" topLeftCell="G15" workbookViewId="0">
      <selection activeCell="N43" sqref="N43"/>
    </sheetView>
  </sheetViews>
  <sheetFormatPr baseColWidth="10" defaultRowHeight="14.4" x14ac:dyDescent="0.3"/>
  <cols>
    <col min="6" max="6" width="12" bestFit="1" customWidth="1"/>
    <col min="9" max="9" width="12" bestFit="1" customWidth="1"/>
    <col min="14" max="14" width="12" bestFit="1" customWidth="1"/>
    <col min="16" max="16" width="12" bestFit="1" customWidth="1"/>
  </cols>
  <sheetData>
    <row r="1" spans="1:22" x14ac:dyDescent="0.3">
      <c r="A1" t="s">
        <v>0</v>
      </c>
      <c r="E1" t="s">
        <v>17</v>
      </c>
      <c r="G1" t="s">
        <v>7</v>
      </c>
      <c r="H1" t="s">
        <v>19</v>
      </c>
      <c r="J1" t="s">
        <v>20</v>
      </c>
      <c r="M1" t="s">
        <v>35</v>
      </c>
    </row>
    <row r="2" spans="1:22" x14ac:dyDescent="0.3">
      <c r="A2" t="s">
        <v>1</v>
      </c>
      <c r="B2">
        <v>512.20000000000005</v>
      </c>
      <c r="C2" t="s">
        <v>2</v>
      </c>
      <c r="F2">
        <v>0.19400000000000001</v>
      </c>
      <c r="I2">
        <v>18.536999999999999</v>
      </c>
      <c r="M2">
        <v>0.1</v>
      </c>
      <c r="N2">
        <v>0.2</v>
      </c>
      <c r="O2">
        <v>0.3</v>
      </c>
      <c r="P2">
        <v>0.4</v>
      </c>
      <c r="Q2">
        <v>0.5</v>
      </c>
      <c r="R2">
        <v>0.6</v>
      </c>
      <c r="S2">
        <v>0.7</v>
      </c>
      <c r="T2">
        <v>0.8</v>
      </c>
      <c r="U2">
        <v>0.9</v>
      </c>
      <c r="V2">
        <v>1</v>
      </c>
    </row>
    <row r="3" spans="1:22" x14ac:dyDescent="0.3">
      <c r="A3" t="s">
        <v>5</v>
      </c>
      <c r="B3">
        <v>0.20499999999999999</v>
      </c>
      <c r="F3">
        <v>0.19500000000000001</v>
      </c>
      <c r="I3">
        <v>18.221</v>
      </c>
      <c r="M3">
        <v>17.927</v>
      </c>
      <c r="N3">
        <v>15.467000000000001</v>
      </c>
      <c r="O3">
        <v>13.994999999999999</v>
      </c>
      <c r="P3">
        <v>12.984</v>
      </c>
      <c r="Q3">
        <v>11.766999999999999</v>
      </c>
      <c r="R3">
        <v>11.037000000000001</v>
      </c>
      <c r="S3">
        <v>10.340999999999999</v>
      </c>
      <c r="T3">
        <v>10.045</v>
      </c>
      <c r="U3">
        <v>9.3780000000000001</v>
      </c>
      <c r="V3">
        <v>9.0030000000000001</v>
      </c>
    </row>
    <row r="4" spans="1:22" x14ac:dyDescent="0.3">
      <c r="F4">
        <v>0.19500000000000001</v>
      </c>
      <c r="I4">
        <v>18.536000000000001</v>
      </c>
      <c r="M4">
        <v>17.919</v>
      </c>
      <c r="N4">
        <v>15.46</v>
      </c>
      <c r="O4">
        <v>13.983000000000001</v>
      </c>
      <c r="P4">
        <v>12.964</v>
      </c>
      <c r="Q4">
        <v>11.776</v>
      </c>
      <c r="R4">
        <v>11.015000000000001</v>
      </c>
      <c r="S4">
        <v>10.363</v>
      </c>
      <c r="T4">
        <v>10.026</v>
      </c>
      <c r="U4">
        <v>9.3620000000000001</v>
      </c>
      <c r="V4">
        <v>8.9990000000000006</v>
      </c>
    </row>
    <row r="5" spans="1:22" x14ac:dyDescent="0.3">
      <c r="F5">
        <v>0.19900000000000001</v>
      </c>
      <c r="I5">
        <v>18.597000000000001</v>
      </c>
      <c r="M5">
        <v>17.920999999999999</v>
      </c>
      <c r="N5">
        <v>15.456</v>
      </c>
      <c r="O5">
        <v>13.981999999999999</v>
      </c>
      <c r="P5">
        <v>12.949</v>
      </c>
      <c r="Q5">
        <v>11.755000000000001</v>
      </c>
      <c r="R5">
        <v>11.034000000000001</v>
      </c>
      <c r="S5">
        <v>10.369</v>
      </c>
      <c r="T5">
        <v>10.032</v>
      </c>
      <c r="U5">
        <v>9.3109999999999999</v>
      </c>
      <c r="V5">
        <v>8.9920000000000009</v>
      </c>
    </row>
    <row r="6" spans="1:22" x14ac:dyDescent="0.3">
      <c r="A6" t="s">
        <v>6</v>
      </c>
      <c r="B6">
        <v>50.76</v>
      </c>
      <c r="C6" t="s">
        <v>7</v>
      </c>
      <c r="F6">
        <v>0.20100000000000001</v>
      </c>
      <c r="I6">
        <v>18.526</v>
      </c>
      <c r="M6">
        <v>17.914999999999999</v>
      </c>
      <c r="N6">
        <v>15.451000000000001</v>
      </c>
      <c r="O6">
        <v>13.977</v>
      </c>
      <c r="P6">
        <v>12.938000000000001</v>
      </c>
      <c r="Q6">
        <v>11.744</v>
      </c>
      <c r="R6">
        <v>11.009</v>
      </c>
      <c r="S6">
        <v>10.368</v>
      </c>
      <c r="T6">
        <v>10.012</v>
      </c>
      <c r="U6">
        <v>9.35</v>
      </c>
      <c r="V6">
        <v>8.9969999999999999</v>
      </c>
    </row>
    <row r="7" spans="1:22" x14ac:dyDescent="0.3">
      <c r="A7" t="s">
        <v>5</v>
      </c>
      <c r="B7">
        <v>3.5999999999999999E-3</v>
      </c>
      <c r="F7">
        <v>0.19600000000000001</v>
      </c>
      <c r="I7">
        <v>18.553999999999998</v>
      </c>
      <c r="M7">
        <v>17.920999999999999</v>
      </c>
      <c r="N7">
        <v>15.507999999999999</v>
      </c>
      <c r="O7">
        <v>13.968999999999999</v>
      </c>
      <c r="P7">
        <v>12.928000000000001</v>
      </c>
      <c r="Q7">
        <v>11.744999999999999</v>
      </c>
      <c r="R7">
        <v>11.007999999999999</v>
      </c>
      <c r="S7">
        <v>10.349</v>
      </c>
      <c r="T7">
        <v>10.025</v>
      </c>
      <c r="U7">
        <v>9.3629999999999995</v>
      </c>
      <c r="V7">
        <v>8.9990000000000006</v>
      </c>
    </row>
    <row r="8" spans="1:22" x14ac:dyDescent="0.3">
      <c r="A8" t="s">
        <v>13</v>
      </c>
      <c r="B8">
        <f>B6/2</f>
        <v>25.38</v>
      </c>
      <c r="C8" t="s">
        <v>7</v>
      </c>
      <c r="E8" t="s">
        <v>3</v>
      </c>
      <c r="F8">
        <f>AVERAGE(F2:F7)</f>
        <v>0.19666666666666668</v>
      </c>
      <c r="I8">
        <v>18.576000000000001</v>
      </c>
    </row>
    <row r="9" spans="1:22" x14ac:dyDescent="0.3">
      <c r="A9" t="s">
        <v>12</v>
      </c>
      <c r="B9">
        <f>B7/2</f>
        <v>1.8E-3</v>
      </c>
      <c r="E9" t="s">
        <v>4</v>
      </c>
      <c r="F9">
        <f>STDEV(F2:F7)</f>
        <v>2.7325202042558952E-3</v>
      </c>
      <c r="I9">
        <v>18.521000000000001</v>
      </c>
      <c r="L9" t="s">
        <v>3</v>
      </c>
      <c r="M9">
        <f>AVERAGE(M3:M7)</f>
        <v>17.9206</v>
      </c>
      <c r="N9">
        <f>AVERAGE(N3:N7)</f>
        <v>15.468399999999999</v>
      </c>
      <c r="O9">
        <f>AVERAGE(O3:O7)</f>
        <v>13.981199999999998</v>
      </c>
      <c r="P9">
        <f>AVERAGE(P3:P7)</f>
        <v>12.9526</v>
      </c>
      <c r="Q9">
        <f>AVERAGE(Q3:Q7)</f>
        <v>11.757400000000001</v>
      </c>
      <c r="R9">
        <f>AVERAGE(R3:R7)</f>
        <v>11.020599999999998</v>
      </c>
      <c r="S9">
        <f>AVERAGE(S3:S7)</f>
        <v>10.358000000000001</v>
      </c>
      <c r="T9">
        <f>AVERAGE(T3:T7)</f>
        <v>10.027999999999999</v>
      </c>
      <c r="U9">
        <f>AVERAGE(U3:U7)</f>
        <v>9.3528000000000002</v>
      </c>
      <c r="V9">
        <f>AVERAGE(V3:V7)</f>
        <v>8.9980000000000011</v>
      </c>
    </row>
    <row r="10" spans="1:22" x14ac:dyDescent="0.3">
      <c r="E10" t="s">
        <v>18</v>
      </c>
      <c r="F10">
        <f>F9/(6)^(1/2)</f>
        <v>1.1155467020454351E-3</v>
      </c>
      <c r="I10">
        <v>18.538</v>
      </c>
      <c r="L10" t="s">
        <v>4</v>
      </c>
      <c r="M10">
        <f>STDEV(M3:M7)</f>
        <v>4.3358966777358142E-3</v>
      </c>
      <c r="N10">
        <f>STDEV(N3:N7)</f>
        <v>2.2897598127314078E-2</v>
      </c>
      <c r="O10">
        <f>STDEV(O3:O7)</f>
        <v>9.4973680564668927E-3</v>
      </c>
      <c r="P10">
        <f>STDEV(P3:P7)</f>
        <v>2.2063544592834303E-2</v>
      </c>
      <c r="Q10">
        <f>STDEV(Q3:Q7)</f>
        <v>1.3939153489362293E-2</v>
      </c>
      <c r="R10">
        <f>STDEV(R3:R7)</f>
        <v>1.3903237033152147E-2</v>
      </c>
      <c r="S10">
        <f>STDEV(S3:S7)</f>
        <v>1.2409673645991029E-2</v>
      </c>
      <c r="T10">
        <f>STDEV(T3:T7)</f>
        <v>1.1979148550710752E-2</v>
      </c>
      <c r="U10">
        <f>STDEV(U3:U7)</f>
        <v>2.5390943267236083E-2</v>
      </c>
      <c r="V10">
        <f>STDEV(V3:V7)</f>
        <v>3.9999999999997815E-3</v>
      </c>
    </row>
    <row r="11" spans="1:22" x14ac:dyDescent="0.3">
      <c r="A11" t="s">
        <v>8</v>
      </c>
      <c r="E11" t="s">
        <v>25</v>
      </c>
      <c r="F11">
        <f>F8/2*10^(-3)</f>
        <v>9.8333333333333343E-5</v>
      </c>
      <c r="I11">
        <v>18.542999999999999</v>
      </c>
      <c r="L11" t="s">
        <v>36</v>
      </c>
      <c r="M11">
        <f>M10/(5)^(1/2)</f>
        <v>1.9390719429665559E-3</v>
      </c>
      <c r="N11">
        <f>N10/(5)^(1/2)</f>
        <v>1.0240117186829233E-2</v>
      </c>
      <c r="O11">
        <f>O10/(5)^(1/2)</f>
        <v>4.2473521163190068E-3</v>
      </c>
      <c r="P11">
        <f>P10/(5)^(1/2)</f>
        <v>9.8671171068350841E-3</v>
      </c>
      <c r="Q11">
        <f>Q10/(5)^(1/2)</f>
        <v>6.2337789502034955E-3</v>
      </c>
      <c r="R11">
        <f>R10/(5)^(1/2)</f>
        <v>6.2177166226841394E-3</v>
      </c>
      <c r="S11">
        <f>S10/(5)^(1/2)</f>
        <v>5.5497747702047198E-3</v>
      </c>
      <c r="T11">
        <f>T10/(5)^(1/2)</f>
        <v>5.3572380943914654E-3</v>
      </c>
      <c r="U11">
        <f>U10/(5)^(1/2)</f>
        <v>1.1355175031676098E-2</v>
      </c>
      <c r="V11">
        <f>V10/(5)^(1/2)</f>
        <v>1.788854381999734E-3</v>
      </c>
    </row>
    <row r="12" spans="1:22" x14ac:dyDescent="0.3">
      <c r="A12" t="s">
        <v>9</v>
      </c>
      <c r="B12" t="s">
        <v>15</v>
      </c>
      <c r="C12" t="s">
        <v>10</v>
      </c>
      <c r="F12">
        <f>F10/2*10^(3)</f>
        <v>0.55777335102271752</v>
      </c>
      <c r="H12" t="s">
        <v>3</v>
      </c>
      <c r="I12">
        <f>AVERAGE(I2:I11)</f>
        <v>18.514900000000001</v>
      </c>
    </row>
    <row r="13" spans="1:22" x14ac:dyDescent="0.3">
      <c r="A13" t="s">
        <v>11</v>
      </c>
      <c r="B13">
        <f>2/5*B2*B8^2</f>
        <v>131972.304672</v>
      </c>
      <c r="C13" t="s">
        <v>10</v>
      </c>
      <c r="E13">
        <v>9.8000000000000007</v>
      </c>
      <c r="F13">
        <f>0.5*10^(-5)</f>
        <v>5.0000000000000004E-6</v>
      </c>
      <c r="H13" t="s">
        <v>4</v>
      </c>
      <c r="I13">
        <f>STDEV(I2:I11)</f>
        <v>0.10582842508303508</v>
      </c>
      <c r="M13" t="s">
        <v>37</v>
      </c>
      <c r="N13" t="s">
        <v>38</v>
      </c>
      <c r="P13" t="s">
        <v>39</v>
      </c>
      <c r="Q13" t="s">
        <v>40</v>
      </c>
    </row>
    <row r="14" spans="1:22" x14ac:dyDescent="0.3">
      <c r="A14" t="s">
        <v>14</v>
      </c>
      <c r="B14">
        <f>SQRT((2/5*B8^2)^2*(B3)^2+(4/5*B2*B8)^2*(B9)^2)</f>
        <v>56.038864708893669</v>
      </c>
      <c r="C14" t="s">
        <v>10</v>
      </c>
      <c r="H14" t="s">
        <v>21</v>
      </c>
      <c r="I14">
        <f>I13/(10)^(1/2)</f>
        <v>3.346588644508848E-2</v>
      </c>
      <c r="M14">
        <f>1/M9^2 * 10^3</f>
        <v>3.113830065286745</v>
      </c>
      <c r="N14">
        <v>0</v>
      </c>
      <c r="P14">
        <f>4*3.14*10^(-7)*(8*0.1*80)/(SQRT(125)*0.072)*10^3</f>
        <v>9.9857826835190608E-2</v>
      </c>
    </row>
    <row r="15" spans="1:22" x14ac:dyDescent="0.3">
      <c r="A15">
        <v>1.3197000000000001</v>
      </c>
      <c r="B15">
        <v>5.0000000000000001E-4</v>
      </c>
      <c r="C15" t="s">
        <v>27</v>
      </c>
      <c r="E15" t="s">
        <v>22</v>
      </c>
      <c r="F15" t="s">
        <v>23</v>
      </c>
      <c r="M15">
        <f>1/N9^2 * 10^3</f>
        <v>4.1793545154927445</v>
      </c>
      <c r="N15">
        <v>0.01</v>
      </c>
      <c r="P15">
        <f>4*3.14*10^(-7)*(8*0.2*80)/(SQRT(125)*0.072)*10^3</f>
        <v>0.19971565367038122</v>
      </c>
    </row>
    <row r="16" spans="1:22" x14ac:dyDescent="0.3">
      <c r="C16" t="s">
        <v>10</v>
      </c>
      <c r="F16">
        <v>60.4</v>
      </c>
      <c r="I16" t="s">
        <v>26</v>
      </c>
      <c r="J16" t="s">
        <v>29</v>
      </c>
      <c r="K16" t="s">
        <v>34</v>
      </c>
      <c r="M16">
        <f>1/O9^2 *10^3</f>
        <v>5.1157710907348406</v>
      </c>
      <c r="N16">
        <v>1.37</v>
      </c>
      <c r="P16">
        <f>4*3.14*10^(-7)*(8*0.3*80)/(SQRT(125)*0.072)*10^3</f>
        <v>0.29957348050557181</v>
      </c>
    </row>
    <row r="17" spans="1:16" x14ac:dyDescent="0.3">
      <c r="F17">
        <v>60.4</v>
      </c>
      <c r="I17">
        <f>SQRT(((F24*B15*10^(-4))/(18.51^2*E13*10^(-5)^4))^2)</f>
        <v>898537893.30264843</v>
      </c>
      <c r="K17" t="s">
        <v>30</v>
      </c>
      <c r="M17">
        <f>1/P9^2 *10^3</f>
        <v>5.9605466614661164</v>
      </c>
      <c r="N17">
        <v>0.02</v>
      </c>
      <c r="P17">
        <f>4*3.14*10^(-7)*(8*0.4*80)/(SQRT(125)*0.072)*10^3</f>
        <v>0.39943130734076243</v>
      </c>
    </row>
    <row r="18" spans="1:16" x14ac:dyDescent="0.3">
      <c r="F18">
        <v>60.3</v>
      </c>
      <c r="I18">
        <f>SQRT(((A15*10^(-4)*0.0002)/(18.51^2*E13*10^(-5)^4))^2)</f>
        <v>786079189.78555202</v>
      </c>
      <c r="M18">
        <f>1/Q9^2 *10^3</f>
        <v>7.2339818156951106</v>
      </c>
      <c r="N18">
        <v>0.02</v>
      </c>
      <c r="P18">
        <f>4*3.14*10^(-7)*(8*0.5*80)/(SQRT(125)*0.072)*10^3</f>
        <v>0.499289134175953</v>
      </c>
    </row>
    <row r="19" spans="1:16" x14ac:dyDescent="0.3">
      <c r="A19" t="s">
        <v>16</v>
      </c>
      <c r="B19" t="s">
        <v>31</v>
      </c>
      <c r="C19" t="s">
        <v>32</v>
      </c>
      <c r="F19">
        <v>60.3</v>
      </c>
      <c r="I19">
        <f>SQRT(((-2*A15*10^(-4)*0.0002*I14)/(18.51^3*E13*10^(-5)^4))^2)</f>
        <v>2842445.9105575839</v>
      </c>
      <c r="M19">
        <f>1/R9^2 *10^3</f>
        <v>8.2335953765851073</v>
      </c>
      <c r="N19">
        <v>0.02</v>
      </c>
      <c r="P19">
        <f>4*3.14*10^(-7)*(8*0.6*80)/(SQRT(125)*0.072)*10^3</f>
        <v>0.59914696101114362</v>
      </c>
    </row>
    <row r="20" spans="1:16" x14ac:dyDescent="0.3">
      <c r="B20" t="s">
        <v>33</v>
      </c>
      <c r="F20">
        <v>60.3</v>
      </c>
      <c r="I20">
        <f>SQRT(((-4*A15*10^(-4)*0.0002*B15*10^(-4))/(18.51^2*E13*10^(-5)^5))^2)</f>
        <v>15721583.795711042</v>
      </c>
      <c r="M20">
        <f>1/S9^2 *10^3</f>
        <v>9.3206926348371475</v>
      </c>
      <c r="N20">
        <v>0.02</v>
      </c>
      <c r="P20">
        <f>4*3.14*10^(-7)*(8*0.7*80)/(SQRT(125)*0.072)*10^3</f>
        <v>0.69900478784633424</v>
      </c>
    </row>
    <row r="21" spans="1:16" x14ac:dyDescent="0.3">
      <c r="E21" t="s">
        <v>3</v>
      </c>
      <c r="F21">
        <f>AVERAGE(F16:F20)</f>
        <v>60.339999999999996</v>
      </c>
      <c r="I21">
        <f>8*3.14*(I17+I18+I19+I20)</f>
        <v>42783909553.397064</v>
      </c>
      <c r="M21">
        <f>1/T9^2 *10^3</f>
        <v>9.9442343249829896</v>
      </c>
      <c r="N21">
        <v>0.02</v>
      </c>
      <c r="P21">
        <f>4*3.14*10^(-7)*(8*0.8*80)/(SQRT(125)*0.072)*10^3</f>
        <v>0.79886261468152486</v>
      </c>
    </row>
    <row r="22" spans="1:16" x14ac:dyDescent="0.3">
      <c r="E22" t="s">
        <v>4</v>
      </c>
      <c r="F22">
        <f>STDEV(F16:F20)</f>
        <v>5.477225575051739E-2</v>
      </c>
      <c r="M22">
        <f>1/U9^2 *10^3</f>
        <v>11.43185493951356</v>
      </c>
      <c r="N22">
        <v>0.06</v>
      </c>
      <c r="P22">
        <f>4*3.14*10^(-7)*(8*0.9*80)/(SQRT(125)*0.072)*10^3</f>
        <v>0.89872044151671537</v>
      </c>
    </row>
    <row r="23" spans="1:16" x14ac:dyDescent="0.3">
      <c r="E23" t="s">
        <v>24</v>
      </c>
      <c r="F23">
        <f>F22/(5)^(1/2)</f>
        <v>2.4494897427832129E-2</v>
      </c>
      <c r="I23" t="s">
        <v>28</v>
      </c>
      <c r="M23">
        <f>1/V9^2 *10^3</f>
        <v>12.351167810327164</v>
      </c>
      <c r="N23">
        <v>0.01</v>
      </c>
      <c r="P23">
        <f>4*3.14*10^(-7)*(8*1*80)/(SQRT(125)*0.072)*10^3</f>
        <v>0.998578268351906</v>
      </c>
    </row>
    <row r="24" spans="1:16" x14ac:dyDescent="0.3">
      <c r="F24">
        <v>0.60340000000000005</v>
      </c>
      <c r="G24">
        <v>2.0000000000000001E-4</v>
      </c>
      <c r="I24">
        <f>(21*10^10/(2*6.3*10^10))-1</f>
        <v>0.66666666666666674</v>
      </c>
    </row>
    <row r="25" spans="1:16" x14ac:dyDescent="0.3">
      <c r="I25" t="e">
        <f>SQRT((1/(2*6.3*10^10))^2*(0.5*10^10)^2+((-21*10^10)/2*(6.3*10^10)))^2*(0.4*10^10)^2</f>
        <v>#NUM!</v>
      </c>
      <c r="L25" t="s">
        <v>41</v>
      </c>
    </row>
    <row r="26" spans="1:16" x14ac:dyDescent="0.3">
      <c r="L26" t="s">
        <v>20</v>
      </c>
      <c r="M26" t="s">
        <v>42</v>
      </c>
      <c r="N26" t="s">
        <v>39</v>
      </c>
    </row>
    <row r="27" spans="1:16" x14ac:dyDescent="0.3">
      <c r="L27">
        <v>17.940000000000001</v>
      </c>
      <c r="M27">
        <f>1/L27^2*10^3</f>
        <v>3.1070992245923175</v>
      </c>
      <c r="N27">
        <f>((4*3.14^2*1.3197*10^(-4))*M27)-(3.14*6.3*10^10*(9.8*10^(-5))^4)/(2*0.6034*0.6543)</f>
        <v>1.6148366745424112E-2</v>
      </c>
    </row>
    <row r="28" spans="1:16" x14ac:dyDescent="0.3">
      <c r="L28">
        <v>17.934999999999999</v>
      </c>
      <c r="M28">
        <f>1/L28^2*10^3</f>
        <v>3.1088318882835053</v>
      </c>
      <c r="N28">
        <f t="shared" ref="N28:N38" si="0">((4*3.14^2*1.3197*10^(-4))*M28)-(3.14*6.3*10^10*(9.8*10^(-5))^4)/(2*0.6034*0.6543)</f>
        <v>1.6157384715270447E-2</v>
      </c>
    </row>
    <row r="29" spans="1:16" x14ac:dyDescent="0.3">
      <c r="L29">
        <v>17.934000000000001</v>
      </c>
      <c r="M29">
        <f>1/L29^2*10^3</f>
        <v>3.1091785949370703</v>
      </c>
      <c r="N29">
        <f t="shared" si="0"/>
        <v>1.6159189214414324E-2</v>
      </c>
    </row>
    <row r="30" spans="1:16" x14ac:dyDescent="0.3">
      <c r="L30">
        <v>17.925000000000001</v>
      </c>
      <c r="M30">
        <f>1/L30^2*10^3</f>
        <v>3.1123015664602818</v>
      </c>
      <c r="N30">
        <f t="shared" si="0"/>
        <v>1.6175443299480296E-2</v>
      </c>
    </row>
    <row r="31" spans="1:16" x14ac:dyDescent="0.3">
      <c r="L31">
        <v>17.925999999999998</v>
      </c>
      <c r="M31">
        <f>1/L31^2*10^3</f>
        <v>3.1119543373230791</v>
      </c>
      <c r="N31">
        <f t="shared" si="0"/>
        <v>1.617363608097333E-2</v>
      </c>
    </row>
    <row r="32" spans="1:16" x14ac:dyDescent="0.3">
      <c r="L32">
        <v>17.920000000000002</v>
      </c>
      <c r="M32">
        <f>1/L32^2*10^3</f>
        <v>3.1140385841836733</v>
      </c>
      <c r="N32">
        <f t="shared" si="0"/>
        <v>1.6184483930695551E-2</v>
      </c>
    </row>
    <row r="33" spans="12:14" x14ac:dyDescent="0.3">
      <c r="L33">
        <v>17.914999999999999</v>
      </c>
      <c r="M33">
        <f>1/L33^2*10^3</f>
        <v>3.1157770564926994</v>
      </c>
      <c r="N33">
        <f t="shared" si="0"/>
        <v>1.6193532132571787E-2</v>
      </c>
    </row>
    <row r="34" spans="12:14" x14ac:dyDescent="0.3">
      <c r="L34">
        <v>17.911000000000001</v>
      </c>
      <c r="M34">
        <f>1/L34^2*10^3</f>
        <v>3.1171688827332003</v>
      </c>
      <c r="N34">
        <f t="shared" si="0"/>
        <v>1.6200776150630231E-2</v>
      </c>
    </row>
    <row r="35" spans="12:14" x14ac:dyDescent="0.3">
      <c r="L35">
        <v>17.905999999999999</v>
      </c>
      <c r="M35">
        <f>1/L35^2*10^3</f>
        <v>3.1189099773917706</v>
      </c>
      <c r="N35">
        <f t="shared" si="0"/>
        <v>1.6209838001011501E-2</v>
      </c>
    </row>
    <row r="36" spans="12:14" x14ac:dyDescent="0.3">
      <c r="L36">
        <v>17.899999999999999</v>
      </c>
      <c r="M36">
        <f>1/L36^2*10^3</f>
        <v>3.1210012171904751</v>
      </c>
      <c r="N36">
        <f t="shared" si="0"/>
        <v>1.6220722246778344E-2</v>
      </c>
    </row>
    <row r="37" spans="12:14" x14ac:dyDescent="0.3">
      <c r="L37">
        <v>17.898</v>
      </c>
      <c r="M37">
        <f>1/L37^2*10^3</f>
        <v>3.1216987645352696</v>
      </c>
      <c r="N37">
        <f t="shared" si="0"/>
        <v>1.6224352761432598E-2</v>
      </c>
    </row>
    <row r="38" spans="12:14" x14ac:dyDescent="0.3">
      <c r="L38">
        <v>17.896000000000001</v>
      </c>
      <c r="M38">
        <f>1/L38^2*10^3</f>
        <v>3.1223965457601452</v>
      </c>
      <c r="N38">
        <f t="shared" si="0"/>
        <v>1.6227984493359153E-2</v>
      </c>
    </row>
    <row r="40" spans="12:14" x14ac:dyDescent="0.3">
      <c r="M40" t="s">
        <v>3</v>
      </c>
      <c r="N40">
        <f>AVERAGE(N27:N38)</f>
        <v>1.6189642481003474E-2</v>
      </c>
    </row>
    <row r="41" spans="12:14" x14ac:dyDescent="0.3">
      <c r="M41" t="s">
        <v>4</v>
      </c>
      <c r="N41">
        <f>STDEV(N27:N38)</f>
        <v>2.7541531975997991E-5</v>
      </c>
    </row>
    <row r="42" spans="12:14" x14ac:dyDescent="0.3">
      <c r="M42" t="s">
        <v>43</v>
      </c>
      <c r="N42">
        <f>N41/(12)^(1/2)</f>
        <v>7.9505554501185631E-6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2018-10-07T12:25:51Z</dcterms:created>
  <dcterms:modified xsi:type="dcterms:W3CDTF">2018-10-07T16:28:43Z</dcterms:modified>
</cp:coreProperties>
</file>